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showInkAnnotation="0" codeName="ThisWorkbook"/>
  <mc:AlternateContent xmlns:mc="http://schemas.openxmlformats.org/markup-compatibility/2006">
    <mc:Choice Requires="x15">
      <x15ac:absPath xmlns:x15ac="http://schemas.microsoft.com/office/spreadsheetml/2010/11/ac" url="C:\Users\pined\Documents\DOCUMENTOS 2021\ACUÑA HECTOR PPTO 2022\Presentación de Formatos y Directivas\Sectores\Minas\"/>
    </mc:Choice>
  </mc:AlternateContent>
  <xr:revisionPtr revIDLastSave="0" documentId="8_{AF245DD4-4739-45B1-AE6A-E7446A17AA73}" xr6:coauthVersionLast="47" xr6:coauthVersionMax="47" xr10:uidLastSave="{00000000-0000-0000-0000-000000000000}"/>
  <bookViews>
    <workbookView xWindow="-120" yWindow="-120" windowWidth="20730" windowHeight="11160" tabRatio="883" activeTab="1" xr2:uid="{00000000-000D-0000-FFFF-FFFF00000000}"/>
  </bookViews>
  <sheets>
    <sheet name="Índice" sheetId="55" r:id="rId1"/>
    <sheet name="F-01" sheetId="62" r:id="rId2"/>
    <sheet name="F-02" sheetId="73" r:id="rId3"/>
    <sheet name="F-03" sheetId="70" r:id="rId4"/>
    <sheet name="F-04" sheetId="30" r:id="rId5"/>
    <sheet name="F-05" sheetId="76" r:id="rId6"/>
    <sheet name="F-06" sheetId="57" r:id="rId7"/>
    <sheet name="F-07" sheetId="9" r:id="rId8"/>
    <sheet name="F-08" sheetId="81" r:id="rId9"/>
    <sheet name="F-09" sheetId="82" r:id="rId10"/>
    <sheet name="F-10" sheetId="89" r:id="rId11"/>
    <sheet name="F-11" sheetId="83" r:id="rId12"/>
    <sheet name="F-12 " sheetId="91" r:id="rId13"/>
    <sheet name="F-13" sheetId="84" r:id="rId14"/>
    <sheet name="F-14" sheetId="85" r:id="rId15"/>
    <sheet name="F-15" sheetId="86" r:id="rId16"/>
    <sheet name="F-16" sheetId="87" r:id="rId17"/>
    <sheet name="F-17" sheetId="90" r:id="rId18"/>
    <sheet name="F-18 " sheetId="88" r:id="rId19"/>
    <sheet name="Hoja1" sheetId="78" state="hidden" r:id="rId20"/>
  </sheets>
  <definedNames>
    <definedName name="_xlnm.Print_Area" localSheetId="1">'F-01'!$A$1:$N$56</definedName>
    <definedName name="_xlnm.Print_Area" localSheetId="6">'F-06'!$A$1:$N$50</definedName>
    <definedName name="_xlnm.Print_Area" localSheetId="7">'F-07'!$A$1:$Q$20</definedName>
    <definedName name="_xlnm.Print_Area" localSheetId="8">'F-08'!$A$1:$R$26</definedName>
    <definedName name="_xlnm.Print_Area" localSheetId="9">'F-09'!$A$1:$X$178</definedName>
    <definedName name="_xlnm.Print_Area" localSheetId="10">'F-10'!$A$1:$I$104</definedName>
    <definedName name="_xlnm.Print_Area" localSheetId="11">'F-11'!$A$1:$AI$255</definedName>
    <definedName name="_xlnm.Print_Area" localSheetId="12">'F-12 '!$A$1:$J$127</definedName>
    <definedName name="_xlnm.Print_Area" localSheetId="13">'F-13'!$A$1:$N$112</definedName>
    <definedName name="_xlnm.Print_Area" localSheetId="14">'F-14'!$A$1:$J$190</definedName>
    <definedName name="_xlnm.Print_Area" localSheetId="15">'F-15'!$A$1:$H$157</definedName>
    <definedName name="_xlnm.Print_Area" localSheetId="16">'F-16'!$A$1:$H$143</definedName>
    <definedName name="_xlnm.Print_Area" localSheetId="17">'F-17'!$A$1:$P$901</definedName>
    <definedName name="_xlnm.Print_Area" localSheetId="18">'F-18 '!$A$1:$N$55</definedName>
    <definedName name="_xlnm.Print_Area" localSheetId="0">Índice!$A$1:$E$35</definedName>
    <definedName name="dd" localSheetId="2">#REF!</definedName>
    <definedName name="dd" localSheetId="3">#REF!</definedName>
    <definedName name="dd" localSheetId="5">#REF!</definedName>
    <definedName name="dd" localSheetId="10">#REF!</definedName>
    <definedName name="dd" localSheetId="17">#REF!</definedName>
    <definedName name="dd">#REF!</definedName>
    <definedName name="DIRECREC" localSheetId="1">#REF!</definedName>
    <definedName name="DIRECREC" localSheetId="2">#REF!</definedName>
    <definedName name="DIRECREC" localSheetId="3">#REF!</definedName>
    <definedName name="DIRECREC" localSheetId="5">#REF!</definedName>
    <definedName name="DIRECREC" localSheetId="6">#REF!</definedName>
    <definedName name="DIRECREC" localSheetId="9">#REF!</definedName>
    <definedName name="DIRECREC" localSheetId="10">#REF!</definedName>
    <definedName name="DIRECREC" localSheetId="17">#REF!</definedName>
    <definedName name="DIRECREC" localSheetId="18">#REF!</definedName>
    <definedName name="DIRECREC">#REF!</definedName>
    <definedName name="DONAC" localSheetId="1">#REF!</definedName>
    <definedName name="DONAC" localSheetId="2">#REF!</definedName>
    <definedName name="DONAC" localSheetId="3">#REF!</definedName>
    <definedName name="DONAC" localSheetId="5">#REF!</definedName>
    <definedName name="DONAC" localSheetId="6">#REF!</definedName>
    <definedName name="DONAC" localSheetId="9">#REF!</definedName>
    <definedName name="DONAC" localSheetId="10">#REF!</definedName>
    <definedName name="DONAC" localSheetId="17">#REF!</definedName>
    <definedName name="DONAC" localSheetId="18">#REF!</definedName>
    <definedName name="DONAC">#REF!</definedName>
    <definedName name="EE" localSheetId="2">#REF!</definedName>
    <definedName name="EE" localSheetId="3">#REF!</definedName>
    <definedName name="EE" localSheetId="5">#REF!</definedName>
    <definedName name="EE" localSheetId="10">#REF!</definedName>
    <definedName name="EE" localSheetId="17">#REF!</definedName>
    <definedName name="EE">#REF!</definedName>
    <definedName name="RECORD" localSheetId="1">#REF!</definedName>
    <definedName name="RECORD" localSheetId="2">#REF!</definedName>
    <definedName name="RECORD" localSheetId="3">#REF!</definedName>
    <definedName name="RECORD" localSheetId="5">#REF!</definedName>
    <definedName name="RECORD" localSheetId="6">#REF!</definedName>
    <definedName name="RECORD" localSheetId="9">#REF!</definedName>
    <definedName name="RECORD" localSheetId="10">#REF!</definedName>
    <definedName name="RECORD" localSheetId="17">#REF!</definedName>
    <definedName name="RECORD" localSheetId="18">#REF!</definedName>
    <definedName name="RECORD">#REF!</definedName>
    <definedName name="RECPUB" localSheetId="1">#REF!</definedName>
    <definedName name="RECPUB" localSheetId="2">#REF!</definedName>
    <definedName name="RECPUB" localSheetId="3">#REF!</definedName>
    <definedName name="RECPUB" localSheetId="5">#REF!</definedName>
    <definedName name="RECPUB" localSheetId="6">#REF!</definedName>
    <definedName name="RECPUB" localSheetId="9">#REF!</definedName>
    <definedName name="RECPUB" localSheetId="10">#REF!</definedName>
    <definedName name="RECPUB" localSheetId="17">#REF!</definedName>
    <definedName name="RECPUB" localSheetId="18">#REF!</definedName>
    <definedName name="RECPUB">#REF!</definedName>
    <definedName name="_xlnm.Print_Titles" localSheetId="1">'F-01'!$1:$2</definedName>
    <definedName name="_xlnm.Print_Titles" localSheetId="3">'F-03'!$1:$2</definedName>
    <definedName name="_xlnm.Print_Titles" localSheetId="4">'F-04'!$1:$2</definedName>
    <definedName name="_xlnm.Print_Titles" localSheetId="9">'F-09'!$1:$2</definedName>
    <definedName name="_xlnm.Print_Titles" localSheetId="10">'F-10'!$1:$1</definedName>
    <definedName name="_xlnm.Print_Titles" localSheetId="11">'F-11'!$1:$2</definedName>
    <definedName name="_xlnm.Print_Titles" localSheetId="12">'F-12 '!$1:$5</definedName>
    <definedName name="_xlnm.Print_Titles" localSheetId="13">'F-13'!$1:$4</definedName>
    <definedName name="_xlnm.Print_Titles" localSheetId="14">'F-14'!$1:$5</definedName>
    <definedName name="_xlnm.Print_Titles" localSheetId="15">'F-15'!$1:$5</definedName>
    <definedName name="_xlnm.Print_Titles" localSheetId="16">'F-16'!$1:$2</definedName>
    <definedName name="_xlnm.Print_Titles" localSheetId="17">'F-17'!$1:$5</definedName>
    <definedName name="_xlnm.Print_Titles" localSheetId="18">'F-18 '!$1:$2</definedName>
    <definedName name="_xlnm.Print_Titles" localSheetId="0">Índice!$1:$1</definedName>
    <definedName name="XPRINT" localSheetId="1">#REF!</definedName>
    <definedName name="XPRINT" localSheetId="2">#REF!</definedName>
    <definedName name="XPRINT" localSheetId="3">#REF!</definedName>
    <definedName name="XPRINT" localSheetId="5">#REF!</definedName>
    <definedName name="XPRINT" localSheetId="6">#REF!</definedName>
    <definedName name="XPRINT" localSheetId="9">#REF!</definedName>
    <definedName name="XPRINT" localSheetId="10">#REF!</definedName>
    <definedName name="XPRINT" localSheetId="17">#REF!</definedName>
    <definedName name="XPRINT" localSheetId="18">#REF!</definedName>
    <definedName name="XPRINT">#REF!</definedName>
    <definedName name="XPRINT2" localSheetId="1">#REF!</definedName>
    <definedName name="XPRINT2" localSheetId="2">#REF!</definedName>
    <definedName name="XPRINT2" localSheetId="3">#REF!</definedName>
    <definedName name="XPRINT2" localSheetId="5">#REF!</definedName>
    <definedName name="XPRINT2" localSheetId="6">#REF!</definedName>
    <definedName name="XPRINT2" localSheetId="9">#REF!</definedName>
    <definedName name="XPRINT2" localSheetId="10">#REF!</definedName>
    <definedName name="XPRINT2" localSheetId="17">#REF!</definedName>
    <definedName name="XPRINT2" localSheetId="18">#REF!</definedName>
    <definedName name="XPRINT2">#REF!</definedName>
    <definedName name="XPRINT3" localSheetId="1">#REF!</definedName>
    <definedName name="XPRINT3" localSheetId="2">#REF!</definedName>
    <definedName name="XPRINT3" localSheetId="3">#REF!</definedName>
    <definedName name="XPRINT3" localSheetId="5">#REF!</definedName>
    <definedName name="XPRINT3" localSheetId="6">#REF!</definedName>
    <definedName name="XPRINT3" localSheetId="9">#REF!</definedName>
    <definedName name="XPRINT3" localSheetId="10">#REF!</definedName>
    <definedName name="XPRINT3" localSheetId="17">#REF!</definedName>
    <definedName name="XPRINT3" localSheetId="18">#REF!</definedName>
    <definedName name="XPRINT3">#REF!</definedName>
    <definedName name="XPRINT4" localSheetId="1">#REF!</definedName>
    <definedName name="XPRINT4" localSheetId="2">#REF!</definedName>
    <definedName name="XPRINT4" localSheetId="3">#REF!</definedName>
    <definedName name="XPRINT4" localSheetId="5">#REF!</definedName>
    <definedName name="XPRINT4" localSheetId="6">#REF!</definedName>
    <definedName name="XPRINT4" localSheetId="9">#REF!</definedName>
    <definedName name="XPRINT4" localSheetId="10">#REF!</definedName>
    <definedName name="XPRINT4" localSheetId="17">#REF!</definedName>
    <definedName name="XPRINT4" localSheetId="18">#REF!</definedName>
    <definedName name="XPRINT4">#REF!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24" i="91" l="1"/>
  <c r="C124" i="91"/>
  <c r="D124" i="91"/>
  <c r="E124" i="91"/>
  <c r="F124" i="91"/>
  <c r="G124" i="91"/>
  <c r="B124" i="91"/>
  <c r="J124" i="91" l="1"/>
  <c r="H124" i="91"/>
  <c r="P899" i="90" l="1"/>
  <c r="M899" i="90"/>
  <c r="P898" i="90"/>
  <c r="M898" i="90"/>
  <c r="P897" i="90"/>
  <c r="M897" i="90"/>
  <c r="P896" i="90"/>
  <c r="M896" i="90"/>
  <c r="P895" i="90"/>
  <c r="M895" i="90"/>
  <c r="P894" i="90"/>
  <c r="M894" i="90"/>
  <c r="P893" i="90"/>
  <c r="M893" i="90"/>
  <c r="P892" i="90"/>
  <c r="M892" i="90"/>
  <c r="P891" i="90"/>
  <c r="M891" i="90"/>
  <c r="P890" i="90"/>
  <c r="M890" i="90"/>
  <c r="P889" i="90"/>
  <c r="M889" i="90"/>
  <c r="P888" i="90"/>
  <c r="M888" i="90"/>
  <c r="P887" i="90"/>
  <c r="M887" i="90"/>
  <c r="P886" i="90"/>
  <c r="M886" i="90"/>
  <c r="P885" i="90"/>
  <c r="M885" i="90"/>
  <c r="P884" i="90"/>
  <c r="M884" i="90"/>
  <c r="P883" i="90"/>
  <c r="M883" i="90"/>
  <c r="P882" i="90"/>
  <c r="M882" i="90"/>
  <c r="P881" i="90"/>
  <c r="M881" i="90"/>
  <c r="P880" i="90"/>
  <c r="M880" i="90"/>
  <c r="P879" i="90"/>
  <c r="M879" i="90"/>
  <c r="P878" i="90"/>
  <c r="M878" i="90"/>
  <c r="P877" i="90"/>
  <c r="M877" i="90"/>
  <c r="P876" i="90"/>
  <c r="M876" i="90"/>
  <c r="P875" i="90"/>
  <c r="M875" i="90"/>
  <c r="P874" i="90"/>
  <c r="M874" i="90"/>
  <c r="P873" i="90"/>
  <c r="M873" i="90"/>
  <c r="P872" i="90"/>
  <c r="M872" i="90"/>
  <c r="P871" i="90"/>
  <c r="M871" i="90"/>
  <c r="P870" i="90"/>
  <c r="M870" i="90"/>
  <c r="P869" i="90"/>
  <c r="M869" i="90"/>
  <c r="P868" i="90"/>
  <c r="M868" i="90"/>
  <c r="P867" i="90"/>
  <c r="M867" i="90"/>
  <c r="P866" i="90"/>
  <c r="M866" i="90"/>
  <c r="P865" i="90"/>
  <c r="M865" i="90"/>
  <c r="P864" i="90"/>
  <c r="M864" i="90"/>
  <c r="P863" i="90"/>
  <c r="M863" i="90"/>
  <c r="P862" i="90"/>
  <c r="M862" i="90"/>
  <c r="P861" i="90"/>
  <c r="M861" i="90"/>
  <c r="P860" i="90"/>
  <c r="M860" i="90"/>
  <c r="P859" i="90"/>
  <c r="M859" i="90"/>
  <c r="P858" i="90"/>
  <c r="M858" i="90"/>
  <c r="P857" i="90"/>
  <c r="M857" i="90"/>
  <c r="P856" i="90"/>
  <c r="M856" i="90"/>
  <c r="P855" i="90"/>
  <c r="M855" i="90"/>
  <c r="P854" i="90"/>
  <c r="M854" i="90"/>
  <c r="P853" i="90"/>
  <c r="M853" i="90"/>
  <c r="P852" i="90"/>
  <c r="M852" i="90"/>
  <c r="P851" i="90"/>
  <c r="M851" i="90"/>
  <c r="P850" i="90"/>
  <c r="M850" i="90"/>
  <c r="P849" i="90"/>
  <c r="M849" i="90"/>
  <c r="P848" i="90"/>
  <c r="M848" i="90"/>
  <c r="P847" i="90"/>
  <c r="M847" i="90"/>
  <c r="P846" i="90"/>
  <c r="M846" i="90"/>
  <c r="P845" i="90"/>
  <c r="M845" i="90"/>
  <c r="P844" i="90"/>
  <c r="M844" i="90"/>
  <c r="P843" i="90"/>
  <c r="M843" i="90"/>
  <c r="P842" i="90"/>
  <c r="M842" i="90"/>
  <c r="P841" i="90"/>
  <c r="M841" i="90"/>
  <c r="P840" i="90"/>
  <c r="M840" i="90"/>
  <c r="P839" i="90"/>
  <c r="M839" i="90"/>
  <c r="P838" i="90"/>
  <c r="M838" i="90"/>
  <c r="P837" i="90"/>
  <c r="M837" i="90"/>
  <c r="P836" i="90"/>
  <c r="M836" i="90"/>
  <c r="P835" i="90"/>
  <c r="M835" i="90"/>
  <c r="P834" i="90"/>
  <c r="M834" i="90"/>
  <c r="P833" i="90"/>
  <c r="M833" i="90"/>
  <c r="P832" i="90"/>
  <c r="M832" i="90"/>
  <c r="P831" i="90"/>
  <c r="M831" i="90"/>
  <c r="P830" i="90"/>
  <c r="M830" i="90"/>
  <c r="P829" i="90"/>
  <c r="M829" i="90"/>
  <c r="P828" i="90"/>
  <c r="M828" i="90"/>
  <c r="P827" i="90"/>
  <c r="M827" i="90"/>
  <c r="P826" i="90"/>
  <c r="M826" i="90"/>
  <c r="P825" i="90"/>
  <c r="M825" i="90"/>
  <c r="P824" i="90"/>
  <c r="M824" i="90"/>
  <c r="P823" i="90"/>
  <c r="M823" i="90"/>
  <c r="P822" i="90"/>
  <c r="M822" i="90"/>
  <c r="P821" i="90"/>
  <c r="M821" i="90"/>
  <c r="P820" i="90"/>
  <c r="M820" i="90"/>
  <c r="P819" i="90"/>
  <c r="M819" i="90"/>
  <c r="P818" i="90"/>
  <c r="M818" i="90"/>
  <c r="P817" i="90"/>
  <c r="M817" i="90"/>
  <c r="P816" i="90"/>
  <c r="M816" i="90"/>
  <c r="P815" i="90"/>
  <c r="M815" i="90"/>
  <c r="P814" i="90"/>
  <c r="M814" i="90"/>
  <c r="P813" i="90"/>
  <c r="M813" i="90"/>
  <c r="P812" i="90"/>
  <c r="M812" i="90"/>
  <c r="P811" i="90"/>
  <c r="M811" i="90"/>
  <c r="P810" i="90"/>
  <c r="M810" i="90"/>
  <c r="P809" i="90"/>
  <c r="M809" i="90"/>
  <c r="P808" i="90"/>
  <c r="M808" i="90"/>
  <c r="P807" i="90"/>
  <c r="M807" i="90"/>
  <c r="P806" i="90"/>
  <c r="M806" i="90"/>
  <c r="P805" i="90"/>
  <c r="M805" i="90"/>
  <c r="P804" i="90"/>
  <c r="M804" i="90"/>
  <c r="P803" i="90"/>
  <c r="M803" i="90"/>
  <c r="P802" i="90"/>
  <c r="M802" i="90"/>
  <c r="P801" i="90"/>
  <c r="M801" i="90"/>
  <c r="P800" i="90"/>
  <c r="M800" i="90"/>
  <c r="P799" i="90"/>
  <c r="M799" i="90"/>
  <c r="P798" i="90"/>
  <c r="M798" i="90"/>
  <c r="P797" i="90"/>
  <c r="M797" i="90"/>
  <c r="P796" i="90"/>
  <c r="M796" i="90"/>
  <c r="P795" i="90"/>
  <c r="M795" i="90"/>
  <c r="P794" i="90"/>
  <c r="M794" i="90"/>
  <c r="P793" i="90"/>
  <c r="M793" i="90"/>
  <c r="P792" i="90"/>
  <c r="M792" i="90"/>
  <c r="P791" i="90"/>
  <c r="M791" i="90"/>
  <c r="P790" i="90"/>
  <c r="M790" i="90"/>
  <c r="P789" i="90"/>
  <c r="M789" i="90"/>
  <c r="P788" i="90"/>
  <c r="M788" i="90"/>
  <c r="P787" i="90"/>
  <c r="M787" i="90"/>
  <c r="I94" i="89"/>
  <c r="H94" i="89"/>
  <c r="I92" i="89"/>
  <c r="H92" i="89"/>
  <c r="H90" i="89"/>
  <c r="G90" i="89"/>
  <c r="E90" i="89"/>
  <c r="E101" i="89" s="1"/>
  <c r="C90" i="89"/>
  <c r="I89" i="89"/>
  <c r="H89" i="89"/>
  <c r="H85" i="89"/>
  <c r="G85" i="89"/>
  <c r="I85" i="89" s="1"/>
  <c r="C85" i="89"/>
  <c r="C101" i="89" s="1"/>
  <c r="E75" i="89"/>
  <c r="I74" i="89"/>
  <c r="H74" i="89"/>
  <c r="G74" i="89"/>
  <c r="I73" i="89"/>
  <c r="I72" i="89"/>
  <c r="H71" i="89"/>
  <c r="E71" i="89"/>
  <c r="I71" i="89" s="1"/>
  <c r="I70" i="89"/>
  <c r="I69" i="89"/>
  <c r="I68" i="89"/>
  <c r="H68" i="89"/>
  <c r="I67" i="89"/>
  <c r="I66" i="89"/>
  <c r="H66" i="89"/>
  <c r="I65" i="89"/>
  <c r="I64" i="89"/>
  <c r="H64" i="89"/>
  <c r="C64" i="89"/>
  <c r="C75" i="89" s="1"/>
  <c r="I63" i="89"/>
  <c r="I62" i="89"/>
  <c r="I61" i="89"/>
  <c r="I60" i="89"/>
  <c r="H59" i="89"/>
  <c r="G59" i="89"/>
  <c r="G75" i="89" s="1"/>
  <c r="G50" i="89"/>
  <c r="E50" i="89"/>
  <c r="C50" i="89"/>
  <c r="I49" i="89"/>
  <c r="I43" i="89"/>
  <c r="H43" i="89"/>
  <c r="I39" i="89"/>
  <c r="H39" i="89"/>
  <c r="I34" i="89"/>
  <c r="H34" i="89"/>
  <c r="F22" i="89"/>
  <c r="E22" i="89"/>
  <c r="D22" i="89"/>
  <c r="C22" i="89"/>
  <c r="B22" i="89"/>
  <c r="H21" i="89"/>
  <c r="G21" i="89"/>
  <c r="I21" i="89" s="1"/>
  <c r="I20" i="89"/>
  <c r="H20" i="89"/>
  <c r="H19" i="89"/>
  <c r="G19" i="89"/>
  <c r="I19" i="89" s="1"/>
  <c r="I18" i="89"/>
  <c r="H18" i="89"/>
  <c r="H15" i="89"/>
  <c r="G15" i="89"/>
  <c r="I15" i="89" s="1"/>
  <c r="I13" i="89"/>
  <c r="H13" i="89"/>
  <c r="I11" i="89"/>
  <c r="H11" i="89"/>
  <c r="G11" i="89"/>
  <c r="I9" i="89"/>
  <c r="I8" i="89"/>
  <c r="H8" i="89"/>
  <c r="H6" i="89"/>
  <c r="G6" i="89"/>
  <c r="G22" i="89" s="1"/>
  <c r="I6" i="89" l="1"/>
  <c r="I22" i="89" s="1"/>
  <c r="H22" i="89"/>
  <c r="I50" i="89"/>
  <c r="G101" i="89"/>
  <c r="I90" i="89"/>
  <c r="I101" i="89" s="1"/>
  <c r="I59" i="89"/>
  <c r="I75" i="89" s="1"/>
  <c r="N52" i="88" l="1"/>
  <c r="N51" i="88"/>
  <c r="N50" i="88"/>
  <c r="N49" i="88"/>
  <c r="N48" i="88"/>
  <c r="M48" i="88"/>
  <c r="N46" i="88"/>
  <c r="N45" i="88"/>
  <c r="M45" i="88"/>
  <c r="N44" i="88"/>
  <c r="M44" i="88"/>
  <c r="H140" i="87"/>
  <c r="G140" i="87"/>
  <c r="H139" i="87"/>
  <c r="G139" i="87"/>
  <c r="H109" i="87"/>
  <c r="G109" i="87"/>
  <c r="H108" i="87"/>
  <c r="G108" i="87"/>
  <c r="H76" i="87"/>
  <c r="G76" i="87"/>
  <c r="H75" i="87"/>
  <c r="G75" i="87"/>
  <c r="H43" i="87"/>
  <c r="G43" i="87"/>
  <c r="H42" i="87"/>
  <c r="G42" i="87"/>
  <c r="F152" i="86"/>
  <c r="E152" i="86"/>
  <c r="F139" i="86"/>
  <c r="E139" i="86"/>
  <c r="D139" i="86"/>
  <c r="F117" i="86"/>
  <c r="E117" i="86"/>
  <c r="D117" i="86"/>
  <c r="F25" i="86"/>
  <c r="F19" i="86"/>
  <c r="E19" i="86"/>
  <c r="D19" i="86"/>
  <c r="F8" i="86"/>
  <c r="E8" i="86"/>
  <c r="D8" i="86"/>
  <c r="E188" i="85"/>
  <c r="E149" i="85"/>
  <c r="E128" i="85"/>
  <c r="E106" i="85"/>
  <c r="E171" i="85" s="1"/>
  <c r="I99" i="85"/>
  <c r="I98" i="85"/>
  <c r="E97" i="85"/>
  <c r="E100" i="85" s="1"/>
  <c r="E93" i="85"/>
  <c r="E69" i="85"/>
  <c r="E39" i="85"/>
  <c r="E8" i="85"/>
  <c r="F83" i="84"/>
  <c r="F73" i="84"/>
  <c r="J72" i="84"/>
  <c r="J71" i="84"/>
  <c r="J70" i="84"/>
  <c r="J68" i="84"/>
  <c r="J67" i="84"/>
  <c r="J66" i="84"/>
  <c r="J64" i="84"/>
  <c r="J63" i="84"/>
  <c r="J62" i="84"/>
  <c r="J61" i="84"/>
  <c r="J60" i="84"/>
  <c r="J59" i="84"/>
  <c r="J58" i="84"/>
  <c r="J57" i="84"/>
  <c r="J56" i="84"/>
  <c r="J55" i="84"/>
  <c r="J54" i="84"/>
  <c r="J53" i="84"/>
  <c r="J52" i="84"/>
  <c r="J51" i="84"/>
  <c r="J50" i="84"/>
  <c r="J49" i="84"/>
  <c r="J48" i="84"/>
  <c r="J47" i="84"/>
  <c r="J46" i="84"/>
  <c r="J45" i="84"/>
  <c r="J44" i="84"/>
  <c r="J43" i="84"/>
  <c r="J42" i="84"/>
  <c r="J41" i="84"/>
  <c r="J40" i="84"/>
  <c r="J39" i="84"/>
  <c r="J38" i="84"/>
  <c r="J37" i="84"/>
  <c r="J36" i="84"/>
  <c r="J35" i="84"/>
  <c r="F31" i="84"/>
  <c r="J30" i="84"/>
  <c r="J29" i="84"/>
  <c r="J28" i="84"/>
  <c r="J27" i="84"/>
  <c r="J26" i="84"/>
  <c r="J25" i="84"/>
  <c r="J23" i="84"/>
  <c r="J22" i="84"/>
  <c r="J21" i="84"/>
  <c r="J20" i="84"/>
  <c r="J19" i="84"/>
  <c r="J18" i="84"/>
  <c r="J17" i="84"/>
  <c r="J16" i="84"/>
  <c r="J15" i="84"/>
  <c r="J14" i="84"/>
  <c r="J13" i="84"/>
  <c r="J12" i="84"/>
  <c r="J11" i="84"/>
  <c r="J10" i="84"/>
  <c r="J9" i="84"/>
  <c r="J8" i="84"/>
  <c r="AB235" i="83"/>
  <c r="AA235" i="83"/>
  <c r="Y235" i="83"/>
  <c r="X235" i="83"/>
  <c r="W235" i="83"/>
  <c r="V235" i="83"/>
  <c r="U235" i="83"/>
  <c r="T235" i="83"/>
  <c r="S235" i="83"/>
  <c r="R235" i="83"/>
  <c r="Q235" i="83"/>
  <c r="M235" i="83"/>
  <c r="L235" i="83"/>
  <c r="J235" i="83"/>
  <c r="I235" i="83"/>
  <c r="H235" i="83"/>
  <c r="G235" i="83"/>
  <c r="F235" i="83"/>
  <c r="E235" i="83"/>
  <c r="D235" i="83"/>
  <c r="C235" i="83"/>
  <c r="B235" i="83"/>
  <c r="AF233" i="83"/>
  <c r="AC233" i="83"/>
  <c r="Z233" i="83"/>
  <c r="N233" i="83"/>
  <c r="K233" i="83"/>
  <c r="AI229" i="83"/>
  <c r="AF229" i="83"/>
  <c r="AC229" i="83"/>
  <c r="Z229" i="83"/>
  <c r="N229" i="83"/>
  <c r="K229" i="83"/>
  <c r="AI228" i="83"/>
  <c r="AF228" i="83"/>
  <c r="AC228" i="83"/>
  <c r="Z228" i="83"/>
  <c r="N228" i="83"/>
  <c r="K228" i="83"/>
  <c r="AI227" i="83"/>
  <c r="AH227" i="83"/>
  <c r="AF227" i="83"/>
  <c r="AC227" i="83"/>
  <c r="Z227" i="83"/>
  <c r="N227" i="83"/>
  <c r="K227" i="83"/>
  <c r="AI226" i="83"/>
  <c r="AF226" i="83"/>
  <c r="AC226" i="83"/>
  <c r="Z226" i="83"/>
  <c r="N226" i="83"/>
  <c r="K226" i="83"/>
  <c r="AI225" i="83"/>
  <c r="AH225" i="83"/>
  <c r="AF225" i="83"/>
  <c r="AC225" i="83"/>
  <c r="Z225" i="83"/>
  <c r="N225" i="83"/>
  <c r="K225" i="83"/>
  <c r="AF221" i="83"/>
  <c r="AC221" i="83"/>
  <c r="Z221" i="83"/>
  <c r="N221" i="83"/>
  <c r="K221" i="83"/>
  <c r="AH220" i="83"/>
  <c r="AF220" i="83"/>
  <c r="AC220" i="83"/>
  <c r="Z220" i="83"/>
  <c r="N220" i="83"/>
  <c r="K220" i="83"/>
  <c r="AH219" i="83"/>
  <c r="AF219" i="83"/>
  <c r="AC219" i="83"/>
  <c r="Z219" i="83"/>
  <c r="N219" i="83"/>
  <c r="K219" i="83"/>
  <c r="AH218" i="83"/>
  <c r="AF218" i="83"/>
  <c r="AC218" i="83"/>
  <c r="Z218" i="83"/>
  <c r="N218" i="83"/>
  <c r="K218" i="83"/>
  <c r="AF213" i="83"/>
  <c r="AC213" i="83"/>
  <c r="Z213" i="83"/>
  <c r="N213" i="83"/>
  <c r="K213" i="83"/>
  <c r="AH212" i="83"/>
  <c r="AF212" i="83"/>
  <c r="AC212" i="83"/>
  <c r="Z212" i="83"/>
  <c r="N212" i="83"/>
  <c r="K212" i="83"/>
  <c r="AH211" i="83"/>
  <c r="AF211" i="83"/>
  <c r="Z211" i="83"/>
  <c r="AD211" i="83" s="1"/>
  <c r="AE211" i="83" s="1"/>
  <c r="K211" i="83"/>
  <c r="O211" i="83" s="1"/>
  <c r="P211" i="83" s="1"/>
  <c r="AF210" i="83"/>
  <c r="AC210" i="83"/>
  <c r="Z210" i="83"/>
  <c r="N210" i="83"/>
  <c r="K210" i="83"/>
  <c r="AF209" i="83"/>
  <c r="AC209" i="83"/>
  <c r="Z209" i="83"/>
  <c r="N209" i="83"/>
  <c r="K209" i="83"/>
  <c r="Y178" i="83"/>
  <c r="X178" i="83"/>
  <c r="W178" i="83"/>
  <c r="V178" i="83"/>
  <c r="U178" i="83"/>
  <c r="T178" i="83"/>
  <c r="S178" i="83"/>
  <c r="P176" i="83"/>
  <c r="AF176" i="83" s="1"/>
  <c r="AF175" i="83" s="1"/>
  <c r="AI175" i="83"/>
  <c r="AE175" i="83"/>
  <c r="J175" i="83"/>
  <c r="P173" i="83"/>
  <c r="AF173" i="83" s="1"/>
  <c r="AE172" i="83"/>
  <c r="J172" i="83"/>
  <c r="AG170" i="83"/>
  <c r="R170" i="83"/>
  <c r="AB170" i="83" s="1"/>
  <c r="M170" i="83"/>
  <c r="L170" i="83"/>
  <c r="K170" i="83"/>
  <c r="AG169" i="83"/>
  <c r="R169" i="83"/>
  <c r="AB169" i="83" s="1"/>
  <c r="M169" i="83"/>
  <c r="L169" i="83"/>
  <c r="K169" i="83"/>
  <c r="AI168" i="83"/>
  <c r="AI167" i="83" s="1"/>
  <c r="AG168" i="83"/>
  <c r="AE168" i="83"/>
  <c r="AD168" i="83"/>
  <c r="R168" i="83"/>
  <c r="AA168" i="83" s="1"/>
  <c r="M168" i="83"/>
  <c r="L168" i="83"/>
  <c r="K168" i="83"/>
  <c r="AH167" i="83"/>
  <c r="Q167" i="83"/>
  <c r="C167" i="83"/>
  <c r="R167" i="83" s="1"/>
  <c r="B167" i="83"/>
  <c r="AG166" i="83"/>
  <c r="R166" i="83"/>
  <c r="AB166" i="83" s="1"/>
  <c r="M166" i="83"/>
  <c r="L166" i="83"/>
  <c r="K166" i="83"/>
  <c r="AG165" i="83"/>
  <c r="R165" i="83"/>
  <c r="AB165" i="83" s="1"/>
  <c r="M165" i="83"/>
  <c r="L165" i="83"/>
  <c r="K165" i="83"/>
  <c r="AI164" i="83"/>
  <c r="AG164" i="83"/>
  <c r="R164" i="83"/>
  <c r="Z164" i="83" s="1"/>
  <c r="M164" i="83"/>
  <c r="L164" i="83"/>
  <c r="K164" i="83"/>
  <c r="AG163" i="83"/>
  <c r="R163" i="83"/>
  <c r="AB163" i="83" s="1"/>
  <c r="M163" i="83"/>
  <c r="L163" i="83"/>
  <c r="K163" i="83"/>
  <c r="AI162" i="83"/>
  <c r="AG162" i="83"/>
  <c r="R162" i="83"/>
  <c r="AB162" i="83" s="1"/>
  <c r="M162" i="83"/>
  <c r="L162" i="83"/>
  <c r="K162" i="83"/>
  <c r="AG161" i="83"/>
  <c r="R161" i="83"/>
  <c r="AA161" i="83" s="1"/>
  <c r="M161" i="83"/>
  <c r="L161" i="83"/>
  <c r="K161" i="83"/>
  <c r="AG160" i="83"/>
  <c r="R160" i="83"/>
  <c r="AA160" i="83" s="1"/>
  <c r="M160" i="83"/>
  <c r="L160" i="83"/>
  <c r="K160" i="83"/>
  <c r="AG158" i="83"/>
  <c r="R158" i="83"/>
  <c r="AB158" i="83" s="1"/>
  <c r="M158" i="83"/>
  <c r="L158" i="83"/>
  <c r="K158" i="83"/>
  <c r="AH157" i="83"/>
  <c r="Q157" i="83"/>
  <c r="J157" i="83"/>
  <c r="I157" i="83"/>
  <c r="H157" i="83"/>
  <c r="G157" i="83"/>
  <c r="F157" i="83"/>
  <c r="E157" i="83"/>
  <c r="D157" i="83"/>
  <c r="C157" i="83"/>
  <c r="R157" i="83" s="1"/>
  <c r="B157" i="83"/>
  <c r="AG154" i="83"/>
  <c r="R154" i="83"/>
  <c r="AA154" i="83" s="1"/>
  <c r="M154" i="83"/>
  <c r="L154" i="83"/>
  <c r="K154" i="83"/>
  <c r="AI153" i="83"/>
  <c r="AG153" i="83"/>
  <c r="R153" i="83"/>
  <c r="AB153" i="83" s="1"/>
  <c r="M153" i="83"/>
  <c r="L153" i="83"/>
  <c r="K153" i="83"/>
  <c r="AI152" i="83"/>
  <c r="AG152" i="83"/>
  <c r="R152" i="83"/>
  <c r="M152" i="83"/>
  <c r="L152" i="83"/>
  <c r="K152" i="83"/>
  <c r="AI151" i="83"/>
  <c r="AG151" i="83"/>
  <c r="R151" i="83"/>
  <c r="M151" i="83"/>
  <c r="L151" i="83"/>
  <c r="K151" i="83"/>
  <c r="AI150" i="83"/>
  <c r="AG150" i="83"/>
  <c r="R150" i="83"/>
  <c r="AB150" i="83" s="1"/>
  <c r="M150" i="83"/>
  <c r="L150" i="83"/>
  <c r="K150" i="83"/>
  <c r="AI149" i="83"/>
  <c r="AG149" i="83"/>
  <c r="R149" i="83"/>
  <c r="AB149" i="83" s="1"/>
  <c r="M149" i="83"/>
  <c r="L149" i="83"/>
  <c r="K149" i="83"/>
  <c r="AI148" i="83"/>
  <c r="AG148" i="83"/>
  <c r="R148" i="83"/>
  <c r="AA148" i="83" s="1"/>
  <c r="M148" i="83"/>
  <c r="L148" i="83"/>
  <c r="K148" i="83"/>
  <c r="AI147" i="83"/>
  <c r="AG147" i="83"/>
  <c r="AB147" i="83"/>
  <c r="AA147" i="83"/>
  <c r="Z147" i="83"/>
  <c r="M147" i="83"/>
  <c r="L147" i="83"/>
  <c r="K147" i="83"/>
  <c r="AI146" i="83"/>
  <c r="AG146" i="83"/>
  <c r="R146" i="83"/>
  <c r="AB146" i="83" s="1"/>
  <c r="M146" i="83"/>
  <c r="L146" i="83"/>
  <c r="K146" i="83"/>
  <c r="AH145" i="83"/>
  <c r="Q145" i="83"/>
  <c r="C145" i="83"/>
  <c r="R145" i="83" s="1"/>
  <c r="B145" i="83"/>
  <c r="AG143" i="83"/>
  <c r="R143" i="83"/>
  <c r="AA143" i="83" s="1"/>
  <c r="M143" i="83"/>
  <c r="L143" i="83"/>
  <c r="K143" i="83"/>
  <c r="AG142" i="83"/>
  <c r="R142" i="83"/>
  <c r="Z142" i="83" s="1"/>
  <c r="M142" i="83"/>
  <c r="L142" i="83"/>
  <c r="K142" i="83"/>
  <c r="AG141" i="83"/>
  <c r="R141" i="83"/>
  <c r="AA141" i="83" s="1"/>
  <c r="M141" i="83"/>
  <c r="L141" i="83"/>
  <c r="K141" i="83"/>
  <c r="AG140" i="83"/>
  <c r="R140" i="83"/>
  <c r="AB140" i="83" s="1"/>
  <c r="M140" i="83"/>
  <c r="L140" i="83"/>
  <c r="K140" i="83"/>
  <c r="AG139" i="83"/>
  <c r="AB139" i="83"/>
  <c r="AA139" i="83"/>
  <c r="Z139" i="83"/>
  <c r="M139" i="83"/>
  <c r="L139" i="83"/>
  <c r="K139" i="83"/>
  <c r="Q138" i="83"/>
  <c r="C138" i="83"/>
  <c r="B138" i="83"/>
  <c r="AG138" i="83" s="1"/>
  <c r="AI108" i="83"/>
  <c r="AH108" i="83"/>
  <c r="AB108" i="83"/>
  <c r="AA108" i="83"/>
  <c r="Y108" i="83"/>
  <c r="X108" i="83"/>
  <c r="W108" i="83"/>
  <c r="V108" i="83"/>
  <c r="U108" i="83"/>
  <c r="T108" i="83"/>
  <c r="S108" i="83"/>
  <c r="R108" i="83"/>
  <c r="M108" i="83"/>
  <c r="L108" i="83"/>
  <c r="J108" i="83"/>
  <c r="I108" i="83"/>
  <c r="H108" i="83"/>
  <c r="G108" i="83"/>
  <c r="F108" i="83"/>
  <c r="E108" i="83"/>
  <c r="D108" i="83"/>
  <c r="C108" i="83"/>
  <c r="B108" i="83"/>
  <c r="AC105" i="83"/>
  <c r="Z105" i="83"/>
  <c r="N105" i="83"/>
  <c r="K105" i="83"/>
  <c r="AC103" i="83"/>
  <c r="Z103" i="83"/>
  <c r="N103" i="83"/>
  <c r="K103" i="83"/>
  <c r="AC101" i="83"/>
  <c r="Z101" i="83"/>
  <c r="N101" i="83"/>
  <c r="K101" i="83"/>
  <c r="AC98" i="83"/>
  <c r="Z98" i="83"/>
  <c r="N98" i="83"/>
  <c r="K98" i="83"/>
  <c r="AC96" i="83"/>
  <c r="Z96" i="83"/>
  <c r="N96" i="83"/>
  <c r="K96" i="83"/>
  <c r="AC91" i="83"/>
  <c r="Z91" i="83"/>
  <c r="N91" i="83"/>
  <c r="K91" i="83"/>
  <c r="AC89" i="83"/>
  <c r="Z89" i="83"/>
  <c r="N89" i="83"/>
  <c r="K89" i="83"/>
  <c r="AC87" i="83"/>
  <c r="Z87" i="83"/>
  <c r="N87" i="83"/>
  <c r="K87" i="83"/>
  <c r="AC86" i="83"/>
  <c r="Z86" i="83"/>
  <c r="N86" i="83"/>
  <c r="K86" i="83"/>
  <c r="AC85" i="83"/>
  <c r="Z85" i="83"/>
  <c r="N85" i="83"/>
  <c r="K85" i="83"/>
  <c r="AC84" i="83"/>
  <c r="Z84" i="83"/>
  <c r="N84" i="83"/>
  <c r="K84" i="83"/>
  <c r="AC82" i="83"/>
  <c r="Z82" i="83"/>
  <c r="N82" i="83"/>
  <c r="K82" i="83"/>
  <c r="AC81" i="83"/>
  <c r="Z81" i="83"/>
  <c r="N81" i="83"/>
  <c r="K81" i="83"/>
  <c r="AG52" i="83"/>
  <c r="AI50" i="83"/>
  <c r="AH50" i="83"/>
  <c r="AE50" i="83"/>
  <c r="AD50" i="83"/>
  <c r="AC50" i="83"/>
  <c r="AB50" i="83"/>
  <c r="AA50" i="83"/>
  <c r="Z50" i="83"/>
  <c r="Y50" i="83"/>
  <c r="X50" i="83"/>
  <c r="W50" i="83"/>
  <c r="V50" i="83"/>
  <c r="U50" i="83"/>
  <c r="T50" i="83"/>
  <c r="S50" i="83"/>
  <c r="R50" i="83"/>
  <c r="Q50" i="83"/>
  <c r="P50" i="83"/>
  <c r="O50" i="83"/>
  <c r="N50" i="83"/>
  <c r="M50" i="83"/>
  <c r="L50" i="83"/>
  <c r="K50" i="83"/>
  <c r="J50" i="83"/>
  <c r="I50" i="83"/>
  <c r="H50" i="83"/>
  <c r="G50" i="83"/>
  <c r="F50" i="83"/>
  <c r="E50" i="83"/>
  <c r="D50" i="83"/>
  <c r="C50" i="83"/>
  <c r="B50" i="83"/>
  <c r="AI47" i="83"/>
  <c r="AC47" i="83"/>
  <c r="Z47" i="83"/>
  <c r="N47" i="83"/>
  <c r="K47" i="83"/>
  <c r="AC45" i="83"/>
  <c r="Z45" i="83"/>
  <c r="N45" i="83"/>
  <c r="K45" i="83"/>
  <c r="AI43" i="83"/>
  <c r="AC43" i="83"/>
  <c r="S43" i="83"/>
  <c r="S41" i="83" s="1"/>
  <c r="R43" i="83"/>
  <c r="R41" i="83" s="1"/>
  <c r="N43" i="83"/>
  <c r="D43" i="83"/>
  <c r="D41" i="83" s="1"/>
  <c r="C43" i="83"/>
  <c r="AH41" i="83"/>
  <c r="AB41" i="83"/>
  <c r="AA41" i="83"/>
  <c r="Y41" i="83"/>
  <c r="X41" i="83"/>
  <c r="W41" i="83"/>
  <c r="V41" i="83"/>
  <c r="U41" i="83"/>
  <c r="T41" i="83"/>
  <c r="Q41" i="83"/>
  <c r="M41" i="83"/>
  <c r="L41" i="83"/>
  <c r="J41" i="83"/>
  <c r="I41" i="83"/>
  <c r="H41" i="83"/>
  <c r="G41" i="83"/>
  <c r="F41" i="83"/>
  <c r="E41" i="83"/>
  <c r="B41" i="83"/>
  <c r="AI38" i="83"/>
  <c r="AC38" i="83"/>
  <c r="S38" i="83"/>
  <c r="R38" i="83"/>
  <c r="N38" i="83"/>
  <c r="D38" i="83"/>
  <c r="C38" i="83"/>
  <c r="AI37" i="83"/>
  <c r="AC37" i="83"/>
  <c r="S37" i="83"/>
  <c r="Z37" i="83" s="1"/>
  <c r="N37" i="83"/>
  <c r="D37" i="83"/>
  <c r="C37" i="83"/>
  <c r="AI36" i="83"/>
  <c r="AC36" i="83"/>
  <c r="Z36" i="83"/>
  <c r="N36" i="83"/>
  <c r="D36" i="83"/>
  <c r="C36" i="83"/>
  <c r="AI35" i="83"/>
  <c r="AC35" i="83"/>
  <c r="S35" i="83"/>
  <c r="R35" i="83"/>
  <c r="N35" i="83"/>
  <c r="D35" i="83"/>
  <c r="C35" i="83"/>
  <c r="AI34" i="83"/>
  <c r="AC34" i="83"/>
  <c r="R34" i="83"/>
  <c r="Z34" i="83" s="1"/>
  <c r="N34" i="83"/>
  <c r="C34" i="83"/>
  <c r="K34" i="83" s="1"/>
  <c r="AH32" i="83"/>
  <c r="AB32" i="83"/>
  <c r="AA32" i="83"/>
  <c r="Y32" i="83"/>
  <c r="X32" i="83"/>
  <c r="W32" i="83"/>
  <c r="V32" i="83"/>
  <c r="U32" i="83"/>
  <c r="T32" i="83"/>
  <c r="Q32" i="83"/>
  <c r="M32" i="83"/>
  <c r="L32" i="83"/>
  <c r="J32" i="83"/>
  <c r="I32" i="83"/>
  <c r="H32" i="83"/>
  <c r="G32" i="83"/>
  <c r="F32" i="83"/>
  <c r="E32" i="83"/>
  <c r="B32" i="83"/>
  <c r="AI29" i="83"/>
  <c r="AC29" i="83"/>
  <c r="Z29" i="83"/>
  <c r="N29" i="83"/>
  <c r="K29" i="83"/>
  <c r="AI28" i="83"/>
  <c r="AC28" i="83"/>
  <c r="S28" i="83"/>
  <c r="R28" i="83"/>
  <c r="N28" i="83"/>
  <c r="D28" i="83"/>
  <c r="C28" i="83"/>
  <c r="AI27" i="83"/>
  <c r="AC27" i="83"/>
  <c r="S27" i="83"/>
  <c r="R27" i="83"/>
  <c r="N27" i="83"/>
  <c r="D27" i="83"/>
  <c r="C27" i="83"/>
  <c r="AI26" i="83"/>
  <c r="AC26" i="83"/>
  <c r="Z26" i="83"/>
  <c r="N26" i="83"/>
  <c r="D26" i="83"/>
  <c r="C26" i="83"/>
  <c r="AI25" i="83"/>
  <c r="AC25" i="83"/>
  <c r="Z25" i="83"/>
  <c r="N25" i="83"/>
  <c r="D25" i="83"/>
  <c r="C25" i="83"/>
  <c r="AH23" i="83"/>
  <c r="AB23" i="83"/>
  <c r="AA23" i="83"/>
  <c r="Y23" i="83"/>
  <c r="X23" i="83"/>
  <c r="W23" i="83"/>
  <c r="V23" i="83"/>
  <c r="U23" i="83"/>
  <c r="T23" i="83"/>
  <c r="Q23" i="83"/>
  <c r="M23" i="83"/>
  <c r="L23" i="83"/>
  <c r="J23" i="83"/>
  <c r="I23" i="83"/>
  <c r="H23" i="83"/>
  <c r="G23" i="83"/>
  <c r="F23" i="83"/>
  <c r="E23" i="83"/>
  <c r="B23" i="83"/>
  <c r="AI20" i="83"/>
  <c r="AC20" i="83"/>
  <c r="S20" i="83"/>
  <c r="R20" i="83"/>
  <c r="N20" i="83"/>
  <c r="D20" i="83"/>
  <c r="C20" i="83"/>
  <c r="AI19" i="83"/>
  <c r="AC19" i="83"/>
  <c r="S19" i="83"/>
  <c r="N19" i="83"/>
  <c r="D19" i="83"/>
  <c r="C19" i="83"/>
  <c r="AC16" i="83"/>
  <c r="Z16" i="83"/>
  <c r="N16" i="83"/>
  <c r="K16" i="83"/>
  <c r="AC15" i="83"/>
  <c r="R15" i="83"/>
  <c r="Z15" i="83" s="1"/>
  <c r="N15" i="83"/>
  <c r="C15" i="83"/>
  <c r="AA14" i="83"/>
  <c r="AA12" i="83" s="1"/>
  <c r="Z14" i="83"/>
  <c r="N14" i="83"/>
  <c r="K14" i="83"/>
  <c r="AH12" i="83"/>
  <c r="AB12" i="83"/>
  <c r="Y12" i="83"/>
  <c r="X12" i="83"/>
  <c r="W12" i="83"/>
  <c r="V12" i="83"/>
  <c r="U12" i="83"/>
  <c r="T12" i="83"/>
  <c r="Q12" i="83"/>
  <c r="M12" i="83"/>
  <c r="L12" i="83"/>
  <c r="J12" i="83"/>
  <c r="I12" i="83"/>
  <c r="H12" i="83"/>
  <c r="G12" i="83"/>
  <c r="F12" i="83"/>
  <c r="E12" i="83"/>
  <c r="B12" i="83"/>
  <c r="F69" i="86" l="1"/>
  <c r="D69" i="86"/>
  <c r="E69" i="86"/>
  <c r="E88" i="85"/>
  <c r="AD85" i="83"/>
  <c r="AD89" i="83"/>
  <c r="AE89" i="83" s="1"/>
  <c r="AD105" i="83"/>
  <c r="AE105" i="83" s="1"/>
  <c r="O169" i="83"/>
  <c r="P169" i="83" s="1"/>
  <c r="O209" i="83"/>
  <c r="P209" i="83" s="1"/>
  <c r="O219" i="83"/>
  <c r="P219" i="83" s="1"/>
  <c r="O226" i="83"/>
  <c r="P226" i="83" s="1"/>
  <c r="N162" i="83"/>
  <c r="AD15" i="83"/>
  <c r="AE15" i="83" s="1"/>
  <c r="K20" i="83"/>
  <c r="O20" i="83" s="1"/>
  <c r="P20" i="83" s="1"/>
  <c r="AB160" i="83"/>
  <c r="AC160" i="83" s="1"/>
  <c r="AD37" i="83"/>
  <c r="AE37" i="83" s="1"/>
  <c r="AD45" i="83"/>
  <c r="AE45" i="83" s="1"/>
  <c r="O210" i="83"/>
  <c r="P210" i="83" s="1"/>
  <c r="O98" i="83"/>
  <c r="P98" i="83" s="1"/>
  <c r="O105" i="83"/>
  <c r="AF105" i="83" s="1"/>
  <c r="AC108" i="83"/>
  <c r="N150" i="83"/>
  <c r="N169" i="83"/>
  <c r="AB142" i="83"/>
  <c r="AD209" i="83"/>
  <c r="AE209" i="83" s="1"/>
  <c r="O218" i="83"/>
  <c r="P218" i="83" s="1"/>
  <c r="O220" i="83"/>
  <c r="P220" i="83" s="1"/>
  <c r="O227" i="83"/>
  <c r="P227" i="83" s="1"/>
  <c r="K43" i="83"/>
  <c r="O43" i="83" s="1"/>
  <c r="P43" i="83" s="1"/>
  <c r="O142" i="83"/>
  <c r="P142" i="83" s="1"/>
  <c r="K35" i="83"/>
  <c r="O35" i="83" s="1"/>
  <c r="P35" i="83" s="1"/>
  <c r="O228" i="83"/>
  <c r="P228" i="83" s="1"/>
  <c r="AI12" i="83"/>
  <c r="AD26" i="83"/>
  <c r="AE26" i="83" s="1"/>
  <c r="N41" i="83"/>
  <c r="N142" i="83"/>
  <c r="AD147" i="83"/>
  <c r="AE147" i="83" s="1"/>
  <c r="T10" i="83"/>
  <c r="T54" i="83" s="1"/>
  <c r="H10" i="83"/>
  <c r="H54" i="83" s="1"/>
  <c r="Z35" i="83"/>
  <c r="AD35" i="83" s="1"/>
  <c r="C41" i="83"/>
  <c r="Z149" i="83"/>
  <c r="N153" i="83"/>
  <c r="B10" i="83"/>
  <c r="B54" i="83" s="1"/>
  <c r="AA149" i="83"/>
  <c r="AC149" i="83" s="1"/>
  <c r="Z20" i="83"/>
  <c r="AD20" i="83" s="1"/>
  <c r="AE20" i="83" s="1"/>
  <c r="D23" i="83"/>
  <c r="O91" i="83"/>
  <c r="P91" i="83" s="1"/>
  <c r="N170" i="83"/>
  <c r="C12" i="83"/>
  <c r="S32" i="83"/>
  <c r="AB10" i="83"/>
  <c r="AB54" i="83" s="1"/>
  <c r="O45" i="83"/>
  <c r="P45" i="83" s="1"/>
  <c r="AD82" i="83"/>
  <c r="AE82" i="83" s="1"/>
  <c r="N148" i="83"/>
  <c r="O47" i="83"/>
  <c r="P47" i="83" s="1"/>
  <c r="AD84" i="83"/>
  <c r="AE84" i="83" s="1"/>
  <c r="AD87" i="83"/>
  <c r="AE87" i="83" s="1"/>
  <c r="AD103" i="83"/>
  <c r="AE103" i="83" s="1"/>
  <c r="Z160" i="83"/>
  <c r="AA162" i="83"/>
  <c r="AC162" i="83" s="1"/>
  <c r="AA164" i="83"/>
  <c r="P172" i="83"/>
  <c r="AC14" i="83"/>
  <c r="AC12" i="83" s="1"/>
  <c r="S12" i="83"/>
  <c r="K26" i="83"/>
  <c r="O26" i="83" s="1"/>
  <c r="P26" i="83" s="1"/>
  <c r="AD91" i="83"/>
  <c r="AE91" i="83" s="1"/>
  <c r="AD101" i="83"/>
  <c r="AE101" i="83" s="1"/>
  <c r="O143" i="83"/>
  <c r="P143" i="83" s="1"/>
  <c r="M145" i="83"/>
  <c r="Z169" i="83"/>
  <c r="P175" i="83"/>
  <c r="N235" i="83"/>
  <c r="O225" i="83"/>
  <c r="P225" i="83" s="1"/>
  <c r="S23" i="83"/>
  <c r="AC32" i="83"/>
  <c r="O103" i="83"/>
  <c r="N141" i="83"/>
  <c r="O160" i="83"/>
  <c r="P160" i="83" s="1"/>
  <c r="O162" i="83"/>
  <c r="P162" i="83" s="1"/>
  <c r="O212" i="83"/>
  <c r="P212" i="83" s="1"/>
  <c r="AD225" i="83"/>
  <c r="AE225" i="83" s="1"/>
  <c r="O229" i="83"/>
  <c r="P229" i="83" s="1"/>
  <c r="L10" i="83"/>
  <c r="L54" i="83" s="1"/>
  <c r="O154" i="83"/>
  <c r="P154" i="83" s="1"/>
  <c r="AI145" i="83"/>
  <c r="R23" i="83"/>
  <c r="N32" i="83"/>
  <c r="O81" i="83"/>
  <c r="O85" i="83"/>
  <c r="P85" i="83" s="1"/>
  <c r="AG145" i="83"/>
  <c r="N147" i="83"/>
  <c r="AD229" i="83"/>
  <c r="AE229" i="83" s="1"/>
  <c r="K27" i="83"/>
  <c r="O27" i="83" s="1"/>
  <c r="P27" i="83" s="1"/>
  <c r="Z43" i="83"/>
  <c r="AD43" i="83" s="1"/>
  <c r="O29" i="83"/>
  <c r="P29" i="83" s="1"/>
  <c r="O82" i="83"/>
  <c r="P82" i="83" s="1"/>
  <c r="O86" i="83"/>
  <c r="P86" i="83" s="1"/>
  <c r="AD98" i="83"/>
  <c r="N140" i="83"/>
  <c r="O153" i="83"/>
  <c r="P153" i="83" s="1"/>
  <c r="AG157" i="83"/>
  <c r="O161" i="83"/>
  <c r="P161" i="83" s="1"/>
  <c r="O163" i="83"/>
  <c r="P163" i="83" s="1"/>
  <c r="O165" i="83"/>
  <c r="P165" i="83" s="1"/>
  <c r="Z27" i="83"/>
  <c r="AD27" i="83" s="1"/>
  <c r="AE27" i="83" s="1"/>
  <c r="O34" i="83"/>
  <c r="P34" i="83" s="1"/>
  <c r="K38" i="83"/>
  <c r="O38" i="83" s="1"/>
  <c r="P38" i="83" s="1"/>
  <c r="O101" i="83"/>
  <c r="P101" i="83" s="1"/>
  <c r="O146" i="83"/>
  <c r="P146" i="83" s="1"/>
  <c r="N151" i="83"/>
  <c r="N165" i="83"/>
  <c r="AD213" i="83"/>
  <c r="AE213" i="83" s="1"/>
  <c r="AD228" i="83"/>
  <c r="AE228" i="83" s="1"/>
  <c r="AD233" i="83"/>
  <c r="AE233" i="83" s="1"/>
  <c r="K41" i="83"/>
  <c r="E10" i="83"/>
  <c r="E54" i="83" s="1"/>
  <c r="K15" i="83"/>
  <c r="O15" i="83" s="1"/>
  <c r="O152" i="83"/>
  <c r="P152" i="83" s="1"/>
  <c r="L167" i="83"/>
  <c r="X10" i="83"/>
  <c r="X54" i="83" s="1"/>
  <c r="AC147" i="83"/>
  <c r="Q178" i="83"/>
  <c r="Z170" i="83"/>
  <c r="AC235" i="83"/>
  <c r="AH235" i="83"/>
  <c r="B178" i="83"/>
  <c r="F10" i="83"/>
  <c r="F54" i="83" s="1"/>
  <c r="AC23" i="83"/>
  <c r="AD29" i="83"/>
  <c r="AI32" i="83"/>
  <c r="K138" i="83"/>
  <c r="Z140" i="83"/>
  <c r="Z146" i="83"/>
  <c r="O149" i="83"/>
  <c r="P149" i="83" s="1"/>
  <c r="Z152" i="83"/>
  <c r="N160" i="83"/>
  <c r="AA170" i="83"/>
  <c r="AD170" i="83" s="1"/>
  <c r="AE170" i="83" s="1"/>
  <c r="W10" i="83"/>
  <c r="W54" i="83" s="1"/>
  <c r="AA10" i="83"/>
  <c r="AA54" i="83" s="1"/>
  <c r="U10" i="83"/>
  <c r="U54" i="83" s="1"/>
  <c r="O84" i="83"/>
  <c r="L138" i="83"/>
  <c r="AA140" i="83"/>
  <c r="AC140" i="83" s="1"/>
  <c r="AA152" i="83"/>
  <c r="N154" i="83"/>
  <c r="O164" i="83"/>
  <c r="P164" i="83" s="1"/>
  <c r="AH178" i="83"/>
  <c r="AD218" i="83"/>
  <c r="AE218" i="83" s="1"/>
  <c r="AD220" i="83"/>
  <c r="AE220" i="83" s="1"/>
  <c r="AD227" i="83"/>
  <c r="AE227" i="83" s="1"/>
  <c r="V10" i="83"/>
  <c r="V54" i="83" s="1"/>
  <c r="J10" i="83"/>
  <c r="J54" i="83" s="1"/>
  <c r="O16" i="83"/>
  <c r="K28" i="83"/>
  <c r="O28" i="83" s="1"/>
  <c r="P28" i="83" s="1"/>
  <c r="D32" i="83"/>
  <c r="AD47" i="83"/>
  <c r="AE47" i="83" s="1"/>
  <c r="AD86" i="83"/>
  <c r="AF86" i="83" s="1"/>
  <c r="O151" i="83"/>
  <c r="P151" i="83" s="1"/>
  <c r="AB152" i="83"/>
  <c r="N164" i="83"/>
  <c r="AD212" i="83"/>
  <c r="AE212" i="83" s="1"/>
  <c r="AI23" i="83"/>
  <c r="I10" i="83"/>
  <c r="I54" i="83" s="1"/>
  <c r="J178" i="83"/>
  <c r="AH10" i="83"/>
  <c r="AH54" i="83" s="1"/>
  <c r="C23" i="83"/>
  <c r="AC41" i="83"/>
  <c r="O14" i="83"/>
  <c r="P14" i="83" s="1"/>
  <c r="AD16" i="83"/>
  <c r="AE16" i="83" s="1"/>
  <c r="AD36" i="83"/>
  <c r="AE36" i="83" s="1"/>
  <c r="Z38" i="83"/>
  <c r="AD38" i="83" s="1"/>
  <c r="AE38" i="83" s="1"/>
  <c r="AI41" i="83"/>
  <c r="M10" i="83"/>
  <c r="M54" i="83" s="1"/>
  <c r="Y10" i="83"/>
  <c r="Y54" i="83" s="1"/>
  <c r="N108" i="83"/>
  <c r="O87" i="83"/>
  <c r="AD139" i="83"/>
  <c r="AE139" i="83" s="1"/>
  <c r="O141" i="83"/>
  <c r="P141" i="83" s="1"/>
  <c r="AA142" i="83"/>
  <c r="O148" i="83"/>
  <c r="P148" i="83" s="1"/>
  <c r="N166" i="83"/>
  <c r="O168" i="83"/>
  <c r="P168" i="83" s="1"/>
  <c r="AD210" i="83"/>
  <c r="AE210" i="83" s="1"/>
  <c r="AI235" i="83"/>
  <c r="N12" i="83"/>
  <c r="Z108" i="83"/>
  <c r="N23" i="83"/>
  <c r="R12" i="83"/>
  <c r="AD25" i="83"/>
  <c r="AE25" i="83" s="1"/>
  <c r="G10" i="83"/>
  <c r="G54" i="83" s="1"/>
  <c r="AF50" i="83"/>
  <c r="O147" i="83"/>
  <c r="P147" i="83" s="1"/>
  <c r="L157" i="83"/>
  <c r="N161" i="83"/>
  <c r="AB164" i="83"/>
  <c r="Z168" i="83"/>
  <c r="O213" i="83"/>
  <c r="P213" i="83" s="1"/>
  <c r="O221" i="83"/>
  <c r="P221" i="83" s="1"/>
  <c r="O233" i="83"/>
  <c r="P233" i="83" s="1"/>
  <c r="Q10" i="83"/>
  <c r="Q54" i="83" s="1"/>
  <c r="K157" i="83"/>
  <c r="K37" i="83"/>
  <c r="O37" i="83" s="1"/>
  <c r="P37" i="83" s="1"/>
  <c r="AG50" i="83"/>
  <c r="AD81" i="83"/>
  <c r="AE81" i="83" s="1"/>
  <c r="O96" i="83"/>
  <c r="P96" i="83" s="1"/>
  <c r="O150" i="83"/>
  <c r="P150" i="83" s="1"/>
  <c r="M157" i="83"/>
  <c r="AI157" i="83"/>
  <c r="AB168" i="83"/>
  <c r="AB167" i="83" s="1"/>
  <c r="O170" i="83"/>
  <c r="P170" i="83" s="1"/>
  <c r="AF170" i="83" s="1"/>
  <c r="AG211" i="83"/>
  <c r="AD219" i="83"/>
  <c r="AE219" i="83" s="1"/>
  <c r="AG219" i="83" s="1"/>
  <c r="AD221" i="83"/>
  <c r="AE221" i="83" s="1"/>
  <c r="AD226" i="83"/>
  <c r="AE226" i="83" s="1"/>
  <c r="O89" i="83"/>
  <c r="AD96" i="83"/>
  <c r="AE96" i="83" s="1"/>
  <c r="M138" i="83"/>
  <c r="N143" i="83"/>
  <c r="N146" i="83"/>
  <c r="N163" i="83"/>
  <c r="AD34" i="83"/>
  <c r="D12" i="83"/>
  <c r="K19" i="83"/>
  <c r="O19" i="83" s="1"/>
  <c r="R32" i="83"/>
  <c r="K36" i="83"/>
  <c r="O36" i="83" s="1"/>
  <c r="P36" i="83" s="1"/>
  <c r="AE85" i="83"/>
  <c r="Z141" i="83"/>
  <c r="Z148" i="83"/>
  <c r="N149" i="83"/>
  <c r="Z151" i="83"/>
  <c r="N152" i="83"/>
  <c r="Z154" i="83"/>
  <c r="Z161" i="83"/>
  <c r="N168" i="83"/>
  <c r="K235" i="83"/>
  <c r="Z28" i="83"/>
  <c r="AD28" i="83" s="1"/>
  <c r="AB141" i="83"/>
  <c r="AB148" i="83"/>
  <c r="AD148" i="83" s="1"/>
  <c r="AE148" i="83" s="1"/>
  <c r="AB151" i="83"/>
  <c r="AB154" i="83"/>
  <c r="AD154" i="83" s="1"/>
  <c r="AE154" i="83" s="1"/>
  <c r="N158" i="83"/>
  <c r="AB161" i="83"/>
  <c r="AC161" i="83" s="1"/>
  <c r="Z165" i="83"/>
  <c r="O166" i="83"/>
  <c r="P166" i="83" s="1"/>
  <c r="AA151" i="83"/>
  <c r="K25" i="83"/>
  <c r="R138" i="83"/>
  <c r="R178" i="83" s="1"/>
  <c r="N139" i="83"/>
  <c r="O158" i="83"/>
  <c r="Z162" i="83"/>
  <c r="AA165" i="83"/>
  <c r="AC165" i="83" s="1"/>
  <c r="K167" i="83"/>
  <c r="Z235" i="83"/>
  <c r="O139" i="83"/>
  <c r="K145" i="83"/>
  <c r="Z19" i="83"/>
  <c r="AD19" i="83" s="1"/>
  <c r="AE19" i="83" s="1"/>
  <c r="L145" i="83"/>
  <c r="Z166" i="83"/>
  <c r="M167" i="83"/>
  <c r="K108" i="83"/>
  <c r="O140" i="83"/>
  <c r="P140" i="83" s="1"/>
  <c r="Z143" i="83"/>
  <c r="AA146" i="83"/>
  <c r="AD146" i="83" s="1"/>
  <c r="Z158" i="83"/>
  <c r="AA166" i="83"/>
  <c r="AC166" i="83" s="1"/>
  <c r="AG167" i="83"/>
  <c r="AA158" i="83"/>
  <c r="Z163" i="83"/>
  <c r="AB143" i="83"/>
  <c r="AD143" i="83" s="1"/>
  <c r="AE143" i="83" s="1"/>
  <c r="Z150" i="83"/>
  <c r="Z153" i="83"/>
  <c r="AA163" i="83"/>
  <c r="AC163" i="83" s="1"/>
  <c r="C178" i="83"/>
  <c r="C32" i="83"/>
  <c r="AC139" i="83"/>
  <c r="AA150" i="83"/>
  <c r="AA153" i="83"/>
  <c r="AA169" i="83"/>
  <c r="U171" i="82"/>
  <c r="T171" i="82"/>
  <c r="S171" i="82"/>
  <c r="R171" i="82"/>
  <c r="Q171" i="82"/>
  <c r="P171" i="82"/>
  <c r="O171" i="82"/>
  <c r="J171" i="82"/>
  <c r="I171" i="82"/>
  <c r="H171" i="82"/>
  <c r="G171" i="82"/>
  <c r="F171" i="82"/>
  <c r="E171" i="82"/>
  <c r="D171" i="82"/>
  <c r="C171" i="82"/>
  <c r="W169" i="82"/>
  <c r="K169" i="82"/>
  <c r="K165" i="82"/>
  <c r="W164" i="82"/>
  <c r="V164" i="82"/>
  <c r="K164" i="82"/>
  <c r="W163" i="82"/>
  <c r="V163" i="82"/>
  <c r="K163" i="82"/>
  <c r="W162" i="82"/>
  <c r="N162" i="82"/>
  <c r="V162" i="82" s="1"/>
  <c r="K162" i="82"/>
  <c r="W161" i="82"/>
  <c r="V161" i="82"/>
  <c r="K161" i="82"/>
  <c r="W160" i="82"/>
  <c r="N160" i="82"/>
  <c r="V160" i="82" s="1"/>
  <c r="K160" i="82"/>
  <c r="V155" i="82"/>
  <c r="K155" i="82"/>
  <c r="W154" i="82"/>
  <c r="V154" i="82"/>
  <c r="K154" i="82"/>
  <c r="W153" i="82"/>
  <c r="N153" i="82"/>
  <c r="V153" i="82" s="1"/>
  <c r="L153" i="82"/>
  <c r="K153" i="82"/>
  <c r="W152" i="82"/>
  <c r="N152" i="82"/>
  <c r="V152" i="82" s="1"/>
  <c r="K152" i="82"/>
  <c r="W151" i="82"/>
  <c r="N151" i="82"/>
  <c r="V151" i="82" s="1"/>
  <c r="L151" i="82"/>
  <c r="K151" i="82"/>
  <c r="K147" i="82"/>
  <c r="V146" i="82"/>
  <c r="K146" i="82"/>
  <c r="W145" i="82"/>
  <c r="V145" i="82"/>
  <c r="K145" i="82"/>
  <c r="W144" i="82"/>
  <c r="N144" i="82"/>
  <c r="V144" i="82" s="1"/>
  <c r="K144" i="82"/>
  <c r="W143" i="82"/>
  <c r="N143" i="82"/>
  <c r="K143" i="82"/>
  <c r="W142" i="82"/>
  <c r="V142" i="82"/>
  <c r="K142" i="82"/>
  <c r="W141" i="82"/>
  <c r="V141" i="82"/>
  <c r="K141" i="82"/>
  <c r="W117" i="82"/>
  <c r="V117" i="82"/>
  <c r="N117" i="82"/>
  <c r="L117" i="82"/>
  <c r="K117" i="82"/>
  <c r="C117" i="82"/>
  <c r="W108" i="82"/>
  <c r="V108" i="82"/>
  <c r="N108" i="82"/>
  <c r="L108" i="82"/>
  <c r="K108" i="82"/>
  <c r="C108" i="82"/>
  <c r="L105" i="82"/>
  <c r="W104" i="82"/>
  <c r="W98" i="82" s="1"/>
  <c r="L104" i="82"/>
  <c r="L103" i="82"/>
  <c r="V98" i="82"/>
  <c r="N98" i="82"/>
  <c r="K98" i="82"/>
  <c r="C98" i="82"/>
  <c r="W92" i="82"/>
  <c r="V92" i="82"/>
  <c r="N92" i="82"/>
  <c r="L92" i="82"/>
  <c r="K92" i="82"/>
  <c r="C92" i="82"/>
  <c r="O80" i="82"/>
  <c r="N80" i="82"/>
  <c r="L80" i="82"/>
  <c r="D80" i="82"/>
  <c r="C80" i="82"/>
  <c r="V76" i="82"/>
  <c r="K76" i="82"/>
  <c r="V71" i="82"/>
  <c r="K71" i="82"/>
  <c r="V69" i="82"/>
  <c r="K69" i="82"/>
  <c r="V68" i="82"/>
  <c r="K68" i="82"/>
  <c r="V67" i="82"/>
  <c r="K67" i="82"/>
  <c r="V66" i="82"/>
  <c r="K66" i="82"/>
  <c r="W59" i="82"/>
  <c r="W80" i="82" s="1"/>
  <c r="V59" i="82"/>
  <c r="K59" i="82"/>
  <c r="V58" i="82"/>
  <c r="K58" i="82"/>
  <c r="W38" i="82"/>
  <c r="U38" i="82"/>
  <c r="T38" i="82"/>
  <c r="S38" i="82"/>
  <c r="R38" i="82"/>
  <c r="Q38" i="82"/>
  <c r="P38" i="82"/>
  <c r="O38" i="82"/>
  <c r="N38" i="82"/>
  <c r="M38" i="82"/>
  <c r="L38" i="82"/>
  <c r="J38" i="82"/>
  <c r="I38" i="82"/>
  <c r="H38" i="82"/>
  <c r="G38" i="82"/>
  <c r="F38" i="82"/>
  <c r="E38" i="82"/>
  <c r="D38" i="82"/>
  <c r="C38" i="82"/>
  <c r="B38" i="82"/>
  <c r="W30" i="82"/>
  <c r="U30" i="82"/>
  <c r="T30" i="82"/>
  <c r="S30" i="82"/>
  <c r="R30" i="82"/>
  <c r="Q30" i="82"/>
  <c r="P30" i="82"/>
  <c r="O30" i="82"/>
  <c r="N30" i="82"/>
  <c r="M30" i="82"/>
  <c r="L30" i="82"/>
  <c r="J30" i="82"/>
  <c r="I30" i="82"/>
  <c r="H30" i="82"/>
  <c r="G30" i="82"/>
  <c r="F30" i="82"/>
  <c r="E30" i="82"/>
  <c r="D30" i="82"/>
  <c r="C30" i="82"/>
  <c r="B30" i="82"/>
  <c r="W20" i="82"/>
  <c r="U20" i="82"/>
  <c r="T20" i="82"/>
  <c r="S20" i="82"/>
  <c r="R20" i="82"/>
  <c r="Q20" i="82"/>
  <c r="P20" i="82"/>
  <c r="O20" i="82"/>
  <c r="N20" i="82"/>
  <c r="M20" i="82"/>
  <c r="L20" i="82"/>
  <c r="J20" i="82"/>
  <c r="I20" i="82"/>
  <c r="H20" i="82"/>
  <c r="G20" i="82"/>
  <c r="F20" i="82"/>
  <c r="E20" i="82"/>
  <c r="D20" i="82"/>
  <c r="C20" i="82"/>
  <c r="B20" i="82"/>
  <c r="W9" i="82"/>
  <c r="P9" i="82"/>
  <c r="M9" i="82"/>
  <c r="L9" i="82"/>
  <c r="J9" i="82"/>
  <c r="I9" i="82"/>
  <c r="H9" i="82"/>
  <c r="G9" i="82"/>
  <c r="F9" i="82"/>
  <c r="E9" i="82"/>
  <c r="D9" i="82"/>
  <c r="C9" i="82"/>
  <c r="B9" i="82"/>
  <c r="L24" i="81"/>
  <c r="L25" i="81" s="1"/>
  <c r="H24" i="81"/>
  <c r="G24" i="81"/>
  <c r="G25" i="81" s="1"/>
  <c r="F24" i="81"/>
  <c r="E24" i="81"/>
  <c r="D24" i="81"/>
  <c r="O23" i="81"/>
  <c r="M23" i="81"/>
  <c r="L23" i="81"/>
  <c r="K23" i="81"/>
  <c r="J23" i="81"/>
  <c r="H23" i="81"/>
  <c r="G23" i="81"/>
  <c r="F23" i="81"/>
  <c r="E23" i="81"/>
  <c r="E25" i="81" s="1"/>
  <c r="D23" i="81"/>
  <c r="D25" i="81" s="1"/>
  <c r="O22" i="81"/>
  <c r="M22" i="81"/>
  <c r="L22" i="81"/>
  <c r="K22" i="81"/>
  <c r="J22" i="81"/>
  <c r="H22" i="81"/>
  <c r="G22" i="81"/>
  <c r="F22" i="81"/>
  <c r="E22" i="81"/>
  <c r="D22" i="81"/>
  <c r="E21" i="81"/>
  <c r="N20" i="81"/>
  <c r="I20" i="81"/>
  <c r="Q20" i="81" s="1"/>
  <c r="N19" i="81"/>
  <c r="I19" i="81"/>
  <c r="Q19" i="81" s="1"/>
  <c r="N18" i="81"/>
  <c r="I18" i="81"/>
  <c r="L17" i="81"/>
  <c r="H17" i="81"/>
  <c r="G17" i="81"/>
  <c r="F17" i="81"/>
  <c r="E17" i="81"/>
  <c r="D17" i="81"/>
  <c r="N16" i="81"/>
  <c r="N17" i="81" s="1"/>
  <c r="I16" i="81"/>
  <c r="N15" i="81"/>
  <c r="I15" i="81"/>
  <c r="Q15" i="81" s="1"/>
  <c r="N14" i="81"/>
  <c r="I14" i="81"/>
  <c r="Q14" i="81" s="1"/>
  <c r="L13" i="81"/>
  <c r="H13" i="81"/>
  <c r="F13" i="81"/>
  <c r="E13" i="81"/>
  <c r="D13" i="81"/>
  <c r="N12" i="81"/>
  <c r="I12" i="81"/>
  <c r="N11" i="81"/>
  <c r="N13" i="81" s="1"/>
  <c r="I11" i="81"/>
  <c r="N10" i="81"/>
  <c r="I10" i="81"/>
  <c r="L9" i="81"/>
  <c r="H9" i="81"/>
  <c r="G9" i="81"/>
  <c r="F9" i="81"/>
  <c r="E9" i="81"/>
  <c r="D9" i="81"/>
  <c r="N8" i="81"/>
  <c r="N24" i="81" s="1"/>
  <c r="I8" i="81"/>
  <c r="N7" i="81"/>
  <c r="I7" i="81"/>
  <c r="N6" i="81"/>
  <c r="I6" i="81"/>
  <c r="Q6" i="81" s="1"/>
  <c r="V80" i="82" l="1"/>
  <c r="H25" i="81"/>
  <c r="N9" i="81"/>
  <c r="F25" i="81"/>
  <c r="N22" i="81"/>
  <c r="I24" i="81"/>
  <c r="Q10" i="81"/>
  <c r="I17" i="81"/>
  <c r="V9" i="82"/>
  <c r="K80" i="82"/>
  <c r="AC142" i="83"/>
  <c r="Q11" i="81"/>
  <c r="Q16" i="81"/>
  <c r="I21" i="81"/>
  <c r="K171" i="82"/>
  <c r="AG210" i="83"/>
  <c r="AF89" i="83"/>
  <c r="AF15" i="83"/>
  <c r="AC170" i="83"/>
  <c r="AE86" i="83"/>
  <c r="AG86" i="83" s="1"/>
  <c r="AF35" i="83"/>
  <c r="AF98" i="83"/>
  <c r="AG226" i="83"/>
  <c r="AC168" i="83"/>
  <c r="AG225" i="83"/>
  <c r="AG233" i="83"/>
  <c r="AE35" i="83"/>
  <c r="AG35" i="83" s="1"/>
  <c r="AD160" i="83"/>
  <c r="AE160" i="83" s="1"/>
  <c r="AF160" i="83" s="1"/>
  <c r="P105" i="83"/>
  <c r="AG105" i="83" s="1"/>
  <c r="AC164" i="83"/>
  <c r="AG220" i="83"/>
  <c r="AG227" i="83"/>
  <c r="AE98" i="83"/>
  <c r="AG98" i="83" s="1"/>
  <c r="AG218" i="83"/>
  <c r="AF103" i="83"/>
  <c r="S10" i="83"/>
  <c r="S54" i="83" s="1"/>
  <c r="AG212" i="83"/>
  <c r="AG96" i="83"/>
  <c r="AG228" i="83"/>
  <c r="C10" i="83"/>
  <c r="C54" i="83" s="1"/>
  <c r="P103" i="83"/>
  <c r="AG103" i="83" s="1"/>
  <c r="AG47" i="83"/>
  <c r="AF37" i="83"/>
  <c r="AD149" i="83"/>
  <c r="AE149" i="83" s="1"/>
  <c r="AF149" i="83" s="1"/>
  <c r="AG45" i="83"/>
  <c r="AD166" i="83"/>
  <c r="AE166" i="83" s="1"/>
  <c r="AF166" i="83" s="1"/>
  <c r="AF47" i="83"/>
  <c r="AF29" i="83"/>
  <c r="AG229" i="83"/>
  <c r="Z41" i="83"/>
  <c r="AF45" i="83"/>
  <c r="P15" i="83"/>
  <c r="AG15" i="83" s="1"/>
  <c r="N167" i="83"/>
  <c r="AI10" i="83"/>
  <c r="AI54" i="83" s="1"/>
  <c r="AF154" i="83"/>
  <c r="AG26" i="83"/>
  <c r="AF81" i="83"/>
  <c r="AG101" i="83"/>
  <c r="O41" i="83"/>
  <c r="AC10" i="83"/>
  <c r="AC54" i="83" s="1"/>
  <c r="AB138" i="83"/>
  <c r="AF87" i="83"/>
  <c r="AD162" i="83"/>
  <c r="AE162" i="83" s="1"/>
  <c r="AF162" i="83" s="1"/>
  <c r="AF101" i="83"/>
  <c r="AD23" i="83"/>
  <c r="AE29" i="83"/>
  <c r="AG29" i="83" s="1"/>
  <c r="AF27" i="83"/>
  <c r="AF16" i="83"/>
  <c r="AB157" i="83"/>
  <c r="AF147" i="83"/>
  <c r="AG27" i="83"/>
  <c r="AA167" i="83"/>
  <c r="AF82" i="83"/>
  <c r="AD142" i="83"/>
  <c r="AE142" i="83" s="1"/>
  <c r="AF142" i="83" s="1"/>
  <c r="AG91" i="83"/>
  <c r="AG85" i="83"/>
  <c r="AF96" i="83"/>
  <c r="P81" i="83"/>
  <c r="AG81" i="83" s="1"/>
  <c r="AF143" i="83"/>
  <c r="L178" i="83"/>
  <c r="O108" i="83"/>
  <c r="AA138" i="83"/>
  <c r="AG36" i="83"/>
  <c r="P87" i="83"/>
  <c r="AG87" i="83" s="1"/>
  <c r="AF26" i="83"/>
  <c r="AD164" i="83"/>
  <c r="AE164" i="83" s="1"/>
  <c r="AF164" i="83" s="1"/>
  <c r="AG178" i="83"/>
  <c r="R10" i="83"/>
  <c r="R54" i="83" s="1"/>
  <c r="D10" i="83"/>
  <c r="D54" i="83" s="1"/>
  <c r="AD108" i="83"/>
  <c r="AD165" i="83"/>
  <c r="AE165" i="83" s="1"/>
  <c r="AF165" i="83" s="1"/>
  <c r="P89" i="83"/>
  <c r="AG89" i="83" s="1"/>
  <c r="AG38" i="83"/>
  <c r="AI178" i="83"/>
  <c r="AG221" i="83"/>
  <c r="AD14" i="83"/>
  <c r="AF14" i="83" s="1"/>
  <c r="AD140" i="83"/>
  <c r="AE140" i="83" s="1"/>
  <c r="AF140" i="83" s="1"/>
  <c r="O235" i="83"/>
  <c r="AG213" i="83"/>
  <c r="AD152" i="83"/>
  <c r="AE152" i="83" s="1"/>
  <c r="AF152" i="83" s="1"/>
  <c r="AF85" i="83"/>
  <c r="AF91" i="83"/>
  <c r="AF20" i="83"/>
  <c r="P16" i="83"/>
  <c r="AG16" i="83" s="1"/>
  <c r="AD151" i="83"/>
  <c r="AE151" i="83" s="1"/>
  <c r="AF151" i="83" s="1"/>
  <c r="AG82" i="83"/>
  <c r="AG20" i="83"/>
  <c r="AF38" i="83"/>
  <c r="AC141" i="83"/>
  <c r="Z23" i="83"/>
  <c r="AD161" i="83"/>
  <c r="AE161" i="83" s="1"/>
  <c r="AF161" i="83" s="1"/>
  <c r="O145" i="83"/>
  <c r="AC143" i="83"/>
  <c r="AG37" i="83"/>
  <c r="AC154" i="83"/>
  <c r="K178" i="83"/>
  <c r="K12" i="83"/>
  <c r="O12" i="83"/>
  <c r="AF84" i="83"/>
  <c r="Z167" i="83"/>
  <c r="N157" i="83"/>
  <c r="N145" i="83"/>
  <c r="P84" i="83"/>
  <c r="AG84" i="83" s="1"/>
  <c r="O32" i="83"/>
  <c r="AC152" i="83"/>
  <c r="AB145" i="83"/>
  <c r="O167" i="83"/>
  <c r="AE235" i="83"/>
  <c r="M178" i="83"/>
  <c r="N138" i="83"/>
  <c r="AF148" i="83"/>
  <c r="AC148" i="83"/>
  <c r="AD235" i="83"/>
  <c r="Z32" i="83"/>
  <c r="N10" i="83"/>
  <c r="N54" i="83" s="1"/>
  <c r="AE146" i="83"/>
  <c r="AF146" i="83" s="1"/>
  <c r="P32" i="83"/>
  <c r="Z145" i="83"/>
  <c r="P145" i="83"/>
  <c r="AF168" i="83"/>
  <c r="P167" i="83"/>
  <c r="AD141" i="83"/>
  <c r="Z138" i="83"/>
  <c r="AD41" i="83"/>
  <c r="AE43" i="83"/>
  <c r="AE41" i="83" s="1"/>
  <c r="AF43" i="83"/>
  <c r="AF34" i="83"/>
  <c r="AE34" i="83"/>
  <c r="AD32" i="83"/>
  <c r="AF36" i="83"/>
  <c r="AD163" i="83"/>
  <c r="AE163" i="83" s="1"/>
  <c r="AF163" i="83" s="1"/>
  <c r="AC158" i="83"/>
  <c r="AA157" i="83"/>
  <c r="AC169" i="83"/>
  <c r="AD169" i="83"/>
  <c r="K32" i="83"/>
  <c r="O157" i="83"/>
  <c r="P158" i="83"/>
  <c r="O25" i="83"/>
  <c r="K23" i="83"/>
  <c r="AD158" i="83"/>
  <c r="Z157" i="83"/>
  <c r="AF28" i="83"/>
  <c r="AE28" i="83"/>
  <c r="AG28" i="83" s="1"/>
  <c r="P41" i="83"/>
  <c r="P139" i="83"/>
  <c r="O138" i="83"/>
  <c r="AC153" i="83"/>
  <c r="AD153" i="83"/>
  <c r="AE153" i="83" s="1"/>
  <c r="AF153" i="83" s="1"/>
  <c r="AC146" i="83"/>
  <c r="AA145" i="83"/>
  <c r="Z12" i="83"/>
  <c r="AG209" i="83"/>
  <c r="P235" i="83"/>
  <c r="AC150" i="83"/>
  <c r="AD150" i="83"/>
  <c r="AE150" i="83" s="1"/>
  <c r="AF150" i="83" s="1"/>
  <c r="AC151" i="83"/>
  <c r="AF19" i="83"/>
  <c r="P19" i="83"/>
  <c r="AG19" i="83" s="1"/>
  <c r="D46" i="82"/>
  <c r="G46" i="82"/>
  <c r="J46" i="82"/>
  <c r="L46" i="82"/>
  <c r="T46" i="82"/>
  <c r="E46" i="82"/>
  <c r="W46" i="82"/>
  <c r="K30" i="82"/>
  <c r="F46" i="82"/>
  <c r="S46" i="82"/>
  <c r="V30" i="82"/>
  <c r="H46" i="82"/>
  <c r="K9" i="82"/>
  <c r="Q46" i="82"/>
  <c r="M46" i="82"/>
  <c r="L98" i="82"/>
  <c r="L129" i="82" s="1"/>
  <c r="N129" i="82"/>
  <c r="K38" i="82"/>
  <c r="O46" i="82"/>
  <c r="C46" i="82"/>
  <c r="V38" i="82"/>
  <c r="W171" i="82"/>
  <c r="U46" i="82"/>
  <c r="V20" i="82"/>
  <c r="I46" i="82"/>
  <c r="C129" i="82"/>
  <c r="N171" i="82"/>
  <c r="L171" i="82"/>
  <c r="W129" i="82"/>
  <c r="K20" i="82"/>
  <c r="I23" i="81"/>
  <c r="I25" i="81" s="1"/>
  <c r="I13" i="81"/>
  <c r="N46" i="82"/>
  <c r="P46" i="82"/>
  <c r="B46" i="82"/>
  <c r="V143" i="82"/>
  <c r="V171" i="82" s="1"/>
  <c r="R46" i="82"/>
  <c r="Q21" i="81"/>
  <c r="Q17" i="81"/>
  <c r="Q18" i="81"/>
  <c r="I9" i="81"/>
  <c r="N23" i="81"/>
  <c r="N25" i="81" s="1"/>
  <c r="Q12" i="81"/>
  <c r="Q7" i="81"/>
  <c r="I22" i="81"/>
  <c r="Q8" i="81"/>
  <c r="AE108" i="83" l="1"/>
  <c r="AC167" i="83"/>
  <c r="AD12" i="83"/>
  <c r="AF12" i="83" s="1"/>
  <c r="AC157" i="83"/>
  <c r="AE32" i="83"/>
  <c r="AB178" i="83"/>
  <c r="AF41" i="83"/>
  <c r="AC138" i="83"/>
  <c r="AF108" i="83"/>
  <c r="AA178" i="83"/>
  <c r="N178" i="83"/>
  <c r="K10" i="83"/>
  <c r="K54" i="83" s="1"/>
  <c r="O178" i="83"/>
  <c r="AG43" i="83"/>
  <c r="AE14" i="83"/>
  <c r="AG41" i="83"/>
  <c r="Z10" i="83"/>
  <c r="Z54" i="83" s="1"/>
  <c r="P12" i="83"/>
  <c r="AF32" i="83"/>
  <c r="P108" i="83"/>
  <c r="AG108" i="83"/>
  <c r="P25" i="83"/>
  <c r="O23" i="83"/>
  <c r="AF25" i="83"/>
  <c r="Z178" i="83"/>
  <c r="AD167" i="83"/>
  <c r="AE169" i="83"/>
  <c r="AE23" i="83"/>
  <c r="AC145" i="83"/>
  <c r="AD157" i="83"/>
  <c r="AE158" i="83"/>
  <c r="AE157" i="83" s="1"/>
  <c r="AG34" i="83"/>
  <c r="AE141" i="83"/>
  <c r="AD138" i="83"/>
  <c r="AG32" i="83"/>
  <c r="P157" i="83"/>
  <c r="AD145" i="83"/>
  <c r="AE145" i="83" s="1"/>
  <c r="AF145" i="83" s="1"/>
  <c r="P138" i="83"/>
  <c r="AF139" i="83"/>
  <c r="V46" i="82"/>
  <c r="K46" i="82"/>
  <c r="Q22" i="81"/>
  <c r="R18" i="81" s="1"/>
  <c r="Q9" i="81"/>
  <c r="Q24" i="81"/>
  <c r="Q23" i="81"/>
  <c r="R12" i="81"/>
  <c r="Q13" i="81"/>
  <c r="AD10" i="83" l="1"/>
  <c r="AD54" i="83" s="1"/>
  <c r="AF157" i="83"/>
  <c r="AF158" i="83"/>
  <c r="AC178" i="83"/>
  <c r="P178" i="83"/>
  <c r="AD178" i="83"/>
  <c r="AG14" i="83"/>
  <c r="AE12" i="83"/>
  <c r="AE10" i="83" s="1"/>
  <c r="AE54" i="83" s="1"/>
  <c r="AE167" i="83"/>
  <c r="AF169" i="83"/>
  <c r="AF141" i="83"/>
  <c r="AE138" i="83"/>
  <c r="AF138" i="83" s="1"/>
  <c r="AF23" i="83"/>
  <c r="O10" i="83"/>
  <c r="P23" i="83"/>
  <c r="AG25" i="83"/>
  <c r="R23" i="81"/>
  <c r="R11" i="81"/>
  <c r="R15" i="81"/>
  <c r="R19" i="81"/>
  <c r="R7" i="81"/>
  <c r="R24" i="81"/>
  <c r="Q25" i="81"/>
  <c r="R20" i="81"/>
  <c r="R16" i="81"/>
  <c r="R8" i="81"/>
  <c r="R22" i="81"/>
  <c r="R6" i="81"/>
  <c r="R14" i="81"/>
  <c r="R10" i="81"/>
  <c r="AG12" i="83" l="1"/>
  <c r="AG23" i="83"/>
  <c r="P10" i="83"/>
  <c r="O54" i="83"/>
  <c r="AF10" i="83"/>
  <c r="AF54" i="83" s="1"/>
  <c r="AE178" i="83"/>
  <c r="AF167" i="83"/>
  <c r="AF178" i="83" s="1"/>
  <c r="P54" i="83" l="1"/>
  <c r="AG10" i="83"/>
  <c r="AG54" i="83" s="1"/>
  <c r="C29" i="76" l="1"/>
  <c r="D29" i="76"/>
  <c r="B29" i="76"/>
  <c r="C20" i="76"/>
  <c r="D20" i="76"/>
  <c r="B20" i="76"/>
  <c r="C11" i="76"/>
  <c r="D11" i="76"/>
  <c r="B11" i="76"/>
  <c r="N54" i="62"/>
  <c r="M54" i="62"/>
  <c r="N53" i="62"/>
  <c r="M53" i="62"/>
  <c r="N51" i="62"/>
  <c r="M51" i="62"/>
  <c r="N50" i="62"/>
  <c r="M50" i="62"/>
  <c r="C21" i="73" l="1"/>
  <c r="C24" i="73" s="1"/>
  <c r="C45" i="70"/>
  <c r="D45" i="70"/>
  <c r="C48" i="70"/>
  <c r="D48" i="70"/>
  <c r="C49" i="70"/>
  <c r="D49" i="70"/>
  <c r="C50" i="70"/>
  <c r="D50" i="70"/>
  <c r="C51" i="70"/>
  <c r="D51" i="70"/>
  <c r="C41" i="70"/>
  <c r="D41" i="70"/>
  <c r="C42" i="70"/>
  <c r="D42" i="70"/>
  <c r="C43" i="70"/>
  <c r="D43" i="70"/>
  <c r="C44" i="70"/>
  <c r="D44" i="70"/>
  <c r="C46" i="70"/>
  <c r="D46" i="70"/>
  <c r="C31" i="70"/>
  <c r="D31" i="70"/>
  <c r="C32" i="70"/>
  <c r="D32" i="70"/>
  <c r="C33" i="70"/>
  <c r="D33" i="70"/>
  <c r="C34" i="70"/>
  <c r="D34" i="70"/>
  <c r="C24" i="70"/>
  <c r="D24" i="70"/>
  <c r="C25" i="70"/>
  <c r="D25" i="70"/>
  <c r="C26" i="70"/>
  <c r="D26" i="70"/>
  <c r="C27" i="70"/>
  <c r="D27" i="70"/>
  <c r="C28" i="70"/>
  <c r="D28" i="70"/>
  <c r="C29" i="70"/>
  <c r="D29" i="70"/>
  <c r="C14" i="70"/>
  <c r="D14" i="70"/>
  <c r="C15" i="70"/>
  <c r="D15" i="70"/>
  <c r="C16" i="70"/>
  <c r="D16" i="70"/>
  <c r="C17" i="70"/>
  <c r="D17" i="70"/>
  <c r="C7" i="70"/>
  <c r="D7" i="70"/>
  <c r="C8" i="70"/>
  <c r="D8" i="70"/>
  <c r="C9" i="70"/>
  <c r="D9" i="70"/>
  <c r="C10" i="70"/>
  <c r="D10" i="70"/>
  <c r="C11" i="70"/>
  <c r="D11" i="70"/>
  <c r="C12" i="70"/>
  <c r="D12" i="70"/>
  <c r="B51" i="70"/>
  <c r="B50" i="70"/>
  <c r="B49" i="70"/>
  <c r="B48" i="70"/>
  <c r="B42" i="70"/>
  <c r="B43" i="70"/>
  <c r="B44" i="70"/>
  <c r="B45" i="70"/>
  <c r="B46" i="70"/>
  <c r="B41" i="70"/>
  <c r="B34" i="70"/>
  <c r="B33" i="70"/>
  <c r="B32" i="70"/>
  <c r="B31" i="70"/>
  <c r="B30" i="70" s="1"/>
  <c r="B28" i="70"/>
  <c r="B25" i="70"/>
  <c r="B26" i="70"/>
  <c r="B27" i="70"/>
  <c r="B29" i="70"/>
  <c r="B24" i="70"/>
  <c r="B17" i="70"/>
  <c r="B16" i="70"/>
  <c r="B15" i="70"/>
  <c r="B14" i="70"/>
  <c r="B8" i="70"/>
  <c r="B9" i="70"/>
  <c r="B10" i="70"/>
  <c r="B11" i="70"/>
  <c r="B12" i="70"/>
  <c r="B7" i="70"/>
  <c r="D317" i="70"/>
  <c r="C317" i="70"/>
  <c r="B317" i="70"/>
  <c r="D310" i="70"/>
  <c r="D324" i="70" s="1"/>
  <c r="C310" i="70"/>
  <c r="B310" i="70"/>
  <c r="D300" i="70"/>
  <c r="D307" i="70" s="1"/>
  <c r="C300" i="70"/>
  <c r="B300" i="70"/>
  <c r="D293" i="70"/>
  <c r="C293" i="70"/>
  <c r="B293" i="70"/>
  <c r="D283" i="70"/>
  <c r="C283" i="70"/>
  <c r="C290" i="70" s="1"/>
  <c r="B283" i="70"/>
  <c r="D276" i="70"/>
  <c r="C276" i="70"/>
  <c r="B276" i="70"/>
  <c r="D263" i="70"/>
  <c r="C263" i="70"/>
  <c r="B263" i="70"/>
  <c r="D256" i="70"/>
  <c r="D270" i="70" s="1"/>
  <c r="C256" i="70"/>
  <c r="C270" i="70" s="1"/>
  <c r="B256" i="70"/>
  <c r="D246" i="70"/>
  <c r="C246" i="70"/>
  <c r="B246" i="70"/>
  <c r="D239" i="70"/>
  <c r="C239" i="70"/>
  <c r="B239" i="70"/>
  <c r="D229" i="70"/>
  <c r="C229" i="70"/>
  <c r="B229" i="70"/>
  <c r="D222" i="70"/>
  <c r="C222" i="70"/>
  <c r="B222" i="70"/>
  <c r="D209" i="70"/>
  <c r="C209" i="70"/>
  <c r="B209" i="70"/>
  <c r="D202" i="70"/>
  <c r="D216" i="70" s="1"/>
  <c r="C202" i="70"/>
  <c r="B202" i="70"/>
  <c r="D192" i="70"/>
  <c r="C192" i="70"/>
  <c r="B192" i="70"/>
  <c r="D185" i="70"/>
  <c r="D199" i="70" s="1"/>
  <c r="C185" i="70"/>
  <c r="C199" i="70" s="1"/>
  <c r="B185" i="70"/>
  <c r="D175" i="70"/>
  <c r="C175" i="70"/>
  <c r="B175" i="70"/>
  <c r="D168" i="70"/>
  <c r="C168" i="70"/>
  <c r="B168" i="70"/>
  <c r="D155" i="70"/>
  <c r="C155" i="70"/>
  <c r="B155" i="70"/>
  <c r="D148" i="70"/>
  <c r="D162" i="70" s="1"/>
  <c r="C148" i="70"/>
  <c r="B148" i="70"/>
  <c r="D138" i="70"/>
  <c r="D145" i="70" s="1"/>
  <c r="C138" i="70"/>
  <c r="B138" i="70"/>
  <c r="D131" i="70"/>
  <c r="C131" i="70"/>
  <c r="B131" i="70"/>
  <c r="D121" i="70"/>
  <c r="C121" i="70"/>
  <c r="C128" i="70" s="1"/>
  <c r="B121" i="70"/>
  <c r="D114" i="70"/>
  <c r="D128" i="70" s="1"/>
  <c r="C114" i="70"/>
  <c r="B114" i="70"/>
  <c r="D101" i="70"/>
  <c r="C101" i="70"/>
  <c r="B101" i="70"/>
  <c r="D94" i="70"/>
  <c r="C94" i="70"/>
  <c r="C108" i="70" s="1"/>
  <c r="B94" i="70"/>
  <c r="D84" i="70"/>
  <c r="C84" i="70"/>
  <c r="B84" i="70"/>
  <c r="D77" i="70"/>
  <c r="D91" i="70" s="1"/>
  <c r="C77" i="70"/>
  <c r="B77" i="70"/>
  <c r="D67" i="70"/>
  <c r="C67" i="70"/>
  <c r="B67" i="70"/>
  <c r="D60" i="70"/>
  <c r="C60" i="70"/>
  <c r="B60" i="70"/>
  <c r="B13" i="70"/>
  <c r="D24" i="73"/>
  <c r="B24" i="73"/>
  <c r="C16" i="73"/>
  <c r="C18" i="73" s="1"/>
  <c r="D16" i="73"/>
  <c r="B16" i="73"/>
  <c r="C8" i="73"/>
  <c r="C10" i="73" s="1"/>
  <c r="D8" i="73"/>
  <c r="D10" i="73" s="1"/>
  <c r="B8" i="73"/>
  <c r="C182" i="70" l="1"/>
  <c r="D30" i="70"/>
  <c r="C23" i="70"/>
  <c r="C145" i="70"/>
  <c r="D182" i="70"/>
  <c r="C13" i="70"/>
  <c r="C30" i="70"/>
  <c r="C253" i="70"/>
  <c r="D290" i="70"/>
  <c r="C216" i="70"/>
  <c r="C6" i="70"/>
  <c r="C20" i="70" s="1"/>
  <c r="B47" i="70"/>
  <c r="D40" i="70"/>
  <c r="C324" i="70"/>
  <c r="C47" i="70"/>
  <c r="C40" i="70"/>
  <c r="C162" i="70"/>
  <c r="D253" i="70"/>
  <c r="D236" i="70"/>
  <c r="D108" i="70"/>
  <c r="D47" i="70"/>
  <c r="D23" i="70"/>
  <c r="D13" i="70"/>
  <c r="D6" i="70"/>
  <c r="D20" i="70" s="1"/>
  <c r="D74" i="70"/>
  <c r="D37" i="70"/>
  <c r="C37" i="70"/>
  <c r="C307" i="70"/>
  <c r="C236" i="70"/>
  <c r="C91" i="70"/>
  <c r="C74" i="70"/>
  <c r="B40" i="70"/>
  <c r="B54" i="70" s="1"/>
  <c r="B23" i="70"/>
  <c r="B37" i="70" s="1"/>
  <c r="B6" i="70"/>
  <c r="B20" i="70" s="1"/>
  <c r="B324" i="70"/>
  <c r="B307" i="70"/>
  <c r="B290" i="70"/>
  <c r="B253" i="70"/>
  <c r="B270" i="70"/>
  <c r="B236" i="70"/>
  <c r="B216" i="70"/>
  <c r="B199" i="70"/>
  <c r="B182" i="70"/>
  <c r="B162" i="70"/>
  <c r="B145" i="70"/>
  <c r="B128" i="70"/>
  <c r="B108" i="70"/>
  <c r="B91" i="70"/>
  <c r="B74" i="70"/>
  <c r="C54" i="70" l="1"/>
  <c r="D54"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pcuba</author>
    <author>Marco Durand Zambrano</author>
  </authors>
  <commentList>
    <comment ref="D4" authorId="0" shapeId="0" xr:uid="{00000000-0006-0000-0100-000001000000}">
      <text>
        <r>
          <rPr>
            <sz val="8"/>
            <color indexed="81"/>
            <rFont val="Tahoma"/>
            <family val="2"/>
          </rPr>
          <t xml:space="preserve">
Nombre del Indicador</t>
        </r>
      </text>
    </comment>
    <comment ref="D21" authorId="0" shapeId="0" xr:uid="{00000000-0006-0000-0100-000002000000}">
      <text>
        <r>
          <rPr>
            <sz val="8"/>
            <color indexed="81"/>
            <rFont val="Tahoma"/>
            <family val="2"/>
          </rPr>
          <t xml:space="preserve">
Nombre del Indicador</t>
        </r>
      </text>
    </comment>
    <comment ref="D39" authorId="0" shapeId="0" xr:uid="{00000000-0006-0000-0100-000003000000}">
      <text>
        <r>
          <rPr>
            <sz val="8"/>
            <color indexed="81"/>
            <rFont val="Tahoma"/>
            <family val="2"/>
          </rPr>
          <t xml:space="preserve">
Nombre del Indicador</t>
        </r>
      </text>
    </comment>
    <comment ref="D48" authorId="0" shapeId="0" xr:uid="{00000000-0006-0000-0100-000004000000}">
      <text>
        <r>
          <rPr>
            <sz val="8"/>
            <color indexed="81"/>
            <rFont val="Tahoma"/>
            <family val="2"/>
          </rPr>
          <t xml:space="preserve">
Nombre del Indicador</t>
        </r>
      </text>
    </comment>
    <comment ref="J50" authorId="1" shapeId="0" xr:uid="{00000000-0006-0000-0100-000005000000}">
      <text>
        <r>
          <rPr>
            <b/>
            <sz val="9"/>
            <color indexed="81"/>
            <rFont val="Tahoma"/>
            <family val="2"/>
          </rPr>
          <t>Marco Durand Zambrano:</t>
        </r>
        <r>
          <rPr>
            <sz val="9"/>
            <color indexed="81"/>
            <rFont val="Tahoma"/>
            <family val="2"/>
          </rPr>
          <t xml:space="preserve">
al 31.07.2021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TEMP_OAS82</author>
  </authors>
  <commentList>
    <comment ref="E9" authorId="0" shapeId="0" xr:uid="{00000000-0006-0000-0F00-000001000000}">
      <text>
        <r>
          <rPr>
            <b/>
            <sz val="9"/>
            <color indexed="81"/>
            <rFont val="Tahoma"/>
            <family val="2"/>
          </rPr>
          <t>TEMP_OAS82:</t>
        </r>
        <r>
          <rPr>
            <sz val="9"/>
            <color indexed="81"/>
            <rFont val="Tahoma"/>
            <family val="2"/>
          </rPr>
          <t xml:space="preserve">
8000 - JULIO</t>
        </r>
      </text>
    </comment>
    <comment ref="E10" authorId="0" shapeId="0" xr:uid="{00000000-0006-0000-0F00-000002000000}">
      <text>
        <r>
          <rPr>
            <b/>
            <sz val="9"/>
            <color indexed="81"/>
            <rFont val="Tahoma"/>
            <family val="2"/>
          </rPr>
          <t>TEMP_OAS82:</t>
        </r>
        <r>
          <rPr>
            <sz val="9"/>
            <color indexed="81"/>
            <rFont val="Tahoma"/>
            <family val="2"/>
          </rPr>
          <t xml:space="preserve">
7750 - JULIO</t>
        </r>
      </text>
    </comment>
    <comment ref="E11" authorId="0" shapeId="0" xr:uid="{00000000-0006-0000-0F00-000003000000}">
      <text>
        <r>
          <rPr>
            <b/>
            <sz val="9"/>
            <color indexed="81"/>
            <rFont val="Tahoma"/>
            <family val="2"/>
          </rPr>
          <t>TEMP_OAS82:</t>
        </r>
        <r>
          <rPr>
            <sz val="9"/>
            <color indexed="81"/>
            <rFont val="Tahoma"/>
            <family val="2"/>
          </rPr>
          <t xml:space="preserve">
6875 - JULIO</t>
        </r>
      </text>
    </comment>
    <comment ref="E15" authorId="0" shapeId="0" xr:uid="{00000000-0006-0000-0F00-000004000000}">
      <text>
        <r>
          <rPr>
            <b/>
            <sz val="9"/>
            <color indexed="81"/>
            <rFont val="Tahoma"/>
            <family val="2"/>
          </rPr>
          <t>TEMP_OAS82:</t>
        </r>
        <r>
          <rPr>
            <sz val="9"/>
            <color indexed="81"/>
            <rFont val="Tahoma"/>
            <family val="2"/>
          </rPr>
          <t xml:space="preserve">
36000 - JULIO</t>
        </r>
      </text>
    </comment>
    <comment ref="E20" authorId="0" shapeId="0" xr:uid="{00000000-0006-0000-0F00-000005000000}">
      <text>
        <r>
          <rPr>
            <b/>
            <sz val="9"/>
            <color indexed="81"/>
            <rFont val="Tahoma"/>
            <family val="2"/>
          </rPr>
          <t>TEMP_OAS82:</t>
        </r>
        <r>
          <rPr>
            <sz val="9"/>
            <color indexed="81"/>
            <rFont val="Tahoma"/>
            <family val="2"/>
          </rPr>
          <t xml:space="preserve">
272721.60 - AGOSTO</t>
        </r>
      </text>
    </comment>
    <comment ref="E22" authorId="0" shapeId="0" xr:uid="{00000000-0006-0000-0F00-000006000000}">
      <text>
        <r>
          <rPr>
            <b/>
            <sz val="9"/>
            <color indexed="81"/>
            <rFont val="Tahoma"/>
            <family val="2"/>
          </rPr>
          <t>TEMP_OAS82:</t>
        </r>
        <r>
          <rPr>
            <sz val="9"/>
            <color indexed="81"/>
            <rFont val="Tahoma"/>
            <family val="2"/>
          </rPr>
          <t xml:space="preserve">
54000 - AGOSTO</t>
        </r>
      </text>
    </comment>
    <comment ref="E24" authorId="0" shapeId="0" xr:uid="{00000000-0006-0000-0F00-000007000000}">
      <text>
        <r>
          <rPr>
            <b/>
            <sz val="9"/>
            <color indexed="81"/>
            <rFont val="Tahoma"/>
            <family val="2"/>
          </rPr>
          <t>TEMP_OAS82:</t>
        </r>
        <r>
          <rPr>
            <sz val="9"/>
            <color indexed="81"/>
            <rFont val="Tahoma"/>
            <family val="2"/>
          </rPr>
          <t xml:space="preserve">
85000 SE EJECUTA SEGUNDO SEMESTRE</t>
        </r>
      </text>
    </comment>
  </commentList>
</comments>
</file>

<file path=xl/sharedStrings.xml><?xml version="1.0" encoding="utf-8"?>
<sst xmlns="http://schemas.openxmlformats.org/spreadsheetml/2006/main" count="12538" uniqueCount="4179">
  <si>
    <t>TOTAL</t>
  </si>
  <si>
    <t>RECURSOS PUBLICOS</t>
  </si>
  <si>
    <t>MONTO</t>
  </si>
  <si>
    <t>F-8</t>
  </si>
  <si>
    <t>PROFESIONALES</t>
  </si>
  <si>
    <t>TECNICOS</t>
  </si>
  <si>
    <t>AUXILIARES</t>
  </si>
  <si>
    <t>DIRECTIVOS/FUNCIONARIOS</t>
  </si>
  <si>
    <t>FUENTE DE FINANCIAMIENTO</t>
  </si>
  <si>
    <t xml:space="preserve"> REMUNERATIVA</t>
  </si>
  <si>
    <t>CATEGORIA</t>
  </si>
  <si>
    <t>PEA</t>
  </si>
  <si>
    <t>...</t>
  </si>
  <si>
    <t>F-1</t>
  </si>
  <si>
    <t>SPA</t>
  </si>
  <si>
    <t>STA</t>
  </si>
  <si>
    <t>STE</t>
  </si>
  <si>
    <t>SAA</t>
  </si>
  <si>
    <t>SAE</t>
  </si>
  <si>
    <t>S/.</t>
  </si>
  <si>
    <t>Est. %</t>
  </si>
  <si>
    <t>EST. %</t>
  </si>
  <si>
    <t>GASTOS CORRIENTES */</t>
  </si>
  <si>
    <t>TOTAL (A)</t>
  </si>
  <si>
    <t>OTROS</t>
  </si>
  <si>
    <t>COSTO ANUAL</t>
  </si>
  <si>
    <t>OBLIGACIONES DEL EMPLEADOR (CARGAS SOCIALES)</t>
  </si>
  <si>
    <t>GASTOS VARIABLES Y OCASIONALES</t>
  </si>
  <si>
    <t>COMBUSTIBLE Y LUBRICANTES</t>
  </si>
  <si>
    <t>SERVICIOS NO PERSONALES</t>
  </si>
  <si>
    <t>PROPINAS</t>
  </si>
  <si>
    <t>BIENES DISTRIBUCION GRATUITA</t>
  </si>
  <si>
    <t>PASAJES Y GASTOS DE TRANSPORTE</t>
  </si>
  <si>
    <t>CONTRATACION CON EMPRESAS DE SERVICIOS</t>
  </si>
  <si>
    <t>TRANSFERENCIAS CAFAE</t>
  </si>
  <si>
    <t>RUBROS</t>
  </si>
  <si>
    <t>OTROS SERVICIOS DE TERCEROS</t>
  </si>
  <si>
    <t>BIENES DE CONSUMO</t>
  </si>
  <si>
    <t>ALIMENTOS DE PERSONAS</t>
  </si>
  <si>
    <t>TARIFAS DE SERVICIOS GENERALES</t>
  </si>
  <si>
    <t>OTROS (DETALLAR)</t>
  </si>
  <si>
    <t>SEGUROS</t>
  </si>
  <si>
    <t>VIATICOS Y ASIGNACIONES</t>
  </si>
  <si>
    <t>NUEVOS SOLES</t>
  </si>
  <si>
    <t xml:space="preserve">SERVICIO DE CONSULTORIA </t>
  </si>
  <si>
    <t>CONSULTORIAS</t>
  </si>
  <si>
    <t xml:space="preserve">TOTAL </t>
  </si>
  <si>
    <t>1. RECURSOS ORDINARIOS</t>
  </si>
  <si>
    <t>2. RECURSOS DIRECTAM. RECAUD.</t>
  </si>
  <si>
    <t>3.- RECURSOS OPERACIONES</t>
  </si>
  <si>
    <t>4. DONACIONES Y TRANSFERENCIAS</t>
  </si>
  <si>
    <t>5. RECURSOS DETERMINADOS</t>
  </si>
  <si>
    <t xml:space="preserve">    - CONTRIBUCIONES A FONDOS</t>
  </si>
  <si>
    <t xml:space="preserve">    - FONDO DE COMPENCIÓN MUNICIPAL</t>
  </si>
  <si>
    <t xml:space="preserve">    - IMPUESTOS MUNICIPALES</t>
  </si>
  <si>
    <t>TOTAL    (*)</t>
  </si>
  <si>
    <t>OTROS (ESPECIFICAR) (**)</t>
  </si>
  <si>
    <t>(PIA) = Presupuesto Institucional de Apertura</t>
  </si>
  <si>
    <t>TIPO DE ESTUDIO Y/O INFORME (*)</t>
  </si>
  <si>
    <t>(*) EL PRODUCTO QUE SE ADQUIERE</t>
  </si>
  <si>
    <t>NIVELES REMUNERATIVOS</t>
  </si>
  <si>
    <t>(1)</t>
  </si>
  <si>
    <t>(2)</t>
  </si>
  <si>
    <t>(3)</t>
  </si>
  <si>
    <t>(4)</t>
  </si>
  <si>
    <t>(5)</t>
  </si>
  <si>
    <t>(6)</t>
  </si>
  <si>
    <t>CARRERA ADMINISTRATIVA</t>
  </si>
  <si>
    <t>……</t>
  </si>
  <si>
    <t>CARRERA JUDICIAL</t>
  </si>
  <si>
    <t>NOTAS</t>
  </si>
  <si>
    <t xml:space="preserve">(1) PEA: </t>
  </si>
  <si>
    <t xml:space="preserve">(2) REMUNERACION: </t>
  </si>
  <si>
    <t xml:space="preserve">SE CONSIGNARA LA REMUNERACION MENSUAL PROMEDIO DE UN SERVIDOR EN CADA NIVEL DE LA CARRERA PUBLICA SEGUN CORRESPONDA </t>
  </si>
  <si>
    <t xml:space="preserve">(3) CAFAE: </t>
  </si>
  <si>
    <t xml:space="preserve">SE CONSIGNARA EL  INCENTIVO LABORAL  MENSUAL PROMEDIO QUE POR DISPOSICION EXPRESA SE LE OTORGUE A UN SERVIDOR EN CADA NIVEL SEGUN CORRESPONDA </t>
  </si>
  <si>
    <t xml:space="preserve">(4) AETA: </t>
  </si>
  <si>
    <t xml:space="preserve">SOLO APLICABLE AL SECTOR SALUD. SE CONSIGNARA LA ASIGNACION EXTRAORDINARIA POR TRABAJO ASISTENCIAL  MENSUAL PROMEDIO DE UN SERVIDOR EN CADA NIVEL </t>
  </si>
  <si>
    <t xml:space="preserve">SEGUN CORRESPONDA </t>
  </si>
  <si>
    <t xml:space="preserve">(5) OTROS BENEFICIOS - ASIGNACION MENSUAL </t>
  </si>
  <si>
    <t xml:space="preserve">RUBROS ANTERIORES . EN HOJA INDEPENDIENTES SE DETALLARA CADA CONCEPTO Y MONTO, ASI COMO LA DISPOSICION EXPRESA QUE LOS AUTORICE Y LA PERIODICIDAD CON QUE </t>
  </si>
  <si>
    <t xml:space="preserve">SE OTORGA . DEBERA DETALLAR POR CADA CONCEPTO ASI COMO LA DISPOSICION EXPRESA QUE LOS AUTORICE Y LA PERIODICIDAD CON QUE SE OTORGA (MENSUAL, BIMENSUAL, </t>
  </si>
  <si>
    <t>TRIMESTRAL , CUATRIMENSUAL)</t>
  </si>
  <si>
    <t>(7)</t>
  </si>
  <si>
    <t>ADQUISICIONES/CONTRATACIONES/OBRAS</t>
  </si>
  <si>
    <t>FECHA PROG. CONV.</t>
  </si>
  <si>
    <t xml:space="preserve">    - OTROS (ESPECIFICAR)</t>
  </si>
  <si>
    <t>TOTAL SECTOR</t>
  </si>
  <si>
    <t>PROYECTO</t>
  </si>
  <si>
    <t>CODIGO SNIP</t>
  </si>
  <si>
    <t>TIPO DE PROCESO DE SELECCIÓN</t>
  </si>
  <si>
    <t>ADQUISICIÓN</t>
  </si>
  <si>
    <t>OBSERVACIONES</t>
  </si>
  <si>
    <t>ESTADO DEL PROCESO</t>
  </si>
  <si>
    <t>PART. %</t>
  </si>
  <si>
    <t>SERVICIO DE DEUDA</t>
  </si>
  <si>
    <t>(**) PNUD, BONOS, etc.</t>
  </si>
  <si>
    <t>TIPO DE CONTRATO</t>
  </si>
  <si>
    <t>CAS</t>
  </si>
  <si>
    <t>…</t>
  </si>
  <si>
    <t>PLIEGO</t>
  </si>
  <si>
    <t>UNIDAD EJECUTORA</t>
  </si>
  <si>
    <t>FUNCIÓN DESEMPEÑADA</t>
  </si>
  <si>
    <t>SUB TOTAL GASTOS CORRIENTES</t>
  </si>
  <si>
    <t>SUB TOTAL GASTOS DE CAPITAL</t>
  </si>
  <si>
    <t>SUB TOTAL SERVICIO DE DEUDA</t>
  </si>
  <si>
    <t>GASTOS DE CAPITAL</t>
  </si>
  <si>
    <t>1: Reserva de Contingencia</t>
  </si>
  <si>
    <t>2: Personal y Obligaciones Sociales</t>
  </si>
  <si>
    <t>3: Pensiones y Prestaciones Sociales</t>
  </si>
  <si>
    <t>4: Bienes y Servicios</t>
  </si>
  <si>
    <t>5: Donaciones y Transferencias</t>
  </si>
  <si>
    <t>6: Otros Gastos</t>
  </si>
  <si>
    <t>7: Donaciones y Transferencias</t>
  </si>
  <si>
    <t>8: Otros Gastos</t>
  </si>
  <si>
    <t>9: Adquisiciones de Activos No Financieros</t>
  </si>
  <si>
    <t>10: Adquisiciones de Activos Financieros</t>
  </si>
  <si>
    <t>11: Servicio de la Deuda</t>
  </si>
  <si>
    <t>GASTOS CORRIENTES</t>
  </si>
  <si>
    <t>TRIMESTRAL , CUATRIMENSUAL  O SIN PERIODICIDAD)</t>
  </si>
  <si>
    <t>(8)</t>
  </si>
  <si>
    <t>SUB TOTAL OTROS BENEFICIOS ... (no, mensuales, monto anual)</t>
  </si>
  <si>
    <t>ESPECIALIDAD (**)</t>
  </si>
  <si>
    <t>(**) LA ESPECIALIDAD TOMANDO ENCUENTA HACIENDO REFERENCIA UNA O MAS DE LAS 25 FUNCIONES DEL CLASIFICADOR FUNCIONAL PROGRAMATICO</t>
  </si>
  <si>
    <t xml:space="preserve">CONTRAPRESTACIÓN MENSUAL </t>
  </si>
  <si>
    <t>FUNCIONES</t>
  </si>
  <si>
    <t>PPTO (PIA)</t>
  </si>
  <si>
    <t>3 Planeam. Gestión y Reserva</t>
  </si>
  <si>
    <t>Decreto Legislativo 728 (Regimen Privado)</t>
  </si>
  <si>
    <t>DNI</t>
  </si>
  <si>
    <t>Apellidos y Nombres</t>
  </si>
  <si>
    <t>Numero de contratos o renovaciones</t>
  </si>
  <si>
    <t>Meses Ejecutados</t>
  </si>
  <si>
    <t>Monto Ejecutado</t>
  </si>
  <si>
    <t>Titulo Profesióonal, Técncio o Capacitación Ocupacional</t>
  </si>
  <si>
    <t>Fuente de Información</t>
  </si>
  <si>
    <t>7: Donaciones y Transferencias (de capital)</t>
  </si>
  <si>
    <t>5: Donaciones y Transferencias (corrientes)</t>
  </si>
  <si>
    <t>6: Otros Gastos (corrientes)</t>
  </si>
  <si>
    <t>8: Otros Gastos (de capital)</t>
  </si>
  <si>
    <t>TOTAL GASTOS UNIDAD EJECUTORA / ENTIDAD PÚBLICA</t>
  </si>
  <si>
    <t>CONTRATANTE</t>
  </si>
  <si>
    <t>CONTRATADO</t>
  </si>
  <si>
    <t>COSTO TOTAL EN PLANILLAS (*)</t>
  </si>
  <si>
    <t>Profesión</t>
  </si>
  <si>
    <t>Grado Academico</t>
  </si>
  <si>
    <t>PEA / Beneficiarios</t>
  </si>
  <si>
    <t>REMUNERACION MENSUAL (cada persona)</t>
  </si>
  <si>
    <t>CAFAE MENSUL (cada persona)</t>
  </si>
  <si>
    <t>AETA MENSUAL (cada persona)</t>
  </si>
  <si>
    <t>OTROS INGRESOS MENSUAL (cada persona)</t>
  </si>
  <si>
    <t>SUB TOTAL INGRESOS MENSUALES (cada persona)</t>
  </si>
  <si>
    <t>AGUINALDOS, GRAFICACIONES Y ESCOLARIDAD (anual cada persona)</t>
  </si>
  <si>
    <r>
      <rPr>
        <b/>
        <sz val="9"/>
        <rFont val="Arial"/>
        <family val="2"/>
      </rPr>
      <t xml:space="preserve">LAS COLUMNAS COMO SEAN NECESARIAS, </t>
    </r>
    <r>
      <rPr>
        <sz val="9"/>
        <rFont val="Arial"/>
        <family val="2"/>
      </rPr>
      <t xml:space="preserve">SE CONSIGNARA LOS OTROS BENEFICIOS - ASIGNACIONES MENSUALES PERIODICOS  DE UN SERVIDOR EN CADA NIVEL SEGÚN CORRESPONDA NO CONSIGNADO EN LOS </t>
    </r>
  </si>
  <si>
    <r>
      <rPr>
        <b/>
        <sz val="9"/>
        <rFont val="Arial"/>
        <family val="2"/>
      </rPr>
      <t xml:space="preserve">LAS COLUMNAS COMO SEAN NECESARIAS, </t>
    </r>
    <r>
      <rPr>
        <sz val="9"/>
        <rFont val="Arial"/>
        <family val="2"/>
      </rPr>
      <t xml:space="preserve">SE CONSIGNARA LOS OTROS BENEFICIOS - ASIGNACIONES PERIODICOS O NO PERIODICAS DE UN SERVIDOR EN CADA NIVEL SEGÚN CORRESPONDA NO CONSIGNADO EN LOS </t>
    </r>
  </si>
  <si>
    <t>(9)</t>
  </si>
  <si>
    <t>TOTAL INGRESO ANUAL PEA</t>
  </si>
  <si>
    <t>TOTAL INGRESOS ANUAL POR PERSONA</t>
  </si>
  <si>
    <t>MONTO ANUAL</t>
  </si>
  <si>
    <t>(10)</t>
  </si>
  <si>
    <t>DIFERENCIA INGRESO ANUAL PEA</t>
  </si>
  <si>
    <t xml:space="preserve">DIFERENCIA INGRESO ANUAL POR PERSONAL </t>
  </si>
  <si>
    <t>SE CONSIGNARA EL NUMERO TOTAL DE PERSONAL ACTIVO ( NOMBRADO Y CONTRATADO) SEGÚN EL PRESUPUESTO ANILITOCO DE PERSONAL (PAP) APROBADO</t>
  </si>
  <si>
    <t>(**) Recursos Públicos / Recursos Ordinarios / Recursos Directamente Recaudados / Donaciones  y  Transferencias / Operaciones Oficiales de Crédito/ Recursos Determinados</t>
  </si>
  <si>
    <t>FECHA DE SUSCRIPCION DEL CONTRATO</t>
  </si>
  <si>
    <t>FECHA DE VENCIMIENTO DEL PLAZO</t>
  </si>
  <si>
    <t>PLAZO DE EJEUCION DE OBRAS</t>
  </si>
  <si>
    <t>AMPLIACION DE PLAZO</t>
  </si>
  <si>
    <t>FECHA DE VENCIMIENTO DE PLAZO</t>
  </si>
  <si>
    <t>FECHA DE ENTREGA</t>
  </si>
  <si>
    <t>FECHA DE CONFORMIDAD DE OBRA</t>
  </si>
  <si>
    <t>VESTUARIO</t>
  </si>
  <si>
    <t>BONOS POR FUNCION JURIDICCIONAL Y FISCAL</t>
  </si>
  <si>
    <t>ESCOLARIDAD, AGUINALDO Y GRATIFICACIONES</t>
  </si>
  <si>
    <t>BONIFICACIÓN EXTRAORDINARIA (INACEPTACIÓN DE GRATIFICACIONES)</t>
  </si>
  <si>
    <t>DIETAS</t>
  </si>
  <si>
    <t>RETRIBUCIONES EN BIENES</t>
  </si>
  <si>
    <t>MOVILIDAD PARA TRASLADO DE TRABAJADORES</t>
  </si>
  <si>
    <t>PRODUCTIVIDAD</t>
  </si>
  <si>
    <t>SEGUROS (ESPECIFICAR)</t>
  </si>
  <si>
    <t>GASTOS POR ESTACIONAMIENTO DE VEHICULOS</t>
  </si>
  <si>
    <t>DIETA DE DIRECTORIO</t>
  </si>
  <si>
    <t>OTROS INGRESOS NO MENSUALES 
(anual cada personal)</t>
  </si>
  <si>
    <t>INCENTIVOS O PRODUCTIVIDAD (cada persona)</t>
  </si>
  <si>
    <t>MOVILIDAD</t>
  </si>
  <si>
    <t>RACIONAMIENTO</t>
  </si>
  <si>
    <t>BONOS</t>
  </si>
  <si>
    <t>(10) SUB TOTAL</t>
  </si>
  <si>
    <t>SUMATORIA DE LAS COLUMNAS (2), (3), (4), (5), (6), (7), (8), (9)</t>
  </si>
  <si>
    <t>(11) AGUINALDOS, GRAFICACIONES Y ESCOLARIDAD</t>
  </si>
  <si>
    <t>(12) OTROS BENEFICIOS - ASIGNACION ANUAL</t>
  </si>
  <si>
    <t>(11)</t>
  </si>
  <si>
    <t>(12)</t>
  </si>
  <si>
    <t xml:space="preserve">MULTIMPLACIÓN DE LA COLUMNA (10) POR 12 (MESES) Y AL RESULTADO SE SUMA LA COLUMNA (13) </t>
  </si>
  <si>
    <t>(13)</t>
  </si>
  <si>
    <t>(14)</t>
  </si>
  <si>
    <t>(15)</t>
  </si>
  <si>
    <t>(14) TOTAL INGRESOS ANUAL POR PERSONA</t>
  </si>
  <si>
    <t>(15) TOTAL ANUAL PEA</t>
  </si>
  <si>
    <t>(13) SUB TOTAL OTROS BENEFICIOS</t>
  </si>
  <si>
    <t>SUMATORIA DE LAS COLUMNAS (11) Y (12)</t>
  </si>
  <si>
    <t>MULTIPLICACIÓN DEL A COMUNTA (1) POR LA COLUMNA (14)</t>
  </si>
  <si>
    <t>CONTRATISTA (RUC y Denominacion)</t>
  </si>
  <si>
    <t>MODALIDAD</t>
  </si>
  <si>
    <t>NUMERO DEL PROCESO</t>
  </si>
  <si>
    <t>PROGRAMAS SOCIALES</t>
  </si>
  <si>
    <t>JUNTOS</t>
  </si>
  <si>
    <t>SAMU</t>
  </si>
  <si>
    <t>SMN</t>
  </si>
  <si>
    <t>Mortalidad Materna</t>
  </si>
  <si>
    <t>Mortalidad Neonatal</t>
  </si>
  <si>
    <t>II.  GESTACIÓN</t>
  </si>
  <si>
    <t>PAN</t>
  </si>
  <si>
    <t>CUNA MAS</t>
  </si>
  <si>
    <t>Desnutrición Cronica</t>
  </si>
  <si>
    <t>Mortalidad Infantil</t>
  </si>
  <si>
    <t>Desarrollo cognitivo, lenguaje, socioemocional y motor</t>
  </si>
  <si>
    <t>PELA</t>
  </si>
  <si>
    <t>Logros de aprendizaje</t>
  </si>
  <si>
    <t>Cobertura escolar</t>
  </si>
  <si>
    <t>PELA Primaria</t>
  </si>
  <si>
    <t>PELA Secundaria</t>
  </si>
  <si>
    <t>Logros de aprindizaje</t>
  </si>
  <si>
    <t>Deserción escolar</t>
  </si>
  <si>
    <t>Jovenes a la obra</t>
  </si>
  <si>
    <t>Beca 18</t>
  </si>
  <si>
    <t>Acceso a la educación superior de calidad</t>
  </si>
  <si>
    <t>Educacion pertienente para el mercado laboral</t>
  </si>
  <si>
    <t>Pensión 65</t>
  </si>
  <si>
    <t>Asegurar las condiciones básicas para la subsistencia</t>
  </si>
  <si>
    <t>III.  De 0 a 2 AÑOS</t>
  </si>
  <si>
    <t>IV. DE 3 A 5 AÑOS</t>
  </si>
  <si>
    <t>V. DE 6 A 12 AÑOS</t>
  </si>
  <si>
    <t>VI. DE 13 A 17 AÑOS</t>
  </si>
  <si>
    <t>VII. DE 17 A 24 AÑOS</t>
  </si>
  <si>
    <t>VIII. DE 65 A MAS</t>
  </si>
  <si>
    <t>I.  DE GESTANTES A NIÑOS DE HASTA 14 AÑOS</t>
  </si>
  <si>
    <t>BENEFICIARIOS</t>
  </si>
  <si>
    <t>PRESUPUESTO PIA</t>
  </si>
  <si>
    <t>PRESUPUESTO PIM</t>
  </si>
  <si>
    <t>MONTO PRESUPUESTADO (*)</t>
  </si>
  <si>
    <t>0: Reserva de Contingencia</t>
  </si>
  <si>
    <t>1: Personal y Obligaciones Sociales</t>
  </si>
  <si>
    <t>2: Pensiones y Prestaciones Sociales</t>
  </si>
  <si>
    <t>3: Bienes y Servicios</t>
  </si>
  <si>
    <t>4: Donaciones y Transferencias</t>
  </si>
  <si>
    <t>5: Otros Gastos</t>
  </si>
  <si>
    <t>6: Adquisiciones de Activos No Financieros</t>
  </si>
  <si>
    <t>7: Adquisiciones de Activos Financieros</t>
  </si>
  <si>
    <t>8: Servicio de la Deuda</t>
  </si>
  <si>
    <t>12 Energía</t>
  </si>
  <si>
    <t>13 Mineria</t>
  </si>
  <si>
    <t>24 Previsión Social</t>
  </si>
  <si>
    <t>VIAJES</t>
  </si>
  <si>
    <t>SUMINISTROS PARA MANTENIMIENTO Y REPARACION</t>
  </si>
  <si>
    <t>SERVICIOS BASICOS, COMUNICACIONES, PUBLICIDAD Y DIFUSION</t>
  </si>
  <si>
    <t>COMBUSTIBLE, CARBURANTES, LUBRICANTES Y AFINES</t>
  </si>
  <si>
    <t>SERVICIOS DE LIMPIEZA, SEGURIDAD Y VIGILANCIA</t>
  </si>
  <si>
    <t>SERVICIO DE MANTENIMIENTO, ACONDICIONAMIENTO Y REPARA</t>
  </si>
  <si>
    <t>ALQUILERES DE MUEBLES E INMUEBLES</t>
  </si>
  <si>
    <t>MATERIALES Y UTILES</t>
  </si>
  <si>
    <t>REPUESTOS Y ACCESORIOS</t>
  </si>
  <si>
    <t>SERVICIOS ADMINISTRATIVOS, FINANCIEROS Y DE SEGUROS</t>
  </si>
  <si>
    <t>ENSERES</t>
  </si>
  <si>
    <t>SERVICIOS PROFESIONALES Y TECNICOS</t>
  </si>
  <si>
    <t>CONTRATO ADMINISTRATIVO DE SERVICIOS</t>
  </si>
  <si>
    <t>SUMINISTROS MEDICOS</t>
  </si>
  <si>
    <t>MATERIALES Y UTILES DE ENSEÑANZA</t>
  </si>
  <si>
    <t>SUMINISTROS PARA USO AGROPECUARIO, FORESTAL Y VETERIN</t>
  </si>
  <si>
    <t>COMPRA DE OTROS BIENES</t>
  </si>
  <si>
    <t>CAFAE MENSUAL (cada persona)</t>
  </si>
  <si>
    <t>Linea Base</t>
  </si>
  <si>
    <t>Meta 2021</t>
  </si>
  <si>
    <t>Responsable</t>
  </si>
  <si>
    <t>Resultado</t>
  </si>
  <si>
    <t>Proyectado</t>
  </si>
  <si>
    <t>Meta</t>
  </si>
  <si>
    <t>UNIDADES EJECUTORAS O ENTIDADES PÚBLICAS ADSCRITAS AL SECTOR</t>
  </si>
  <si>
    <t>RESERVA DE CONTINGENCIA</t>
  </si>
  <si>
    <t>PERSONAL Y OBLIGAC. SOC.</t>
  </si>
  <si>
    <t>PENSIONES Y PREST. SOC.</t>
  </si>
  <si>
    <t>BIENES Y SERVICIOS</t>
  </si>
  <si>
    <t>DONACIONES TRANSFER.</t>
  </si>
  <si>
    <t>OTROS GASTOS</t>
  </si>
  <si>
    <t>SUB TOTAL GASTO CTE</t>
  </si>
  <si>
    <t>DONACIONES Y TRANSFER,</t>
  </si>
  <si>
    <t>ADQUIS. ACT. NO FINANC.</t>
  </si>
  <si>
    <t>ADQUIS. ACT. FINANC.</t>
  </si>
  <si>
    <t>SUB TOTAL GASTOS CAP.</t>
  </si>
  <si>
    <t xml:space="preserve">SERVICIO DE DEUDA </t>
  </si>
  <si>
    <t>SUB TOTAL SER. DEUDA</t>
  </si>
  <si>
    <t>Ley 30057 
(Ley del Servicio Civil)</t>
  </si>
  <si>
    <t>001</t>
  </si>
  <si>
    <t>005</t>
  </si>
  <si>
    <t>PLIEGOS DEL SECTOR O GOBIERNO REGIONAL</t>
  </si>
  <si>
    <t>PLIEGO O ENTIDAD DEL SECTOR</t>
  </si>
  <si>
    <t>Nombre del Indicador</t>
  </si>
  <si>
    <t>Objetivo Estrategico Institucional
(Código y Enunciado)</t>
  </si>
  <si>
    <t>Objetivo Estrategico Sectorial
(Código)</t>
  </si>
  <si>
    <t>Decreto Legislativo 1057 (Contrato Administrativo de Servicios</t>
  </si>
  <si>
    <t>(**) Incluye el monto pagado por otras entidades al personal que presta servidos en el Sector o Gobierno Regional</t>
  </si>
  <si>
    <t>Decreto Legislativo 1024 (Gerentes Públicos) (**)</t>
  </si>
  <si>
    <t>Ley 25650 (Fondo de Apoyo Generencial) (**)</t>
  </si>
  <si>
    <t>Ley 29806 (Personal Altamente Calificado) (**)</t>
  </si>
  <si>
    <t xml:space="preserve">(***) Detallar el marco legal </t>
  </si>
  <si>
    <t>Otros Servidores (especificar) (**) (***)</t>
  </si>
  <si>
    <t>(*) Incluye GRATIFICACIONES, CAFAE, PNUD, BONOS, PRODUCTIVIDAD, HORAS EXTRAS, GUARDIAS, AETAS, etc.</t>
  </si>
  <si>
    <t xml:space="preserve">Total </t>
  </si>
  <si>
    <t>S/ (****)</t>
  </si>
  <si>
    <t>S/ Anual (****)</t>
  </si>
  <si>
    <t>Practicantes (***)</t>
  </si>
  <si>
    <t>(****) Proyectado</t>
  </si>
  <si>
    <t>ARRENDATARIO</t>
  </si>
  <si>
    <t>ARRENDADOR</t>
  </si>
  <si>
    <t>DNI O PARTIDA REGISTRAL</t>
  </si>
  <si>
    <t>Apellidos y Nombres o Denominación</t>
  </si>
  <si>
    <t>INMUEBLE</t>
  </si>
  <si>
    <t>CONTRATO</t>
  </si>
  <si>
    <t>VIGENCIA DEL CONTRATO</t>
  </si>
  <si>
    <t>MONTO MENSUAL</t>
  </si>
  <si>
    <t>BIEN PROPIO DE TERCEROS O AJENO</t>
  </si>
  <si>
    <t>PARTIDA REGISTRAL DE INCRIPCION DE PROPIEDAD</t>
  </si>
  <si>
    <t>METROS CUADRADOS</t>
  </si>
  <si>
    <t>COCHERAS</t>
  </si>
  <si>
    <t xml:space="preserve">FORMA DE PAGO (MENSUAL O ANUAL) Y FECHA DE PAGO </t>
  </si>
  <si>
    <t>PIA TOTAL S/</t>
  </si>
  <si>
    <t>PIM TOTAL S/</t>
  </si>
  <si>
    <t>EJECUCIÓN TOTAL S/</t>
  </si>
  <si>
    <t>EJECUCIÓN 
POR FUENTE DE FINANCIAMIENTO</t>
  </si>
  <si>
    <t>PIM 
POR FUENTE DE FINANCIAMIENTO</t>
  </si>
  <si>
    <t>PIA 
POR FUENTE DE FINANCIAMIENTO</t>
  </si>
  <si>
    <t>1: Acciones Centrales (AC)</t>
  </si>
  <si>
    <t>2: Asignaciones Presupuestarias que No Resultan en Productos (APNP)</t>
  </si>
  <si>
    <t>3: Programas Presupuestales</t>
  </si>
  <si>
    <t>PIA
POR CATEGORIA PRESUPUESTAL</t>
  </si>
  <si>
    <t>PIM
POR CATEGORIA PRESUPUESTAL</t>
  </si>
  <si>
    <t>EJECUCIÓN
POR CATEGORIA PRESUPUESTAL</t>
  </si>
  <si>
    <t>PIA
POR PROGRAMA PRESUPUESTAL</t>
  </si>
  <si>
    <t>PIM
POR PROGRAMA PRESUPUESTAL</t>
  </si>
  <si>
    <t>EJECUCIÓN
POR PROGRAMA PRESUPUESTAL</t>
  </si>
  <si>
    <t>Decreto Legislativo 276 (Regimen Público)</t>
  </si>
  <si>
    <t>(*) DEBE COINCIDIR CON LOS MONTOS ASIGNADOS EN LA GENERICA 1. PERSONAL Y OBLIGACIONES SOCIALES CONSIDERADAS EN EL PRESUPUESTO</t>
  </si>
  <si>
    <t>(*) DEBE COINCIDIR CON LOS MONTOS ASIGNADOS EN LA GENERICA 3. BIENES Y SERVICIOS CONSIDERADAS EN EL PRESUPUESTO 2018 - 2019 - 2020</t>
  </si>
  <si>
    <t>EJECUCIÓN S/</t>
  </si>
  <si>
    <t>(*) Una línea por cada año fiscal, consignado en monto presupuestado por cada año presupuestal</t>
  </si>
  <si>
    <t>PERSONA JURIDICA (RUC)</t>
  </si>
  <si>
    <t>PERSONA NATURAL (DNI)</t>
  </si>
  <si>
    <t xml:space="preserve">    - OTROS (ESPECIFIQUE)</t>
  </si>
  <si>
    <t xml:space="preserve">       OFICIALES DE CRED. EXTERNO</t>
  </si>
  <si>
    <t>MONEDA</t>
  </si>
  <si>
    <t>FECHA DE APERTURA</t>
  </si>
  <si>
    <t>CUENTA</t>
  </si>
  <si>
    <t>BANCO / INSTITUCIÓN FINANCIERA</t>
  </si>
  <si>
    <t>CUENTAS BANCARIAS</t>
  </si>
  <si>
    <t>ESPECIFICACIONES RECURSOS PUBLICOS</t>
  </si>
  <si>
    <t>ÍNDICE DE FORMATOS</t>
  </si>
  <si>
    <t>FORMATO Nº 1:</t>
  </si>
  <si>
    <t>FORMATO Nº 2:</t>
  </si>
  <si>
    <t>FORMATO Nº 3:</t>
  </si>
  <si>
    <t>FORMATO Nº 4:</t>
  </si>
  <si>
    <t>FORMATO Nº 5:</t>
  </si>
  <si>
    <t>FORMATO Nº 6:</t>
  </si>
  <si>
    <t>FORMATO Nº 7:</t>
  </si>
  <si>
    <t>FORMATO Nº 8:</t>
  </si>
  <si>
    <t>FORMATO Nº 9:</t>
  </si>
  <si>
    <t>FORMATO Nº 10:</t>
  </si>
  <si>
    <t>FORMATO Nº 11:</t>
  </si>
  <si>
    <t>FORMATO Nº 12:</t>
  </si>
  <si>
    <t>FORMATO Nº 13:</t>
  </si>
  <si>
    <t>FORMATO Nº 14:</t>
  </si>
  <si>
    <t>FORMATO Nº 15:</t>
  </si>
  <si>
    <t>FORMATO Nº 16:</t>
  </si>
  <si>
    <t>FORMATO Nº 17:</t>
  </si>
  <si>
    <t>FORMATO Nº 18:</t>
  </si>
  <si>
    <t>INDICADORES INSTITUCIONALES</t>
  </si>
  <si>
    <t>DISTRIBUCIÓN DEL GASTO</t>
  </si>
  <si>
    <t>GASTOS DE PERSONAL</t>
  </si>
  <si>
    <t>GASTOS EN BIENES Y SERVICIOS</t>
  </si>
  <si>
    <t>DIferencia 
(2020-2021)</t>
  </si>
  <si>
    <t>2020 (PIA)</t>
  </si>
  <si>
    <t>Variación % (2020-2021)</t>
  </si>
  <si>
    <t>Diferencia PIA (2020-2021)</t>
  </si>
  <si>
    <t>INGRESOS PERSONAL PRESUPUESTO 2020</t>
  </si>
  <si>
    <t>FORMATO 01: INDICADORES DE GESTIÓN SEGÚN OBJETIVOS ESTRATÉGICOS INSTITUCIONALES AL 2022</t>
  </si>
  <si>
    <t>FORMATO 02: DISTRIBUCIÓN DEL PRESUPUESTO POR CATEGORÍA PRESUPUESTAL 2020, 2021 Y PROYECTO 2022</t>
  </si>
  <si>
    <t>2021 (*)</t>
  </si>
  <si>
    <t>2022 (**)</t>
  </si>
  <si>
    <t>(*) Proyección al 31/12/2021</t>
  </si>
  <si>
    <t>(**) Proyecto 2022</t>
  </si>
  <si>
    <t>FORMATO 03: DISTRIBUCIÓN DEL PRESUPUESTO POR FUENTE DE FINANCIAMIENTO 2020, 2021 Y PROYECTO 2022</t>
  </si>
  <si>
    <t>FORMATO 04: DISTRIBUCIÓN DEL GASTO POR UNIDADES EJECUTORAS / ENTIDAD PÚBLICA Y FUENTES DE FINANCIAMIENTO - PROYECTO 2022</t>
  </si>
  <si>
    <t>FORMATO 05: DISTRIBUCIÓN DEL PRESUPUESTO POR PROGRAMA PRESUPUESTAL 2020, 2021 Y 2022</t>
  </si>
  <si>
    <t>FORMATO 06: PROGRAMAS SOCIALES PRIORIZADOS SEGÚN EL CICLO DE VIDA POR FUENTE DE FINANCIAMIENTO 2020, 2021 Y PROYECTO 2022</t>
  </si>
  <si>
    <t>Proyecto 2022</t>
  </si>
  <si>
    <t>Estimado 2021 (**)</t>
  </si>
  <si>
    <t>DIferencia 
(2021-2022)</t>
  </si>
  <si>
    <t>FORMATO 07: RESUMEN POR GRUPO GENÉRICO Y FUENTES DE FINANCIAMIENTO PROYECTO 2022</t>
  </si>
  <si>
    <t>GASTO CORRIENTE 2022</t>
  </si>
  <si>
    <t>GASTO CAPITAL 2022</t>
  </si>
  <si>
    <t>SERVICIO DE DEUDA 2022</t>
  </si>
  <si>
    <t>FORMATO 08: RESUMEN DE PRESUPUESTO POR FUNCIONES PIA 2020, 2021 Y PROYECTO 2022</t>
  </si>
  <si>
    <t>Var. % (2021-2022)</t>
  </si>
  <si>
    <t>FORMATO 09: COMPARATIVO DEL NÚMERO DE PLAZAS EN EL PRESUPUESTO  2021 Y PROYECTO 2022</t>
  </si>
  <si>
    <t>2021 (PIA)</t>
  </si>
  <si>
    <t>2022  (PROYECTO)</t>
  </si>
  <si>
    <t>FORMATO 11: INGRESOS MENSUALES POR PERIODO DEL PERSONAL ACTIVO -  COMPARATIVO PRESUPUESTO 2020, 2021 Y PROYECTO 2022</t>
  </si>
  <si>
    <t>INGRESOS PERSONAL PRESUPUESTO 2021</t>
  </si>
  <si>
    <t>DIFERENCIA 
(2020 -2021)</t>
  </si>
  <si>
    <t>PROYECTO 2022</t>
  </si>
  <si>
    <t>PPTO 2020
(PIA)</t>
  </si>
  <si>
    <t>FORMATO 12: ASIGNACIÓN DE BIENES Y SERVICIOS - COMPARATIVO PRESUPUESTO 2020, 2021 Y PROYECTO 2022</t>
  </si>
  <si>
    <t>PPTO 2021 
(PIA)</t>
  </si>
  <si>
    <t>PPTO 2021
(PIM 30 JUNIO)</t>
  </si>
  <si>
    <t>PPTO 2022 (PROYECTO)</t>
  </si>
  <si>
    <t>Diferencia PIA (2021-2022)</t>
  </si>
  <si>
    <t>FORMATO 13: CONTRATOS DE OBRAS SUSCRITOS EN LOS AÑOS 2020 Y 2021</t>
  </si>
  <si>
    <t>FORMATO 14: PRINCIPALES ADQUISICIONES DE BIENES Y SERVICIOS - PRESUPUESTO 2020, 2021 Y PROYECTO 2022</t>
  </si>
  <si>
    <t>FORMATO 15: DETALLE DE CONSULTORIAS PERSONAS JURÍDICAS Y NATURALES - PRESUPUESTO 2020 Y 2021</t>
  </si>
  <si>
    <t>FORMATO 16: TESORERIA - RESUMEN POR GRUPO GENERICO Y FUENTES DE FINANCIAMIENTO 2020 Y 2021</t>
  </si>
  <si>
    <t>FORMATO 17: NOMBRES E INGRESOS MENSUALES DEL PERSONAL CONTRATADO FUERA DEL PAP EN LOS AÑOS FISCALES 2020 Y 2021</t>
  </si>
  <si>
    <t>(*) Al 30 de junio de 2021</t>
  </si>
  <si>
    <t>FORMATO 18: ALQUILER DE INMUEBLES EN LOS AÑOS FISCALES 2020 Y 2021</t>
  </si>
  <si>
    <t>(*) = Al 30 de junio de 2021</t>
  </si>
  <si>
    <t>(*) Saldo al 31 de Diciembre de 2021</t>
  </si>
  <si>
    <t>(**) Saldo al 30 de Junio de 2021</t>
  </si>
  <si>
    <t>INDICADORES DE GESTIÓN SEGÚN OBJETIVOS ESTRATÉGICOS INSTITUCIONALES AL 2022</t>
  </si>
  <si>
    <t>DISTRIBUCIÓN DEL PRESUPUESTO POR CATEGORÍA PRESUPUESTAL 2020, 2021 Y PROYECTO 2022</t>
  </si>
  <si>
    <t>DISTRIBUCIÓN DEL PRESUPUESTO POR FUENTE DE FINANCIAMIENTO 2020, 2021 Y PROYECTO 2022</t>
  </si>
  <si>
    <t>DISTRIBUCIÓN DEL GASTO POR UNIDADES EJECUTORAS / ENTIDAD PÚBLICA Y FUENTES DE FINANCIAMIENTO - PROYECTO 2022</t>
  </si>
  <si>
    <t>DISTRIBUCIÓN DEL PRESUPUESTO POR PROGRAMA PRESUPUESTAL 2020, 2021 Y 2022</t>
  </si>
  <si>
    <t>PROGRAMAS SOCIALES PRIORIZADOS SEGÚN EL CICLO DE VIDA POR FUENTE DE FINANCIAMIENTO 2020, 2021 Y PROYECTO 2022</t>
  </si>
  <si>
    <t>RESUMEN POR GRUPO GENÉRICO Y FUENTES DE FINANCIAMIENTO PROYECTO 2022</t>
  </si>
  <si>
    <t>RESUMEN DE PRESUPUESTO POR FUNCIONES PIA 2020, 2021 Y PROYECTO 2022</t>
  </si>
  <si>
    <t>COMPARATIVO DEL NÚMERO DE PLAZAS EN EL PRESUPUESTO 2020, 2021 Y PROYECTO 2022</t>
  </si>
  <si>
    <t>INFORMACIÓN DE REMUNERACIONES Y NÚMERO DE PLAZAS - PRESUPUESTO 2020, 2021 Y PROYECTO 2022</t>
  </si>
  <si>
    <t>INGRESOS MENSUALES POR PERIODO DEL PERSONAL ACTIVO -  COMPARATIVO PRESUPUESTO 2020, 2021 Y PROYECTO 2022</t>
  </si>
  <si>
    <t>ASIGNACIÓN DE BIENES Y SERVICIOS - COMPARATIVO PRESUPUESTO 2020, 2021 Y PROYECTO 2022</t>
  </si>
  <si>
    <t>CONTRATOS DE OBRAS SUSCRITOS EN LOS AÑOS 2020 Y 2021</t>
  </si>
  <si>
    <t>PRINCIPALES ADQUISICIONES DE BIENES Y SERVICIOS - PRESUPUESTO 2020, 2021 Y PROYECTO 2022</t>
  </si>
  <si>
    <t>DETALLE DE CONSULTORIAS PERSONAS JURÍDICAS Y NATURALES - PRESUPUESTO 2020, 2021 Y PROYECTO 2022</t>
  </si>
  <si>
    <t>TESORERIA - RESUMEN POR GRUPO GENERICO Y FUENTES DE FINANCIAMIENTO 2020 Y 2021</t>
  </si>
  <si>
    <t>NOMBRES E INGRESOS MENSUALES DEL PERSONAL CONTRATADO FUERA DEL PAP EN LOS AÑOS FISCALES 2020 Y 2021</t>
  </si>
  <si>
    <t>ALQUILER DE INMUEBLES EN LOS AÑOS FISCALES 2020 Y 2021</t>
  </si>
  <si>
    <t>SALDO 2021 (*)</t>
  </si>
  <si>
    <t>PPTO 2020 (AL 31/12)</t>
  </si>
  <si>
    <t>PPTO 2021 (AL 30/06)</t>
  </si>
  <si>
    <t>2021 (JUNIO)</t>
  </si>
  <si>
    <t>PROYECCIÓN 2022 (JUNIO)</t>
  </si>
  <si>
    <t>SALDO 2021 (**)</t>
  </si>
  <si>
    <t>EJECUCIÓN 2021 (*)</t>
  </si>
  <si>
    <t>(**) Estimado al 31 de diciembre de 2021</t>
  </si>
  <si>
    <t>FORMATO Nº 10: INFORMACIÓN DE REMUNERACIONES Y NÚMERO DE PLAZAS - PRESUPUESTO 2020, 2021 Y PROYECTO 2022</t>
  </si>
  <si>
    <t>TOTAL INGRESO ANUAL PEA (Proyección al 31 de diciembre de  2021)</t>
  </si>
  <si>
    <t>TOTAL INGRESO ANUAL PEA (Proyección al 31 de diciembre de 2022)</t>
  </si>
  <si>
    <t>AÑO FISCAL 2020</t>
  </si>
  <si>
    <t>AÑO FISCAL 2021 (*)</t>
  </si>
  <si>
    <t>EJECUCIÓN 2020</t>
  </si>
  <si>
    <t>PPTO 2020 (PIM)</t>
  </si>
  <si>
    <t>SECTOR  16:  ENERGÍA Y MINAS</t>
  </si>
  <si>
    <t>TODA FUENTE DE FINANCIAMIENTO</t>
  </si>
  <si>
    <t>RECURSOS ORDINARIOS</t>
  </si>
  <si>
    <t>RECURSOS DIRECTAMENTE RECUADADOS</t>
  </si>
  <si>
    <t>RECURSOS POR OPERACIONES OFICIALES DE CRÉDITO</t>
  </si>
  <si>
    <t>DONACIONES Y TRANSFERENCIAS</t>
  </si>
  <si>
    <t>RECURSOS DETERMINADOS</t>
  </si>
  <si>
    <t>OEI.01. Promover la competitividad y sostenibilidad de las inversiones minero energéticas en beneficio de la población</t>
  </si>
  <si>
    <t>Monto de inversión minera según la cartera de proyectos priorizada (Millones US$)</t>
  </si>
  <si>
    <t>4,587 Millones US$ (2018)</t>
  </si>
  <si>
    <t>7,959 Millones US$</t>
  </si>
  <si>
    <t>Declaración Estadística Mensual (ESTAMIN) - Información declarada por los titulares mineros</t>
  </si>
  <si>
    <t>Dirección General de Promoción y Sostenibilidad Minera - MINEM</t>
  </si>
  <si>
    <t>Monto de inversión en electricidad según la cartera de proyectos priorizada (Millones US$)</t>
  </si>
  <si>
    <t>ND</t>
  </si>
  <si>
    <t>307.5 Millones US$</t>
  </si>
  <si>
    <t>Reportes de las empresas concesionarias del Sub Sector Eléctrico</t>
  </si>
  <si>
    <t>Dirección General de Electricidad - MINEM</t>
  </si>
  <si>
    <t>Monto de inversión en hidrocarburos según la cartera de proyectos priorizada (Millones US$)</t>
  </si>
  <si>
    <t>1,143.1 Millones US$ (2018)</t>
  </si>
  <si>
    <t>1,017.9 Millones US$</t>
  </si>
  <si>
    <t>PERUPETRO S.A., PETROPERÚ S.A., Calidda, Contugas, Quavi, Naturgy</t>
  </si>
  <si>
    <t>Dirección General de Hidrocarburos - MINEM</t>
  </si>
  <si>
    <t>1,640.7 Millones US$</t>
  </si>
  <si>
    <t>1,024.90 Millones US$</t>
  </si>
  <si>
    <t>OEI.02 Impulsar la seguridad energética mediante el abastecimiento continuo, moderno y de calidad universal para la población</t>
  </si>
  <si>
    <t>Participación porcentual de la producción de energía eléctrica con centrales de recursos energéticos renovables</t>
  </si>
  <si>
    <t>4.7% (2018)</t>
  </si>
  <si>
    <t>Información presentada por las empresas del subsector electricidad a la DGE/MEM y reporte COES</t>
  </si>
  <si>
    <t>OEI.03 Asegurar la gestión ambiental responsable de los operadores en las actividades minera energéticas en beneficio de la población</t>
  </si>
  <si>
    <t>Porcentaje en la medición de emisiones de GEI dentro del Balance Nacional de Energía</t>
  </si>
  <si>
    <t>100% (2017)</t>
  </si>
  <si>
    <t>Balance Nacional de Energia aprobado</t>
  </si>
  <si>
    <t>Dirección General de Eficiencia Energética - MINEM</t>
  </si>
  <si>
    <t xml:space="preserve">OEI.04 Promover las relaciones armoniosas y el acceso energético en beneficio de la población </t>
  </si>
  <si>
    <t>Porcentaje de proyectos del sector libres de conflictividad social</t>
  </si>
  <si>
    <t>92.2% (2018)</t>
  </si>
  <si>
    <t>Informes del estado de las mesas de diálogo y de trabajo relacionados a los proyectos</t>
  </si>
  <si>
    <t>Oficina General de Gestión Social - MINEM</t>
  </si>
  <si>
    <t>OEI.05 Fortalecer las capacidades de gestión en materia minero energética de los Gobiernos Regionales</t>
  </si>
  <si>
    <t>Porcentaje de participantes de las DREM y GREM aprobados en las capacitaciones regionales</t>
  </si>
  <si>
    <t>100% (2018)</t>
  </si>
  <si>
    <t>Evaluaciones de las capacitaciones</t>
  </si>
  <si>
    <t>Oficna General de Planeamiento y Presupuesto - MINEM</t>
  </si>
  <si>
    <t>OEI.06 Fortalecer la Gestión Institucional</t>
  </si>
  <si>
    <t>Ratio de profesionales de línea entre profesionales de apoyo y asesoría</t>
  </si>
  <si>
    <t>1.16 (2019)</t>
  </si>
  <si>
    <t>Información del personal otorgado por la Oficina de Recursos Humanos</t>
  </si>
  <si>
    <t>Oficna General de Administración - MINEM</t>
  </si>
  <si>
    <t>OEI.07 Implementar la Gestión de Riesgo de Desastres</t>
  </si>
  <si>
    <t>Porcentaje de avance en la implementación del Centro de Operaciones de Emergencia del MEM</t>
  </si>
  <si>
    <t>DREM, MINEM, Empresas del sector, INDECI, CENEPRED, INGEMMET, IPEN</t>
  </si>
  <si>
    <t>Oficina de Defensa Nacional - MINEM</t>
  </si>
  <si>
    <t>Resultado al I Semestre</t>
  </si>
  <si>
    <t>135.88 Millones US$</t>
  </si>
  <si>
    <t>490.05 Millones US$</t>
  </si>
  <si>
    <t>7,959 
Millones US$</t>
  </si>
  <si>
    <t>7,821 
Millones US$</t>
  </si>
  <si>
    <t>4,334 
Millones US$</t>
  </si>
  <si>
    <t>1,298 
Millones US$</t>
  </si>
  <si>
    <t>8,390  Millones US$</t>
  </si>
  <si>
    <t>79.9  
Millones US$</t>
  </si>
  <si>
    <t>307.5 
Millones US$</t>
  </si>
  <si>
    <t>89.64 
Millones US$</t>
  </si>
  <si>
    <t>482.2 
Millones US$</t>
  </si>
  <si>
    <t>957.6 
Millones US$</t>
  </si>
  <si>
    <t>Meta 2022</t>
  </si>
  <si>
    <t>OEI 1.- Desarrollar investigación en ciencia y tecnología nuclear (PEI 2017-2019)</t>
  </si>
  <si>
    <t>Número de proyectos de I+D+i en ejecución.</t>
  </si>
  <si>
    <t>-</t>
  </si>
  <si>
    <t>IPEN</t>
  </si>
  <si>
    <t>Número de publicaciones científicas originales</t>
  </si>
  <si>
    <t>OEI 2.- Transferir tecnología a los sectores productivos y de servicios (PEI 2017-2019)</t>
  </si>
  <si>
    <t>Número de instituciones público y privadas que utilizan tecnología transferida  por el IPEN.</t>
  </si>
  <si>
    <t>OEI.01 Mejorar la calidad de la investigación y desarrollo en ciencia y tecnología nuclear, para su aplicación en beneficio de la sociedad (PEI 2020-2024)</t>
  </si>
  <si>
    <t>Número de proyectos de I+D+i ejecutados eficazmente.</t>
  </si>
  <si>
    <t>Número de publicaciones científicas oportunas</t>
  </si>
  <si>
    <t>OEI.02 Mejorar la gestión de transferencia de la tecnología nuclear a los sectores productivos, de servicios y a la comunidad académica (PEI 2020-2024)</t>
  </si>
  <si>
    <t>Número de aplicaciones de la tecnología nuclear transferidas</t>
  </si>
  <si>
    <t>OEI 3.- Promover el uso seguro de las radiaciones ionizantes en el país (PEI 2017-2019)</t>
  </si>
  <si>
    <t>Porcentaje de muestras  que cumplen con el rango aceptable de radiación</t>
  </si>
  <si>
    <t>Número de servicios tecnológicos nucleares aplicado en los sectores productivos y servicios</t>
  </si>
  <si>
    <t>Número de instituciones fiscalizadas que cumplen con la normatividad</t>
  </si>
  <si>
    <t>OEI.03 Incrementar el nivel de seguridad radiológica  y la prevención de emergencias radiológicas  en el país (PEI 2020-2024)</t>
  </si>
  <si>
    <t>Número de programas de vigilancia radiológica ejecutados oportunamente</t>
  </si>
  <si>
    <t>Número de acciones de control eficaz</t>
  </si>
  <si>
    <t>OEI 4.- Incrementar la producción de radioisótopos en beneficio de la salud (PEI 2017-2019)</t>
  </si>
  <si>
    <t>Número de curíes de radiofármacos entregados</t>
  </si>
  <si>
    <t>OEI.04 Incrementar el nivel de producción de radioisótopos y servicios tecnológicos nucleares en beneficio de los sectores económicos (PEI 2020-2024)</t>
  </si>
  <si>
    <t>Número de becquerelios (Bq) de radiofármacos entregados (TBq) de manera oportuna.</t>
  </si>
  <si>
    <t>Número de servicios tecnológicos nucleares aplicados eficientemente</t>
  </si>
  <si>
    <t>OEI 5.- Mejorar la gestión  Institucional del IPEN (PEI 2017-2019)</t>
  </si>
  <si>
    <t>Número de procesos mejorados</t>
  </si>
  <si>
    <t>OEI.05 Fortalecer la gestión institucional (PEI 2020-2024)</t>
  </si>
  <si>
    <t>Número de procesos críticos mejorados</t>
  </si>
  <si>
    <t>OES.06</t>
  </si>
  <si>
    <t>OEI.06 Fortalecer la  gestión de riesgo de desastres en el IPEN (PEI 2020-2024)</t>
  </si>
  <si>
    <t>Porcentaje de avance en la implementación eficaz del plan de gestión de riesgos de desastres</t>
  </si>
  <si>
    <t>(*) al 30 de julio de 2021</t>
  </si>
  <si>
    <t>OES.01
Incrementar el desarrollo 
económico del país mediante el
aumento de la competitividad del 
Sector Minero-Energético</t>
  </si>
  <si>
    <t>OEI.02 Garantizar la seguridad jurídica del rol concedente a los usuarios minero</t>
  </si>
  <si>
    <t>Porcentaje de títulos mineros consentidos</t>
  </si>
  <si>
    <t>99% (2016)</t>
  </si>
  <si>
    <t>Base de datos (Resoluciones) del SIDEMCAT</t>
  </si>
  <si>
    <t>DCM - DC - DDV - UADA - ODES</t>
  </si>
  <si>
    <t>OEI.01 Incrementar el conocimiento geológico para la ciudadanía en general</t>
  </si>
  <si>
    <t xml:space="preserve">Porcentaje de boletines finales de investigación geológica publicados  </t>
  </si>
  <si>
    <t>100% (2016)</t>
  </si>
  <si>
    <t>Evaluaciones POI, Sistema INGEADMIN</t>
  </si>
  <si>
    <t>URI /
Direcciones de Línea de Geología</t>
  </si>
  <si>
    <t>OES.03
Contribuir en el desarrollo
humano y en las relaciones armoniosas de los actores del Sector Minero-Energético</t>
  </si>
  <si>
    <t>OEI.03 Implementar la gestión de riesgo de desastres en beneficio de la población</t>
  </si>
  <si>
    <t>Porcentaje  de implementación de la gestión de riesgo de desastres</t>
  </si>
  <si>
    <t>Evaluaciones POI.</t>
  </si>
  <si>
    <t xml:space="preserve"> PE - GG</t>
  </si>
  <si>
    <t>OES.04
Fortalecer la gobernanza y la modernización del Sector Minero-Energético</t>
  </si>
  <si>
    <t>OEI.04 Fortalecer la gestión institucional</t>
  </si>
  <si>
    <t>Porcentaje de satisfacción de la gestión institucional</t>
  </si>
  <si>
    <t>Informes de la Unidad de Relaciones Institucionales</t>
  </si>
  <si>
    <t>OPP  - OAJ - OCI - OA - OSI</t>
  </si>
  <si>
    <t>(*)</t>
  </si>
  <si>
    <t>OES.02 
Disminuir el impacto ambiental de las operaciones minero-energéticas</t>
  </si>
  <si>
    <t>OES.04 
Fortalecer la gobernanza y la modernización del Sector Minero-Energético</t>
  </si>
  <si>
    <t>OES.03 
Contribuir en el desarrollo humano y en las relaciones armoniosas de los actores del Sector Minero-Energético</t>
  </si>
  <si>
    <t>OOES.01 
Incrementar el desarrollo económico del país mediante el aumento de la competitividad del Sector Minero-Energético</t>
  </si>
  <si>
    <t>220:
INSTITUTO GEOLOGICO MINERO Y METALURGICO
(INGEMMET)</t>
  </si>
  <si>
    <t>220:  
INSTITUTO PERUANO DE ENERGÍA NUCLEAR
(IPEN)</t>
  </si>
  <si>
    <t>016:  MINISTERIO DE ENERGÍA Y MINAS
(MINEM)</t>
  </si>
  <si>
    <t>001. MINISTERIO DE ENERGIA Y MINAS-CENTRAL</t>
  </si>
  <si>
    <t>016. M. DE ENERGIA Y MINAS</t>
  </si>
  <si>
    <t>005. DIRECCION GENERAL DE ELECTRIFICACION RURAL</t>
  </si>
  <si>
    <t>220. INSTITUTO PERUANO DE ENERGIA NUCLEAR</t>
  </si>
  <si>
    <t>001. INSTITUTO PERUANO DE ENERGIA NUCLEAR</t>
  </si>
  <si>
    <t>221. INSTITUTO GEOLOGICO MINERO Y METALURGICO</t>
  </si>
  <si>
    <t>001. INSTITUTO GEOLOGICO MINERO Y METALURGICO</t>
  </si>
  <si>
    <t>FUENTE DE FINANCIAMIENTO: A TODA FUENTE</t>
  </si>
  <si>
    <t>SECTOR 16 : ENERGÍA Y MINAS</t>
  </si>
  <si>
    <t>FUENTE DE FINANCIAMIENTO: RECURSOS ORDINARIOS</t>
  </si>
  <si>
    <t>FUENTE DE FINANCIAMIENTO: RECURSOS DIRECTAMENTE RECAUDADOS</t>
  </si>
  <si>
    <t>FUENTE DE FINANCIAMIENTO: DONACIONES Y TRANSFERENCIAS</t>
  </si>
  <si>
    <t>FUENTE DE FINANCIAMIENTO: RECURSOS DETERMINADOS</t>
  </si>
  <si>
    <t xml:space="preserve">      0046. Acceso y Uso de la Electrificación Rural </t>
  </si>
  <si>
    <t xml:space="preserve">      0068. Reducción de Vulnerabilidad y Atención de Emergencias por Desastres</t>
  </si>
  <si>
    <t xml:space="preserve">      0120. Remediación de Pasivos Ambientales Mineros</t>
  </si>
  <si>
    <t xml:space="preserve">      0126. Formalización Minera de la Pequeña Mineria y Minería Artesanal</t>
  </si>
  <si>
    <t xml:space="preserve">      0128. Reducción de la Minería Ilegal</t>
  </si>
  <si>
    <t xml:space="preserve">      0137. Desarrollo de la Ciencia, Tecnología e Innovación Tecnológica</t>
  </si>
  <si>
    <t xml:space="preserve">       </t>
  </si>
  <si>
    <t>3.- RECURSOS OPERACIONES OFICIALES DE CREDITO</t>
  </si>
  <si>
    <t xml:space="preserve">    - CANON  Y  SOBRECANON, REGALIAS Y PARTICIPACIONES</t>
  </si>
  <si>
    <t>SECTOR 16: ENERGÍA Y MINAS</t>
  </si>
  <si>
    <t>PLIEGO 016 : MINISTERIO DE ENERGÍA Y MINAS</t>
  </si>
  <si>
    <t>UNIDAD EJECUTORA 001 : MINEM - CENTRAL</t>
  </si>
  <si>
    <t>F-7</t>
  </si>
  <si>
    <t>F-7 (Judiciales)</t>
  </si>
  <si>
    <t>F-6</t>
  </si>
  <si>
    <t>F-5</t>
  </si>
  <si>
    <t>F-4</t>
  </si>
  <si>
    <t>F-3</t>
  </si>
  <si>
    <t>F-2</t>
  </si>
  <si>
    <t>SP-A</t>
  </si>
  <si>
    <t>SP-B</t>
  </si>
  <si>
    <t>SP-C</t>
  </si>
  <si>
    <t>SP-D</t>
  </si>
  <si>
    <t>SP-E</t>
  </si>
  <si>
    <t>SP-F</t>
  </si>
  <si>
    <t>PRACTICANTES</t>
  </si>
  <si>
    <t>ST-A</t>
  </si>
  <si>
    <t>ST-B</t>
  </si>
  <si>
    <t>ST-C</t>
  </si>
  <si>
    <t>ST-D</t>
  </si>
  <si>
    <t>ST-E</t>
  </si>
  <si>
    <t>ST-F</t>
  </si>
  <si>
    <t>SA-A</t>
  </si>
  <si>
    <t>SA-B</t>
  </si>
  <si>
    <t>SA-C</t>
  </si>
  <si>
    <t>SA-D</t>
  </si>
  <si>
    <t>SA-E</t>
  </si>
  <si>
    <t>SA-F</t>
  </si>
  <si>
    <t>UNIDAD EJECUTORA 005 : DIRECCIÓN GENERAL DE ELECTRIFICACIÓN RURAL</t>
  </si>
  <si>
    <t>SPB</t>
  </si>
  <si>
    <t>SPC</t>
  </si>
  <si>
    <t>SPD</t>
  </si>
  <si>
    <t>PLIEGO 220 : INSTITUTO PERUANO DE ENERGIA NUCLEAR</t>
  </si>
  <si>
    <t>D-2</t>
  </si>
  <si>
    <t>D-3</t>
  </si>
  <si>
    <t>D-4</t>
  </si>
  <si>
    <t>D-5</t>
  </si>
  <si>
    <t>D-6</t>
  </si>
  <si>
    <t>P-1</t>
  </si>
  <si>
    <t>P-10</t>
  </si>
  <si>
    <t>P-2</t>
  </si>
  <si>
    <t>P-3</t>
  </si>
  <si>
    <t>P-4</t>
  </si>
  <si>
    <t>P-5</t>
  </si>
  <si>
    <t>P-6</t>
  </si>
  <si>
    <t>P-7</t>
  </si>
  <si>
    <t>P-8</t>
  </si>
  <si>
    <t>T-1</t>
  </si>
  <si>
    <t>T-10</t>
  </si>
  <si>
    <t>T-3</t>
  </si>
  <si>
    <t>T-4</t>
  </si>
  <si>
    <t>T-5</t>
  </si>
  <si>
    <t>T-6</t>
  </si>
  <si>
    <t>T-7</t>
  </si>
  <si>
    <t>T1-I</t>
  </si>
  <si>
    <t>A-4</t>
  </si>
  <si>
    <t>A-5</t>
  </si>
  <si>
    <t>A-6</t>
  </si>
  <si>
    <t xml:space="preserve">CONTRATO ADMINISTRATIVO DE SERVICIOS </t>
  </si>
  <si>
    <t>PRACTICAS</t>
  </si>
  <si>
    <t>PLIEGO  221 : INSTITUTO GEOLOGICO MINERO Y METALURGICO</t>
  </si>
  <si>
    <t>CONSEJO DIRECTIVO</t>
  </si>
  <si>
    <t>PRACTICAS PROFESIONALES</t>
  </si>
  <si>
    <t>T-2</t>
  </si>
  <si>
    <t>PRACTICAS PRE PROFESIONALES</t>
  </si>
  <si>
    <t>PLIEGO 016 : MINISTERIO DE ENERGIA Y MINAS</t>
  </si>
  <si>
    <t>FUNCIONARIOS</t>
  </si>
  <si>
    <t>D.L.1057 - CAS</t>
  </si>
  <si>
    <t>SE CONSIGNARA EL NUMERO TOTAL DE PERSONAL ACTIVO ( NOMBRADO Y CONTRATADO) SEGÚN EL PRESUPUESTO ANALITICO DE PERSONAL (PAP) APROBADO</t>
  </si>
  <si>
    <t>P-12</t>
  </si>
  <si>
    <t>TI-1</t>
  </si>
  <si>
    <t>OTRAS CONTRIBUCIONES DEL EMPLEADOR</t>
  </si>
  <si>
    <t>COMPENSACION POR TIEMPO DE SERVICIO (CTS)</t>
  </si>
  <si>
    <t>CTS</t>
  </si>
  <si>
    <t>PLIEGO 221 : INSTITUTO GEOLOGICO MINERO Y METALURGICO</t>
  </si>
  <si>
    <t>CONTRATO A PLAZO INDETERMINADO</t>
  </si>
  <si>
    <t>Y REGIMEN LABORAL PRIVADO</t>
  </si>
  <si>
    <t>SECTOR: 16 ENERGÍA Y MINAS</t>
  </si>
  <si>
    <t>AÑO 2020</t>
  </si>
  <si>
    <t>1. EJECUCIÓN DE LA OBRA "AMPLIACIÓN DEL SUBSISTEMA DE DISTRIBUCIÓN PRIMARIA Y SECUNDARIA 22,9/0.380-0.220 KV. DE LAS LOCALIDADES MARGINALES DE LA CIUDAD DE CRUCERO, DISTRITO DE CRUCERO - CARABAYA - PUNO"</t>
  </si>
  <si>
    <t>ejecucion de Obra</t>
  </si>
  <si>
    <t>LICITACION PUBLICA</t>
  </si>
  <si>
    <t>LP N° 0006-2019-MINEM/DGER</t>
  </si>
  <si>
    <t xml:space="preserve"> 20363610936 - SIPA CONTRATISTAS GENERALES S.R.L.</t>
  </si>
  <si>
    <t>N° 03</t>
  </si>
  <si>
    <t>2. CONTRATACIÓN DE LA SUPERVISION DE LA EJECUCION DE LA OBRA "AMPLIACION DEL SISTEMA ELECTRICO RURAL SEGUNDA ETAPA, DE LOS SECTORES DEL VALLE DE PAJARILLO, DISTRITO DE PAJARILLO - PROVINCIA DE MARISCAL CACERES - REGION SAN MARTIN" (Monto contratado sin IGV)</t>
  </si>
  <si>
    <t>Consultoría de Obra</t>
  </si>
  <si>
    <t>CONCURSO PUBLICO</t>
  </si>
  <si>
    <t>CP N° 0005-2019-MINEM/DGER</t>
  </si>
  <si>
    <t>10011067412 - GODOFREDO NARCISO SINCHE MAYORCA</t>
  </si>
  <si>
    <t>3. SUPERVISION DE LA EJECUCIÓN DE LA OBRA "AMPLIACION DE ELECTRIFICACION RURAL EN LOS DISTRITOS DE COTABAMBAS, COYLLURQUI, HAQUIRA, TAMBOBAMBA Y MARA - COTABAMBAS - APURIMAC"</t>
  </si>
  <si>
    <t>CP N° 0003-2019-MINEM/DGER</t>
  </si>
  <si>
    <t>20252132466 - SERVICIOS DE INGENIERIA INTEGRAL S.A.C.</t>
  </si>
  <si>
    <t>4. ELABORACION DEL ESTUDIO DE PERFIL DEL PROYECTO AMPLIACION DE LA ELECTRIFICACION RURAL EN LAS PROVINCIAS DE DATEM DEL MARAÑON Y LORETO, REGION LORETO</t>
  </si>
  <si>
    <t>Servicios de Consultoría</t>
  </si>
  <si>
    <t>ADJUDICACION SIMPLIFICADA</t>
  </si>
  <si>
    <t>AS N° 0011-2019-MINEM/DGER</t>
  </si>
  <si>
    <t>20518635850 - DTM INGENIEROS S.A.C.</t>
  </si>
  <si>
    <t>5. ELABORACIÓN DEL ESTUDIO DEFINITIVO DEL PROYECTO SISTEMA ELÉCTRICO RURAL CASTROVIRREYNA III ETAPA</t>
  </si>
  <si>
    <t>2303954, 173027</t>
  </si>
  <si>
    <t>AS N° 0008-2019-MINEM/DGER</t>
  </si>
  <si>
    <t xml:space="preserve">20172889540 - SERVICIOS Y REPRESENTACIONES PROFESIONALES RUBELEC S.A. </t>
  </si>
  <si>
    <t>6. ELABORACIÓN DEL ESTUDIO DE PERFIL  DEL PROYECTO "ELECTRIFICACIÓN RURAL EN LOCALIDADES DE LOS DISTRITOS DE NAUTA Y URANINAS, PROVINCIA DE LORETO, REGIÓN LORETO"</t>
  </si>
  <si>
    <t>AS N° 0015-2019-MINEM/DGER</t>
  </si>
  <si>
    <t>20108432510 - PRIETO INGENIEROS CONSULTORES S.A.C.</t>
  </si>
  <si>
    <t xml:space="preserve">7. ELABORACIÓN DEL ESTUDIO DE PERFIL DEL PROYECTO “AMPLIACIÓN DEL SERVICIO DE ENERGIA ELECTRICA EN LA PROVINCIA DEL SANTA Y EN EL DISTRITO DE PAMPAROMAS – DEPARTAMENTO DE ANCASH”
</t>
  </si>
  <si>
    <t>AS N° 0010-2019-MINEM/DGER</t>
  </si>
  <si>
    <t>N° 02</t>
  </si>
  <si>
    <t>8. ELABORACIÓN DEL ESTUDIO DEFINITIVO DEL PROYECTO "CREACIÓN DEL SISTEMA ELÉCTRICO RURAL DE 10 LOCALIDADES UBICADAS - DISTRITO DE LOS BAÑOS DEL INCA-PROVINCIA DE CAJAMARCA - DEPARTAMENTO DE CAJAMARCA; DISTRITO DE JESUS - PROVINCIA DE CAJAMARCA - DEPARTAMENTO DE CAJAMARCA"</t>
  </si>
  <si>
    <t>AS N° 0018-2019-MINEM/DGER</t>
  </si>
  <si>
    <t>9. ELABORACION DEL ESTUDIO DEFINITIVO DEL PROYECTO INSTALACION DE SISTEMA ELECTRICO RURAL SALLIQUE - POMAHUACA PUCARA III ETAPA.</t>
  </si>
  <si>
    <t>306192, 2318166</t>
  </si>
  <si>
    <t>AS N° 0007-2019-MINEM/DGER</t>
  </si>
  <si>
    <t>10. ELECTRIFICACION RURAL EN LAS LOCALIDADES DE LOS DISTRITOS DE ACOBAMBA, MARCAS, CAJA ESPIRITU Y POMACOCHA - PROVINCIA DE ACOBAMBA</t>
  </si>
  <si>
    <t>LP N° 0007-2019-MINEM/DGER</t>
  </si>
  <si>
    <t>20487038017 - MARTA PEÑA CONSTRUCTORES S.A.C.</t>
  </si>
  <si>
    <t>11. SUPERVISIÓN DE LA OBRA "AMPLIACIÓN DEL SUBSISTEMA DE DISTRIBUCIÓN PRIMARIA Y SECUNDARIA 22,9/0.380-0.220 KV. DE LAS LOCALIDADES MARGINALES DE LA CIUDAD DE CRUCERO, DISTRITO DE CRUCERO - CARABAYA - PUNO"</t>
  </si>
  <si>
    <t>AS N° 0016-2019-MINEM/DGER</t>
  </si>
  <si>
    <t>10013443624 - JOSE LUIS ARAUJO LOPEZ</t>
  </si>
  <si>
    <t>12. SUPERVISIÓN DE LA OBRA “ELECTRIFICACION RURAL EN LAS LOCALIDADES DE LOS DISTRITOS DE ACOBAMBA, MARCAS, CAJA ESPIRITU Y POMACOCHA - PROVINCIA DE ACOBAMBA”</t>
  </si>
  <si>
    <t>AS N° 0017-2019-MINEM/DGER</t>
  </si>
  <si>
    <t>20519339154 - UNIÓN DE CONSULTORES SOCIEDAD ANÓNIMA CERRADA – UNIÓN DE CONSULTORES S.A.C.</t>
  </si>
  <si>
    <t>13. EJECUCIÓN DE LA OBRA “INSTALACIÓN DEL SERVICIO DE ENERGÍA ELÉCTRICA DE 07 LOCALIDADES RURALES DISTRITO DE CHUQUIS – DOS DE MAYO - HUÁNUCO”</t>
  </si>
  <si>
    <t>AS N° 0023-2019-MINEM/DGER</t>
  </si>
  <si>
    <t>20568971273 - HGD INGENIERÍA S.A.C.</t>
  </si>
  <si>
    <t>14. EJECUCIÓN DE LA OBRA “CREACIÓN DEL SERVICIO ELÉCTRICO EN EL CASERÍO ANTACALLANCA DEL DISTRITO DE SAN MIGUEL DE CAURI – PROVINCIA DE LAURICOCHA – DEPARTAMENTO DE HUÁNUCO”</t>
  </si>
  <si>
    <t>AS N° 0001-2020-MINEM/DGER</t>
  </si>
  <si>
    <t>20489466741 - INVERSIONES HILARIO S.A.C.</t>
  </si>
  <si>
    <t>15. EJECUCIÓN DE LA OBRA “AMPLIACIÓN DE ELECTRIFICACIÓN RURAL EN EL DISTRITO DE CHALLHUAHUACHO-COTABAMBAS-APURÍMAC”</t>
  </si>
  <si>
    <t>LP N° 0005-2019-MINEM/DGER</t>
  </si>
  <si>
    <t>20515427385 - HGD CONTRATISTAS S.A.C.</t>
  </si>
  <si>
    <t>16. EJECUCIÓN DE LA OBRA “AMPLIACIÓN DE ELECTRIFICACIÓN RURAL EN LOS DISTRITOS DE COTABAMBAS, COYLLURQUI, HAQUIRA, TAMBOBAMBA Y MARA – COTABAMBAS -APURÍMAC”</t>
  </si>
  <si>
    <t>LP N° 0004-2019-MINEM/DGER</t>
  </si>
  <si>
    <t>17. EJECUCIÓN DE LA OBRA “AMPLIACIÓN DEL SISTEMA ELÉCTRICO RURAL SEGUNDA ETAPA, DE LOS SECTORES DEL VALLE DE PAJARILLO, DISTRITO DE PAJARILLO – PROVINCIA DE MARISCAL CÁCERES – REGIÓN SAN MARTÍN”</t>
  </si>
  <si>
    <t>LP N° 0002-2020-MINEM/DGER</t>
  </si>
  <si>
    <t>CONSORCIO ELECTRIFICACIÓN PAJARILLO (20393292637 - CMP CONTRATISTAS GENERALES S.A.C. , 20486496372 - COMUNICACIONES S.A.C.)</t>
  </si>
  <si>
    <t xml:space="preserve">18. EJECUCIÓN DE OBRAS DEL PAQUETE N° 3: REGIÓN PUNO - PROYECTO N° 01: EJECUCIÓN DEL “SALDO DE OBRA DEL SISTEMA ELÉCTRICO RURAL SANDIA IV ETAPA”
</t>
  </si>
  <si>
    <t>26911, 259178</t>
  </si>
  <si>
    <t>LP N° 0007-2020-MINEM/DGER</t>
  </si>
  <si>
    <t xml:space="preserve">20447932882 - COCO INGENIEROS CONSULTORES Y CONTRATISTAS GENERALES S.A.C.
</t>
  </si>
  <si>
    <t xml:space="preserve">19. EJECUCIÓN DE OBRAS DEL PAQUETE N° 3: REGIÓN PUNO - PROYECTO N° 02: EJECUCIÓN DE LA OBRA “PEQUEÑO SISTEMA ELÉCTRICO CALAPUJA II ETAPA”
</t>
  </si>
  <si>
    <t>20447932882 - COCO INGENIEROS CONSULTORES Y CONTRATISTAS GENERALES S.A.C.</t>
  </si>
  <si>
    <t xml:space="preserve">20. EJECUCIÓN DE OBRAS DEL PAQUETE N° 2: REGIONES DE HUANCAVELICA Y JUNIN - PROYECTO 1: “ELECTRIFICACIÓN RURAL EN LOS DISTRITOS DE LA MARGEN DERECHA DEL RÍO LIRCAY DE LA PROVINCIA DE ANGARAES”
</t>
  </si>
  <si>
    <t>69652, 303431, 2068770, 87401</t>
  </si>
  <si>
    <t>LP N° 0005-2020-MINEM/DGER</t>
  </si>
  <si>
    <t>CONSORCIO INGENIERIA (20568971273 - HGD INGENIERÍA S.A.C., 20534027126- AMD INGENIEROS S.A.C.)</t>
  </si>
  <si>
    <t xml:space="preserve">21. EJECUCIÓN DE OBRAS DEL PAQUETE N° 2: REGIONES DE HUANCAVELICA Y JUNIN - PROYECTO 2: “INSTALACIÓN DEL SISTEMA DE ELECTRIFICACIÓN RURAL EN EL ANEXO DE TIPICOCHA, DISTRITO DE CHUPAMARCA, PROVINCIA DE CASTROVIRREYNA-HUANCAVELICA”
</t>
  </si>
  <si>
    <t xml:space="preserve">22. EJECUCIÓN DE OBRAS DEL PAQUETE N° 2: REGIONES DE HUANCAVELICA Y JUNIN - PROYECTO 3: “INSTALACIÓN DEL SERVICIO DE ELECTRICIDAD A 12 LOCALIDADES, DISTRITO DE PARIAHUANCA-HUANCAYO-JUNÍN”
</t>
  </si>
  <si>
    <t>AÑO 2021</t>
  </si>
  <si>
    <t xml:space="preserve">SUPERVISIÓN DEL PAQUETE “SUPERVISION DE DOS (02) OBRAS DE ELECTRIFICACION RURAL EN EL DEPARTAMENTO DE HUANUCO”
Proyecto 1: CREACIÓN DEL SERVICIO ELÉCTRICO EN EL CASERÍO ANTACALLANCA DEL DISTRITO DE SAN MIGUEL DE CAURI - PROVINCIA DE LAURICOCHA - DEPARTAMENTO DE HUÁNUCO
Proyecto 2: INSTALACION DEL SERVICIO DE ENERGIA ELECTRICA DE 07 LOCALIDADES RURALES DISTRITO DE CHUQUIS – DOS DE MAYO – HUANUCO
</t>
  </si>
  <si>
    <t>268764, 2436093</t>
  </si>
  <si>
    <t>AS N° 0002-2020-MINEM/DGER</t>
  </si>
  <si>
    <t xml:space="preserve">150  Y 210 </t>
  </si>
  <si>
    <t>ELABORACIÓN DEL EXPEDIENTE TÉCNICO Y LA EJECUCIÓN DE OBRA “AMPLIACIÓN DE LA ELECTRIFICACIÓN RURAL EN LA PROVINCIA DE ALTO AMAZONAS, DEPARTAMENTO DE LORETO, EN LOS DISTRITOS DE YURIMAGUAS, BALSAPUERTO Y LAGUNAS DE LA PROVINCIA DE ALTO AMAZONAS – DEPARTAMENTO DE LORETO”</t>
  </si>
  <si>
    <t>consultoría y ejecucion de Obra</t>
  </si>
  <si>
    <t>LP N° 0009-2020-MINEM/DGER</t>
  </si>
  <si>
    <t xml:space="preserve">CONSORCIO BALSAPUERTO I        (20300690999 - CONSTRUCTORA CABO VERDE S.A. - COVERSA,  
20486941287 - CONSULTORES Y CONSTRUCTORES KEVIN S.A.C.)
</t>
  </si>
  <si>
    <t xml:space="preserve">150 Y  210 </t>
  </si>
  <si>
    <t>SUPERVISIÓN DE LA OBRA “AMPLIACIÓN DE ELECTRIFICACIÓN RURAL EN EL DISTRITO DE CHALLHUAHUACHO – COTABAMBAS - APURÍMAC”</t>
  </si>
  <si>
    <t>CP N° 0007-2019-MINEM/DGER</t>
  </si>
  <si>
    <t>20100966426 - VÍCTOR CHÁVEZ IZQUIERDO S.A.</t>
  </si>
  <si>
    <t>EJECUCIÓN DE LA OBRA “ELECTRIFICACIÓN DE LA ISLA TAQUILE, UBICADA EN EL DEPARTAMENTO DE PUNO”</t>
  </si>
  <si>
    <t>LP N° 0004-2020-MINEM/DGER</t>
  </si>
  <si>
    <t>20453914268 - GRUPO JACEP S.R.L.</t>
  </si>
  <si>
    <t>SUPERVISIÓN DE LA OBRA “AMPLIACIÓN DE ELECTRIFICACIÓN RURAL EN LAS COMUNIDADES DEL DISTRITO DE HUAQUIRCA – ANTABAMBA - APURÍMAC”</t>
  </si>
  <si>
    <t>AS N° 0003-2020-MINEM/DGER</t>
  </si>
  <si>
    <t xml:space="preserve">CONSORCIO COLLANTES CORPORACION (10175293031 - SALVADOR SERRANO CUEVA, 
20487731928 -  CONSTRUCTORA CADHORVIC INGENIEROS E.I.R.L.)
</t>
  </si>
  <si>
    <t xml:space="preserve">SUPERVISIÓN DE LA EJECUCIÓN DE OBRAS DEL “PAQUETE N° 2: REGIONES HUANCAVELICA Y JUNÍN
 ITEM N° 2: INSTALACIÓN DEL SISTEMA DE ELECTRIFICACIÓN RURAL EN EL ANEXO DE TIPICOCHA, DISTRITO DE CHUPAMARCA, PROVINCIA DE CASTROVIRREYNA-HUANCAVELICA”
</t>
  </si>
  <si>
    <t>CP N° 0003-2020-MINEM/DGER</t>
  </si>
  <si>
    <t>10075164811 - JAIME ROMAN HUARCAYA RAZABAL</t>
  </si>
  <si>
    <t xml:space="preserve">SUPERVISIÓN DE LA EJECUCIÓN DE OBRAS DEL “PAQUETE N° 2: REGIONES HUANCAVELICA Y JUNÍN
 ITEM N° 1: ELECTRIFICACIÓN RURAL EN LOS DISTRITOS DE LA MARGEN DERECHA DEL RÍO LIRCAY DE LA PROVINCIA DE ANGARAES”
</t>
  </si>
  <si>
    <t xml:space="preserve">SUPERVISIÓN DE LA EJECUCIÓN DE OBRAS DEL “PAQUETE N° 2: REGIONES HUANCAVELICA Y JUNÍN
 ITEM N° 3: INSTALACIÓN DEL SERVICIO DE ELECTRICIDAD A 12 LOCALIDADES, DISTRITO DE PARIAHUANCA, HUANCAYO-JUNÍN”
</t>
  </si>
  <si>
    <t xml:space="preserve">CONSORCIO A&amp;M    (10090757828 - CESAR MUÑOZ RUBIO, 
10164561882)- ANIBAL QUIROZ SANCHEZ)
</t>
  </si>
  <si>
    <t xml:space="preserve">SUPERVISIÓN DE OBRAS DEL PAQUETE N° 3: REGIÓN PUNO
 ÍTEM N° 1: SUPERVISIÓN DEL SALDO DE OBRA DEL SISTEMA ELÉCTRICO RURAL SANDÍA IV ETAPA
</t>
  </si>
  <si>
    <t>CP N° 0002-2020-MINEM/DGER</t>
  </si>
  <si>
    <t>20100966426 - VICTOR CHAVEZ IZQUIERDO S.A.</t>
  </si>
  <si>
    <t xml:space="preserve">SUPERVISIÓN DE OBRAS DEL PAQUETE N° 3: REGIÓN PUNO
 ITEM N° 2: SUPERVISIÓN DE LA OBRA “PEQUEÑO SISTEMA ELÉCTRICO CALAPUJA II ETAPA”
</t>
  </si>
  <si>
    <t>20480825722 - GE INGENIEROS SOCIEDAD ANÓNIMA CERRADA</t>
  </si>
  <si>
    <t>EJECUCIÓN DE LA OBRA “AMPLIACIÓN DE ELECTRIFICACIÓN RURAL EN LAS COMUNIDADES DEL DISTRITO DE HUAQUIRCA – ANTABAMBA - APURÍMAC”</t>
  </si>
  <si>
    <t>LP N° 0010-2020-MINEM/DGER</t>
  </si>
  <si>
    <t>20550297176 - INGENIERÍA DE LA CONSTRUCCIÓN HDH S.A.C.-IC HDH S.A.C.</t>
  </si>
  <si>
    <t>EJECUCIÓN DE LA OBRA “AMPLIACIÓN DE REDES DE DISTRIBUCIÓN DE LAS PROVINCIAS DE CAJAMARCA, CHOTA, HUALGAYOC, SAN MIGUEL Y SANTA CRUZ, DEPARTAMENTO DE CAJAMARCA”</t>
  </si>
  <si>
    <t>LP N° 0003-2020-MINEM/DGER</t>
  </si>
  <si>
    <t>CONSORCIO ELEC (20253757931 - ABENGOA PERÚ S.A.,  
20347029697 - CHINA INTERNATIONAL WATER &amp; ELECTRIC CORP (PERÚ), )</t>
  </si>
  <si>
    <t>SUPERVISIÓN DE LA OBRA “ELECTRIFICACIÓN DE LA ISLA TAQUILE, UBICADA EN EL DEPARTAMENTO DE PUNO”</t>
  </si>
  <si>
    <t>CP N° 0001-2020-MINEM/DGER</t>
  </si>
  <si>
    <t>20252132466 - SERVICIOS DE INGENIERÍA INTEGRAL S.A.C.</t>
  </si>
  <si>
    <t>EJECUCIÓN DEL SALDO DE LA OBRA “INSTALACIÓN DEL SISTEMA ELECTRICO RURAL PAPAPLAYA II ETAPA”</t>
  </si>
  <si>
    <t>CONTRATACION DIRECTA</t>
  </si>
  <si>
    <t>CD N° 0001-2021-MINEM/DGER</t>
  </si>
  <si>
    <t>20393292637 - CMP CONTRATISTAS GENERALES SOCIEDAD ANÓNIMA CERRADA – CMP CONTRATISTAS GENERALES S.A.C.</t>
  </si>
  <si>
    <t>EJECUCIÓN DE LA OBRA “AMPLIACIÓN DE LÍNEAS PRIMARIAS, REDES PRIMARIAS Y REDES SECUNDARIAS EN LAS 7 LOCALIDADES DEL DISTRITO DE CORANI – PROVINCIA DE CARABAYA – DEPARTAMENTO DE PUNO”</t>
  </si>
  <si>
    <t>LP N° 0001-2021-MINEM/DGER</t>
  </si>
  <si>
    <t>20525293794 - TECNICOS EJECUTORES A&amp;G SOCIEDAD COMERCIAL DE RESPONSABILIDAD LIMITADA</t>
  </si>
  <si>
    <t>EJECUCIÓN DE LA OBRA “SISTEMA ELÉCTRICO RURAL VALLE HUAURA SAYAN III ETAPA”</t>
  </si>
  <si>
    <t>AS N° 0003-2021-MINEM/DGER</t>
  </si>
  <si>
    <t>20537863162- CONSTRUCTORA TURIN E.I.R.L.</t>
  </si>
  <si>
    <t>SUPERVISIÓN DE LA OBRA “AMPLIACIÓN DE REDES DE DISTRIBUCIÓN DE LAS PROVINCIAS DE CAJAMARCA, CHOTA, HUALGAYOC, SAN MIGUEL Y SANTA CRUZ, DEPARTAMENTO DE CAJAMARCA”</t>
  </si>
  <si>
    <t>CP N° 0005-2020-MINEM/DGER</t>
  </si>
  <si>
    <t>CONSORCIO SERING-GODOFREDO SINCHE        (20252132466 -  SERVICIOS DE INGENIERIA INTEGRAL S.A.C.                        10011067412 -  GODOFREDO NARCISO SINCHE MAYORCA)</t>
  </si>
  <si>
    <t>EJECUCIÓN DE LA OBRA “CREACIÓN DEL SERVICIO DE ENERGÍA ELÉCTRICA MEDIANTE SISTEMA CONVENCIONAL EN LAS LOCALIDADES DE LAS CUENCAS 17, 18, 20 Y 21 DEL DISTRITO DE MAZAMARI – SATIPO - JUNÍN”</t>
  </si>
  <si>
    <t>LP N° 0005-2021-MINEM/DGER</t>
  </si>
  <si>
    <t>CONSORCIO MAZAMARI ASOCIADOS                                (20393292637 -  CMP CONTRATISTAS GENERALES S.A.C., 20393308142 - KAMPO CONTRATISTAS GENERALES E.I.R.L.)</t>
  </si>
  <si>
    <t>EJECUCIÓN DE LA OBRA “AMPLIACIÓN DEL SERVICIO DEL SISTEMA DE ELECTRIFICACIÓN RURAL II ETAPA EN LOCALIDADES Y/O SECTORES UBICADOS EN LAS PROVINCIAS DE MOYOBAMBA Y RIOJA, DEL DEPARTAMENTO DE SAN MARTÍN”</t>
  </si>
  <si>
    <t>LPN° 0006-2021-MINEM/DGER</t>
  </si>
  <si>
    <t>20607890910 - CONSORCIO SAN JUAN BAUTISTA                                      (  20477875484 - CONSORCIO CONSTRUCCIÓN Y DESARROLLO S.A.C.                        20487015742 - CORPORACION ENERGY S.A.</t>
  </si>
  <si>
    <t>CONTRATACIÓN DE EJECUCIÓN DE LA OBRA “CREACIÓN DEL SERVICIO DE ELECTRIFICACIÓN RURAL MEDIANTE SISTEMA CONVENCIONAL PARA EL CENTRO POBLADO DE HUABAL - DISTRITO DE HUABAL - PROVINCIA DE JAÉN – REGIÓN CAJAMARCA”</t>
  </si>
  <si>
    <t>AS N° 0001-2021-MINEM/DGER</t>
  </si>
  <si>
    <t>20607827657 - CONSORCIO INGENIEROS ELECTRICISTAS                         (10277207171 - EDWIN CASTRO LOPEZ,     20600076222 - G Y LL INGENIEROS S.A.C.)</t>
  </si>
  <si>
    <t>CONTRATACIÓN DE EJECUCIÓN DE LA OBRA “MEJORAMIENTO Y AMPLIACIÓN DEL SERVICIO DE ENERGÍA ELÉCTRICA MEDIANTE EL SISTEMA CONVENCIONAL DEL DISTRITO DE QUEROPALCA - PROVINCIA DE LAURICOCHA - DEPARTAMENTO DE HUÁNUCO”</t>
  </si>
  <si>
    <t>AS N° 0002-2021-MINEM/DGER</t>
  </si>
  <si>
    <t>20537863162 - CONSTRUCTORA TURIN E.I.R.L.</t>
  </si>
  <si>
    <t xml:space="preserve">CONTRATACIÓN DE LA EJECUCIÓN DE LA OBRA POR PAQUETE DENOMINADO “PAQUETE – 1: CINCO (05) OBRAS DE ELECTRIFICACIÓN RURAL EN TRES (03) DEPARTAMENTOS – LAMBAYEQUE, LA LIBERTAD Y ÁNCASH”
PROYECTO N° 1: INSTALACIÓN DEL SISTEMA DE ELECTRIFICACIÓN DE LOS SECTORES DE HUACA LARGA RURAL - FRONTÓN BAJO Y CHANQUÍN DEL DISTRITO DE VIRÚ, PROVINCIA DE VIRÚ - LA LIBERTAD
</t>
  </si>
  <si>
    <t>347283, 340687, 2409754, 269971, 304378</t>
  </si>
  <si>
    <t>LP N° 0002-2021-MINEM/DGER</t>
  </si>
  <si>
    <t>20608148354 - CONSORCIO ENERGÍA IV           (20510413301 -  ABC INGENIEROS SAC,          20487015742 - CORPORACION ENERGY SA.)</t>
  </si>
  <si>
    <t xml:space="preserve">CONTRATACIÓN DE LA EJECUCIÓN DE LA OBRA POR PAQUETE DENOMINADO “PAQUETE – 1: CINCO (05) OBRAS DE ELECTRIFICACIÓN RURAL EN TRES (03) DEPARTAMENTOS – LAMBAYEQUE, LA LIBERTAD Y ÁNCASH”
PROYECTO N° 2: INSTALACION DEL SISTEMA DE ELECTRIFICACION EN EL SECTOR SAN IDELFONSO DISTRITO DE VIRU, PROVINCIA DE VIRU - LA LIBERTAD
</t>
  </si>
  <si>
    <t xml:space="preserve">CONTRATACIÓN DE LA EJECUCIÓN DE LA OBRA POR PAQUETE DENOMINADO “PAQUETE – 1: CINCO (05) OBRAS DE ELECTRIFICACIÓN RURAL EN TRES (03) DEPARTAMENTOS – LAMBAYEQUE, LA LIBERTAD Y ÁNCASH”
PROYECTO N° 3: AMPLIACIÓN DEL SISTEMA DE ELECTRIFICACIÓN RURAL EN LAS LOCALIDADES DE HUANCACOCHA, ISCAPANA, PAQUIAN Y ATOCSHAY, DISTRITO DE HUAYLLACAYAN – BOLOGNESI – ÁNCASH
</t>
  </si>
  <si>
    <t xml:space="preserve">CONTRATACIÓN DE LA EJECUCIÓN DE LA OBRA POR PAQUETE DENOMINADO “PAQUETE – 1: CINCO (05) OBRAS DE ELECTRIFICACIÓN RURAL EN TRES (03) DEPARTAMENTOS – LAMBAYEQUE, LA LIBERTAD Y ÁNCASH”
PROYECTO N° 4: CREACIÓN DEL SISTEMA ELÉCTRICO RURAL DEL AA. HH NUEVA SHITA ALTA - DISTRITO DE SALAS - PROVINCIA DE LAMBAYEQUE - DEPARTAMENTO DE LAMBAYEQUE
</t>
  </si>
  <si>
    <t xml:space="preserve">CONTRATACIÓN DE LA EJECUCIÓN DE LA OBRA POR PAQUETE DENOMINADO “PAQUETE – 1: CINCO (05) OBRAS DE ELECTRIFICACIÓN RURAL EN TRES (03) DEPARTAMENTOS – LAMBAYEQUE, LA LIBERTAD Y ÁNCASH”
PROYECTO N° 5: ELECTRIFICACIÓN INTEGRAL DE LA PROVINCIA DE SANTIAGO DE CHUCO, DEPARTAMENTO DE LA LIBERTAD 
</t>
  </si>
  <si>
    <t>EJECUCIÓN DE LA OBRA “MEJORAMIENTO Y AMPLIACIÓN DEL SISTEMA DE ELECTRIFICACIÓN RURAL DE LAS LOCALIDADES DE HUACAYBAMBA, HUAUYASH, CHICHIPÓN, JAMASCA, RONDOBAMBA, QUICHIRRAGRA, COLCA Y HUAGSHA, DEL DISTRITO Y PROVINCIA DE HUACAYBAMBA – HUÁNUCO”</t>
  </si>
  <si>
    <t>LP N° 0003-2021-MINEM/DGER</t>
  </si>
  <si>
    <t>20510413483 - OBRITEC S.A.C.</t>
  </si>
  <si>
    <t>CONTRATACIÓN DE EJECUCIÓN DE LA OBRA “INSTALACIÓN DEL SISTEMA ELÉCTRICO RURAL DE LOS CASERÍOS SAN PABLO ALTO, LA MORCILLA BAJA, LA MORCILLA ALTA Y EL PROGRESO, DISTRITO DE JESÚS - CAJAMARCA – CAJAMARCA”</t>
  </si>
  <si>
    <t>AS N° 0004-2021-MINEM/DGER</t>
  </si>
  <si>
    <t>CONSORCIO JESÚS                           (20559807720. INGENIERÍA Y CONSTRUCCIONES ACOSTA S.A.C.                                                        20559825892 -  EMPRESA DE PROYECTOS DE INGENIERÍA EMC PROYECT E.I.R.L.)</t>
  </si>
  <si>
    <t xml:space="preserve">SUPERVISIÓN DE LA OBRA “CREACIÓN DEL SERVICIO DE ELECTRIFICACIÓN RURAL MEDIANTE SISTEMA CONVENCIONAL PARA EL CENTRO POBLADO DE HUABAL - DISTRITO DE HUABAL - PROVINCIA DE JAÉN – REGIÓN CAJAMARCA” </t>
  </si>
  <si>
    <t>AS N° 0005-2021-MINEM/DGER</t>
  </si>
  <si>
    <t>20608174703 - CONSORCIO JAÉN                                (10075164811 -  JAIME ROMAN HUARCAYA RAZABAL                                                 10175768608 -  JUAN MANUEL INGA HERNANDEZ)</t>
  </si>
  <si>
    <t xml:space="preserve">SUPERVISIÓN DE LA OBRA “SISTEMA ELÉCTRICO RURAL VALLE HUAURA SAYAN III ETAPA” </t>
  </si>
  <si>
    <t>AS N° 0008-2021-MINEM/DGER</t>
  </si>
  <si>
    <t>20519339154- UNIÓN DE CONSULTORES SOCIEDAD ANONIMA CERRADA - UNIÓN DE CONSULTORES S.A.C.</t>
  </si>
  <si>
    <t xml:space="preserve">ELABORACIÓN DEL EXPEDIENTE TÉCNICO Y LA EJECUCIÓN DE OBRA POR PAQUETE DENOMINADO “PAQUETE - 06: DOS (02) OBRAS DE ELECTRIFICACIÓN RURAL EN DOS (02) DEPARTAMENTOS - HUÁNUCO Y PIURA”
PROYECTO N° 01: “INSTALACIÓN DEL SERVICIO ELÉCTRICO RURAL DE LAS LOCALIDADES DE LAS PROVINCIAS DE HUAYCABAMBA, HUAMALÍES, HUÁNUCO, LEONCIO PRADO, PACHITEA, LAURICOCHA, DOS DE MAYO Y YAROWILCA DEL DEPARTAMENTO DE HUÁNUCO”
</t>
  </si>
  <si>
    <t>2301425, 340905, 362085</t>
  </si>
  <si>
    <t>LP N° 0008-2020-MINEM/DGER</t>
  </si>
  <si>
    <t xml:space="preserve">CONSORCIO PACOSA - PRICONSA                                            (20508540605 PACOSA SAC,
20108432510 -  PRIETO INGENIEROS CONSULTORES SA.)
</t>
  </si>
  <si>
    <t xml:space="preserve">120 Y
 420 
</t>
  </si>
  <si>
    <t xml:space="preserve">ELABORACIÓN DEL EXPEDIENTE TÉCNICO Y LA EJECUCIÓN DE OBRA POR PAQUETE DENOMINADO “PAQUETE - 06: DOS (02) OBRAS DE ELECTRIFICACIÓN RURAL EN DOS (02) DEPARTAMENTOS - HUÁNUCO Y PIURA”
PROYECTO N° 02: “AMPLIACIÓN DE REDES DE DISTRIBUCIÓN EN LA PROVINCIA DE AYABACA - DEPARTAMENTO DE PIURA” 
</t>
  </si>
  <si>
    <t>SUPERVISIÓN DE LA OBRA “AMPLIACIÓN DE LÍNEAS PRIMARIAS, REDES PRIMARIAS Y REDES SECUNDARIAS EN LAS 7 LOCALIDADES DEL DISTRITO DE CORANI - PROVINCIA DE CARABAYA - DEPARTAMENTO DE PUNO”</t>
  </si>
  <si>
    <t>CP N° 0003-2021-MINEM/DGER</t>
  </si>
  <si>
    <t xml:space="preserve">20608376209 - CONSORCIO SIE AMERICA II   (10175293031 SALVADOR SERRANO CUEVA,
10090757828 CESAR MUÑOZ RUBIO,
10410591354 SEGUNDO MONTENEGRO HERNANDEZ)
</t>
  </si>
  <si>
    <t>SUPERVISIÓN DE OBRAS POR PAQUETE DENOMINADO “PAQUETE N° 1: CINCO (05) OBRAS DE ELECTRIFICACIÓN RURAL EN TRES (03) DEPARTAMENTOS – LAMBAYEQUE, LA LIBERTAD Y ÁNCASH</t>
  </si>
  <si>
    <t xml:space="preserve">CP N° 0002-2021-MINEM/DGER </t>
  </si>
  <si>
    <t xml:space="preserve">1- 180
2- 90
3- 180
4- 120
5- 360
</t>
  </si>
  <si>
    <t xml:space="preserve">
ELABORACIÓN DEL ESTUDIO DEFINITIVO DEL PROYECTO “AMPLIACIÓN DE REDES DE DISTRIBUCIÓN EN LAS PROVINCIAS DE CUTERVO Y JAÉN, DEPARTAMENTO DE CAJAMARCA”
</t>
  </si>
  <si>
    <t xml:space="preserve">CP Nº 0008-2019-MEM/DGER </t>
  </si>
  <si>
    <t xml:space="preserve">CONSORCIO CUTERVO ELÉCTRICO                                (10328063447. RUBER GREGORIO ALVA JULCA,
20486941287 CONSULTORES Y CONSTRUCTORES KEVIN S.A.C.)
</t>
  </si>
  <si>
    <t xml:space="preserve">SUPERVISIÓN DE LA OBRA “INSTALACIÓN DEL SISTEMA DE ELECTRIFICACIÓN RURAL DE LAS CUENCAS DE LOS RÍOS CENEPA, COMAINA, NUMPATKAY Y SANTIAGO, DISTRITOS FRONTERIZOS DE EL CENEPA, IMAZA Y RIO SANTIAGO, REGIÓN AMAZONAS” </t>
  </si>
  <si>
    <t>CP N° 0004-2021-MINEM/DGER</t>
  </si>
  <si>
    <t xml:space="preserve">20608242288 - CONSORCIO AMAZONAS        (20252132466 - SERVICIOS DE INGENIERIA INTEGRAL S.A.C.
20531353154 CESAM S.A.C.
10011067412 -  GODOFREDO NARCISO SINCHE MAYORCA.)
</t>
  </si>
  <si>
    <t>SUPERVISIÓN DE LA EJECUCIÓN DE LA OBRA “AMPLIACIÓN DEL SERVICIO DEL SISTEMA DE ELECTRIFICACIÓN RURAL II ETAPA EN LOCALIDADES Y/O SECTORES UBICADOS EN LAS PROVINCIAS DE MOYOBAMBA Y RIOJA DEL DEPARTAMENTO DE SAN MARTÍN”</t>
  </si>
  <si>
    <t>CP N° 0007-2021-MINEM/DGER</t>
  </si>
  <si>
    <t xml:space="preserve">20608284371 - CONSORCIO CESAM                 20531353154 - CESAM S.A.C.
10011067412 -  GODOFREDO NARCISO SINCHE MAYORCA)
</t>
  </si>
  <si>
    <t xml:space="preserve">1  MEJORAMIENTO DEL SERVICIO DE ENERGIA ELECTRICA EN EL CENTRO NUCLEAR RACSO, DISTRITO DE CARABAYLLO - LIMA" </t>
  </si>
  <si>
    <t>ADMINISTRACION INDIRECTA - POR CONTRATA</t>
  </si>
  <si>
    <t>001-2020-IPEN</t>
  </si>
  <si>
    <t>CONSORCIO QUISAPATA - 20601795745</t>
  </si>
  <si>
    <t>270 DIAS CALENDARIOS</t>
  </si>
  <si>
    <t>SECTOR  16 : ENERGÍA Y MINAS</t>
  </si>
  <si>
    <t>UNIDAD EJECUTORA 001: MINISTERIO DE ENERGÍA Y MINAS</t>
  </si>
  <si>
    <t>SERVICIO DE RENOVACION DE SOPORTE Y MANTENIMIENTO DE LOS PRODUCTOS MICROSOFT PARA EL MINISTERIO DE ENERGIA Y MINAS</t>
  </si>
  <si>
    <t xml:space="preserve">CONCURSO PÚBLICO </t>
  </si>
  <si>
    <t>PROCEDIMIENTO DE SELECCIÓN</t>
  </si>
  <si>
    <t>N° 006-2019/MPNEM</t>
  </si>
  <si>
    <t>20543312232 - SOFTLINE INTERNATIONAL S.A.C.</t>
  </si>
  <si>
    <t>VIGENTE</t>
  </si>
  <si>
    <t>CONTRATO  N° 001 2020</t>
  </si>
  <si>
    <t>SUMINISTRO DE COMBUSTIBLE DIESEL B5 S-50 PARA LAS UNIDADES MOVILES DEL MINISTERIO DE ENERGIA Y MINAS</t>
  </si>
  <si>
    <t xml:space="preserve">ADJUDICACION SIMPLIFICADA  </t>
  </si>
  <si>
    <t>N° 46-2019/MINEM</t>
  </si>
  <si>
    <t>20522173933 - GLG INVERSIONES S.A.C</t>
  </si>
  <si>
    <t>CULMINADO</t>
  </si>
  <si>
    <t>CONTRATO  N° 004- 2020</t>
  </si>
  <si>
    <t xml:space="preserve">CONTRATACION COMPLEMENTARIA SERVICIO DE SEGUROS HUMANOS PARA EL MINISTERIO DE ENERGIA Y MINAS </t>
  </si>
  <si>
    <t xml:space="preserve">CONCURSO PUBLICO </t>
  </si>
  <si>
    <t xml:space="preserve">CP N° 010-2018/MEM </t>
  </si>
  <si>
    <t>20414955020 -CONSORCIO RIMAC S.A ENTIDAD PRESTADORA DE SALUD -  RIMAC SEGUROS Y REASEGUROS</t>
  </si>
  <si>
    <t xml:space="preserve">CULMINADO 
</t>
  </si>
  <si>
    <t>CONTRATO  N° 005- 2020</t>
  </si>
  <si>
    <t>CONTRATACION COMPLEMENTARIA AL CONTRATO N° 001-2019 "SERVICIO DE SEGUROS PATRIMONIALES PARA EL MINISTERIO DE ENERGÍA Y MINAS"</t>
  </si>
  <si>
    <t xml:space="preserve">N° 010-2018/MEM </t>
  </si>
  <si>
    <t>20100041953 - RIMAC SEGUROS Y REASEGUROS</t>
  </si>
  <si>
    <t>CONTRATO  N° 007 2020</t>
  </si>
  <si>
    <t>SERVICIO DE CONTRATACIÓN DE UNA ENTIDAD EDUCATIVA PARA LA EJECUCIÓN DEL PROGRAMA DE PASANTÍAS MINERAS PARA LÍDERES DE CENTROS POBLADOS ANEXOS, CASERÍOS Y COMUNIDADES CERCANAS EN DONDE SE REALIZA O SE TIENE PLANIFICADO REALIZAR ACTIVIDAD MINERA</t>
  </si>
  <si>
    <t xml:space="preserve">ADJUDICCIÓN SIMPLIFICADA </t>
  </si>
  <si>
    <t>N° 0045-2019/MINEM</t>
  </si>
  <si>
    <t>20155945860 - PONTIFICIA UNIVERSIDAD CATÓLICA DEL PERÚ</t>
  </si>
  <si>
    <t>CONTRATO  N° 008- 2020</t>
  </si>
  <si>
    <t xml:space="preserve">ADQUISICIÓN DE UNIFORMES DE VERANO PARA LOS TRABAJADORES DAMAS </t>
  </si>
  <si>
    <t xml:space="preserve">Nº 001-2019/MINEM </t>
  </si>
  <si>
    <t>20347408108 - COMPAÑÍA DE SERVICIOS GENERALES INVERSIONES AGP SAC</t>
  </si>
  <si>
    <t>CONTRATO  N° 009- 2020</t>
  </si>
  <si>
    <t xml:space="preserve">ADQUISICIÓN DE UNIFORMES DE VERANO PARA LOS TRABAJADORES  VARONES </t>
  </si>
  <si>
    <t xml:space="preserve">LICITACION PUBLICA  </t>
  </si>
  <si>
    <t>20348511824-SAMITEX S.A</t>
  </si>
  <si>
    <t>CONTRATO  N° 010- 2020</t>
  </si>
  <si>
    <t xml:space="preserve">CONTRATACION DE SEGUROS PATRIMONIALES PARA EL MINISTERIO DE ENERGIA Y MINAS </t>
  </si>
  <si>
    <t xml:space="preserve">N° 008-2019/MEM </t>
  </si>
  <si>
    <t>CONTRATO  Nª 011 2020</t>
  </si>
  <si>
    <t xml:space="preserve">CONTRATACION DE SEGUROS PERSONALES PARA EL MINISTERIO DE ENERGIA Y MINAS </t>
  </si>
  <si>
    <t xml:space="preserve">CONCURSO PUBLICO  </t>
  </si>
  <si>
    <t>20202380621
20418896915
20517182673
CONSORCIO MAPFRE PERÚ COMPAÑÍA DE SEGUROS Y REASEGUROS S.A – MAPFRE PERÚ VIDA COMPAÑÍA DE SEGUROS Y REASEGUROS - MAPFRE PERÚ S.A ENTIDAD PRESTADORA DE SALUD</t>
  </si>
  <si>
    <t>CONTRATO  N° 012- 2020</t>
  </si>
  <si>
    <t>CONTRATACION COMPLEMENTARIA DEL CONTRATO N° 030-2018 "SERVICIO DE SEGURIDAD Y VIGILANCIA PARA EL MINISTERIO DE ENERGÍA Y MINAS"</t>
  </si>
  <si>
    <t xml:space="preserve">CONTRATO COMPLEMENTARIO </t>
  </si>
  <si>
    <t>COMPLEMENTARIA AL CONTRATO Nº 030-2018-MEM/OGA</t>
  </si>
  <si>
    <t>20359742615 - AMERICANA EMPRESA DE SERVICIOS GENERALES S.A.C</t>
  </si>
  <si>
    <t>CONTRATO  N° 013- 2020</t>
  </si>
  <si>
    <t>CONTRATACION COMPLEMENTARIA AL CONTRATO Nº 037-2018-MEM/OGA
 “SERVICIO DE ALMACENAMIENTO Y CUSTODIA DE LA DOCUMENTACION DEL MINISTERIO DE ENERGÍA Y MINAS”</t>
  </si>
  <si>
    <t>COMPLEMENTARIA AL CONTRATO Nº 037-2018-MEM/OGA</t>
  </si>
  <si>
    <t>20431995281-POLYSISTEMAS CORP S.A.C.</t>
  </si>
  <si>
    <t>CONTRATO  N° 016- 2020</t>
  </si>
  <si>
    <t>CONTRATACION COMPLEMENTARIA AL CONTRATO Nº 019-2017-MEM/OGA
 “SERVICIO DE COMUNICACIONES UNIFICADAS PARA EL MINISTERIO DE ENERGÍA Y MINAS”</t>
  </si>
  <si>
    <t>COMPLEMENTARIA AL CONTRATO Nº 019-2017-MEM/OGA</t>
  </si>
  <si>
    <t>20100017491-TELEFONICA DEL PERU S.A.A.</t>
  </si>
  <si>
    <t>CONTRATO  N° 017- 2020</t>
  </si>
  <si>
    <t>SERVICIO DE ASESORÍA LEGAL PARA EL PATROCINIO DE PROCESOS ARBITRALES</t>
  </si>
  <si>
    <t xml:space="preserve">CONTRATACIÓN DIRECTA </t>
  </si>
  <si>
    <t xml:space="preserve"> N° 001-2020</t>
  </si>
  <si>
    <t>20605731733 -ESTUDIO RIVERA S.A.C.</t>
  </si>
  <si>
    <t>INDETERMINADO</t>
  </si>
  <si>
    <t>CONTRATO  N° 018- 2020</t>
  </si>
  <si>
    <t>SERVICIO DE DEFENSA LEGAL A FAVOR DEL SEÑOR JUAN GUALBERTO VALDIVIA ROMERO</t>
  </si>
  <si>
    <t xml:space="preserve">Nº 002-2020/MINEM </t>
  </si>
  <si>
    <t>20601836964 - AURELIO PASTOR &amp; ABOGADOS E.I.R.L</t>
  </si>
  <si>
    <t>CONTRATO  N° 021- 2020</t>
  </si>
  <si>
    <t>CONTRATACION COMPLEMENTARIA AL SERVICIO DE ALQUILER DEL SISTEMA DE SEGURIDAD AUTOMATIZADA DERIVADA DEL
CONTRATO N°035-2018-MINEM</t>
  </si>
  <si>
    <t>N° 004-2020-MINEM</t>
  </si>
  <si>
    <t>20137983037-ROBOT S.A.C.</t>
  </si>
  <si>
    <t>CONTRATO  N° 023- 2020</t>
  </si>
  <si>
    <t>SERVICIO DE ALMACENAMIENTO Y CUSTODIA DE LA DOCUMENTACIÓN DEL MINISTERIO DE ENERGÍA Y MINAS</t>
  </si>
  <si>
    <t xml:space="preserve">Nº 004-2020-MINEM </t>
  </si>
  <si>
    <t>20390724919-IRON MOUNTAIN PERU S.A.</t>
  </si>
  <si>
    <t>CONTRATO  N° 025- 2020</t>
  </si>
  <si>
    <t>SERVICIO DE COMUNICACIONES UNIFICADAS PARA EL MINISTERIO DE ENERGÍA Y MINAS</t>
  </si>
  <si>
    <t xml:space="preserve">Nº 005-2020-MINEM </t>
  </si>
  <si>
    <t>20202814132 - VERIFICACIÓN Y CONTROL DE DATOS S.A.C.</t>
  </si>
  <si>
    <t>CONTRATO  N° 027- 2020</t>
  </si>
  <si>
    <t>SERVICIO DE SEGURIDAD Y VIGILANCIA PRIVADA PARA EL MINISTERIO DE ENERGÍA Y MINAS</t>
  </si>
  <si>
    <t>CONTRATO  N° 028- 2020</t>
  </si>
  <si>
    <t>ADQUISICIÓN DE KITS DE PRUEBAS SEROLÓGICAS (IgM/IgG) PARA LA DETECCIÓN DEL COVID-19 DE LOS SERVIDORES DEL MINISTERIO DE ENERGÍA Y MINAS, PREVENCIÓN Y CONTROL SANITARIO CONTRA LA PROPAGACIÓN DEL COVID-19</t>
  </si>
  <si>
    <t xml:space="preserve">ADJUDICACIÓN SIMPLIFICADA </t>
  </si>
  <si>
    <t xml:space="preserve">Nº 008-2020/MINEM </t>
  </si>
  <si>
    <t>20423555182 - AMERICANA EMPRESA DE SERVICIOS GENERALES S.A.C</t>
  </si>
  <si>
    <t>CONTRATO  N° 029- 2020</t>
  </si>
  <si>
    <t>SERVICIO DE MANTENIMIENTO PREVENTIVO Y CORRECTIVO DE LA FLOTA VEHICULAR DEL MINISTERIO DE ENERGÍA Y MINAS</t>
  </si>
  <si>
    <t xml:space="preserve">Nº 006-2020/MINEM </t>
  </si>
  <si>
    <t>20510893914 - PERÚ PART´S &amp; SERVICE S.A.C.</t>
  </si>
  <si>
    <t>CONTRATO  N° 030- 2020</t>
  </si>
  <si>
    <t>SERVICIO DE MENSAJERÍA EXTERNA A NIVEL LOCAL Y NACIONAL PARA EL MINISTERIO DE ENERGÍA Y MINAS</t>
  </si>
  <si>
    <t xml:space="preserve">Nº 001-2019/MEM </t>
  </si>
  <si>
    <t>20553892253 - CA &amp; PE CARGO S.A.C.</t>
  </si>
  <si>
    <t>CONTRATO  N° 032- 2020</t>
  </si>
  <si>
    <t>SERVICIO DE RENOVACIÓN DE SOPORTE TÉCNICO Y ACTUALIZACIONES DE LOS PRODUCTOS ORACLE</t>
  </si>
  <si>
    <t>CONTRATACIÓN DIRECTA</t>
  </si>
  <si>
    <t xml:space="preserve">Nº 004-2020/MINEM </t>
  </si>
  <si>
    <t>20182246078 - SISTEMAS ORACLE DEL PERÚ S.R.L.</t>
  </si>
  <si>
    <t>CONTRATO  N° 033- 2020</t>
  </si>
  <si>
    <t>CONTRATACIÓN COMPLEMENTARIA AL CONTRATO N° 004-2020-MINEM/OGA "SUMINISTRO DE COMBUSTIBLE PETRÓLEO DIESEL B5 S-50 PARA LAS UNIDADES MÓVILES DEL MINISTERIO DE ENERGÍA Y MINAS"</t>
  </si>
  <si>
    <t>CONTRATO  N° 034- 2020</t>
  </si>
  <si>
    <t>SERVICIO DE RENOVACIÓN DE SOPORTE TÉCNICO Y ACTUALIZACION DE LOS PRODUCTOS DE SOFTWARE DE GESTIÓN DOCUMENTAL LASERFICHE PARA EL MINISTERIO DE ENERGÍA Y MINAS</t>
  </si>
  <si>
    <t>N° 009-2020/MINEM</t>
  </si>
  <si>
    <t>20431995281 - POLYSISTEMAS CORP S.A.C.</t>
  </si>
  <si>
    <t>CONTRATO  N° 035- 2020</t>
  </si>
  <si>
    <t>SUMINISTRO DE COMBUSTIBLE PETRÓLEO DIESEL B5 S-50 PARA LAS UNIDADES MÓVILES DEL MINISTERIO DE ENERGÍA Y MINAS</t>
  </si>
  <si>
    <t>SUBASTA INVERSA ELECTRÓNICA</t>
  </si>
  <si>
    <t>N° 002-2020/MINEM</t>
  </si>
  <si>
    <t>CONTRATO  N° 036- 2020</t>
  </si>
  <si>
    <t>CONTRATACION COMPLEMENTARIA AL CONTRATO N° 064-2018-MINEM/OGA "SERVICIO DE TELEFONÍA MÓVIL DE VOZ Y DATOS"</t>
  </si>
  <si>
    <t>N° 007-2018/MINEM</t>
  </si>
  <si>
    <t>CONTRATO  N° 036A- 2020</t>
  </si>
  <si>
    <t>ADQUISICIÓN DE LIBROS EDUCATIVOS PARA EL DÍA NACIONAL DEL AHORRO DE ENERGÍA</t>
  </si>
  <si>
    <t>N° 016-2020/MINEM</t>
  </si>
  <si>
    <t>20100488699 - ORGANIZACIÓN PARA EL DESARROLLO CULTURAL DEL PERÚ E.I.R.L.</t>
  </si>
  <si>
    <t>CONTRATO  N° 037- 2020</t>
  </si>
  <si>
    <t>SERVICIO DE DEFENSA LEGAL A FAVOR DEL SEÑOR EDUARDO ALFREDO GUEVARA DODDS</t>
  </si>
  <si>
    <t>N° 003-2020/MINEM</t>
  </si>
  <si>
    <t>20511091803 - DCC CONSULTORES S.A.C.</t>
  </si>
  <si>
    <t>CONTRATO  N° 038- 2020</t>
  </si>
  <si>
    <t>SERVICIO DE ALQUILER DEL SISTEMA DE SEGURIDAD AUTOMATIZADA PARA LA SEDE CENTRAL DEL MINISTERIO DE ENERGÍA Y MINAS Y LOCALES ANEXOS</t>
  </si>
  <si>
    <t>N° 006-2020/MINEM</t>
  </si>
  <si>
    <t>CONTRATO  N° 039- 2020</t>
  </si>
  <si>
    <t>ADQUISICIÓN DE LICENCIAMIENTOS ACTUALIZADOS A LA VERSIÓN VIGENTE DE PRODUCTOS DE LA SUITE ARCGIS DEL MINISTERIO DE ENERGÍA Y MINAS O EQUIVALENTE PARA CONTINUAR CON EL TRABAJO, DISEÑO, PROCESAMIENTO, VISUALIZACIÓN Y ANALISIS Y PUBLICACION DE MAPAS GEOGRÁFICOS DE LOS SERVICIOS GIS QUE OFRECE EL MINISTERIO DE ENERGÍA Y MINAS</t>
  </si>
  <si>
    <t>N° 5-2020/MINEM</t>
  </si>
  <si>
    <t>20101984291 - TELEMÁTICA S.A.</t>
  </si>
  <si>
    <t>CONTRATO  N° 003- 2021</t>
  </si>
  <si>
    <t>SERVICIO DE DESARROLLO E IMPLEMENTACIÓN DE UN NUEVO SISTEMA DE DECLARACIÓN ANUAL CONSOLIDADA (DAC) PARA LA DIRECCIÓN GENERAL DE MINERÍA DEL MINISTERIO DE ENERGÍA Y MINAS</t>
  </si>
  <si>
    <t>N° 14-2020/MINEM</t>
  </si>
  <si>
    <t>20515479261 - CONSORCIO NET CONSULTORES SAC - GIS CORPORATIVO SAC</t>
  </si>
  <si>
    <t>CONTRATO  N° 004- 2021</t>
  </si>
  <si>
    <t>ADQUISICIÓN DE TRES EQUIPOS DE VIDEOCONFERENCIA PARA LAS SALAS DE LA ALTA DIRECCIÓN DEL MINISTERIO DE ENERGÍA Y MINAS - MINEM</t>
  </si>
  <si>
    <t>N° 10-2020/MINEM</t>
  </si>
  <si>
    <t>20502657225 - MYL COMUNICACIONES SRL</t>
  </si>
  <si>
    <t>CONTRATO  N° 005- 2021</t>
  </si>
  <si>
    <t>ADQUISICIÓN E INSTALACION DE SWITCHES PARA LA MEJORA DE LA ARQUITECTURA TECNOLÓGICA DEL MINISTERIO DE ENERGÍA Y MINAS</t>
  </si>
  <si>
    <t>N° 17-2020/MINEM</t>
  </si>
  <si>
    <t>CONTRATO  N° 007- 2021</t>
  </si>
  <si>
    <t>SERVICIO DE EXÁMENES MÉDICOS OCUPACIONALES Y VIGILANCIA ACORDE CON LOS RIESGOS A LOS QUE ESTÁN EXPUESTOS LOS TRABAJADORES DEL MINISTERIO DE ENERGÍA Y MINAS</t>
  </si>
  <si>
    <t>N° 20-2020/MINEM</t>
  </si>
  <si>
    <t>20127614572 - VICTOR ARCE SOCIEDAD CIVIL</t>
  </si>
  <si>
    <t>CONTRATO  N° 009- 2021</t>
  </si>
  <si>
    <t>SERVICIO DE FOTOCOPIADO E IMPRESIONES PARA EL MINISTERIO DE ENERGÍA Y MINAS</t>
  </si>
  <si>
    <t>N° 012-2020/MINEM</t>
  </si>
  <si>
    <t>CONTRATO  N° 010- 2021</t>
  </si>
  <si>
    <t>SERVICIO DE LIMPIEZA EN LAS DIFERENTES INSTALACIONES DEL MINISTERIO DE ENERGIA Y MINAS</t>
  </si>
  <si>
    <t>20601763631 - CONSORCIO EMPRESA DE SERVICIOS DE LIMPIEZA Y SANEAMIENTO AMBIENTAL CAMPITOS SAC - SERVICIOS DE REPRESENTACIONES CONSIGNACIONES Y LIMPIEZA MEGA INTEGRAL SAC - ASISTENCIA AMBIENTAL SAC
20307218888
20543328406</t>
  </si>
  <si>
    <t>CONTRATO  N° 011- 2021</t>
  </si>
  <si>
    <t>SUMINISTRO DE COMBUSTIBLE GASOHOL 97 OCTANOS PLUS PARA LAS UNIDADES MÓVILES DEL MINISTERIO DE ENERGÍA Y MINAS</t>
  </si>
  <si>
    <t xml:space="preserve">SUBASTA INVERSA ELECTRÓNICA </t>
  </si>
  <si>
    <t>N° 001-2020/MINEM</t>
  </si>
  <si>
    <t>20511995028 - TERPEL PERÚ S.A.C.</t>
  </si>
  <si>
    <t>CONTRATO  N° 012- 2021</t>
  </si>
  <si>
    <t xml:space="preserve">SERVICIO DE TELEFONÍA MOVIL DE VOZ Y DATOS </t>
  </si>
  <si>
    <t>N° 011-2020/MINEM</t>
  </si>
  <si>
    <t>CONTRATO  N° 013- 2021</t>
  </si>
  <si>
    <t xml:space="preserve">CONTRATACIÓN COMPLEMENTARIA AL CONTRATO N° 11-2020-MINEM/OGA "CONTRATACION DE SEGUROS PATRIMONIALES PARA EL MINISTERIO DE ENERGIA Y MINAS" </t>
  </si>
  <si>
    <t>N° 008-2019/MINEM</t>
  </si>
  <si>
    <t>CONTRATO  N° 014- 2021</t>
  </si>
  <si>
    <t xml:space="preserve">CONTRATACIÓN COMPLEMENTARIA AL CONTRATO N° 12-2020-MINEM/OGA "SEGUROS PERSONALES PARA EL MINISTERIO DE ENERGIA Y MINAS" </t>
  </si>
  <si>
    <t>20202380621 - CONSORCIO MAPFRE PERÚ COMPAÑÍA DE SEGUROS Y REASEGUROS S.A – MAPFRE PERÚ VIDA COMPAÑÍA DE SEGUROS Y REASEGUROS - MAPFRE PERÚ S.A ENTIDAD PRESTADORA DE SALUD
20418896915
20517182673</t>
  </si>
  <si>
    <t>CONTRATO  N° 015- 2021</t>
  </si>
  <si>
    <t>SUMINISTRO DE COMBUSTIBLE DE GAS LICUADO DE PETRÓLEO (GLP)</t>
  </si>
  <si>
    <t>N° 003-2020/MINEM-3</t>
  </si>
  <si>
    <t>20535614548 - OPERADORES DE ESTACIONES S.A.C.</t>
  </si>
  <si>
    <t>CONTRATO  N° 016- 2021</t>
  </si>
  <si>
    <t>SUMINISTRO DE COMBUSTIBLE GASOHOL DE 95 OCTANOS PLUS PARA LAS UNIDADES MÓVILES DEL MINISTERIO DE ENERGÍA Y MINAS (MINEM)</t>
  </si>
  <si>
    <t>N° 001-2021/MINEM-1</t>
  </si>
  <si>
    <t>CONTRATO  Nº 017 2021</t>
  </si>
  <si>
    <t>ADQUISICION DE EQUIPOS PARA LA SEGURIDAD DE DETECCION DE INTRUSOS Y DENEGACION DE SERVICIOS WEB EN INTERNET PARA EL MINISTERIO DE ENERGÍA Y MINAS</t>
  </si>
  <si>
    <t xml:space="preserve">Licitación Pública </t>
  </si>
  <si>
    <t>Nº 0001-2020-MINEM-1 – ITEM 1</t>
  </si>
  <si>
    <t>CONTRATO  Nº 018 2021</t>
  </si>
  <si>
    <t>ADQUISICIÓN DE EQUIPOS PARA LA SEGURIDAD DE APLICACIONES WEB EN INTERNET PARA EL MINISTERIO DE ENERGÍA Y MINAS</t>
  </si>
  <si>
    <t>Nº 0001-2020-MINEM-1 – ITEM 4</t>
  </si>
  <si>
    <t>CONTRATO  Nº 019 2021</t>
  </si>
  <si>
    <t>ADQUISICIÓN DE EQUIPOS PARA EL BLOQUEO Y FILTRADO DE CORREO ELECTRÓNICO NO DESEADO PARA EL MINISTERIO DE ENERGÍA Y MINAS</t>
  </si>
  <si>
    <t>Nº 0001-2020-MINEM</t>
  </si>
  <si>
    <t>CONTRATO  Nº 020 2021</t>
  </si>
  <si>
    <t>SERVICIO DE IMPRESIÓN, CORTE, REFILADO Y POST PRENSA DE PUBLICACIONES ESTADÍSTICAS DEL SECTOR MINERO</t>
  </si>
  <si>
    <t>N° 002-2021/MINEM</t>
  </si>
  <si>
    <t>20504593224 - PRESS OF GRAPHICS E.I.R.L.</t>
  </si>
  <si>
    <t>CONTRATO  Nº 021 2021</t>
  </si>
  <si>
    <t>CONTRATACIÓN DE SEGUROS PERSONALES PARA EL MINISTERIO DE ENERGÍA Y MINAS</t>
  </si>
  <si>
    <t>Nº 001-2021/MINEM-1</t>
  </si>
  <si>
    <t>CONTRATO  N° 022 2021</t>
  </si>
  <si>
    <t>CONTRATACION COMPLEMENTARIA AL CONTRATO N° 014-2019-MEM/OGA
“SERVICIO DE TELEFONÍA FIJA Y LÍNEA 0800 PARA EL MINISTERIO DE ENERGÍA Y MINAS”</t>
  </si>
  <si>
    <t>N° 002-2019/MEM</t>
  </si>
  <si>
    <t xml:space="preserve">20467534026 - AMÉRICA MÓVIL PERÚ S.A.C. </t>
  </si>
  <si>
    <t>CONTRATO  N°023 2021</t>
  </si>
  <si>
    <t>CONTRATACION COMPLEMENTARIA AL CONTRATO 32-2020-MINEM/OGA "SERVICIO DE MENSAJERÍA EXTERNA A NIVEL LOCAL Y NACIONAL PARA EL MINISTERIO DE ENERGIA Y MINAS"</t>
  </si>
  <si>
    <t>Nª 001-2019-MEM</t>
  </si>
  <si>
    <t>CONTRATO  N°024 2021</t>
  </si>
  <si>
    <t>SERVICIO DE SUSCRIPCIÓN ANUAL DEL SOFTWARE DE VIDEOCONFERENCIA ZOOM, PARA EL USO DE VIDEOCONFERENCIAS Y WEBINAR EN MODO CLOUD PARA LA OFICINA DE TECNOLOGÍAS DE LA INFORMACIÓN DEL MINISTERIO DE ENERGÍA Y MINAS</t>
  </si>
  <si>
    <t>ADJUDICACIÓN SIMPLIFICADA</t>
  </si>
  <si>
    <t>Nº 007-2021/MINEM</t>
  </si>
  <si>
    <t>20511369771 - ARGACORP S.A.C</t>
  </si>
  <si>
    <t>CONTRATO  N° 026- 2021</t>
  </si>
  <si>
    <t>“CONTRATACIÓN DE SEGUROS PERSONALES PARA EL MINISTERIO DE ENERGÍA Y MINAS”</t>
  </si>
  <si>
    <t>Nº 002-2021/MINEM-1 – ITEM 1</t>
  </si>
  <si>
    <t>CONTRATO  N° 027- 2021</t>
  </si>
  <si>
    <t>CONTRATACIÓN DEL SERVICIO DE DEFENSA Y ASESORÍA LEGAL A FAVOR DEL SEÑOR MIGUEL JUAN RÉVOLO ACEVEDO</t>
  </si>
  <si>
    <t>Nº 002-2021/MINEM</t>
  </si>
  <si>
    <t>10075308294 - BORIS INGA MARIN</t>
  </si>
  <si>
    <t>CONTRATO  N° 028 2021</t>
  </si>
  <si>
    <t>CONTRATACIÓN DEL SERVICIO DE DEFENSA Y ASESORÍA LEGAL A FAVOR DEL SEÑOR JOSE MIGUEL OPORTO VARGAS</t>
  </si>
  <si>
    <t>Nº 003-2021/MINEM</t>
  </si>
  <si>
    <t>CONTRATO  N° 029- 2021</t>
  </si>
  <si>
    <t>“CONTRATACIÓN DE SEGUROS PATRIMONIALES PARA EL MINISTERIO DE ENERGÍA Y MINAS”</t>
  </si>
  <si>
    <t xml:space="preserve">
CONCURSO PÚBLICO </t>
  </si>
  <si>
    <t>Nº 002-2021/MINEM-1 – ITEM II</t>
  </si>
  <si>
    <t>CONTRATO  N° 030 2021</t>
  </si>
  <si>
    <t>CONTRATACIÓN DE SERVICIO DE ALQUILER DE SISTEMA DE SEGURIDAD AUTOMATIZADA PARA LA SEDE CENTRAL DEL MINISTERIO DE ENERGÍA Y MINAS Y LOCALES ANEXOS</t>
  </si>
  <si>
    <t>Nº 1-2021-MINEM-1</t>
  </si>
  <si>
    <t>CONTRATO  N° 031 2021</t>
  </si>
  <si>
    <t>SERVICIO DE DEFENSA Y ASESORÍA LEGAL A FAVOR DEL SEÑOR EMILIANO ROJAS SOCOLA</t>
  </si>
  <si>
    <t xml:space="preserve">Nº 004-2021/MINEM </t>
  </si>
  <si>
    <t>CONTRATO  N° 032 2021</t>
  </si>
  <si>
    <t>SERVICIO DE TELEFONÍA FIJA Y LÍNEA 0800 PARA EL MINISTERIO DE ENERGÍA Y MINAS</t>
  </si>
  <si>
    <t>Nº 006-2021/MINEM</t>
  </si>
  <si>
    <t>CONTRATO  N° 033 2021</t>
  </si>
  <si>
    <t>AÑO 2022</t>
  </si>
  <si>
    <t>SOPORTE TÉCNICO Y ACTUALIZACIÓN DE LOS PRODUCTOS DEL SOFTWARE DE GESTIÓN DOCUMENTAL LASERFICHE</t>
  </si>
  <si>
    <t>ADQUISICIÓN DE LICENCIAMIENTOS ACTUALIZADOS A LA VERSIÓN VIGENTE DE PRODUCTOS DE LA SUITE ARCGIS</t>
  </si>
  <si>
    <t xml:space="preserve">SERVICIO DE SOPORTE Y MANTENIMIENTO DE LICENCIAS DE SOFTWARE MICROSOFT </t>
  </si>
  <si>
    <t>CONCURSO PÚBLICO</t>
  </si>
  <si>
    <t>SERVICIO DE ALMACENAMIENTO Y CUSTODIA DE LA DOCUMENTACIÓN DEL MINISTERIO DE ENERGÍA Y MINAS - 2022</t>
  </si>
  <si>
    <t>CONTRATACION DE SEGUROS PERSONALES PARA EL MINISTERIO DE ENERGIA Y MINAS</t>
  </si>
  <si>
    <t>ACTUALIZACIÓN DE LA VIGENCIA DE LAS LICENCIAS DE HERRAMIENTAS INFORMÁTICAS DE PROSPECCIÓN DE LARGO PLAZO DEL SISTEMA DE PLANIFICACIÓN ENERGÉTICA</t>
  </si>
  <si>
    <t>ADQUISICIÓN DE LIBROS EDUCATIVOS PARA EL NIVEL INICIAL, PRIMARIA Y SECUNDARIA POR EL DÍA NACIONAL DEL AHORRO DE ENERGÍA</t>
  </si>
  <si>
    <t>SERVICIO DE MANTENIMIENTO DEL SOFTWARE OFM 2022</t>
  </si>
  <si>
    <t>SERVICIO DE MANTENIMIENTO DEL SOFTWARE OFM 2023</t>
  </si>
  <si>
    <t>SERVICIOS PARA MEJORAR LA NORMATIVA DEL SUBSECTOR ELECTRICO</t>
  </si>
  <si>
    <t>SERVICIO PARA LA ELABORACION DEL LIBRO BLANCO PARA LA REFORMA DEL SUBSECTOR ELECTRICO</t>
  </si>
  <si>
    <t>SERVICIOS LEGALES EN DERECHO PROCESAL CONSTITUCIONAL SOBRE SENTENCIAS SOBRE LAS DEMANDAS INTERPUESTAS POR LAS DIFERENTES EMPRESAS DEL SECTOR ELECTRICIDAD</t>
  </si>
  <si>
    <t>IMPRESIÓN DE DOCUMENTOS DE DIFUSION</t>
  </si>
  <si>
    <t>SERVICIO DE CONSULTORÍA PARA EL PATROCINIO LEGAL EN PROCESOS ARBITRALES</t>
  </si>
  <si>
    <t>SERVICIO DE ASESORÍA LEGAL POR PERSONA JURIDICA</t>
  </si>
  <si>
    <t>GASTOS LEGALES - TEMAS ARBITRALES</t>
  </si>
  <si>
    <t>SERVICIO DE ASESORÍA LEGAL POR PERSONA NATURAL</t>
  </si>
  <si>
    <t>UNIDAD EJECUTORA 005: DIRECCIÓN GENERAL DE ELECTRIFICACIÓN RURAL</t>
  </si>
  <si>
    <t>1. SERVICIO DE DISTRIBUCIÓN DE CORRESPONDENCIA (MENSAJERÍA) PARA LA DIRECCIÓN GENERAL DE ELECTRIFICACIÓN RURAL DEL MINISTERIO DE ENERGÍA Y MINAS</t>
  </si>
  <si>
    <t>Servicio</t>
  </si>
  <si>
    <t>AS N° 0005-2019-MINEM/DGER</t>
  </si>
  <si>
    <t>20387377167 - MACRO POST S.A.C.</t>
  </si>
  <si>
    <t>36 meses</t>
  </si>
  <si>
    <t>2. ADQUISICIÓN DE UNIDADES VEHICULARES PARA LA DIRECCIÓN GENERAL DE ELECTRIFICACIÓN RURAL DEL MINISTERIO DE ENERGÍA Y MINAS – ÍTEM N° 01</t>
  </si>
  <si>
    <t>Bienes</t>
  </si>
  <si>
    <t>LP N° 0001-2020-MINEM/DGER</t>
  </si>
  <si>
    <t>20100144922 - GRUPO PANA S.A.</t>
  </si>
  <si>
    <t>ENTREGADO</t>
  </si>
  <si>
    <t>70 d. cal.</t>
  </si>
  <si>
    <t>BIENES ENTREGADO,  Fecha prevista de fin de contrato: 
25 de Diciembre de 2020</t>
  </si>
  <si>
    <t>3. ADQUISICIÓN DE UNIDADES VEHICULARES PARA LA DIRECCIÓN GENERAL DE ELECTRIFICACIÓN RURAL DEL MINISTERIO DE ENERGÍA Y MINAS – ÍTEM N° 02</t>
  </si>
  <si>
    <t>1. PROGRAMA DE SEGURO INTEGRAL PARA LA DIRECCIÓN GENERAL DE ELECTRIFICACIÓN RURAL DEL MINISTERIO DE ENERGÍA Y MINAS</t>
  </si>
  <si>
    <t>CONTRATO COMPLEMENTARIO             CP Nº 0027-2018-MEM/DGER</t>
  </si>
  <si>
    <t>CONSORCIO PACÍFICO (20332970411 - PACÍFICO COMPAÑÍA DE SEGUROS Y REASEGUROS S.A.,  
20431115825 - PACÍFICO S.A. ENTIDAD PRESTADORA DE SALUD)</t>
  </si>
  <si>
    <t>CONCLUIDO</t>
  </si>
  <si>
    <t>2. PROGRAMA DE SEGURO INTEGRAL PARA LA DIRECCIÓN GENERAL DE ELECTRIFICACIÓN RURAL DEL MINISTERIO DE ENERGÍA Y MINAS</t>
  </si>
  <si>
    <t>CP N° 0001-2021-MINEM/DGER</t>
  </si>
  <si>
    <t>CONSORCIO PACÍFICO         (20332970411 PACÍFICO COMPAÑÍA DE SEGUROS Y REASEGUROS S.A.                                               20431115825 - PACÍFICO S.A. ENTIDAD PRESTADORA DE SALUD)</t>
  </si>
  <si>
    <t>SERVICIO POR 730 DC</t>
  </si>
  <si>
    <t xml:space="preserve">1. SERVICIO DE REALIZACION DE LOS EXAMENES MEDICOS OCUPACIONALES PARA LOS TRABAJADORES DEL INSTITUTO PERUANO DE ENERGIA NUCLEAR </t>
  </si>
  <si>
    <t>Adjudicación Simplificada</t>
  </si>
  <si>
    <t>PROCEDIMIENTO</t>
  </si>
  <si>
    <t>DYT</t>
  </si>
  <si>
    <t>2. SERVICIO DE MANTENIMIENTO CORRECTIVO DE EQUIPOS DE AIRE ACONDICIONADO DE LAS INSTALACIONES DEL INSTITUTO PERUANO DE ENERGÍA NUCLEAR</t>
  </si>
  <si>
    <t>RO/RDR</t>
  </si>
  <si>
    <t>3. SERVICIO DE TELEFONIA FIJA E INTERNET</t>
  </si>
  <si>
    <t>Concurso Público</t>
  </si>
  <si>
    <t>CP-SM-2-2020-IPEN-1</t>
  </si>
  <si>
    <t>4. SERVICIO DE PÓLIZA DE SEGUROS INSTITUCIONALES</t>
  </si>
  <si>
    <t>5. SERVICIO DE LIMPIEZA</t>
  </si>
  <si>
    <t>RDR</t>
  </si>
  <si>
    <t>6. ADQUISICIÓN DE TONER Y TINTA DE IMPRESIÓN PARA EL IPEN</t>
  </si>
  <si>
    <t>Compras por catálogo (Convenio Marco)</t>
  </si>
  <si>
    <t>7. ADQUISICIÓN DE ÚTILES DE OFICINA</t>
  </si>
  <si>
    <t>8. SERVICIO DE SUMINISTRO DE POTENCIA Y ENERGIA ELECTRICA A NIVEL NACIONAL PARA EL CENTRO NUCLEAR COMO USUARIA LIBRE PARA EL PERIODO AGOSTO 2020 - JULIO 2023</t>
  </si>
  <si>
    <t>RO</t>
  </si>
  <si>
    <t>9. SERVICIO DE REPARACIÓN DE PUENTE GRÚA DEL REACTOR NUCLEAR RP-10</t>
  </si>
  <si>
    <t>10. ADQUISICIÓN DE COMBUSTIBLE DIESEL B5S 50</t>
  </si>
  <si>
    <t>Subasta Inversa Electrónica</t>
  </si>
  <si>
    <t>SIE-SIE-1-2020-IPEN-1</t>
  </si>
  <si>
    <t>11. ADQUISICIÓN E INSTALACIÓN DE DOS (2) GRUPOS GENERADORES DE EMERGENCIA PARA LA PPRR Y EL REACTOR RP-10</t>
  </si>
  <si>
    <t>12. SERVICIO DE CONSULTORIA DE OBRA PARA LA SUPERVISIÓN DE LA ELABORACIÓN DEL EXPEDIENTE TECNICO DEL PROYECTO: INSTALACIÓN DE UN CICLOTRON PARA PRODUCIR RADIOFÁRMACOS APLICABLE AL DIAGNOSTICO ONCOLÓGICO ESPECIALIZADO A TRAVES DE PET / TC EN LA CIUDAD DE LIMA , PERÚ, CÓDIGO SNIP N 65729</t>
  </si>
  <si>
    <t xml:space="preserve">Adjudicación </t>
  </si>
  <si>
    <t>13. ADQUISICIÓN E INSTALACIÓN DE EQUIPOS Y COMPONENTES DE SEGURIDAD ELECTRÓNICA DEL INSTITUTO PERUANO DE ENERGÍA NUCLEAR</t>
  </si>
  <si>
    <t>14. EJECUCIÓN DE OBRA DEL SISTEMA DE SUMINISTRO DE AGUA CONTRA INCENDIO DEL CENTRO NUCLEAR RACSO-IPEN</t>
  </si>
  <si>
    <t>Licitación Pública</t>
  </si>
  <si>
    <t>15. SERVICIO DE MONITOREO OCUPACIONAL DE AGENTES FISICOS QUIMICOS BIOLÓGICOS PSICOLÓGICOS Y FACTORES DE RIESGO DISERGONOMICO DEL IPEN</t>
  </si>
  <si>
    <t xml:space="preserve">16. SERVICIO ADECUACIÓN DEL SISTEMA DE DUCTOS Y COMPONENTES PARA EL TRANSVASE Y TRATAMIENTO DE LÍQUIDOS ACTIVOS DESDE EL RP-10 Y PPR A LA PGRR </t>
  </si>
  <si>
    <t>17. SERVICIO DE CONSULTORIA DE OBRA PARA LA SUPERVISIÓN DE LA ELABORACIÓN DEL EXPEDIENTE TÉCNICO DEL PROYECTO MEJORAMIENTO DEL SERVICIO DE MEDICIÓN Y CALIBRACIÓN DOSIMÉTRICA EN EL LABORATORIO SECUNDARIO DE CALIBRACIONES DOSIMÉTRICAS  LSCD DEL INSTITUTO PERUANO DE ENERGÍA NUCLEAR</t>
  </si>
  <si>
    <t>18. Servicio de transporte y desaduanaje de Fuentes de Co-60</t>
  </si>
  <si>
    <t>Contratacion Internacional</t>
  </si>
  <si>
    <t>INTER-PROC-1-2020-IPEN-1</t>
  </si>
  <si>
    <t>L0556212673 - FOSS THERAPY SERVICES, INC</t>
  </si>
  <si>
    <t>19. ADQUISICION DE DIOXIDO DE TELURO</t>
  </si>
  <si>
    <t>INTER-PROC-2-2020-IPEN-1</t>
  </si>
  <si>
    <t>L0000003691 - MATERION ADVANCED CHEMICALS INC</t>
  </si>
  <si>
    <t xml:space="preserve">20. ADQUISICION DE MICROGERINGAS 1.2 uL
</t>
  </si>
  <si>
    <t>INTER-PROC-3-2020-IPEN-1</t>
  </si>
  <si>
    <t>L0556212726 - ISOSPARK</t>
  </si>
  <si>
    <t>1. SERVICIO DE PÓLIZA DE SEGUROS INSTITUCIONALES</t>
  </si>
  <si>
    <t>CP-SM-4-2019-IPEN-1</t>
  </si>
  <si>
    <t xml:space="preserve"> 20100041953 - RIMAC SEGUROS Y REASEGUROS</t>
  </si>
  <si>
    <t>EJECUTADO</t>
  </si>
  <si>
    <t>DYT/RO</t>
  </si>
  <si>
    <t>2. SUMINISTRO DE ENERGÍA ELÉCTRICA</t>
  </si>
  <si>
    <t>Sin Procedimiento</t>
  </si>
  <si>
    <t>3. SUMINISTRO DE AGUA POTABLE Y DESAGUE</t>
  </si>
  <si>
    <t>4. TELEFONÍA FIJA, INTERNET Y DATOS</t>
  </si>
  <si>
    <t>AS-SM-3-2020-IPEN-2</t>
  </si>
  <si>
    <t>20421780472 GTD PERU SA</t>
  </si>
  <si>
    <t>EN EJECUCION</t>
  </si>
  <si>
    <t>5. TONER Y SUMINISTRO DE IMPRESIÓN</t>
  </si>
  <si>
    <t>Convenio Marco</t>
  </si>
  <si>
    <t>7. MATERIALES DE ESCRITORIO</t>
  </si>
  <si>
    <t>8. MATERIALES DE ELECTRICIDAD Y ELECTRÓNICA</t>
  </si>
  <si>
    <t>9. MATERIALES DE LABORATORIO</t>
  </si>
  <si>
    <t>10. MATERIALES PARA MANTENIMIENTO DE EQUIPOS</t>
  </si>
  <si>
    <t>11. ADQUISICION DE HERRAMIENTAS</t>
  </si>
  <si>
    <t>12. MATERIALES PARA LABORATORIO</t>
  </si>
  <si>
    <t>13. ADQUISICIÓN DE PRODUCTOS QUIMICOS</t>
  </si>
  <si>
    <t>14. SERVICIO DE MANTENIMIENTO DE VEHÍCULOS</t>
  </si>
  <si>
    <t>15. SERVICIO DE MANTENIMIENTO DE EQUIPOS</t>
  </si>
  <si>
    <t>16. SERVICIO DE AUDITORIA FINANCIERA</t>
  </si>
  <si>
    <t>17. SERVICIO DE CALIBRACION DE EQUIPOS</t>
  </si>
  <si>
    <t>18. IMPORTACION DE DIOXIDO DE TELURO</t>
  </si>
  <si>
    <t>19. HONORARIOS POR DOCENCIA</t>
  </si>
  <si>
    <t>20. ADQUISICION DE FILTROS DE AIRE PARA LABORATORIO</t>
  </si>
  <si>
    <t>1. POLIZA DE RIESGO NUCLEAR</t>
  </si>
  <si>
    <t>CP-SM-1-2021-IPEN-1</t>
  </si>
  <si>
    <t>2. POLIZAS GENERALES</t>
  </si>
  <si>
    <t>3. SUMINISTRO DE ENERGÍA ELÉCTRICA</t>
  </si>
  <si>
    <t>4. SUMINISTRO DE AGUA POTABLE Y DESAGUE</t>
  </si>
  <si>
    <t>5. TELEFONÍA FIJA, INTERNET Y DATOS</t>
  </si>
  <si>
    <t>6. SERVICIO DE LIMPIEZA DE LAS INSTALACIONES</t>
  </si>
  <si>
    <t>CP-SM-3-2020-IPEN-1</t>
  </si>
  <si>
    <t>20604685798 ROCCAMAC SERVICIOS GENERALES SA</t>
  </si>
  <si>
    <t>7. ADQUISICION DE COMBUSTIBLE</t>
  </si>
  <si>
    <t>Subasta Inversa Electrionica</t>
  </si>
  <si>
    <t>SIE-1-2019-IPEN-1</t>
  </si>
  <si>
    <t>20554611126 OPERADOR LOGISTICO GARCIA</t>
  </si>
  <si>
    <t>8. TONER Y SUMINISTRO DE IMPRESIÓN</t>
  </si>
  <si>
    <t>9. MATERIALES DE ESCRITORIO</t>
  </si>
  <si>
    <t>10. MATERIALES DE ELECTRICIDAD Y ELECTRÓNICA</t>
  </si>
  <si>
    <t>11. MATERIALES PARA MANTENIMIENTO DE EQUIPOS</t>
  </si>
  <si>
    <t>12. ADQUISICION DE HERRAMIENTAS</t>
  </si>
  <si>
    <t>13. MATERIALES PARA LABORATORIO</t>
  </si>
  <si>
    <t>14. ADQUISICIÓN DE PRODUCTOS QUIMICOS</t>
  </si>
  <si>
    <t>15. SERVICIO DE MANTENIMIENTO DE VEHÍCULOS</t>
  </si>
  <si>
    <t>16. SERVICIO DE MANTENIMIENTO DE EQUIPOS</t>
  </si>
  <si>
    <t>17. SERVICIO DE AUDITORIA FINANCIERA</t>
  </si>
  <si>
    <t>18. SERVICIO DE CALIBRACION DE EQUIPOS</t>
  </si>
  <si>
    <t>19. IMPORTACION DE DIOXIDO DE TELURO</t>
  </si>
  <si>
    <t>1. ADQUISICION DE SISTEMA DE AIRE ACONDICIONADO PARA EL CENTRO DE DATOS DEL INGEMMET</t>
  </si>
  <si>
    <t>LICITACIÓN PÚBLICA</t>
  </si>
  <si>
    <t>LLAVE EN MANO</t>
  </si>
  <si>
    <t>4-2020</t>
  </si>
  <si>
    <t>VECODATA SAC</t>
  </si>
  <si>
    <t>ADJUDICADO</t>
  </si>
  <si>
    <t>2. ADQUISICION DE SWITCH SAN</t>
  </si>
  <si>
    <t>5-2020</t>
  </si>
  <si>
    <t>3. ADQUISICION DE VEHICULO AEREO NO TRIPULADO - DRONE</t>
  </si>
  <si>
    <t>2-2020</t>
  </si>
  <si>
    <t>GEODESIA Y TOPOGRAFIA SAC</t>
  </si>
  <si>
    <t>4. SERVICIO DE LIMPIEZA Y MANTENIMIENTO DE LOS LOCALES INSTITUCIONALES DEL INGEMMET</t>
  </si>
  <si>
    <t>ASEPCIA PERU SAC</t>
  </si>
  <si>
    <t>PRESUPUESTO PARA 2021 Y 2022</t>
  </si>
  <si>
    <t>5. SERVICIO DE MENSAJERIA LOCAL Y NACIONAL</t>
  </si>
  <si>
    <t>27-2020</t>
  </si>
  <si>
    <t>MACRO POST</t>
  </si>
  <si>
    <t>6. ADQUISICIÓN DE UNIFORME DE VERANO E INVIERNO PARA DAMAS Y CABALLEROS</t>
  </si>
  <si>
    <t>ESTUDIO DE MERCADO</t>
  </si>
  <si>
    <t xml:space="preserve">PRESUPUESTO PARA 2021 </t>
  </si>
  <si>
    <t>7. SERVICIO DE SOPORTE Y ACTUALIZACION DE LICENCIAS ORACLE O EQUIVALENTE</t>
  </si>
  <si>
    <t>8. SERVICIO DE DE SOPORTE Y MANTENIMIENTO DE SOFTWARE GIS O EQUIVALENTE</t>
  </si>
  <si>
    <t>9. SERVICIO DE SEGURIDAD Y VIGILANCIA NIVEL INSTITUCIONAL PARA EL INGEMMET</t>
  </si>
  <si>
    <t>10. CONTRATACION DE SEGURO DE BIENES MUEBLES E INMUEBLES</t>
  </si>
  <si>
    <t>PRESUPUESTO PARA 2021</t>
  </si>
  <si>
    <t>11. SERVICIO DE ALQUILER DE VEHICULOS PARA TRABAJOS DE CAMPO</t>
  </si>
  <si>
    <t>12. SERVICIO DE MANTENIMIENTO PREVENTIVO Y CORRECTIVO DE EQUIPOS INFORMATICOS</t>
  </si>
  <si>
    <t>PLIEGO 016: MINISTERIO DE ENERGÍA Y MINAS</t>
  </si>
  <si>
    <t>UNIDAD EJECUTORA 001: MINEM - CENTRAL</t>
  </si>
  <si>
    <t>PPTO 2022 (PROYECCION 31/12)</t>
  </si>
  <si>
    <t>SERVICIO DE CONSULTORÍA PARA LA EVALUACIÓN DE INSTRUMENTOS DE GESTIÓN AMBIENTAL COMPLEMENTARIOS - ESPECIALIDAD  BIOLOGÍA</t>
  </si>
  <si>
    <t>41151277</t>
  </si>
  <si>
    <t>INFORME</t>
  </si>
  <si>
    <t>MEDIO AMBIENTE</t>
  </si>
  <si>
    <t>SERVICIO DE CONSULTORÍA PARA LA EVALUACIÓN DE INSTRUMENTOS DE GESTIÓN AMBIENTAL COMPLEMENTARIOS - ESPECIALIDAD  INGENIERIA DE MINAS</t>
  </si>
  <si>
    <t>25780777</t>
  </si>
  <si>
    <t>CONSULTORÍA PARA LA EVALUACIÓN DE INSTRUMENTOS DE GESTIÓN AMBIENTAL COMPLEMENTARIOS - ESPECIALIDAD  RECURSOS HÍDRICOS</t>
  </si>
  <si>
    <t>09418308</t>
  </si>
  <si>
    <t>ENERGIA</t>
  </si>
  <si>
    <t xml:space="preserve">CONSULTORÍA PARA EL ANÁLISIS Y PROPUESTA DE MODIFICACIÓN DEL MARCO NORMATIVO PARA PROMOVER EL DESARROLLO DEL SECTOR ELÉCTRICO EN EL SEIN </t>
  </si>
  <si>
    <t>20551711812
20106636011</t>
  </si>
  <si>
    <t xml:space="preserve">SERVICIO DE CONSULTORÍA PARA LA ELABORACIÓN DEL SÉPTIMO INFORME NACIONAL DE TRANSPARENCIA EN LAS INDUSTRIAS EXTRACTIVAS (EITI PERÚ) PERIODOS 2017 Y 2018  </t>
  </si>
  <si>
    <t>MINERIA</t>
  </si>
  <si>
    <t>SERVICIO DE CONSULTORÍA PARA LA ELABORACIÓN DEL PROYECTO NORMATIVO QUE ESTABLEZCA LOS CRITERIOS PARA LA GESTIÓN DE SITIOS CONTAMINADOS GENERADOS POR ACTIVIDADES DEL SECTOR MINERO Y LOS PROCEDIMIENTOS NECESARIOS PARA SU IMPLEMENTACIÓN</t>
  </si>
  <si>
    <t>SERVICIO DE CONSULTORIA PARA ELABORAR GUIAS Y CARTILLAS DE ORIENTACION DEL USO EFICIENTE DE LA ENERGÍA Y DE DIAGNOSTICO ENERGÉTICO</t>
  </si>
  <si>
    <t>SERVICIO DE CONSULTORÍA DE LA NORMA DGE ESPECIFICACIONES TÉCNICAS DE SOPORTES NORMALIZADOS PARA LÍNEAS Y REDES PRIMARIAS Y SECUNDARIAS PARA ELECTRIFICACIÓN RURAL</t>
  </si>
  <si>
    <t>08526063</t>
  </si>
  <si>
    <t>SERVICIO DE CONSULTORÍA PARA LA ELABORACIÓN DE LOS PROCEDIMIENTOS PARA LA INYECCIÓN DE LA ENERGÍA EN LAS REDES ELÉCTRICAS</t>
  </si>
  <si>
    <t>SERVICIO DE CONSULTORÍA PARA LA REVISIÓN DEL ESTUDIO DE PRUEBAS DE POTENCIA EFECTIVA Y RENDIMIENTO DE LA CENTRAL TÉRMICA RESERVA FRÍA IQUITOS</t>
  </si>
  <si>
    <t>SERVICIO DE CONSULTORÍA ESTUDIO A NIVEL PREINVERSIÓN DEL PERFIL DEL PROYECTO DE INVERSION CREACIÓN E IMPLEMENTACIÓN DE LA VENTANILLA UNICA DIGITAL DEL SECTOR MINERÍA ADMINISTRADO POR EL MINISTERIO DE ENERGÍA Y MINAS</t>
  </si>
  <si>
    <t>ESTUDIO</t>
  </si>
  <si>
    <t>SERVICIO DE CONSULTORÍA PARA EL ANÁLISIS Y EVALUACIÓN DE LA DETERMINACIÓN, DISTRIBUCIÓN Y EJECUCIÓN MENSUAL Y ANUAL DEL CANON Y SOBRECANON PETROLERO Y CANON GASIFERO EN CADA REGIÓN</t>
  </si>
  <si>
    <t>SERVICIO DE CONSULTORÍA PARA LA ELABORACIÓN DEL LIBRO ANUAL DE RECURSOS DE HIDROCARBUROS 2019</t>
  </si>
  <si>
    <t>CONTRATACIÓN DEL SERVICIO DE CONSULTORÍA PARA ELABORAR NORMA DGE Y UNA GUIA PARA LA SELECCIÓN DE LOS DESCARGADORES DE SOBRETENSIONES EN REDES ELÉCTRICAS DE DISTRIBUCIÓN</t>
  </si>
  <si>
    <t>INFORME / PROYECTO DE NORMA</t>
  </si>
  <si>
    <t>CONTRATACIÓN DEL “SERVICIO DE CONSULTORÍA PARA EL DESARROLLO DE LOS ESTÁNDARES MÍNIMOS DE EFICIENCIA ENERGÉTICA - MEPS DE EQUIPOS ENERGÉTICOS”</t>
  </si>
  <si>
    <t>REVISIÓN LEGAL DE ESTUDIO AMBIENTAL (EA) E INSTRUMENTOS DE GESTIÓN AMBIENTAL COMPLEMENTARIO (IGAC)</t>
  </si>
  <si>
    <t>REVISIÓN AMBIENTAL DE ESTUDIO AMBIENTAL (EA) E INSTRUMENTOS DE GESTIÓN AMBIENTAL COMPLEMENTARIO (IGAC)</t>
  </si>
  <si>
    <t>SOPORTE LEGAL EN EL DESARROLLO DE LAS FUNCIONES DE LA DIRECCIÓN DE GESTIÓN AMBIENTAL DE ELECTRICIDAD</t>
  </si>
  <si>
    <t>REVISIÓN DE MODELOS ECONOMÉTRICOS PARA LA PROSPECCIÓN DE LARGO PLAZO DEL CONSUMO DE ENERGÍA A NIVEL NACIONAL</t>
  </si>
  <si>
    <t>ENERGÍA</t>
  </si>
  <si>
    <t>ANÁLISIS E IMPLEMENTACIÓN DE ENTORNOS GEOGRÁFICOS PARA EVALUACIÓN AMBIENTAL ESTRATÉGICA EN PLANIFICACIÓN ENERGÉTICA</t>
  </si>
  <si>
    <t>SISTEMATIZACIÓN DE ENCUESTAS PARA ACTUALIZAR LOS INDICADORES ENERGÉTICOS DEL SECTOR INDUSTRIA Y TRANSPORTE</t>
  </si>
  <si>
    <t xml:space="preserve">CONSULTORÍA PARA EL ESTUDIO DE PROSPECCIÓN SOBRE LA IMPORTANCIA Y NECESIDAD DE IMPLEMENTACIÓN DE LA TECNOLOGÍA HIDRÓGENO VERDE PARA EL PERÚ. </t>
  </si>
  <si>
    <t>CONSULTORÍA PARA EL ANÁLISIS DE BARRERAS TÉCNICO-ECONÓMICAS Y ELABORACIÓN DE PROPUESTA NORMATIVA DE SISTEMAS SOLARES FOTOVOLTAICOS EN INSTITUCIONES PÚBLICAS</t>
  </si>
  <si>
    <t>CONSULTORÍA PARA EL ESTUDIO Y ELABORACIÓN DE BASES TÉCNICAS Y TECNOLÓGICAS PARA LA IMPLEMENTACIÓN DE PROYECTOS DE PRODUCCIÓN DE HIDRÓGENO VERDE</t>
  </si>
  <si>
    <t>CONSULTORÍA PARA EL ANÁLISIS DE BARRERAS TÉCNICO ECONÓMICAS Y ELABORACIÓN DE PROPUESTA NORMATIVA DE CENTRALES SOLARES CONCENTRADAS</t>
  </si>
  <si>
    <t>CONSULTORÍA PARA LA EVALUACIÓN DEL CONSUMO DE ENERGÍA EN OFICINAS DEL SECTOR PÚBLICO.</t>
  </si>
  <si>
    <t>CONSULTORÍA PARA LA ELABORACIÓN DE ESCALA DE CALIFICACIÓN ENERGÉTICA EN EDIFICACIONES.</t>
  </si>
  <si>
    <t>CONSULTORÍA PARA LA IMPLEMENTACIÓN DE SISTEMAS DE GESTIÓN DE LA ENERGÍA EN EL SECTOR INDUSTRIAL.</t>
  </si>
  <si>
    <t>CONSULTORÍA PARA LA ACTUALIZACIÓN DEL POTENCIAL DE COGENERACIÓN DEL PERÚ Y PROYECCIONES AL 2030, COSTO ESTIMADO</t>
  </si>
  <si>
    <t>CONSULTORÍA PARA REALIZAR EL ANÁLISIS DE IMPACTO REGULATORIO DE LOS NUEVOS ANEXOS A INCORPORAR EN EL REGLAMENTO TÉCNICO SOBRE EL EEE.</t>
  </si>
  <si>
    <t>CONSULTORÍA PARA LA MEDICIÓN DE IMPACTO A TRAVÉS DE MEDICIONES SOBRE EL EEE - CASA EFICIENTE, CON MEDICIONES AL MENOS DE 06 MESES</t>
  </si>
  <si>
    <t>CONSULTORÍA LA ELABORACIÓN DE PROPUESTAS DE ELABORACIÓN DE FICHAS DE HOMOLOGACIÓN</t>
  </si>
  <si>
    <t>CONSULTORÍA PARA LA ELABORACIÓN DE PROPUESTAS DE ELABORACIÓN DE PROYECTOS DE NTP</t>
  </si>
  <si>
    <t>INFORME/ NORMA TECNICA</t>
  </si>
  <si>
    <t>CONSULTORÍA PARA EL DESARROLLO E IMPLEMENTACIÓN DEL SISTEMA INTERACTIVIO DE EFICIENCIA ENERGÉTICA</t>
  </si>
  <si>
    <t>PREVISIÓN PRESUPUESTAL DEL SERVICIO DE BIOMASA AGRÍCOLA</t>
  </si>
  <si>
    <t>CONSULTORÍA ESPCIALIZADA EN MATERIA CONTRACTUAL SOBRE LA POSIBLE TERMINACIÓN DE LA CONCESIÓN EN LA REGIÓN TUMBES POR INCUMPLIMIENTO DE OBLIGACIÓN CONTRACTUAL ATRIBUIBLE A LA EMPRESA</t>
  </si>
  <si>
    <t>INFORME LEGAL</t>
  </si>
  <si>
    <t>CONSULTORÍA ESPECIALIZADA EN MATERIA ARBITRAL POR EL PROCESO ARBITRAL QUE SE INCIARÍA POR LA TERMINACIÓN DE LA CONCESIÓN SUR OESTE, CONTRA LA EMPRESA NATURGY</t>
  </si>
  <si>
    <t xml:space="preserve">CONSULTORÍA ESPECIALIZADA PARA PRESENTAR POSIBLE RECURSO DE CASACIÓN CONTRA SENTENCIA DE SEGUNDA INSTANCIA QUE PODRÍA RESULTAR DESFAVORABLE PARA EL ESTADO </t>
  </si>
  <si>
    <t>Informe Legal y ponencia oral ante el tribunal arbitrla</t>
  </si>
  <si>
    <t>SERVICIO DE ELABORACIÓN DEL LIBRO DE RECURSOS DE HIDROCARBUROS 2020 Y 2021.</t>
  </si>
  <si>
    <t>Libro de recursos de hidrocarburos 2021</t>
  </si>
  <si>
    <t>SERVICIO DE CONSULTORÍA DE DIAGNÓSTICO DE LOS TIEMPOS PARA LA OBTENCIÓN DE LOS PERMISOS AMBIENTALES.</t>
  </si>
  <si>
    <t>SISTEMA INFORMÁTICO PARA EL CONTROL DE ESTADÍSTICA DE HIDROCARBUROS.</t>
  </si>
  <si>
    <t>SISTEMA INFORMATICO</t>
  </si>
  <si>
    <t>SERVICIO DE EVALUACIÓN TECNICA Y SEGUIMIENTO DE ACTIVIDADES DE EXPLORACIÓN Y EXPLOTACIÓN DE HIDROACARBUROS.</t>
  </si>
  <si>
    <t>SERVICIO ESPECIALIZADO EN EL SEGUIMIENTO A LA EVALUACIÓN DE LAS RESERVAS Y RECURSOS DE HIDROCARBUROS.</t>
  </si>
  <si>
    <t>SERVICIO DE EVALUACIÓN TECNICA DE LAS ACTIVIDADES DE EXPLORACIÓN Y EXPLOTACIÓN DE HIDROACARBUROS EN ONSHORE.</t>
  </si>
  <si>
    <t>SERVICIO DE EVALUACIÓN TECNICA DE LAS ACTIVIDADES DE EXPLORACIÓN Y EXPLOTACIÓN DE HIDROACARBUROS EN OFFSHORE</t>
  </si>
  <si>
    <t>SERVICIO DE EVALUACIÓN LEGAL DE ACTIVIDADES RELACIONADAS A LA EXPLORACIÓN Y EXPLOTACIÓN DE HIDROCARBUROS.</t>
  </si>
  <si>
    <t>SERVICIO DE ANÁLISIS LEGAL PARA EL APOYO  EN LA EVALUACIÓN DE ASPECTOS NORMATIVOS RELACIONADOS A ACTIVIDADES DE HIDROCARBUROS.</t>
  </si>
  <si>
    <t>SERVICIO DE EVALUACIÓN DE INFORMACIÓN ECONÓMICA RELACIONADAS A LA EXPLORACIÓN Y EXPLOTACIÓN DE HIDROCARBUROS.</t>
  </si>
  <si>
    <t>CONSULTORIA PARA LA REVISION Y PROPUESTAS DE MEJORA DE LA NORMATIVA DE LA DISTRIBUCION</t>
  </si>
  <si>
    <t>ELECTRICIDAD</t>
  </si>
  <si>
    <t>CONSULTORIA PARA LA REVISION Y PROPUESTAS DE MEJORA DE LA NORMATIVA DE LA GENERACION</t>
  </si>
  <si>
    <t>SERVICIO DE CONSULTORIA PARA EFECTUAR UN MANUAL Y GUIA TECNICA EN BASE A LA NORMA IEC 60364 INSTALACIONES ELECTRICAS DE BAJA TENSION. PARTE 7-701: REQUISITOS PARA LAS INSTALACIONES Y EMPLAZAMIENTOS ESPECIALES - INSTALACIONES ELECTRICAS EN BAÑOS</t>
  </si>
  <si>
    <t>SERVICIO DE CONSULTORIA PARA ELABORAR UN MANUAL Y GUIA TECNICA PARA SISTEMAS DE PUESTA A TIERRA DE LOS SISTEMAS ELECTRICOS Y SUS COMPONENTES ESTANDARES</t>
  </si>
  <si>
    <t>SERVICIO DE CONSULTORIA PARA LA ELABORACIÓN DE UN MANUAL Y GUIA TECNICA DE INSTALACIONES DE SUMINISTRO ELECTRICO PARA VEHICULOS ELECTRICOS, SOBRE LA BASE DE LA NORMA IEC 60364 INSTALACIONES ELECTRICAS DE BAJA TENSION - PARTE 722: SUMINISTRO PARA VEHICULOS ELECTRICOS</t>
  </si>
  <si>
    <t>SERVICIO DE CONSULTORIA PARA LA ELABORACION DE INVENTARIOS ETECEN-ETESUR DE LAS AMPLIACIONES 2 A 12 DE REP</t>
  </si>
  <si>
    <t>SERVICIO DE CONSULTORIA ESPECIALIZADA PARA EL SEGUIMIENTO Y CONTROL DE LA IMPLEMENTACION DEL PROYECTO LINEA DE TRANSMISION DE INTERCONEXION 500 KV ECUADOR-PERU</t>
  </si>
  <si>
    <t>CONTRATACION DE SERVICIO DE CONSULTORIA PARA LA ADECUACION DE LA NORMA ELECTRICA PARA SISTEMAS AISLADOS</t>
  </si>
  <si>
    <t>SERVICIO DE CONSULTORIA PARA LA ELABORACION DE PROPUESTA DE UN NUEVO REGLAMENTO PARA LAS SUBASTAS RER, BASES PARA LAS SUBASTAS RER Y MODELOS DE CONTRATOS PARA IMPLEMENTAR LA PROPUESTA SELECCIONADA</t>
  </si>
  <si>
    <t>1 ELABORACIÓN DEL ESTUDIO DEFINITIVO DEL PROTECTO: AMPLIACION DE REDES DE DISTRIBUCION EN EL DEPARTAMENTO DE PASCO - 2337549</t>
  </si>
  <si>
    <t>SOCIEDAD DE INGENIERÍA CONSTRUCTIVA AMERICANA CONSTRATISTAS GENERALES S.A.C. (20547708475)</t>
  </si>
  <si>
    <t>ESTUDIO DEFINITIVO</t>
  </si>
  <si>
    <t>0057 Distribución de energía eléctrica</t>
  </si>
  <si>
    <t>2 ELABORACIÓN DEL ESTUDIO DEFINITIVO DEL PROTECTO: INSTALACION DEL SERVICIO ELECTRICO RURAL EN 46 LOCALIDADES DE LAS PROVINCIAS DE HUANTA, LA MAR, Y SATIPO, Y 81 LOCALIDADES DE LAS PROVINCIAS DE CHANCHAMAYO Y SATIPO, DE LOS DEPARTAMENTOS DE AYACUCHO Y JUNIN - 2301918</t>
  </si>
  <si>
    <t>CONSORCIO PROGRESO (20547708475)</t>
  </si>
  <si>
    <t>3 ELABORACIÓN DEL ESTUDIO DEFINITIVO DEL PROTECTO: AMPLIACIÓN DE REDES DE DISTRIBUCIÓN EN EL DEPARTAMENTO DE APURIMAC - 2377705</t>
  </si>
  <si>
    <t>CARLOS V GOICOCHEA VEGA (32869702)</t>
  </si>
  <si>
    <t>4 ELABORACIÓN DEL ESTUDIO DEFINITIVO DEL PROTECTO: AMPLIACIÓN DE REDES DE DISTRIBUCIÓN EN LA PROVINCIA DE HUANTA DPTO. AYACUCHO - 2329293</t>
  </si>
  <si>
    <t>RANDA S.R.L. (20417717391)</t>
  </si>
  <si>
    <t>5 ELABORACIÓN DEL ESTUDIO DEFINITIVO DEL PROTECTO: INSTALACIÓN DEL SERVICIO ELECTRICO RURAL DE LAS LOCALIDADES DE LAS PROVINCIAS DE LA MAR, HUAMANGA, CANGALLO, HUANCASANCOS, VICTOR FAJARDO, VILCASHUAMAN, LUCANAS Y PARINACOCHAS, DEL DPTO. AYACUCHO Y DE LA PROVINCIA DE ANGARAES, DPTO. HUANCAVELICA - 2311360</t>
  </si>
  <si>
    <t>CONSORCIO RUBELEC (20172889540)</t>
  </si>
  <si>
    <t>6 ELABORACIÓN DEL ESTUDIO DEFINITIVO DEL PROTECTO: AMPLIACION DE REDES DE DISTRIBUCION EN EL DEPARTAMENTO DE AMAZONAS - 2327106</t>
  </si>
  <si>
    <t>7 ELABORACIÓN DEL ESTUDIO DEFINITIVO DEL PROTECTO: INSTALACION DEL SISTEMA DE ELECTRIFICACION RURAL DE LAS CUENCAS DE LOS RIOS CENEPA, COMAINA, NUMPATKAY Y SANTIAGO, DISTRITOS FRONTERIZOS DE EL CENEPA, IMAZA Y RIO SANTIAGO, REGION AMAZONAS - 2282700</t>
  </si>
  <si>
    <t>JORGE YARLAQUE MONTALVO (17521516)</t>
  </si>
  <si>
    <t>8 ELABORACIÓN DEL ESTUDIO DEFINITIVO DEL PROTECTO: INSTALACION DEL SISTEMA DE ELECTRIFICACION RURAL DE LAS CUENCAS DE LOS RIOS MORONA, PASTAZA, CORRIENTES Y TIGRE, DSTRITOS FRONTERIZOS DE ANDOAS, MORONA, TIGRE Y TROMPETEROS, REGION LORETO - 2279032</t>
  </si>
  <si>
    <t>8 ELABORACIÓN DEL ESTUDIO DE PERFIL DEL PROYECTO: AMPLIACIÓN DEL SERVICIO DE ENERGÍA ELÉCTRICA EN LA PROVINCIA DEL SANTA Y EN EL DISTRITO DE PAMPAROMAS - DEPARTAMENTO DE ANCASH</t>
  </si>
  <si>
    <t>DTM INGENIEROS S.A.C. (20518635850)</t>
  </si>
  <si>
    <t>ESTUDIO DE PERFIL</t>
  </si>
  <si>
    <t>10 ELABORACIÓN DEL ESTUDIO DE PERFIL DEL PROYECTO: ELECTRIFICACIÓN RURAL EN LOCALIDADES DE LOS DISTRITOS DE NAUTA Y URANINAS, PROVINCIA DE LORETO, REGIÓN LORETO</t>
  </si>
  <si>
    <t>PRIETO INGENIEROS CONSULTORES S.A. (20108432510)</t>
  </si>
  <si>
    <t>11 ELABORACIÓN DEL ESTUDIO DE PERFIL DEL PROYECTO: AMPLIACIÓN DE ELECTRIFICACIÓN RURAL EN LAS PROVINCIAS DE DATEM DEL MARAÑON Y LORETO, REGIÓN LORETO</t>
  </si>
  <si>
    <t>12 ELABORACIÓN DEL ESTUDIO DEFINITIVO DEL PROYECTO AMPLIACIÓN DE REDES DE DISTRIBUCIÓN EN EL DEPARTAMENTO DE LA LIBERTAD-2331616</t>
  </si>
  <si>
    <t>13 ELABORACIÓN DEL ESTUDIO DEFINITIVO DEL PROYECTO CREACION MEJORAMIENTO Y AMPLIACIÓN DEL SERVICIO DE ENERGÍA ELÉCTRICA MEDIANTE SISTEMA CONVENCIONAL EN LAS LOCALIDADES DE PALENQUE GRANDE, HUANABAMBA, TULPAC, LLUMBUY, LA COLPA, PAMPA LA ARENA, PINDUC, VISTA ALEGRE, BELLAVISTA, COCHABAMBA, CHALLUACANCHA, CHUQUIBAMBA, DATA, ATUEN Y LA JOYA, 11 LOCALIDADES DEL DISTRITO DE CHUQUIBAMBA - PROVINCIA DE CHACHAPOYAS - DEPARTAMENTO DE AMAZONAS-2349548</t>
  </si>
  <si>
    <t>14 ELABORACIÓN DEL ESTUDIO DEFINITIVO DEL PROYECTO AMPLIACIÓN DE LAS REDES DE DISTRIBUCIÓN EN LAS PROVINCIAS DE CUTERVO Y JAÉN, DEPARTAMENTO DE CAJAMARCA-2384757</t>
  </si>
  <si>
    <t>15 ELABORACIÓN DEL ESTUDIO DEFINITIVO DEL PROYECTO AMPLIACION DE REDES DE DISTRIBUCION EN LA ZONA SUR - DISTRITO DE YUNGUYO - PROVINCIA DE YUNGUYO - DEPARTAMENTO DE PUNO-2384752</t>
  </si>
  <si>
    <t>16 ELABORACIÓN DEL ESTUDIO DEFINITIVO DEL PROYECTO INSTALACION DEL SERVICIO DE ENERGÍA ELÉCTRICA RURAL MEDIANTE REDES CONVENCIONALES EN 10 LOCALIDADES DE LOS DISTRITO DE LAS PIEDRAS, TAMBOPATA Y LABERINTO, PROVINCIA DE TAMBOPATA, REGIÓN MADRE DE DIOS-2288891</t>
  </si>
  <si>
    <t>17 ELABORACIÓN DEL ESTUDIO DEFINITIVO DEL PROYECTO CREACION DEL SERVICIO ELÉCTRICO RURAL EN LAS COMUNIDADES NATIVAS DE KUSU KUBAIM Y HUAMPAMI,  DISTRITO DE EL CENEPA - PROVINCIA DE CONDORCANQUI - DEPARTAMENTO DE AMAZONAS-2423619</t>
  </si>
  <si>
    <t>18  ELABORACIÓN DEL ESTUDIO DE PERFIL DEL PROYECTO: AMPLIACION DE REDES DE DISTRIBUCION EN LA ZONA NORTE - DEPARTAMENTO DE PUNO</t>
  </si>
  <si>
    <t>19  ELABORACIÓN DEL ESTUDIO DE PERFIL DEL PROYECTO: AMPLIACION DE LA ELECTRIFICACIÓN RURAL EN LOS DISTRITOS DE NAPO Y MAZAN, PROVINCIA DE MAYNAS, REGIÓN DE LORETO</t>
  </si>
  <si>
    <t>20  ELABORACIÓN DEL ESTUDIO DE PERFIL DEL PROYECTO: ELECTRIFICACIÓN RURAL EN LAS LOCALIDADES DE LOS DISTRITOS DE ALTO NANAY, IQUITOS Y PUNCHANA, PROVINCIA MAYNAS, REGION LORETO”.</t>
  </si>
  <si>
    <t>21. ELABORACION DEL SERVICIO DE CONSULTORIA PARA LA REVISION Y DETERMINACION DE REQUERIMIENTOS DE TECNOLOGIA DE LA INFORMACION DE APOYO A LA GESTION, SEGUIMIENTO Y EJECUCION DE PROYECTOS DE ELECTRIFICACION RURAL DE LA DGER/MINEM</t>
  </si>
  <si>
    <t>23861186</t>
  </si>
  <si>
    <t>22. ELABORACION DEL SERVICIO DE CONSULTORIA Y ASESORIA A LA DIRECCION GENERAL DE ELECTRIFICACION RURAL DEL MINISTERIO DE ENERGIA Y MINAS, PARA DESARROLLAR LABORES DE ASESORIA Y SEGUIMIENTO DE LOS PROCESOS DE PLANEAMIENTO, EVALUACION Y EJECUCION DE LOS PROYECTOS DE ELECTRIFICACION RURAL</t>
  </si>
  <si>
    <t>23843234</t>
  </si>
  <si>
    <t>23. SERVICIO DE CONSULTORIA ESPECIALISTA EN EL SECTOR ELECTRICO Y EN LOS MECANISMOS DE PROMOCIÓN DE LA INVERSION PÚBLICA - PRIVADA EN PROYECTOS ELÉCTRICOS</t>
  </si>
  <si>
    <t>08272346</t>
  </si>
  <si>
    <t>24. SERVICIO DE CONSULTORIA ESPECIALISTA PARA ESTRUCTURAR EL PROGRAMA DE PROMOCION DE USOS PRODUCTIVOS DE LA ENERGIA ELECTRICA EN LA DIRECCION GENERAL DE ELECTRIFICACION RURAL Y LINEAMIENTOS PARA EL DISEÑO  DE LOS PROGRAMAS ESPECIFICOS A CARGO DE LAS EMPRESAS DE DISTRIBUCION ELECTRICA Y ADINELSA</t>
  </si>
  <si>
    <t>09450608</t>
  </si>
  <si>
    <t>25. PROFESIONAL ESPECIALIZADO EN CONTROL GUBERNAMENTAL GUBERNAMENTAL PARA COORDINAR, REVISAR, EVALUAR, ASESORAR, SUPERVISAR Y/O PROYECTAR DOCUMENTOS INTERNOS QUE SUSTENTEN LAS ACCIONES ADMINISTRATIVAS Y/O MEDIDAS DE CONTROL A SER IMPLEMENTADAS POR LA DGER, PARA PARTICIPAR EN LAS SIGUIENTES ACTIVIDADES: A) IMPLEMENTACIÓN DE RECOMENSACIONES DE LOS INFORMES EMITIDOS POR EL OCI, LA CGR Y/O LAS SOA; B) IMPLEMENTACIÓN DE LAS ACTIVIDADES PROGRAMADAS ENEL PLAN DE ACCIÓN ANUAL CORRESPONDIENTE A LAS MEDIDAS DE REMEDIACIÓN Y DE CONTROL APROBADAS PO RLA DGER, ACORDE CON LO ESTABLECIDO  EN LA DIRECTIVA Nº 006-2019-CG/INTEG, APROBADA CON RESOLUCIÓN DE CONTRALORIA Nº 146-2019-CG, MODIFICADA CON RESOLUCION DE CONTRALORÍA  Nº 130-2020-CG, DE LA DIRECCIÓN GENERAL DE ELECTRIFICACIÓN RURAL DEL MINISTERIO DE ENERGÍA Y MINAS</t>
  </si>
  <si>
    <t>07082746</t>
  </si>
  <si>
    <t>26. ELABORACION DEL SERVICIO DE CONSULTORIA ASISTENCIA GESTIÓN ECONÓMICA FINANCIERA DE LA GESTIÓN DE LA DIRECCIÓN DE FONDOS CONCURSABLES</t>
  </si>
  <si>
    <t>07852857</t>
  </si>
  <si>
    <t>27. SERVICIO DE CONSULTORIA PARA LA ELABORACIÓN DE UN INFORME RELATIVO A LA GESTIÓN E IMPLEMENTACION DE COMPONENTES DE LA DIRECCIÓN DE FONDOS CONCURSABLES</t>
  </si>
  <si>
    <t>28. SERVICIO DE UN ABOGADO (A) ESPECIALISTA EN CONTRATACIONES PÚBLICAS PARA LA JEFATURA DE ASESORIA LEGAL</t>
  </si>
  <si>
    <t>41821148</t>
  </si>
  <si>
    <t>29. SERVICIO DE CONSULTORIA PARA LA ABSOLUCIÓN DE CONSULTAS EN TEMAS DE CONTRATACIONES PÚBLICAS PARA LA CONVOCATORIA DE PROCEDIMIENTOS DE SELECCIÓN EN EL MARCO POST COVID-19</t>
  </si>
  <si>
    <t>41611839</t>
  </si>
  <si>
    <t>30. SERVICIO DE CONSULTORIA PARA LA ELABORACION DE UN PROYECTO DE NORMA CON RANGO DE LEY QUE AUTORICE AL MINEM SUSCRIBIR CONVENIOS DE ADMINISTRACION DE RECURSOS CON ORGANISMOS INTERNACIONALES</t>
  </si>
  <si>
    <t>44462528</t>
  </si>
  <si>
    <t>31. ELABORACION DEL SERVICIO DE CONSULTORIA PARA LA IMPLEMENTACION DE PROYECTOS DE INVERSION DE OBRAS POR IMPUESTO DE LA DIRECCION GENERAL DE ELECTRIFICACION RURAL</t>
  </si>
  <si>
    <t>06123218</t>
  </si>
  <si>
    <t>32. SERVICIO PARA LA IMPLEMENTACION DEL PROGRAMA DE PROMOCION DE USOS PRODUCTIVOS DE LA ENERGIA ELECTRICA EN ZONAS RURALES EN COORDINACION CON LAS EMPRESAS DE DISTRIBUCION ELECTRICA (EDE) Y ADINELSA EN LA DIRECCION GENERAL DE ELECTRIFICACION RURAL DEL MINEM.</t>
  </si>
  <si>
    <t>33. ELABORACION DEL SERVICIO DE CONSULTORIA "PROCEDIMIENTOS PARA EL DESARROLLO DEL PROGRAMA DE USOS PRODUCTIVOS DE ELECTRICIDAD", EN ZONAS RURALES EN COORDINACION CON LAS EMPRESAS DE DISTRIBUCION ELECTRICA (EDE) Y ADINELSA, CONFORME A LO DISPUESTO AL ART. 27 DEL REGLAMENTO DE LA LEY N° 28749 LEY GENERAL DE ELECTRIFICACION RURAL APROBADO MEDIANTE D.S. 018-2020-EM</t>
  </si>
  <si>
    <t>23839264</t>
  </si>
  <si>
    <t>34. SERVICIO DE APOYO EN LABORES CONTABLES PARA FORMULACION DE LOS ESTADOS FINANCIEROS Y PRESUPUESTARIOS DEL PERIODO 2020 DE LA DIRECCION GENERAL DE ELECTRIFICACION RURAL DEL MINEM</t>
  </si>
  <si>
    <t>08353704</t>
  </si>
  <si>
    <t>35. SERVICIO DE APOYO EN LA ELABORACION DE LOS TERMINOS DE REFERENCIA Y EN LA INDAGACIÓN DE MERCADO PARA LA CONTRATACION DE DIVERSOS REQUERIMIENTO DE MANTENIMIENTO Y/O ACONDICIONAMIENTO DE AMBIENTES QUE DISPONE LA DGER EN SAN BORJA Y SAN JUAN DE MIRAFLORES</t>
  </si>
  <si>
    <t>42540788</t>
  </si>
  <si>
    <t>36. ELABORACION DEL SERVICIO DE CONSULTORIA PARA LA IMPLEMENTACION Y DESPLIEGUE DE UNA HERRAMIENTA INFORMATICA PARA EL REGISTRO, VISUALIZACION Y CONTROL DE INFORMACION DESCRIPTIVA DE LA SITUACION DE LOS PROYECTOS QUE GESTIONA LA DGER</t>
  </si>
  <si>
    <t xml:space="preserve">20515012509    </t>
  </si>
  <si>
    <t>36. SERVICIO DE CONSULTORIA EN CONTRATOS DE INVERSIÓN PÚBLICA PARA LA JEFATURA DE ENERGÍAS RENOVABLES Y LA JEFATURA DE ASESORÍA LEGAL</t>
  </si>
  <si>
    <t xml:space="preserve">20526040954    </t>
  </si>
  <si>
    <t>37. ELABORACION DEL SERVICIO DE CONSULTORIA PARA LA ELABORACIÓN DE UN PROYECTO DE NORMA CON RANGO DE LEY PARA LA EJECUCIÓN DE OBRAS DE ELECTRIFICACIÓN RURAL POST COVID-19</t>
  </si>
  <si>
    <t xml:space="preserve">20604482004    </t>
  </si>
  <si>
    <t>38. SERVICIO DE ASESORIA  PARA LA EVALUACION DE LAS IMPLICANCIAS LEGALES POR LA CANCELACION DE PROCEDIMIENTOS DE SELECCION A CARGO DE LA DIRECCION GENERAL DE ELECTRIFICACION RURAL EN EL MARCO DEL DECRETO SUPREMO N° 103-2020-EF. - DECRETO SUPREMO QUE ESTABLECE DISPOSICIONES REGLAMENTARIAS PARA LA TRAMITACION DE LOS PROCEDIMIENTOS DE SELECCION QUE SE REINICIEN EN EL MARCO DEL TEXTO UNICO ORDENADO DE LA LEY N° 30225</t>
  </si>
  <si>
    <t>1. CONTRATACION DEL SERVICIO DE CONSULTORIA PARA LA ELABORACION DEL EXPEDIENTE TECNICO Y AUTORIZACIONES DEL PIP 225487 PARA EL MEJORAMIENTO DEL SERVICIO DE ENERGIA ELECTRICA EN EL CENTRO NUCLEAR RACSO</t>
  </si>
  <si>
    <t>CONSOCIO ENERGY (SERV Y REPREST PROFESIONALES RUBELEC S A / CONSULTORES Y CONSTRUCTORES KEVIN S.A.C.</t>
  </si>
  <si>
    <t>EXPEDIENTE TECNICO</t>
  </si>
  <si>
    <t>012 Energía</t>
  </si>
  <si>
    <t xml:space="preserve">2. CONTRATACION DEL SERVICIO DE CONSULTORIA PARA SUPERVISAR Y EMITIR OPINION TECNICA DE LA ELABORACION DE EXPEDIENTE TECNICOS Y AUTORIZACIONES DEL PIP 2252487 PARA EL MEJORAMIENTO DEL SERVICIO DE ENERGIA ELECTRICA EN EL CENTRO NUCLEAR RACSO-DISTRITO DE CARABAYLLO </t>
  </si>
  <si>
    <t>HABITARQUI SAC</t>
  </si>
  <si>
    <t xml:space="preserve">INFORME </t>
  </si>
  <si>
    <t>3. CONTRATACION DEL SERVICIO DE ASISTENCIA TECNICA PARA EL SEGUIMIENTO Y CONTROL DE LA EJECUCION DE LA OBRA: " MEJORAMIENTO DEL SERVICIO DE ENERGIA ELECTRICA EN EL CENTRO NUCLEAR RACSO, DISTRITO DE CARBAYLLO, PROVINCIA Y DEPARTAMENTO DE LIMA - PIP N° 2252487</t>
  </si>
  <si>
    <t>LOPEZ CHAVEZ WILSON - 10200517895</t>
  </si>
  <si>
    <t>4. "CONTRATACION DEL SERVICIO DE CONSULTORIA DE OBRA PARA LA SUPERVISION DE LA OBRA DEL PROYECTO"MEJORAMIENTO DEL SERVICIO DE ENERGIA ELECTRICA EN EL CENTRO NUCLEAR RACSO, DISTRITO DE CARABAYLLO, PROVINCIA Y DEPARTAMENTO DE LIMA" (***)</t>
  </si>
  <si>
    <t>5. CONTRATACIÓN DEL SERVICIO DE CONSULTORIA DE OBRA PARA LA ELABORACIÓN DEL EXPEDIENTE TECNICO A NIVEL DE ESTUDIO DEFINITIVO CORRESPONDIENTE AL PROYECTO DE INVERSIÓN PÚBLICA DENOMINADO: INSTALACIÓN DE UN CICLOTRON PARA PRODUCIR RADIOFARMACOS APLICABLE AL DIAGNÓSTICO ONCOLÓGICO ESPECIALIZADO A TRAVES DEL PET/TC EN LA CIUDAD DE LIMA-PERU - SNIP 65729</t>
  </si>
  <si>
    <t xml:space="preserve"> 10077188750 - RONCAL HORNA HUMBERTO</t>
  </si>
  <si>
    <t>6. CONTRATACION DEL SERVICIO DE UN CONSULTOR ESPECIALISTA EN ARQUITECTURA Y SEÑALETICA PARA LA REVISION, EVALUACION Y OPINION TECNICA DE LA ELABORACION DEL EXPEDIENTEB TECNICO DEL PROYECTO: " INSTALACION DE UN CICLOTRON PARA PRODUCIR RADIOFARMACOS APLICABLE AL DIAGNOSTICO ONCOLOGICO ESPECIALIZADO A TRAVES DEL PET/TC EN LA CIUDAD DE LIMA- PERU"</t>
  </si>
  <si>
    <t>GARCIA ASCENCIO VIANELLA ZAIRA  - 10701751812</t>
  </si>
  <si>
    <t>7. CONTRATACION DEL SERVICIO DE UN CONSULTOR ESPECIALISTA EN INSTALACIONES MECANICAS Y ELECTRICAS PARA EL APOYO EN LA REVISION, EVALUACION Y OPINION TECNICA EN SU ESPECIALIDAD DE LA ELABORACION DEL EXPEDIENTEB TECNICO DEL PROYECTO: " INSTALACION DE UN CICLOTRON PARA PRODUCIR RADIOFARMACOS APLICABLE AL DIAGNOSTICO ONCOLOGICO ESPECIALIZADO A TRAVES DEL PET/TC EN LA CIUDAD DE LIMA- PERU"</t>
  </si>
  <si>
    <t>RIVERA LINARES PERCY SAMUEL - 10065967630</t>
  </si>
  <si>
    <t>8. CONTRATACION DEL SERVICIO DE UN CONSULTOR ESPECIALISTA EN INSTALACIONES SANITARIAS PARA LA REVISION, EVALUACION Y OPINION TECNICA DE LA ELABORACION DEL EXPEDIENTEB TECNICO DEL PROYECTO: " INSTALACION DE UN CICLOTRON PARA PRODUCIR RADIOFARMACOS APLICABLE AL DIAGNOSTICO ONCOLOGICO ESPECIALIZADO A TRAVES DEL PET/TC EN LA CIUDAD DE LIMA- PERU"</t>
  </si>
  <si>
    <t>GARAY MUÑOZ GUIDO HORACIO - 10400042930</t>
  </si>
  <si>
    <t>9. CONTRATACION DEL SERVICIO DE UN CONSULTOR ESPECIALISTA EN SISTEMAS DE TELECOMUNICACIONES , PARA LA REVISION, EVALUACION Y OPINION TECNICA DE LA ELABORACION DEL EXPEDIENTEB TECNICO DEL PROYECTO: " INSTALACION DE UN CICLOTRON PARA PRODUCIR RADIOFARMACOS APLICABLE AL DIAGNOSTICO ONCOLOGICO ESPECIALIZADO A TRAVES DEL PET/TC EN LA CIUDAD DE LIMA- PERU"</t>
  </si>
  <si>
    <t>ECHEVARRIA ALCANTARA WALTER - 10419570775</t>
  </si>
  <si>
    <t>10. CONTRATACIÓN DEL SERVICIO DE CONSULTORIA DE OBRA PARA LA ELABORACIÓN DEL EXPEDIENTE TÉCNICO: IRRADIACIÓN AGROINDUSTRIAL PARA EL TRATAMIENTO POST COSECHA HUARANGAL DEL DISTRITO DE CARABAYLLO, PROVINCIA DE LIMA, DEPARTAMENTO DE LIMA (***)</t>
  </si>
  <si>
    <t>11. CONTRATACIÓN DEL SERVICIO DE CONSULTORIA DE OBRA PARA LA ELABORACIÓN DEL EXPEDIENTE TÉCNICO: IRRADIACIÓN AGROINDUSTRIAL PARA EL TRATAMIENTO POST COSECHA ZONA INDUSTRIAL II DEL DISTRITO DE PAITA, PROVINCIA DE PAITA, DEPARTAMENTO DE PIURA (***)</t>
  </si>
  <si>
    <t>13 Energía</t>
  </si>
  <si>
    <t>12. CONTRATACION DEL SERVICIO DE CONSULTORIA DE OBRA PARA LA ELABORACION DEL EXPEDIENTE TECNICO DEL PROYECTO : MEJORAMIENTO DEL SERVICIO DE MEDICION Y CALIBRACION DOSIMETRICA EN EL LABORATORIO SECUNDARIO DE CALIBRACIONES DOSIMETRICAS - LSCD, DEL INSTITUTO PERUANO DE ENERGIA NUCLEAR - IPEN, CENTRO POBLADO HUARANGAL DEL DISTRITO DE CARABAYLLO - PROVINCIA DE LIMA - DEPARTAMENTO DE LIMA-CODIGO UNICO DE INVERSIONES 2383935 (***)</t>
  </si>
  <si>
    <t>13. CONTRATACION DEL SERVICIO DE CONSULTORIA DE OBRA PARA LA ELABORACION DE EXPEDIENTE TECNICO DEL PROYECTO: MEJORAMIENTO Y AMPLIACION DE LOS SERVICIOS ADMINISTRATIVOS Y AMBIENTES COMPLEMENTARIOS DEL INSTITUTO PERUANO DE ENERGIA NUCLEAR SAN BORJA, LIMA, LIMA CON CODIGO UNICO DE INVERSIONES 379887</t>
  </si>
  <si>
    <t xml:space="preserve">ANGEL MARTIN MIRANDA FIGUEROA </t>
  </si>
  <si>
    <t xml:space="preserve">14. CONTRATACION DEL SERVICIO DE CONSULTORIA DE OBRA PARA LA ELABORACION DEL EXPEDIENTE TECNICO A NIVEL DE ESTUDIO DEFINITIVO DEL PROYECTO DENOMINADO "CONSTRUCCION DEL SISTEMA DE PROTECCION CONTRA INCENDIOS EN EL INSTITUTO PERUANO DE ENERGIA NUCLEAR EN LA LOCALIDAD DE HUARANGAL, DISTRITO DE CARABAYLLO, PROVINCIA DE LIMA, DEPARTAMENTO DE LIAM CON CUI 2470793 </t>
  </si>
  <si>
    <t>JOSE CAYTUIRO SANDOVAL - 10094586025</t>
  </si>
  <si>
    <t>15. SERVICIO DE CONSULTORIA DE OBRA PARA LA ACTUALIZACION DEL EXPEDIENTE TECNICO A NIVEL DE ESTUDIO DEFINITIVO DEL PROYECTO: "CONSTRUCCION DEL SISTEMA DE PROTECCION CONTRA INCENDIOS EN EL INSTITUTO PERUANO DE ENERGIA NUCLEAR EN LA LOCALIDAD DE HUARANGAL, DISTRITO DE CARABAYLLO, PROVINCIA DE LIMA, DEPARTAMENTO DE LIAM CON CUI 2470794</t>
  </si>
  <si>
    <t>(***) El monto proyectado corresponde al adelanto directo del nuevo contrato a suscribir el presente año 2021</t>
  </si>
  <si>
    <t>1. GESTING S.A.C.</t>
  </si>
  <si>
    <t>DIAGNOSTICO DEL SISTEMA DE GESTION DE LA CALIDAD</t>
  </si>
  <si>
    <t>013 MINERIA</t>
  </si>
  <si>
    <t>2. GESTING S.A.C.</t>
  </si>
  <si>
    <t>IMPLEMENTACION DEL SISTEMA DE GESTION DE CALIDAD</t>
  </si>
  <si>
    <t>SECTOR 16 :ENERGÍA Y MINAS</t>
  </si>
  <si>
    <t xml:space="preserve">    - CUT- RDR</t>
  </si>
  <si>
    <t>001 - 185 MEM-CENTRAL</t>
  </si>
  <si>
    <t xml:space="preserve"> DGETP-CUT - RDR</t>
  </si>
  <si>
    <t>SOLES</t>
  </si>
  <si>
    <t xml:space="preserve">    - CUENTA ORDINARIA CENTRALIZADORA - RDR</t>
  </si>
  <si>
    <t xml:space="preserve">BANCO DE LA NACION </t>
  </si>
  <si>
    <t>0000-282677</t>
  </si>
  <si>
    <t>OCT * 2001</t>
  </si>
  <si>
    <t xml:space="preserve">    - CUENTA ADICIONAL - TUPA - DGH - ADMINISTRACION</t>
  </si>
  <si>
    <t>0000-283576</t>
  </si>
  <si>
    <t xml:space="preserve">    - CUENTA ADICIONAL - TUPA - DGE - CONCESIONES ELECTRICAS</t>
  </si>
  <si>
    <t>0000-283584</t>
  </si>
  <si>
    <t xml:space="preserve">    - CUENTA ADICIONAL - TUPA - DGM - DGAA - MULTAS Y SANCIONES</t>
  </si>
  <si>
    <t>0000-283592</t>
  </si>
  <si>
    <t xml:space="preserve">    - CUENTA ADICIONAL - APORT. PERUPETRO - DERECHO VIGENCIA</t>
  </si>
  <si>
    <t>06-000-028884</t>
  </si>
  <si>
    <t>DOLARES</t>
  </si>
  <si>
    <t xml:space="preserve">    - CUENTA ADICIONAL - ELECTRIFICACION RURAL</t>
  </si>
  <si>
    <t>0000-866903</t>
  </si>
  <si>
    <t>JUL * 2007</t>
  </si>
  <si>
    <t xml:space="preserve">    - CUENTA ADICIONAL - CONCESIONES ELECTRICAS LEY 25844</t>
  </si>
  <si>
    <t>0068-377854</t>
  </si>
  <si>
    <t>MAY * 2018</t>
  </si>
  <si>
    <t xml:space="preserve">     -CUT-OFICIALES DE CRED. EXTERNO</t>
  </si>
  <si>
    <t xml:space="preserve">     -CUT-OFICIALES DE CRED. INTERNO</t>
  </si>
  <si>
    <t xml:space="preserve">    - CUT- TRANSFERENCIAS </t>
  </si>
  <si>
    <t xml:space="preserve"> DGETP-CUT - DYT</t>
  </si>
  <si>
    <t xml:space="preserve">SOLES </t>
  </si>
  <si>
    <t xml:space="preserve">    - CUENTA - DONACIONES BANCO MUNDIAL - PROYECTO EITI</t>
  </si>
  <si>
    <t>000-68334144</t>
  </si>
  <si>
    <t>MAY * 2005</t>
  </si>
  <si>
    <t>06-068000732</t>
  </si>
  <si>
    <t>OCT * 2013</t>
  </si>
  <si>
    <t xml:space="preserve">    - CUENTA - TRANSFERENCIAS DEL OSINERGMIN ( CARELEC )</t>
  </si>
  <si>
    <t>00-00-425591</t>
  </si>
  <si>
    <t xml:space="preserve"> DGETP-CUT - RD</t>
  </si>
  <si>
    <t xml:space="preserve">      CUENTA ADICIONAL - RET 10 % GARANTIA - LEY MYPES</t>
  </si>
  <si>
    <t>0000-874922</t>
  </si>
  <si>
    <t>SET * 2008</t>
  </si>
  <si>
    <t xml:space="preserve">      CUENTA ADICIONAL PLAZO FIJO - GARANTIA FINANCIERA-DOE RUN</t>
  </si>
  <si>
    <t xml:space="preserve">17-000-029769 </t>
  </si>
  <si>
    <t>FEB * 2010</t>
  </si>
  <si>
    <t>17-000-030117</t>
  </si>
  <si>
    <t>ABR*2021</t>
  </si>
  <si>
    <t xml:space="preserve">      CUENTA ADICIONAL - CARTA FIANZA</t>
  </si>
  <si>
    <t xml:space="preserve">06-068-001933 </t>
  </si>
  <si>
    <t>OCT*2018</t>
  </si>
  <si>
    <t xml:space="preserve">      PAGO DE REMUNERACIONES PERSONAL CAP Y CAS</t>
  </si>
  <si>
    <t xml:space="preserve">001 - MEM CENTRAL </t>
  </si>
  <si>
    <t>BANCO SCOTIABANK</t>
  </si>
  <si>
    <t>00044-107-000645</t>
  </si>
  <si>
    <t>SET * 1999</t>
  </si>
  <si>
    <t>BANCO CONTINENTAL</t>
  </si>
  <si>
    <t xml:space="preserve">0011-0661-0100041132 </t>
  </si>
  <si>
    <t>SET * 2009</t>
  </si>
  <si>
    <t>BANCO DE CREDITO</t>
  </si>
  <si>
    <t>193-2455076-0-46</t>
  </si>
  <si>
    <t>SET*2017</t>
  </si>
  <si>
    <t xml:space="preserve">      RECAUDACIÓN MULTA - DGM</t>
  </si>
  <si>
    <t>0011-0661-0100072127</t>
  </si>
  <si>
    <t>JUL*2018</t>
  </si>
  <si>
    <t>TOTAL S/</t>
  </si>
  <si>
    <t>TOTAL US$</t>
  </si>
  <si>
    <t>SALDO 2020 (*)</t>
  </si>
  <si>
    <t>005-DGER</t>
  </si>
  <si>
    <t>BANCO DE LA NACION</t>
  </si>
  <si>
    <t>00-000-870994</t>
  </si>
  <si>
    <t>enero - 08</t>
  </si>
  <si>
    <t>DGETP-CUT-RDR</t>
  </si>
  <si>
    <t>enero - 13</t>
  </si>
  <si>
    <t>00-000-870986</t>
  </si>
  <si>
    <t>00-000-870943</t>
  </si>
  <si>
    <t>00-000-874124</t>
  </si>
  <si>
    <t>julio - 08</t>
  </si>
  <si>
    <t>00-000-874116</t>
  </si>
  <si>
    <t>00-000-872083</t>
  </si>
  <si>
    <t>marzo - 08</t>
  </si>
  <si>
    <t>06-000-033284</t>
  </si>
  <si>
    <t>abril - 08</t>
  </si>
  <si>
    <t>DEGTP-CUT-R.D.- "D"</t>
  </si>
  <si>
    <t>julio - 09</t>
  </si>
  <si>
    <t xml:space="preserve"> DEGTP-CUT-R.D.- "15"</t>
  </si>
  <si>
    <t>julio - 14</t>
  </si>
  <si>
    <t>DEGTP-CUT-R.D.- "Y"</t>
  </si>
  <si>
    <t>agosto - 13</t>
  </si>
  <si>
    <t xml:space="preserve">    - OTROS (ESPECIFIQUE)  -   FDO GARANTIA</t>
  </si>
  <si>
    <t>00-000-873276</t>
  </si>
  <si>
    <t>mayo - 08</t>
  </si>
  <si>
    <t xml:space="preserve">                                                     -  EJEC.GARANTIAS</t>
  </si>
  <si>
    <t>00-068-375428</t>
  </si>
  <si>
    <t>marzo - 18</t>
  </si>
  <si>
    <t>00188</t>
  </si>
  <si>
    <t>BANCO DE LA NACION - CUT</t>
  </si>
  <si>
    <t>00-000-300780</t>
  </si>
  <si>
    <t>00-000-282693</t>
  </si>
  <si>
    <t>06-000-028914</t>
  </si>
  <si>
    <t xml:space="preserve">DOLARES US $ </t>
  </si>
  <si>
    <t>00-000-505854</t>
  </si>
  <si>
    <t>00-000-622923</t>
  </si>
  <si>
    <t>00-068-229324</t>
  </si>
  <si>
    <t>Banco de la Nación</t>
  </si>
  <si>
    <t>00000-300799</t>
  </si>
  <si>
    <t>Nuevos Soles</t>
  </si>
  <si>
    <t>00000-282707</t>
  </si>
  <si>
    <t>06000-028868</t>
  </si>
  <si>
    <t>Dólares</t>
  </si>
  <si>
    <t>00068-354560</t>
  </si>
  <si>
    <t>00068-360838</t>
  </si>
  <si>
    <t>2. RECURSOS DIRECTAMENTE RECAUDADOS</t>
  </si>
  <si>
    <t>3.- RECURSOS OPERACIONES OFICIALES DE CRED. EXTERNO</t>
  </si>
  <si>
    <t>016 MINEM</t>
  </si>
  <si>
    <t>001 - MINEM CENTRAL</t>
  </si>
  <si>
    <t>005 - DGER</t>
  </si>
  <si>
    <t>220:  IPEN</t>
  </si>
  <si>
    <t>001:  IPEN</t>
  </si>
  <si>
    <t>221:  INGEMMET</t>
  </si>
  <si>
    <t>001:  INGEMMET</t>
  </si>
  <si>
    <t>GIOVANA VALENCIA GUTIERREZ DE BARRAZA</t>
  </si>
  <si>
    <t>Adenda N° 03 al Contrato N°080-2017</t>
  </si>
  <si>
    <t>Área 200 m2</t>
  </si>
  <si>
    <t>Inicia 06/06/2021 y culmina el 06/12/2021</t>
  </si>
  <si>
    <t>PAGOS MENSUAL FECHA DE PAGO LOS 22 DE CADA MES</t>
  </si>
  <si>
    <t>MARIA GABRIELA CORDOVA YLLANES DE VASQUEZ</t>
  </si>
  <si>
    <t>Adenda N° 06 al Contrato N° 078-2017</t>
  </si>
  <si>
    <t>Área Techada Total 499.20m2</t>
  </si>
  <si>
    <t>Inicia el 22/01/2021 y culmina el 21/01/2022</t>
  </si>
  <si>
    <t>MENSUAL. PAGOS ADELANTADOS SEGÚN CONTRATO.</t>
  </si>
  <si>
    <t>Luz Marina Revollar Arteaga</t>
  </si>
  <si>
    <t xml:space="preserve"> Contrato N° 01-2021 de fecha 04/01/2021</t>
  </si>
  <si>
    <t>Área 110 m2</t>
  </si>
  <si>
    <t>Culmina el 03/01/2022</t>
  </si>
  <si>
    <t>Cesar jesus Salazar Valverde</t>
  </si>
  <si>
    <t>P37007327</t>
  </si>
  <si>
    <t>Contrato N° 028-2021 de fecha 04/08/2021</t>
  </si>
  <si>
    <t>70.00 m2</t>
  </si>
  <si>
    <t>Culmina 04/08/2022</t>
  </si>
  <si>
    <t>MENSUAL. PAGOS LUEGO DE LA CONFORMIDAD C SEGÚN CONTRATO.</t>
  </si>
  <si>
    <t>Rosalia Candelaria Cardenas Menacho</t>
  </si>
  <si>
    <t>Adenda N° 03, al Contrato N°019-2018 de fecha 21/06/2018</t>
  </si>
  <si>
    <t>300.69 m2</t>
  </si>
  <si>
    <t>Inicia el 22-06-2021 y culmina el 21/06/2022</t>
  </si>
  <si>
    <t>Vilma Teodora Morales Vda. De Franco</t>
  </si>
  <si>
    <t>Contrato N° 30-2020 de fecha 18/12/2020</t>
  </si>
  <si>
    <t>70 m2</t>
  </si>
  <si>
    <t>Culmina el 18/12/2021</t>
  </si>
  <si>
    <t>Luz Primitiva Chirinos Ugarte</t>
  </si>
  <si>
    <t>Contrato N° 02-2021 de fecha 11/01/2021</t>
  </si>
  <si>
    <t>79.04m2</t>
  </si>
  <si>
    <t xml:space="preserve"> Culmina el 12/01/2022</t>
  </si>
  <si>
    <t>Joel Miguel Calderon Valderrama</t>
  </si>
  <si>
    <t>Contrato N° 015-2021 de fecha 31/03/2021</t>
  </si>
  <si>
    <t>143 m2</t>
  </si>
  <si>
    <t>Culmina el 01/04/2022</t>
  </si>
  <si>
    <t>Reynaldo Ikeda Yoshikwawa</t>
  </si>
  <si>
    <t>07001171</t>
  </si>
  <si>
    <t>Contrato 032-2020 de fecha 31/12/2020</t>
  </si>
  <si>
    <t>70m2</t>
  </si>
  <si>
    <t>culmina el 31/12/2021</t>
  </si>
  <si>
    <t>PLIEGO: 016 MINISTERIO DE ENERGÍA Y MINAS</t>
  </si>
  <si>
    <t>UNIDAD EJECUTORA: 001 MINISTERIO DE ENERGIA Y MINAS</t>
  </si>
  <si>
    <t>VARIACION 2022-2021</t>
  </si>
  <si>
    <t>UNIDAD EJECUTORA  005 : DIRECCIÓN GENERAL DE ELECTRIFICACIÓN RURAL</t>
  </si>
  <si>
    <t>PROVISION CTS</t>
  </si>
  <si>
    <t>2021  (PROYECTO)</t>
  </si>
  <si>
    <t>COORDINADOR DE PUBLICACION Y EVENTOS</t>
  </si>
  <si>
    <t>10633911</t>
  </si>
  <si>
    <t>ABANTO LEON CARLOS ALBERTO</t>
  </si>
  <si>
    <t>DISEÑO GRAFICO PUBLICITARIO</t>
  </si>
  <si>
    <t>LOGRADO(TITULADO)</t>
  </si>
  <si>
    <t>TECNICO</t>
  </si>
  <si>
    <t>ESPECIALISTA I - LEGAL</t>
  </si>
  <si>
    <t>40234110</t>
  </si>
  <si>
    <t>ABREGÚ CALDERÓN PABEL SOYIM</t>
  </si>
  <si>
    <t>DERECHO</t>
  </si>
  <si>
    <t>SUPERIOR</t>
  </si>
  <si>
    <t>COORDINACION ADMINISTRATIVA</t>
  </si>
  <si>
    <t>08891522</t>
  </si>
  <si>
    <t>ACOSTA BRICEÑO GABY AMELIA</t>
  </si>
  <si>
    <t>CONTABILIDAD</t>
  </si>
  <si>
    <t>ESPECIALISTA EN DESCENTRALIZAC. Y COORD. REGIONAL</t>
  </si>
  <si>
    <t>10538023</t>
  </si>
  <si>
    <t>ACOSTA MELENDEZ ROLANDO</t>
  </si>
  <si>
    <t>ECONOMIA</t>
  </si>
  <si>
    <t>ESPECIALISTA LEGAL EN MATERIA MINERO AMBIENTAL</t>
  </si>
  <si>
    <t>06784861</t>
  </si>
  <si>
    <t>ACOSTA PABLO KARIN</t>
  </si>
  <si>
    <t>BACHILLER</t>
  </si>
  <si>
    <t>ASISTENCIA ADMINISTRATIVA</t>
  </si>
  <si>
    <t>28315387</t>
  </si>
  <si>
    <t>ACUÑA PRADO NELBA</t>
  </si>
  <si>
    <t>DERECHO Y CC.PP</t>
  </si>
  <si>
    <t>FORMANDO</t>
  </si>
  <si>
    <t>EJEC. DE TRAB. DE CAMPO EN DES. DE PROG. DE SECIBI</t>
  </si>
  <si>
    <t>02618111</t>
  </si>
  <si>
    <t>ADRIANZEN ROMERO JOSE ERNESTO</t>
  </si>
  <si>
    <t>INGENIERO AGRÓNOMO</t>
  </si>
  <si>
    <t>ANALISTA I LEGAL DE CONSULTA PREVIA</t>
  </si>
  <si>
    <t>43270544</t>
  </si>
  <si>
    <t>AGARIJO CONCHA JESSICA YURIKO</t>
  </si>
  <si>
    <t>ASISTENTE DE ARCHIVO</t>
  </si>
  <si>
    <t>10089859</t>
  </si>
  <si>
    <t>AGUAYO CORDOVA ALEX CESAR</t>
  </si>
  <si>
    <t>COMPUTACION</t>
  </si>
  <si>
    <t>0</t>
  </si>
  <si>
    <t>AUXILIAR EN ADM. DOCUMENTAL</t>
  </si>
  <si>
    <t>40441945</t>
  </si>
  <si>
    <t>AGUILAR ESPINO CHRISTHIAN MOISES</t>
  </si>
  <si>
    <t>ANALISTA BILINGUE DE ESTADISTICA MINERA</t>
  </si>
  <si>
    <t>71950775</t>
  </si>
  <si>
    <t>AGUINAGA FONSECA MARIA VALERIA</t>
  </si>
  <si>
    <t>CIENCIAS ECONOMICAS</t>
  </si>
  <si>
    <t>ASESOR TECNICO DEL SECTOR HIDROCARBUROS</t>
  </si>
  <si>
    <t>41164085</t>
  </si>
  <si>
    <t>AGUIRRE ZURITA CARLOS JAVIER</t>
  </si>
  <si>
    <t xml:space="preserve">ANALISTA II - EN PROMOCIÓN ELÉCTRICA </t>
  </si>
  <si>
    <t>43694779</t>
  </si>
  <si>
    <t>ALARCON CUBAS HENRY JONATHAN</t>
  </si>
  <si>
    <t>INGENIERIA ELECTRICA</t>
  </si>
  <si>
    <t>ANALISTA I SOCIAL DE CONSULTA PREVIA</t>
  </si>
  <si>
    <t>70790295</t>
  </si>
  <si>
    <t>ALATA QUISPE EYNER</t>
  </si>
  <si>
    <t>ANTROPOLOGIA</t>
  </si>
  <si>
    <t>PROFESIONAL CON EXPERIENCIA Y CONOCIMIENTOS EN AUD</t>
  </si>
  <si>
    <t>07887000</t>
  </si>
  <si>
    <t>ALBERCA BARANDIARAN VICTOR ENRIQUE</t>
  </si>
  <si>
    <t>INGENIERIA MECANICA ELECTRICA</t>
  </si>
  <si>
    <t>ARTESANO</t>
  </si>
  <si>
    <t>06961527</t>
  </si>
  <si>
    <t>ALCARAZ LEZARBE AQUILES FLORIAN</t>
  </si>
  <si>
    <t>SECUNDARIA</t>
  </si>
  <si>
    <t>INCONCLUSO</t>
  </si>
  <si>
    <t>ANALISTA EN GEST. ADM.</t>
  </si>
  <si>
    <t>09950098</t>
  </si>
  <si>
    <t>ALCEDO NUÑEZ LUIS ENRIQUE</t>
  </si>
  <si>
    <t>CIENCIAS DE LA COMUNICACION</t>
  </si>
  <si>
    <t>ESPECIALISTA I - ASUNTOS AMBIENTALES</t>
  </si>
  <si>
    <t>40240666</t>
  </si>
  <si>
    <t>ALEGRE BUSTAMANTE LAURA MELISSA</t>
  </si>
  <si>
    <t>BIOLOGIA</t>
  </si>
  <si>
    <t>ANALISTA III - EVALUACIÓN DE INSTRUMENTOS DE GESTIÓN AMBIENTAL</t>
  </si>
  <si>
    <t>46856196</t>
  </si>
  <si>
    <t>ALEGRE RODRIGUEZ LUIS ALBERT</t>
  </si>
  <si>
    <t>INGENIERIA AMBIENTAL</t>
  </si>
  <si>
    <t>CONDUCTOR</t>
  </si>
  <si>
    <t>10693947</t>
  </si>
  <si>
    <t>ALFARO ALVARADO LUIS ERASMO</t>
  </si>
  <si>
    <t>COORDINADOR ADMINISTRATIVO</t>
  </si>
  <si>
    <t>25832724</t>
  </si>
  <si>
    <t>ALVA ANDRADE CHRISTIAN</t>
  </si>
  <si>
    <t>EVALUACION DE EXP. DE PROYECTOS MINERO METALURGICO</t>
  </si>
  <si>
    <t>10439116</t>
  </si>
  <si>
    <t>ALVARADO HUAMAN CIRO</t>
  </si>
  <si>
    <t>INGENIERIA METALURGICA</t>
  </si>
  <si>
    <t xml:space="preserve">ESPECIALISTA III DE TÉCNICA MINERA   </t>
  </si>
  <si>
    <t>29608247</t>
  </si>
  <si>
    <t>ALVARADO QUISPE CARLOS SANTOS</t>
  </si>
  <si>
    <t>INGENIERIA DE MINAS</t>
  </si>
  <si>
    <t>ASISTENTE PROFESIONAL GEOGRAFO</t>
  </si>
  <si>
    <t>48255181</t>
  </si>
  <si>
    <t>ALVARADO QUISPE LUIS ALFONSO</t>
  </si>
  <si>
    <t>INGENIERIA GEOGRAFICA</t>
  </si>
  <si>
    <t>ASISTENTE DE ALTA DIRECCION II</t>
  </si>
  <si>
    <t>07836126</t>
  </si>
  <si>
    <t>ALVAREZ BOCANEGRA BLANCA LUZ</t>
  </si>
  <si>
    <t>SECRETARIADO EJECUTIVO</t>
  </si>
  <si>
    <t>SECRETARIA</t>
  </si>
  <si>
    <t>40278566</t>
  </si>
  <si>
    <t>ALVAREZ CAMPOS RUTH ANGELICA</t>
  </si>
  <si>
    <t>EGRESADO</t>
  </si>
  <si>
    <t>ESPECIALISTA II EN PROCESOS DE SELECCION</t>
  </si>
  <si>
    <t>41772237</t>
  </si>
  <si>
    <t>ALVAREZ ROBERTO MICHELE ALEJANDRO</t>
  </si>
  <si>
    <t>INGENIERIA DE SISTEMAS</t>
  </si>
  <si>
    <t>ASISTENTE TECNICO DE GEST. DOCUMENTAL Y ATENCION U</t>
  </si>
  <si>
    <t>09956541</t>
  </si>
  <si>
    <t>ALVAREZ ROSALES EDITH YOSI</t>
  </si>
  <si>
    <t>ANALISTA EN GESTION DE INCORPORACION</t>
  </si>
  <si>
    <t>71041907</t>
  </si>
  <si>
    <t>ALZAMORA SAAVEDRA MAYRA STEFANIA</t>
  </si>
  <si>
    <t>LICENCIADO EN PSICOLOGIA</t>
  </si>
  <si>
    <t>ANALISTA III DE TRATAMIENTO Y SEGUIMIENTO DE CONFLICTOS SOCIALES</t>
  </si>
  <si>
    <t>09834527</t>
  </si>
  <si>
    <t>AMARO BELTRAN DANIEL ANGEL</t>
  </si>
  <si>
    <t>HISTORIA</t>
  </si>
  <si>
    <t>COORDINADOR DEL ARCHIVO CENTRAL</t>
  </si>
  <si>
    <t>09957133</t>
  </si>
  <si>
    <t>AMASIFUEN ENCISO CARLOS EDISON</t>
  </si>
  <si>
    <t>ESPECIALISTA I DE PASIVOS AMBIENTALES MINEROS</t>
  </si>
  <si>
    <t>31679110</t>
  </si>
  <si>
    <t>ANAYA HILARIO ISABEL MAGALY</t>
  </si>
  <si>
    <t>ANALISTA LEGAL EN NORMATIVIDAD AMBIENTAL</t>
  </si>
  <si>
    <t>46676553</t>
  </si>
  <si>
    <t>ANCIETA SANCHEZ WENDY VALERIA</t>
  </si>
  <si>
    <t>JEFE DE LA OFICINA GENERAL DE ASESORIA JURIDICA</t>
  </si>
  <si>
    <t>06780501</t>
  </si>
  <si>
    <t>ANGULO GARCIA JESSICA GABRIELA</t>
  </si>
  <si>
    <t xml:space="preserve">ASISTENTE PROFESIONAL DE INGENIERÍA MINERA </t>
  </si>
  <si>
    <t>46630457</t>
  </si>
  <si>
    <t>ANTEZANO MUNAYLLA MIGUEL ANGEL</t>
  </si>
  <si>
    <t>DIRECTOR (E)</t>
  </si>
  <si>
    <t>25660291</t>
  </si>
  <si>
    <t>APESTEGUI VIDAL JOHN NORBERTO</t>
  </si>
  <si>
    <t>INGENIERIA INDUSTRIAL</t>
  </si>
  <si>
    <t>ASISTENTE PROFESIONAL DE GESTION ADMINISTRATIVA</t>
  </si>
  <si>
    <t>44910329</t>
  </si>
  <si>
    <t>ARANA MASGO FIORELA IRMA LUCIA</t>
  </si>
  <si>
    <t>TERAPEUTA FISICO</t>
  </si>
  <si>
    <t>43851149</t>
  </si>
  <si>
    <t>ARANIBAR PEREZ ALEXEI</t>
  </si>
  <si>
    <t>TECNOLOGIA EN URGENCIAS MEDICAS Y DESASTRES</t>
  </si>
  <si>
    <t>ANALISTA II - DE MONITOREO DE MEDIOS</t>
  </si>
  <si>
    <t>08238091</t>
  </si>
  <si>
    <t>ARAUJO PERALES CARLOS SANDRO</t>
  </si>
  <si>
    <t>LICENCIADO EN CIENCIAS DE LA COMUNICACION</t>
  </si>
  <si>
    <t>ANALISTA I DE  MONITOREO PROGRAMA DE INTEGRACIÓN</t>
  </si>
  <si>
    <t>41897314</t>
  </si>
  <si>
    <t>AREVALO LIMA KATYA SOCORRO</t>
  </si>
  <si>
    <t>ANALISTA III DE FACILITACIÓN DE DIÁLOGO</t>
  </si>
  <si>
    <t>07629828</t>
  </si>
  <si>
    <t>AREVALO QUEVEDO JUAN MANUEL</t>
  </si>
  <si>
    <t>ESPEC. EN GESTION ADMINISTRATIVA</t>
  </si>
  <si>
    <t>44730199</t>
  </si>
  <si>
    <t>ARHUATA PLATERO PILAR ROSA</t>
  </si>
  <si>
    <t xml:space="preserve">LICENCIADO EN ADMINISTRACION </t>
  </si>
  <si>
    <t>DIRECTOR  (DIRECTOR DE PROG. SECT. I).</t>
  </si>
  <si>
    <t>23839186</t>
  </si>
  <si>
    <t>ARIAS DIAZ DAVID HECTOR</t>
  </si>
  <si>
    <t>ASISTENCIA EN ARCHIVO</t>
  </si>
  <si>
    <t>09545720</t>
  </si>
  <si>
    <t>ARIAS RAMOS ANGEL CESAR</t>
  </si>
  <si>
    <t>LABORATORISTA</t>
  </si>
  <si>
    <t>ESPECIALISTA III DE TRAZABILIDAD</t>
  </si>
  <si>
    <t>40618423</t>
  </si>
  <si>
    <t>ARISTA RIVERA FRANCO</t>
  </si>
  <si>
    <t>INGENIERO AGRÍCOLA</t>
  </si>
  <si>
    <t>ANALISTA III DE GESTION</t>
  </si>
  <si>
    <t>42356510</t>
  </si>
  <si>
    <t>ARIZA AGUERO ALEJANDRO</t>
  </si>
  <si>
    <t>AUXILIAR DE ARCHIVO</t>
  </si>
  <si>
    <t>73866783</t>
  </si>
  <si>
    <t>ARIZA AGUERO LUIS</t>
  </si>
  <si>
    <t>CERTIFICADO - INSTITUTO</t>
  </si>
  <si>
    <t>ESPECIALISTA LEGAL</t>
  </si>
  <si>
    <t>40817639</t>
  </si>
  <si>
    <t>ARIZMENDI SABOYA ALDO ENRIQUE</t>
  </si>
  <si>
    <t>ASIST. Y SEG. DE EVENTOS CAPAC. Y EVAL DE PERSONAL</t>
  </si>
  <si>
    <t>08596087</t>
  </si>
  <si>
    <t>ARRASCUE QUEVEDO DE FERNANDEZ LOURDES AMERICA</t>
  </si>
  <si>
    <t>ESPECIALISTA II DERECHO ADMINISTRATIVO</t>
  </si>
  <si>
    <t>46063872</t>
  </si>
  <si>
    <t>ARREDONDO PEREZ .NORA CRISTINA</t>
  </si>
  <si>
    <t>ASISTENTE ADMINISTRATIVO</t>
  </si>
  <si>
    <t>40364385</t>
  </si>
  <si>
    <t>ARREGUI CABRERA ERIC ALEXANDER</t>
  </si>
  <si>
    <t xml:space="preserve">ANALISTA  III LEGAL  </t>
  </si>
  <si>
    <t>43926311</t>
  </si>
  <si>
    <t>ASCASIBAR OLAYA VANESSA STEFANNY</t>
  </si>
  <si>
    <t>ASISTENTE EN GESTIÓN DOCUMENTAL</t>
  </si>
  <si>
    <t>48315680</t>
  </si>
  <si>
    <t>AVALOS BANEO CRISTIAN NICOLAS</t>
  </si>
  <si>
    <t>ESPECIALISTA II DE GEST. SOCIAL DEL A. MIN.ELEC.HI</t>
  </si>
  <si>
    <t>16730480</t>
  </si>
  <si>
    <t>AYALA IZQUIERDO FRANCISCO ANTONIO</t>
  </si>
  <si>
    <t>INGENIERIA AGRICOLA</t>
  </si>
  <si>
    <t>ASESOR II - JEFE DE GABINETE DE ASESORES</t>
  </si>
  <si>
    <t>08274673</t>
  </si>
  <si>
    <t>BALCAZAR SUAREZ JUANA ROSA ANA</t>
  </si>
  <si>
    <t>LICENCIADO EN ECONOMIA</t>
  </si>
  <si>
    <t>41676921</t>
  </si>
  <si>
    <t xml:space="preserve">BALLESTEROS  INCIO FLOR DE MARIA </t>
  </si>
  <si>
    <t>ASESOR DE LA ALTA DIRECCION DEL DESP. MINISTERIAL</t>
  </si>
  <si>
    <t>02618637</t>
  </si>
  <si>
    <t>BARRANZUELA FARFAN LUIS</t>
  </si>
  <si>
    <t>SECRETARIA (O)</t>
  </si>
  <si>
    <t>06729452</t>
  </si>
  <si>
    <t>BARRENECHEA MENA NIDIA</t>
  </si>
  <si>
    <t>SECRETARIADO COMERCIAL</t>
  </si>
  <si>
    <t>ANALISTA EN GEST. SOCIAL DEL AMBITO MINERO ENE. HI</t>
  </si>
  <si>
    <t>16014918</t>
  </si>
  <si>
    <t>BARRON BRAVO FLOR DE GUADALUPE</t>
  </si>
  <si>
    <t>32785473</t>
  </si>
  <si>
    <t>BELTRAN PEREZ SILVIA INES</t>
  </si>
  <si>
    <t>SECRETARIADO</t>
  </si>
  <si>
    <t>ASISTENCIA LEGAL</t>
  </si>
  <si>
    <t>10674251</t>
  </si>
  <si>
    <t>BENDEZU RAMOS KATTY ANDREA</t>
  </si>
  <si>
    <t>APOYO ADMINISTRATIVO</t>
  </si>
  <si>
    <t>25712676</t>
  </si>
  <si>
    <t>BENITES LANDA EDWIN ENRIQUE</t>
  </si>
  <si>
    <t>ADMINISTRACION</t>
  </si>
  <si>
    <t>ESPECIALISTA EN SEG. Y MONIT. DE COMPROMISOS SOCIA</t>
  </si>
  <si>
    <t>16682094</t>
  </si>
  <si>
    <t>BENITES PISCOYA EDGARD ENRIQUE</t>
  </si>
  <si>
    <t>ASISTENTE - EVALUACIÓN DEL COMPONENTE SOCIAL DE LOS ESTUDIOS AMBIENTALES</t>
  </si>
  <si>
    <t>72765117</t>
  </si>
  <si>
    <t>BENITO CCUNO GERALDINE LUZ</t>
  </si>
  <si>
    <t>SOCIOLOGIA</t>
  </si>
  <si>
    <t>ESPECIALISTA II DE PREVENCIÓN DE CONFLICTOS SOCIALES</t>
  </si>
  <si>
    <t>41713037</t>
  </si>
  <si>
    <t>BERNUY QUIROZ RENZO CARLOS</t>
  </si>
  <si>
    <t>42346472</t>
  </si>
  <si>
    <t xml:space="preserve">BERROSPI GALINDO ROSA CATHERINE </t>
  </si>
  <si>
    <t>ESPECIALISTA II EN COMUNICACIONES</t>
  </si>
  <si>
    <t>40924787</t>
  </si>
  <si>
    <t>BERTRAN  SOTOMAYOR LUZ MARIA</t>
  </si>
  <si>
    <t>ESPECIALISTA II - SOCIAL</t>
  </si>
  <si>
    <t>04001151</t>
  </si>
  <si>
    <t>BLANCO ARANDA IRMA CONSUELO</t>
  </si>
  <si>
    <t>ANALISTA II - GESTIÓN ADMINISTRATIVA</t>
  </si>
  <si>
    <t>25741180</t>
  </si>
  <si>
    <t>BONILLA COLOMA ALFONSO MARTIN</t>
  </si>
  <si>
    <t>ANALISTA II - ASUNTOS AMBIENTALES</t>
  </si>
  <si>
    <t>43332075</t>
  </si>
  <si>
    <t>BOTTGER BORONDA AUGUSTO LENIN</t>
  </si>
  <si>
    <t>ANALISTA I - ASUNTOS AMBIENTALES</t>
  </si>
  <si>
    <t>40622842</t>
  </si>
  <si>
    <t>BÖTTGER GAMARRA JOYCE CAROL</t>
  </si>
  <si>
    <t>INGENIERIA QUIMICA</t>
  </si>
  <si>
    <t>ASISTENTE ADM. PARA EL AREA DE ALMACEN</t>
  </si>
  <si>
    <t>41465964</t>
  </si>
  <si>
    <t>BRACAMONTE CUENCA PERCY JUNIOR</t>
  </si>
  <si>
    <t>COORDINADOR DE ASUNTOS SOCIALES DE FORM. MINERA</t>
  </si>
  <si>
    <t>40195967</t>
  </si>
  <si>
    <t>BRAVO MESIA OSCAR</t>
  </si>
  <si>
    <t>45729979</t>
  </si>
  <si>
    <t>BRIONES  VERDE  MURIEL ODETTE</t>
  </si>
  <si>
    <t>SECRETATRIADO BILINGUE</t>
  </si>
  <si>
    <t>ANALISTA EN MEDIOS VISUALES Y REDES SOCIALES</t>
  </si>
  <si>
    <t>45830610</t>
  </si>
  <si>
    <t>BUENDIA TORRES GABRIELA FERNANDA</t>
  </si>
  <si>
    <t>ESPECIALISTA EN GESTION DE PROCESOS</t>
  </si>
  <si>
    <t>44225393</t>
  </si>
  <si>
    <t>BUJAICO CARLOS JOSE LUIS</t>
  </si>
  <si>
    <t>ANALISTA I DE COMUNICACION DEL PROG. DE INTEGRACIO</t>
  </si>
  <si>
    <t>46841559</t>
  </si>
  <si>
    <t xml:space="preserve">BURE LABÁN  ALBANIA MAGNOLIA </t>
  </si>
  <si>
    <t>LICENCIADO EN COMUNICACIÓN</t>
  </si>
  <si>
    <t>ESPECIALISTA III EVALUACIÓN AMBIENTAL MINERA</t>
  </si>
  <si>
    <t>43441996</t>
  </si>
  <si>
    <t>BUSTAMANTE BECERRA JOSE LUIS</t>
  </si>
  <si>
    <t>OPERADOR LOGISTICO</t>
  </si>
  <si>
    <t>08353801</t>
  </si>
  <si>
    <t>BUSTAMANTE VELARDE ENIT LUCY</t>
  </si>
  <si>
    <t>ASESOR EN GEST. DESCENTRALIZADA DE LA DGFM</t>
  </si>
  <si>
    <t>01345144</t>
  </si>
  <si>
    <t xml:space="preserve">BUSTINZA   CAMAPAZA ROGER  VLADIMIR </t>
  </si>
  <si>
    <t>COORDINADOR LEGAL</t>
  </si>
  <si>
    <t>10300796</t>
  </si>
  <si>
    <t>CABALLERO RETAMOZO JUAN JOSE</t>
  </si>
  <si>
    <t>ANALISTA  III AMBIENTAL</t>
  </si>
  <si>
    <t>72174935</t>
  </si>
  <si>
    <t>CABELLO DUEÑAS GLADYS SUSAN</t>
  </si>
  <si>
    <t xml:space="preserve">ANALISTA III - LEGAL </t>
  </si>
  <si>
    <t>46140508</t>
  </si>
  <si>
    <t>CAJO MOZO FATIMA GUDELY</t>
  </si>
  <si>
    <t>ASIST. EN COMUNICACION INTERNA</t>
  </si>
  <si>
    <t>72676791</t>
  </si>
  <si>
    <t>CALDAS PRADA SUSANA LIDIANA</t>
  </si>
  <si>
    <t>45811954</t>
  </si>
  <si>
    <t>CALDERON CASAFRANCA MANUEL ANTONIO</t>
  </si>
  <si>
    <t>ESPECIALISTA III LEGAL</t>
  </si>
  <si>
    <t>10797810</t>
  </si>
  <si>
    <t>CALDERON VASQUEZ KATHERINE GREEN</t>
  </si>
  <si>
    <t>ANALISTA AMBIENTAL EN UNID. MENORES DE HIDROC.  II</t>
  </si>
  <si>
    <t>41006102</t>
  </si>
  <si>
    <t>CALLA LLONTOP HELEN JESUS</t>
  </si>
  <si>
    <t>ESPECIALISTA I – SERVIDUMBRES ELÉCTRICAS</t>
  </si>
  <si>
    <t>42469425</t>
  </si>
  <si>
    <t>CALLE ZUMAETA HENRY JORGAN</t>
  </si>
  <si>
    <t>21065765</t>
  </si>
  <si>
    <t>CALZADO PALOMINO MAURO JESUS</t>
  </si>
  <si>
    <t>TECNICO-CHOFER</t>
  </si>
  <si>
    <t xml:space="preserve">ESPECIALISTA II DE CONTROL PREVIO </t>
  </si>
  <si>
    <t>09464623</t>
  </si>
  <si>
    <t>CAMAC VICUÑA JORGE ANTONIO</t>
  </si>
  <si>
    <t>ANALISTA I - INGENIERIA DE HIDROCABUROS Y FEPC</t>
  </si>
  <si>
    <t>09526874</t>
  </si>
  <si>
    <t>CAMARENA ALVA IVAN</t>
  </si>
  <si>
    <t>INGENIERIA PETROQUIMICA</t>
  </si>
  <si>
    <t>COOORDINADOR DE INST. CORRECTIVOSDE EXPLOR. Y EXPL</t>
  </si>
  <si>
    <t>40182116</t>
  </si>
  <si>
    <t>CAMAYO  YAURI  CHRIS MABEL</t>
  </si>
  <si>
    <t>ANALISTA III DE TECNICA MINERÍA</t>
  </si>
  <si>
    <t>40567001</t>
  </si>
  <si>
    <t>CAMPOS  ATAYUPANQUI MANUEL ANTONIO</t>
  </si>
  <si>
    <t xml:space="preserve">COORDINADOR </t>
  </si>
  <si>
    <t>40413601</t>
  </si>
  <si>
    <t>CAMPOS GAVILAN JAVIER DAVID</t>
  </si>
  <si>
    <t>ANALISTA III - DERECHOS ELECTRICOS</t>
  </si>
  <si>
    <t>46867283</t>
  </si>
  <si>
    <t>CAMPOS LEDESMA VICTOR ALFONSO</t>
  </si>
  <si>
    <t>ESPECIALISTA EN GEST. DE INFORM. PARA ELECTRICIDAD</t>
  </si>
  <si>
    <t>40139026</t>
  </si>
  <si>
    <t>CAMPOS TARAZONA ALAN GUILLERMO</t>
  </si>
  <si>
    <t>ANALISTA EN UNIDADES MENORES DE HIDROCARBUROS II</t>
  </si>
  <si>
    <t>43161919</t>
  </si>
  <si>
    <t>CANCHARI  MENDOZA KATTY LEYLA</t>
  </si>
  <si>
    <t>MONITOREO Y CONSERV. DE INST. ELECTRICAS</t>
  </si>
  <si>
    <t>21246008</t>
  </si>
  <si>
    <t>CANCHIHUAMAN YAPIAS TIMOTEO</t>
  </si>
  <si>
    <t>TECNICO ELECTRICO</t>
  </si>
  <si>
    <t xml:space="preserve">ANALISTA III LEGAL EN NORMATIVA DE HIDROCARBUROS </t>
  </si>
  <si>
    <t>43885970</t>
  </si>
  <si>
    <t>CANCINO ALVITES JOSE ORLANDO</t>
  </si>
  <si>
    <t>10726403</t>
  </si>
  <si>
    <t>CANCINO BAZAN LINDSAY PATRICIA</t>
  </si>
  <si>
    <t>JEFE</t>
  </si>
  <si>
    <t>15971061</t>
  </si>
  <si>
    <t>CANEVARO LARA MARIA ANGELICA</t>
  </si>
  <si>
    <t>ESPECIALISTA TECNICO EN EVAL. AMB. DE HIDROCARBURO</t>
  </si>
  <si>
    <t>40442411</t>
  </si>
  <si>
    <t>CANO GAMARRA HOLINSON ANTONIO</t>
  </si>
  <si>
    <t>ANALISTA EN GESTION DOCUMENTAL</t>
  </si>
  <si>
    <t>42677152</t>
  </si>
  <si>
    <t>CAQUI REYES AUGUSTO ANTONIO</t>
  </si>
  <si>
    <t>DIRECTOR DE SISTEMA ADMINISTRATIVO I</t>
  </si>
  <si>
    <t>07720897</t>
  </si>
  <si>
    <t>CARBAJAL BRICENO JOSE LUIS</t>
  </si>
  <si>
    <t>LICENCIADO EN ANTROPOLOGÍA</t>
  </si>
  <si>
    <t>ESPECIALISTA III - DISTRIBUCIÓN Y COMERCIALIZACIÓN</t>
  </si>
  <si>
    <t>44407277</t>
  </si>
  <si>
    <t>CARBAJAL CALDERON LUIS ANGEL</t>
  </si>
  <si>
    <t>ESPECIALISTA I LEGAL PARA ACCESO A LA INFORMACIÓN</t>
  </si>
  <si>
    <t>08121552</t>
  </si>
  <si>
    <t>CARBAJAL SANCHEZ ALFONSO ROBERTO</t>
  </si>
  <si>
    <t>ASISTENTE TÉCNICO</t>
  </si>
  <si>
    <t>40460583</t>
  </si>
  <si>
    <t>CARDENAS GABRIEL MAGALY ROSARIO</t>
  </si>
  <si>
    <t>ESPECIALISTA II - LEGAL ADMINISTRATIVO</t>
  </si>
  <si>
    <t>40203314</t>
  </si>
  <si>
    <t>CÁRDENAS JARA EDILBERTO AXEL</t>
  </si>
  <si>
    <t>ASESOR DE LA ALTA DIRECCION DE SECRETARIA GENERAL</t>
  </si>
  <si>
    <t>41334032</t>
  </si>
  <si>
    <t>CARDENAS OSCATA JESUS ANTONIO</t>
  </si>
  <si>
    <t>JEFE DE LA OFICINA GENERAL DE GESTIÓN SOCIAL</t>
  </si>
  <si>
    <t>09126344</t>
  </si>
  <si>
    <t>CARDENAS PINO IRIS MARLENI</t>
  </si>
  <si>
    <t>ESPECIALISTA II - BIENESTAR SOCIAL</t>
  </si>
  <si>
    <t>10270447</t>
  </si>
  <si>
    <t>CARDENAS SOMOCURCIO ELEANA NATY</t>
  </si>
  <si>
    <t>ASISTENTE SOCIAL</t>
  </si>
  <si>
    <t>43514751</t>
  </si>
  <si>
    <t>CARDICH MAURICIO LESLIE ANGELA ROSARIO</t>
  </si>
  <si>
    <t>45795130</t>
  </si>
  <si>
    <t>CARHUATOCTO CRUZ BETTY</t>
  </si>
  <si>
    <t>INGENIERIA FORESTAL</t>
  </si>
  <si>
    <t>ESPECIALISTA LEGAL EN EVALUACION DE EXP.</t>
  </si>
  <si>
    <t>42878949</t>
  </si>
  <si>
    <t>CARHUAYO MANTILLA KARINA DEL PILAR</t>
  </si>
  <si>
    <t>EXPERTO EN PROYECTOS DE GENERACION ELECTRICA</t>
  </si>
  <si>
    <t>02038072</t>
  </si>
  <si>
    <t>CARI MAMANI JOSE</t>
  </si>
  <si>
    <t>DIRECTOR GENERAL ( DIRECT  PROG. SECT.  III)</t>
  </si>
  <si>
    <t>07571430</t>
  </si>
  <si>
    <t>CARLOS ESTRELLA VICTOR TEODORO</t>
  </si>
  <si>
    <t>AUXILIAR DE SERVICIOS PARA EL DESPACHO VME</t>
  </si>
  <si>
    <t>09131085</t>
  </si>
  <si>
    <t>CARLOS HARO JESUS MARCELO ALFONSO</t>
  </si>
  <si>
    <t>NINGUNA</t>
  </si>
  <si>
    <t>ASISTENCIA TÉCNICA</t>
  </si>
  <si>
    <t>70656474</t>
  </si>
  <si>
    <t>CARO JARA JOSE LUIS</t>
  </si>
  <si>
    <t>INGENIERIA ELECTRONICA</t>
  </si>
  <si>
    <t>ASISTENTE PROFESIONAL EN ESTADISTICA MINERA</t>
  </si>
  <si>
    <t>73031858</t>
  </si>
  <si>
    <t>CARRANZA  AVELLANEDA VICTOR GIANMARCO</t>
  </si>
  <si>
    <t>DIRECTOR</t>
  </si>
  <si>
    <t>40924809</t>
  </si>
  <si>
    <t>CARRANZA GIANELLO ROMAN</t>
  </si>
  <si>
    <t>ESPECIALISTA I AMBIENTAL</t>
  </si>
  <si>
    <t>42515138</t>
  </si>
  <si>
    <t>CARRANZA PALOMARES MIGUEL VICENTE</t>
  </si>
  <si>
    <t>41144509</t>
  </si>
  <si>
    <t>CARRANZA PINEDO ROCIO PILAR</t>
  </si>
  <si>
    <t>23950624</t>
  </si>
  <si>
    <t>CARRASCO CHACON JESUS WALTER</t>
  </si>
  <si>
    <t>ANALISTA III DE COORDINACIÓN REGIONAL</t>
  </si>
  <si>
    <t>21263814</t>
  </si>
  <si>
    <t>CASO TUMIALAN JOSE LUIS</t>
  </si>
  <si>
    <t>ASESOR II (CNP)</t>
  </si>
  <si>
    <t>06289341</t>
  </si>
  <si>
    <t>CASTAÑEDA MENDEZ JORGE JUAN</t>
  </si>
  <si>
    <t>LICENCIADO EN RELACIONES INTERNACIONALES</t>
  </si>
  <si>
    <t>CONSULTOR</t>
  </si>
  <si>
    <t>08705645</t>
  </si>
  <si>
    <t>CASTILLA ALATA JOHN PITY</t>
  </si>
  <si>
    <t>ANALISTA II - LEGAL</t>
  </si>
  <si>
    <t>45338641</t>
  </si>
  <si>
    <t>CASTILLO   CORNEJO DANIEL ADAN</t>
  </si>
  <si>
    <t>DIRECTOR GENERAL ( DIRECT SIST. ADM. III)</t>
  </si>
  <si>
    <t>07863324</t>
  </si>
  <si>
    <t>CASTILLO ARANSAENZ ANA MAGDELYN</t>
  </si>
  <si>
    <t>EJECUTIVO/A ADM. DE LA ALTA DIRECCION</t>
  </si>
  <si>
    <t>15766300</t>
  </si>
  <si>
    <t>CASTILLO CASTILLO ARACELLI OLGA</t>
  </si>
  <si>
    <t>40636294</t>
  </si>
  <si>
    <t>CASTILLO CONDORPUSA JESSICA LIZ</t>
  </si>
  <si>
    <t/>
  </si>
  <si>
    <t>45545499</t>
  </si>
  <si>
    <t>CASTILLO MAR LILLIAN ESTEFANY</t>
  </si>
  <si>
    <t>ASESOR</t>
  </si>
  <si>
    <t>09533323</t>
  </si>
  <si>
    <t>CASTILLO NUÑEZ MARIELA PILAR</t>
  </si>
  <si>
    <t>ESPECIALISTA III - LEGAL</t>
  </si>
  <si>
    <t>08214149</t>
  </si>
  <si>
    <t>CASTILLO PEÑA ROBERTO</t>
  </si>
  <si>
    <t>41995128</t>
  </si>
  <si>
    <t>CASTILLO PEÑALOZA GINA ANGELA</t>
  </si>
  <si>
    <t>46436722</t>
  </si>
  <si>
    <t>CASTRO ALARCON JUNIOR ANDRE</t>
  </si>
  <si>
    <t>ASISTENTE TECNICO DE GESTION DE DIALOGO</t>
  </si>
  <si>
    <t>09080353</t>
  </si>
  <si>
    <t>CASTRO ALCANTARA JAVIER GUSTAVO</t>
  </si>
  <si>
    <t>GESTION Y SUP. DEL SISTEMA DE INF. AMBIENTAL MIN.E</t>
  </si>
  <si>
    <t>06910035</t>
  </si>
  <si>
    <t>CASTRO LLUNCOR ELVIS ROBERT</t>
  </si>
  <si>
    <t>ANALISTA II - PROGRAMACIÓN Y DESARROLLO DE SISTEMAS INFORMÁTICOS</t>
  </si>
  <si>
    <t>40872858</t>
  </si>
  <si>
    <t>CAVA CULQUI MELVIN ROGER</t>
  </si>
  <si>
    <t>43668478</t>
  </si>
  <si>
    <t>CAYETANO PUELLES PAMELA</t>
  </si>
  <si>
    <t xml:space="preserve">ANALISTA III - PROYECTOS DE GENERACIÓN DE ENERGÍA ELÉCTRICA </t>
  </si>
  <si>
    <t>43602196</t>
  </si>
  <si>
    <t>CAYURI GUEVARA YENSHUKE EZEQUIEL</t>
  </si>
  <si>
    <t>AUXILIAR - ARCHIVO</t>
  </si>
  <si>
    <t>10723691</t>
  </si>
  <si>
    <t>CCOYLLO HUAMANI DANNY WILDER</t>
  </si>
  <si>
    <t>ASESOR DE LA DIRECCIÓN GENERAL DE HIDROCARBUROS</t>
  </si>
  <si>
    <t>25755578</t>
  </si>
  <si>
    <t>CERMEÑO RODRIGUEZ MIGUEL ANGEL</t>
  </si>
  <si>
    <t>INGENIERIA DE PETROLEO</t>
  </si>
  <si>
    <t>08132389</t>
  </si>
  <si>
    <t>CHAMBERGO RODRIGUEZ OMAR FRANCO</t>
  </si>
  <si>
    <t>ASISTENCIA TECNICA EN INFORMATICA</t>
  </si>
  <si>
    <t>40317050</t>
  </si>
  <si>
    <t>CHAMBI GONZALES ROSARIO ZORAIDA</t>
  </si>
  <si>
    <t>ESPECIALISTA EN RECURSOS HIDRICOS</t>
  </si>
  <si>
    <t>08740760</t>
  </si>
  <si>
    <t>CHAMORRO BELLIDO CARMEN ROSA</t>
  </si>
  <si>
    <t>ESPEC. EN PROGRAM. Y DESARROLLO DE SIST. INFORMAT.</t>
  </si>
  <si>
    <t>10020137</t>
  </si>
  <si>
    <t>CHAPILLIQUEN GUTIERREZ JOSE EDUARDO</t>
  </si>
  <si>
    <t>ESPECIALISTA III -  LEGAL EN ASOCIACIONES PÚBLICO PRIVADAS</t>
  </si>
  <si>
    <t>40285214</t>
  </si>
  <si>
    <t xml:space="preserve">CHAPPA VICUÑA ALBERTINA DEL ROSARIO </t>
  </si>
  <si>
    <t>ESPECIALISTA TECNICO EN AUDITORIA</t>
  </si>
  <si>
    <t>43083187</t>
  </si>
  <si>
    <t>CHAVARRI AGUIRRE ERNESTO ALONSO</t>
  </si>
  <si>
    <t>ESPECIALISTA III COMUNICACIÓN DESCENTRALIZADA</t>
  </si>
  <si>
    <t>09898291</t>
  </si>
  <si>
    <t>CHAVEZ CASTAÑEDA JULIO FRANCISCO</t>
  </si>
  <si>
    <t>06017184</t>
  </si>
  <si>
    <t>CHAVEZ CHACALTANA ORLANDO MIGUEL</t>
  </si>
  <si>
    <t>09343874</t>
  </si>
  <si>
    <t>CHAVEZ FALCON WUIDO BRUCCE</t>
  </si>
  <si>
    <t>ESPECIALISTA EN GESTION DE DESARROLLO Y CAPACITACI</t>
  </si>
  <si>
    <t>21862201</t>
  </si>
  <si>
    <t>CHAVEZ GUTIERREZ LUIS FELIPE</t>
  </si>
  <si>
    <t>ASESOR TECNICO DEL SECTOR ENERGIA</t>
  </si>
  <si>
    <t>44053458</t>
  </si>
  <si>
    <t>CHAVEZ HUAMAN EDISON ALEX</t>
  </si>
  <si>
    <t>10762808</t>
  </si>
  <si>
    <t>CHAVEZ HUAPAYA YEIDDY ERWIN</t>
  </si>
  <si>
    <t>ASISTENCIA TECNICA EN REDES Y COMUNICACIOONES</t>
  </si>
  <si>
    <t>41579885</t>
  </si>
  <si>
    <t>CHAVEZ HUARINGA PEDRO LUIS</t>
  </si>
  <si>
    <t>INFORMATICA</t>
  </si>
  <si>
    <t>ESPECIALISTA AUDITOR</t>
  </si>
  <si>
    <t>06654591</t>
  </si>
  <si>
    <t>CHIARA GONZALES JUAN PABLO</t>
  </si>
  <si>
    <t>DIRECTOR  ( DIRECTOR DE SIST. ADM. I )</t>
  </si>
  <si>
    <t>16683265</t>
  </si>
  <si>
    <t>CHIMPÉN ASENJO MILAGROS GIOVANNA</t>
  </si>
  <si>
    <t>LICENCIADO EN PERIODISMO</t>
  </si>
  <si>
    <t>ASESOR LEGAL</t>
  </si>
  <si>
    <t>07488780</t>
  </si>
  <si>
    <t>CHINCHAY RIOS RAQUEL VALERIANA</t>
  </si>
  <si>
    <t>ESPECIALISTA GEST. DE ACT. DE LA P. MINERIA Y MIN.</t>
  </si>
  <si>
    <t>01492536</t>
  </si>
  <si>
    <t>CHIPANA HUANCCO FELIPE NERI</t>
  </si>
  <si>
    <t>ESPECIALISTA II - TÉCNICO AMBIENTAL</t>
  </si>
  <si>
    <t>40888595</t>
  </si>
  <si>
    <t>CHOCCE PACHAS NIEVES YOLANDA</t>
  </si>
  <si>
    <t xml:space="preserve">ESPECIALISTA III - LEGAL </t>
  </si>
  <si>
    <t>40735989</t>
  </si>
  <si>
    <t>CHONG ARANA JHONEL SANDINOMARX</t>
  </si>
  <si>
    <t>PROFESIONAL EN ADM. PARA EVAL DE SOLIC. DE IGV</t>
  </si>
  <si>
    <t>42566155</t>
  </si>
  <si>
    <t>CHUQUISPUMA SAUÑE JUAN CARLOS</t>
  </si>
  <si>
    <t>ANALISTA III GESTION DE DIALOGO</t>
  </si>
  <si>
    <t>42414440</t>
  </si>
  <si>
    <t>CLAROS QUICHIZ IVVON REECE</t>
  </si>
  <si>
    <t>42166246</t>
  </si>
  <si>
    <t>COELLO GADEA GIANCARLO</t>
  </si>
  <si>
    <t>ANALISTA III INVESTIGACIÓN Y ANÁLISIS DE COMUNICACIONES</t>
  </si>
  <si>
    <t>42392672</t>
  </si>
  <si>
    <t>COKCHI CHUMBILE DEMETRIO HAFID</t>
  </si>
  <si>
    <t xml:space="preserve">COORDINADOR DE CENTRO DE OPERACIONES DE EMERGENCIA DEL MINISTERIO DE ENERGÍA Y MINAS </t>
  </si>
  <si>
    <t>25787420</t>
  </si>
  <si>
    <t>COLLAS MELÉNDEZ MILUSKA TATIANA</t>
  </si>
  <si>
    <t>ANALISTA III - EVALUACION DE IMPACTO AMBIENTAL</t>
  </si>
  <si>
    <t>46585993</t>
  </si>
  <si>
    <t>COLQUEHUANCA QUISPE JANNET VANEZA</t>
  </si>
  <si>
    <t> INGENIERA  GEOFÍSICA</t>
  </si>
  <si>
    <t>FORMUL. Y EJEC. DE PLANES Y MOD. DE CAPAC. - ENERG</t>
  </si>
  <si>
    <t>07234315</t>
  </si>
  <si>
    <t>CONDEZO ALARCON DE CONTRERAS CRISTINA MARGARITA</t>
  </si>
  <si>
    <t>EDUCACION</t>
  </si>
  <si>
    <t>ING. ESPEC. EN NORMALIZ. DEL NEGOCIO ENERGETICO CO</t>
  </si>
  <si>
    <t>07758167</t>
  </si>
  <si>
    <t>CONDOR CANALES JUAN ANTONIO</t>
  </si>
  <si>
    <t>46618619</t>
  </si>
  <si>
    <t>CONDOR VICUÑA FRANCO ANDRES</t>
  </si>
  <si>
    <t>ESPEC. EN ELAB. DE HERRAM. Y MEC. DEL SUBSEC. MIN.</t>
  </si>
  <si>
    <t>06914894</t>
  </si>
  <si>
    <t>CONDORI CUPI CARMELO</t>
  </si>
  <si>
    <t>28206460</t>
  </si>
  <si>
    <t>CONDORI PINEDA ROMAN ENRIQUE</t>
  </si>
  <si>
    <t>ANALISTA EN GESTION DE RECURSOS HUMANOS</t>
  </si>
  <si>
    <t>40210910</t>
  </si>
  <si>
    <t>CONDORI QUISPE BLANCA FLOR</t>
  </si>
  <si>
    <t>ESPECIALISTA II  DE ESTUDIOS ECONÓMICOS MINEROS</t>
  </si>
  <si>
    <t>43753029</t>
  </si>
  <si>
    <t>CONTRERAS  MEDRANO EVELYN EDITH</t>
  </si>
  <si>
    <t>INGENIERIA ECONOMICA</t>
  </si>
  <si>
    <t>ANALISTA III - DE INVESTIGACION Y ANALIS. DE COMUN</t>
  </si>
  <si>
    <t>07496914</t>
  </si>
  <si>
    <t>CONTRERAS ANGULO BILLY</t>
  </si>
  <si>
    <t>70437670</t>
  </si>
  <si>
    <t>CONTRERAS SANCHEZ EVELYN MARCELINA</t>
  </si>
  <si>
    <t>ANALISTA II  -  PROGRAMACIÓN DE INVERSIONES</t>
  </si>
  <si>
    <t>42690660</t>
  </si>
  <si>
    <t>CONTRERAS VERA CARLOS ORLANDO</t>
  </si>
  <si>
    <t>ANALISTA I DE TÉCNICO DEL PROGRAMA DE INTEGRACIÓN</t>
  </si>
  <si>
    <t>46009403</t>
  </si>
  <si>
    <t>CORDOVA CASTAÑEDA MARCO ANTONIO</t>
  </si>
  <si>
    <t>INGENIERIA GEOLOGICA</t>
  </si>
  <si>
    <t>ESPEC. EN PROY. DE GENERACION DE ENERGIA ELECTRICA</t>
  </si>
  <si>
    <t>40572939</t>
  </si>
  <si>
    <t>CORONEL MUCHA FREDY HERNAN</t>
  </si>
  <si>
    <t>ANALISTA I - EVALUACIÓN DE PROCEDIMIENTOS ADMINISTRATIVOS</t>
  </si>
  <si>
    <t>44905917</t>
  </si>
  <si>
    <t>CORRALES  MARTINEZ  CRISTIAN AMET</t>
  </si>
  <si>
    <t>33567979</t>
  </si>
  <si>
    <t>CORREA DE CHAVEZ MARIA DEL CARMEN</t>
  </si>
  <si>
    <t>19248787</t>
  </si>
  <si>
    <t>CORREA NOVOA ROSITA YRENE</t>
  </si>
  <si>
    <t>ESPECIALISTA III COMUNICACION INSTITUCIONAL</t>
  </si>
  <si>
    <t>15844960</t>
  </si>
  <si>
    <t>CORTEZ  ZAVALETA  ELENA BEATRIZ</t>
  </si>
  <si>
    <t>PERIODISMO</t>
  </si>
  <si>
    <t>15852761</t>
  </si>
  <si>
    <t>COSSIO WILLIAMS JUAN ORLANDO</t>
  </si>
  <si>
    <t>46712508</t>
  </si>
  <si>
    <t>COTRINA PONCE SANDRA NATALIA</t>
  </si>
  <si>
    <t>ANALISTA III DE SEGUIMIENTO Y MONITOREO DE COMPROMISOS SOCIALES</t>
  </si>
  <si>
    <t>41365193</t>
  </si>
  <si>
    <t>CRUZATT CARDENAS CARLOS ANGEL</t>
  </si>
  <si>
    <t>ASES. EN LA IMPLEMENTACION DEL CONT. INTER.Y COORD</t>
  </si>
  <si>
    <t>29244747</t>
  </si>
  <si>
    <t>CUBA MOSCOSO LUIS ALVARO</t>
  </si>
  <si>
    <t>ADMINISTRACION DE EMPRESAS</t>
  </si>
  <si>
    <t>ANALISTA III - ASUNTOS AMBIENTALES</t>
  </si>
  <si>
    <t>18193646</t>
  </si>
  <si>
    <t>CUBAS PARIMANGO LORENZO JARED</t>
  </si>
  <si>
    <t>OPERADOR DE SIST. DE SEGURIDAD AUTOMATIZADO</t>
  </si>
  <si>
    <t>08059424</t>
  </si>
  <si>
    <t>CUBAS VALDIVIA JOSE CARLOS</t>
  </si>
  <si>
    <t>ESPECIALISTA II - LEGAL</t>
  </si>
  <si>
    <t>42177163</t>
  </si>
  <si>
    <t>CUELLAR JOAQUIN MILAGROS IRENE</t>
  </si>
  <si>
    <t>07261798</t>
  </si>
  <si>
    <t>CUEVA OBANDO LUISA HERMINIA</t>
  </si>
  <si>
    <t>09875398</t>
  </si>
  <si>
    <t>CUEVA USQUIANO MIGUEL ALFREDO</t>
  </si>
  <si>
    <t>ESPECIALISTA LEGAL EN MATERIA DE RECURSOS HUMANOS</t>
  </si>
  <si>
    <t>08590983</t>
  </si>
  <si>
    <t>CUYA CONTRERAS JOSE</t>
  </si>
  <si>
    <t>ESPECIALISTA DE CONTROL DE GESTION ACADEMICA</t>
  </si>
  <si>
    <t>08765057</t>
  </si>
  <si>
    <t>CUYA VILLARROEL ALFONSO PERCY</t>
  </si>
  <si>
    <t>41059863</t>
  </si>
  <si>
    <t>DE LA CRUZ SUAZO ELVIS  SANTIAGO</t>
  </si>
  <si>
    <t>ESPECIALISTA II - LEGAL MINERO</t>
  </si>
  <si>
    <t>40860236</t>
  </si>
  <si>
    <t>DE OLAZAVAL CARTY SILVANA</t>
  </si>
  <si>
    <t>AUXILIAR COACTIVO</t>
  </si>
  <si>
    <t>45160285</t>
  </si>
  <si>
    <t>DEL CASTILLO NATERS MOISES ANTONIO</t>
  </si>
  <si>
    <t>ESPECIALISTA II - LEGAL ENERGETICO</t>
  </si>
  <si>
    <t>41325020</t>
  </si>
  <si>
    <t>DEL SOLAR URTECHO MARIA ESTEFANIA OLGA</t>
  </si>
  <si>
    <t>ESPECIALISTA III - PETRÓLEO</t>
  </si>
  <si>
    <t>09523633</t>
  </si>
  <si>
    <t>DELGADO CEBINCHA JUAN JOSE</t>
  </si>
  <si>
    <t>ESPECIALISTA II DE PLAN. EN GESTIÓN DE RIESGOS DE</t>
  </si>
  <si>
    <t>43320143</t>
  </si>
  <si>
    <t>DELGADO RODRIGUEZ JAVIER JESUS</t>
  </si>
  <si>
    <t>CIENCIAS MILITARES</t>
  </si>
  <si>
    <t>09894548</t>
  </si>
  <si>
    <t>DELGADO VEGA CLAUDIA NOELIA</t>
  </si>
  <si>
    <t>ASISTENTE EN ATENCION AL PUBLICO</t>
  </si>
  <si>
    <t>07217807</t>
  </si>
  <si>
    <t>DIAZ CHAVEZ LAZARO</t>
  </si>
  <si>
    <t>PRIMARIA</t>
  </si>
  <si>
    <t>COORDINADOR DE ADM. DE DOCUMENTOS Y ARCHIVO</t>
  </si>
  <si>
    <t>41817622</t>
  </si>
  <si>
    <t>DIAZ CORDOVA DEYSE CONSUELO</t>
  </si>
  <si>
    <t>40925558</t>
  </si>
  <si>
    <t>DIAZ DIAZ LILIANA ESPERANZA</t>
  </si>
  <si>
    <t xml:space="preserve">ESPECIALISTA I  TRANSPORTE DE HIDROCARBUROS Y SEGURIDAD EN LAS ACTIVIDADES DE HIDROCARBUROS. </t>
  </si>
  <si>
    <t>43760552</t>
  </si>
  <si>
    <t>DIAZ MARTINEZ PIERO</t>
  </si>
  <si>
    <t>40177272</t>
  </si>
  <si>
    <t>DIAZ RUJEL JANIE PAOLA</t>
  </si>
  <si>
    <t>JEFE DE LA OFICINA GENERAL DE ADMINISTRACIÓN</t>
  </si>
  <si>
    <t>41385583</t>
  </si>
  <si>
    <t>DIAZ SIPIRAN JULIO CESAR</t>
  </si>
  <si>
    <t>INGNIERIA INDUSTRIAL</t>
  </si>
  <si>
    <t xml:space="preserve">ANALISTA III - GESTIÓN ADMINISTRATIVA </t>
  </si>
  <si>
    <t>06064694</t>
  </si>
  <si>
    <t>DIAZ TORRE HUMBERTO RAFAEL</t>
  </si>
  <si>
    <t>OPERADOR CENTRAL TELEFONICA</t>
  </si>
  <si>
    <t>16697099</t>
  </si>
  <si>
    <t>DIAZ VASQUEZ  MARGARITA</t>
  </si>
  <si>
    <t>MECANOGRAFIA</t>
  </si>
  <si>
    <t>10291545</t>
  </si>
  <si>
    <t>DIAZ VEGA CINDY JESSY</t>
  </si>
  <si>
    <t>ANALISTA III DE PROMOCIÓN DE LA FORMALIZACIÓN MINERA</t>
  </si>
  <si>
    <t>04828940</t>
  </si>
  <si>
    <t>DONGO ALCAZAR BRUMEL ALBERTO</t>
  </si>
  <si>
    <t>ESPECIALISTA EN PRESUPUESTO PUBLICO</t>
  </si>
  <si>
    <t>06131130</t>
  </si>
  <si>
    <t>DUQUE GONZALES JOSE LUIS</t>
  </si>
  <si>
    <t>09304863</t>
  </si>
  <si>
    <t>DURAN CHAVEZ ELMER</t>
  </si>
  <si>
    <t>40171543</t>
  </si>
  <si>
    <t>DURAND MONZON EVELING NORMA</t>
  </si>
  <si>
    <t>09005810</t>
  </si>
  <si>
    <t>ECHAIZ CABAÑAS OSCAR ALBERTO</t>
  </si>
  <si>
    <t>08564814</t>
  </si>
  <si>
    <t>ENCINA SANDOVAL JORGE LUIS</t>
  </si>
  <si>
    <t>CONTADOR PÚBLICO</t>
  </si>
  <si>
    <t>ESPECIALISTA III - EN TECNOLOGIAS DE LA INFORMACIÓN</t>
  </si>
  <si>
    <t>07938815</t>
  </si>
  <si>
    <t>ERREA CARO RICARDO JOSE</t>
  </si>
  <si>
    <t>43242038</t>
  </si>
  <si>
    <t>ESCATE AMPUERO CINTHYA LETICIA</t>
  </si>
  <si>
    <t>ANALISTA III DE FONDOS SOCIALES</t>
  </si>
  <si>
    <t>16780752</t>
  </si>
  <si>
    <t>ESCOBAL MC EVOY CARLOS ALBERTO</t>
  </si>
  <si>
    <t>ARQUEOLOGIA</t>
  </si>
  <si>
    <t>ANALISTA TECNICO ADMINISTRATIVO</t>
  </si>
  <si>
    <t>40089265</t>
  </si>
  <si>
    <t>ESPINOZA ARIAS HELGA REBECA</t>
  </si>
  <si>
    <t xml:space="preserve">ANALISTA I -  INFORMACIÓN GEOGRÁFICA </t>
  </si>
  <si>
    <t>72407987</t>
  </si>
  <si>
    <t>ESPINOZA ESPIZA JENNIFER</t>
  </si>
  <si>
    <t>INGENIERA GEOGRÁFICA</t>
  </si>
  <si>
    <t>ASESOR DE LA ALTA DIRECCION DE VICEMIN. DE MINAS</t>
  </si>
  <si>
    <t>42312646</t>
  </si>
  <si>
    <t>ESPINOZA PEÑA MARIA FRANCINA</t>
  </si>
  <si>
    <t>10385489</t>
  </si>
  <si>
    <t>ESPINOZA RAMOS MISHEL EFRAIN</t>
  </si>
  <si>
    <t>10353132</t>
  </si>
  <si>
    <t>ESPINOZA ROSAS VICTORIA  ALEJANDRINA</t>
  </si>
  <si>
    <t>ANALISTA I DE GESTIÓN DEL DIÁLOGO</t>
  </si>
  <si>
    <t>20057661</t>
  </si>
  <si>
    <t>ESPINOZA SALVATIERRA MIGUEL SEGISFREDO</t>
  </si>
  <si>
    <t>ASISTENCIA TECNICA EQUIPOS TECNOLOGICOS</t>
  </si>
  <si>
    <t>70443805</t>
  </si>
  <si>
    <t>ESPINOZA ZACARIAS ANGEL POOL</t>
  </si>
  <si>
    <t>32887944</t>
  </si>
  <si>
    <t>ESPINOZA ZEGARRA CLAUDIA MILAGROS</t>
  </si>
  <si>
    <t>INGENIERIA EN ENERGIA</t>
  </si>
  <si>
    <t>ESPECIALISTA I - INTEGRACION Y CIERRE CONTABLE</t>
  </si>
  <si>
    <t>40276335</t>
  </si>
  <si>
    <t>ESPIRITU GONZALES YINELA CARMEN</t>
  </si>
  <si>
    <t>ASESOR TECNICO</t>
  </si>
  <si>
    <t>09216502</t>
  </si>
  <si>
    <t>ESTELA SILVA SANTIAGO MELANIO</t>
  </si>
  <si>
    <t>41466915</t>
  </si>
  <si>
    <t>FARFAN CONTRERAS JOEL</t>
  </si>
  <si>
    <t>FISICA</t>
  </si>
  <si>
    <t>DIRECTOR DE PROGRAMA SECTORIAL III</t>
  </si>
  <si>
    <t>43610802</t>
  </si>
  <si>
    <t>FARFAN ESTRADA JOSE</t>
  </si>
  <si>
    <t>ANALISTA DE INSTRUM. DE GEST. AMBIENTAL</t>
  </si>
  <si>
    <t>46319986</t>
  </si>
  <si>
    <t>FARFAN REYES MIRIAM ELIZABETH</t>
  </si>
  <si>
    <t xml:space="preserve">ESPECIALISTA I DE CONTRATACIONES </t>
  </si>
  <si>
    <t>42485135</t>
  </si>
  <si>
    <t>FARFAN SANDOVAL EDER DANIEL</t>
  </si>
  <si>
    <t>ESPECIALISTA EN COBERTURA GRAFICA</t>
  </si>
  <si>
    <t>10738465</t>
  </si>
  <si>
    <t>FARJE GOMERO OSCAR KELVIN</t>
  </si>
  <si>
    <t>ASISTENTE DE SEGURIDAD</t>
  </si>
  <si>
    <t>41225073</t>
  </si>
  <si>
    <t>FELIPA CORDOVA CARLOS ENRIQUE</t>
  </si>
  <si>
    <t>ESPECIALISTA AUDITOR II</t>
  </si>
  <si>
    <t>08011043</t>
  </si>
  <si>
    <t xml:space="preserve">FERNANDEZ DEFILIPPI RAFAEL VICENTE </t>
  </si>
  <si>
    <t>ESPECIALISTA II EN CONTABILIDAD</t>
  </si>
  <si>
    <t>42534667</t>
  </si>
  <si>
    <t>FERNANDEZ RODRIGUEZ JUAN CARLOS</t>
  </si>
  <si>
    <t>ANALISTA III - LEGAL</t>
  </si>
  <si>
    <t>44856803</t>
  </si>
  <si>
    <t>FIGUEROA VEREAU NELSON BARTOLOME</t>
  </si>
  <si>
    <t>00487137</t>
  </si>
  <si>
    <t>FLORES GARAYCOCHEA MARLENE SOLEDAD</t>
  </si>
  <si>
    <t>08878746</t>
  </si>
  <si>
    <t>FLORES GOMEZ KARINA NILDA</t>
  </si>
  <si>
    <t>10789365</t>
  </si>
  <si>
    <t>FLORES JERI ALFREDO IVAN</t>
  </si>
  <si>
    <t>ANALISTA EN COBERTURA DE PRENSA</t>
  </si>
  <si>
    <t>46008304</t>
  </si>
  <si>
    <t>FLORES SENADOR JOSE MANUEL</t>
  </si>
  <si>
    <t>ESPECIALISTA I - TECNICO MINERO</t>
  </si>
  <si>
    <t>43830974</t>
  </si>
  <si>
    <t>FLORES TORRES HAROLD GERMAIN</t>
  </si>
  <si>
    <t>ANALISTA III - LEGAL EN MATERIA MINERO AMBIENTAL</t>
  </si>
  <si>
    <t>70443710</t>
  </si>
  <si>
    <t>FRANCO  SOLANO MARGARETH MERCEDES</t>
  </si>
  <si>
    <t>41905162</t>
  </si>
  <si>
    <t>FRIAS MARCA OSCAR JOSE</t>
  </si>
  <si>
    <t>10434981</t>
  </si>
  <si>
    <t>GALLARDO ARRASCUE ROSSANA LETICIA</t>
  </si>
  <si>
    <t>DIRECTOR DE PROGRAMA SECTORIAL I</t>
  </si>
  <si>
    <t>10577073</t>
  </si>
  <si>
    <t>GALLEGOS QUESQUEN PATRICIA MERCEDES</t>
  </si>
  <si>
    <t>ANALISTA III -  PROGRAMACIÓN DE INVERSIONES</t>
  </si>
  <si>
    <t>73046812</t>
  </si>
  <si>
    <t>GALLEGOS VILCANQUI JOSE CARLOS</t>
  </si>
  <si>
    <t>08249212</t>
  </si>
  <si>
    <t>GALVEZ DELGADO JAIME</t>
  </si>
  <si>
    <t>CIENCIAS SOCIALES</t>
  </si>
  <si>
    <t>ASISTENTE DE GESTION FINANCIERA Y CONTABLE</t>
  </si>
  <si>
    <t>47067541</t>
  </si>
  <si>
    <t>GAMARRA CHUMBES EDER GREGORI</t>
  </si>
  <si>
    <t>CIENCIAS FINANCIERAS Y CONTABLES</t>
  </si>
  <si>
    <t xml:space="preserve">ANALISTA I DE GESTIÓN ACADÉMICA DEL PROGRAMA DE INTEGRACIÓN MINERA </t>
  </si>
  <si>
    <t>08681131</t>
  </si>
  <si>
    <t>GAMARRA RAMIREZ HELEN CAROL</t>
  </si>
  <si>
    <t>ESPEC. EN FORMUL. EVAL. E IMPLANTACION DE CONT. IN</t>
  </si>
  <si>
    <t>06633268</t>
  </si>
  <si>
    <t>GAMIO CHUMPITAZ RANUFFO FELIPE</t>
  </si>
  <si>
    <t>ESPECIALISTA III DE GESTIÓN ADMINISTRATIVA</t>
  </si>
  <si>
    <t>25705424</t>
  </si>
  <si>
    <t>GARAY LAZO RUBEN NICOLAS</t>
  </si>
  <si>
    <t>ESPECIALISTA I - PROYECTOS</t>
  </si>
  <si>
    <t>44656864</t>
  </si>
  <si>
    <t>GARCIA  DURAND MOISES</t>
  </si>
  <si>
    <t>INGENIERIA PESQUERA</t>
  </si>
  <si>
    <t>COORD. DEL PROCESO DE FORMALIZ. DE PEQUEÑA MIN. AR</t>
  </si>
  <si>
    <t>23926304</t>
  </si>
  <si>
    <t>GARCIA  HUAMANI MARIO</t>
  </si>
  <si>
    <t>ASESOR DEL GABINETE DE ASESORES</t>
  </si>
  <si>
    <t>44428740</t>
  </si>
  <si>
    <t>GARCIA  VIZCARRA DIEGO FERNANDO</t>
  </si>
  <si>
    <t>ANALISTA III DE GESTIÓN ADMINISTRATIVA</t>
  </si>
  <si>
    <t>09993317</t>
  </si>
  <si>
    <t>GARCIA CCAIPANI JOHN EDWAR</t>
  </si>
  <si>
    <t>08429880</t>
  </si>
  <si>
    <t>GARCIA GARCIA EDGAR ALFREDO</t>
  </si>
  <si>
    <t>INGENIERIA CIVIL</t>
  </si>
  <si>
    <t>COORDINADOR PRENSA Y COMUNICACIONES</t>
  </si>
  <si>
    <t>07526619</t>
  </si>
  <si>
    <t>GARCÍA HERNÁNDEZ ERIKA CAROL</t>
  </si>
  <si>
    <t>ESPECIALISTA II - ASUNTOS AMBIENTALES</t>
  </si>
  <si>
    <t>41556075</t>
  </si>
  <si>
    <t>GARCIA LAY NISSE MEI-LIN</t>
  </si>
  <si>
    <t>PROCURADOR PUBLICO (CNP)</t>
  </si>
  <si>
    <t>15682513</t>
  </si>
  <si>
    <t>GARCIA LEON EVA GISELLE</t>
  </si>
  <si>
    <t>10145549</t>
  </si>
  <si>
    <t>GARCIA NAVARRO LIONEL</t>
  </si>
  <si>
    <t>ANALISTA III - TÉCNICO AMBIENTAL</t>
  </si>
  <si>
    <t>44529033</t>
  </si>
  <si>
    <t xml:space="preserve">GARCIA PEDROSO SANDRA MARIA </t>
  </si>
  <si>
    <t>DIRECTOR GENERAL</t>
  </si>
  <si>
    <t>40577050</t>
  </si>
  <si>
    <t>GARCIA PORTUGAL ERICK GIDELBERTH</t>
  </si>
  <si>
    <t>GESTION DE LA ENERGIA</t>
  </si>
  <si>
    <t>MAGISTER</t>
  </si>
  <si>
    <t>COORDINADOR - LEGAL ENERGETICO</t>
  </si>
  <si>
    <t>42449502</t>
  </si>
  <si>
    <t>GARCIA RAMOS PAOLA PATRICIA</t>
  </si>
  <si>
    <t>06193977</t>
  </si>
  <si>
    <t>GARCIA REYNA LETY MARLENE</t>
  </si>
  <si>
    <t>EJECUTIVO/A DE ASISTENCIA ADMINISTRATIVA</t>
  </si>
  <si>
    <t>43837885</t>
  </si>
  <si>
    <t>GARCIA VILCHEZ JOHANNA ARACELLI</t>
  </si>
  <si>
    <t>COORDINADOR LEGAL DE EVAL. AMBIENTAL DE HIDROCARB.</t>
  </si>
  <si>
    <t>42815706</t>
  </si>
  <si>
    <t>GAVIDIA MELENDEZ CINTHYA GREYSSE</t>
  </si>
  <si>
    <t>ESPECIALISTA TECNICO EN PASIVOS AMB. MINEROS</t>
  </si>
  <si>
    <t>09852831</t>
  </si>
  <si>
    <t>GÓMEZ  GONZALES NORKA ROXANA</t>
  </si>
  <si>
    <t>10238986</t>
  </si>
  <si>
    <t>GOMEZ VALDIVIA SUCETH ROSARIO</t>
  </si>
  <si>
    <t>ESPECIALISTA III - TÉCNICO MINERO GEOTECNISTA</t>
  </si>
  <si>
    <t>10868835</t>
  </si>
  <si>
    <t xml:space="preserve">GONZALES ANTUNEZ MELQUIADES EUGENIO </t>
  </si>
  <si>
    <t>ANALISTA PETROLERO EN UNID. MAYORES DE HIDROCARB.</t>
  </si>
  <si>
    <t>45800172</t>
  </si>
  <si>
    <t>GONZALES GIRALDO TANIA JESSICA</t>
  </si>
  <si>
    <t>INGENIERIA DE PETROLEO Y GAS NATURAL</t>
  </si>
  <si>
    <t>DIRECTOR(A)</t>
  </si>
  <si>
    <t>09867512</t>
  </si>
  <si>
    <t>GONZALES MEDINA JAVIER EDGARDO</t>
  </si>
  <si>
    <t>INGENIERIA MECANICA</t>
  </si>
  <si>
    <t>10645636</t>
  </si>
  <si>
    <t>GONZALES RIVAS MIGUEL ANGEL</t>
  </si>
  <si>
    <t>ASISTENCIA EN PRIMEROS AUXILIOS</t>
  </si>
  <si>
    <t>07833116</t>
  </si>
  <si>
    <t>GONZALES RODRIGUEZ ROSA ANGELICA</t>
  </si>
  <si>
    <t>ENFERMERIA</t>
  </si>
  <si>
    <t>ESPECIALISTA I - ADM. DE SERVIDORES</t>
  </si>
  <si>
    <t>33264844</t>
  </si>
  <si>
    <t>GONZALEZ NEYRA RAUL EDUARDO</t>
  </si>
  <si>
    <t>OPERADOR ADMINISTRATIVO CONTABLE</t>
  </si>
  <si>
    <t>06221428</t>
  </si>
  <si>
    <t>GRADOS NAVARRO ANGEL DIMAS</t>
  </si>
  <si>
    <t>INGENIERIA ADMINISTRATIVA</t>
  </si>
  <si>
    <t xml:space="preserve">ESPECIALISTA I - LEGAL EN TEMAS ARBITRALES Y JUDICIALES </t>
  </si>
  <si>
    <t>44538979</t>
  </si>
  <si>
    <t>GRATELLI CABRERA BROOKE MIRELLA</t>
  </si>
  <si>
    <t>09804568</t>
  </si>
  <si>
    <t>GUILLEN ESPINOZA CARLOS ALBERTO</t>
  </si>
  <si>
    <t>02298768</t>
  </si>
  <si>
    <t>GUTIERREZ CHARA MAGDA ROXANA</t>
  </si>
  <si>
    <t>ESPECIALISTA II - CONTROL GUBERNAMENTAL</t>
  </si>
  <si>
    <t>08650052</t>
  </si>
  <si>
    <t>GUTIERREZ CUBA ANA MARIA</t>
  </si>
  <si>
    <t xml:space="preserve">ESPECIALISTA II DE PROGRAMACIÓN </t>
  </si>
  <si>
    <t>45631322</t>
  </si>
  <si>
    <t>GUTIERREZ MAURICIO RAUL ENRRIQUE</t>
  </si>
  <si>
    <t>06067756</t>
  </si>
  <si>
    <t>GUTIERREZ MEJIA  MARY DEL SOCORRO</t>
  </si>
  <si>
    <t>43101732</t>
  </si>
  <si>
    <t>GUTIERREZ PULLCHEZ DANIXA KATHERINE</t>
  </si>
  <si>
    <t>45231339</t>
  </si>
  <si>
    <t>GUTIERREZ YUPANQUI ILIAN SUSAN</t>
  </si>
  <si>
    <t xml:space="preserve">ANALISTA II DE SEGUIMIENTO DE COMPROMISOS SOCIALES </t>
  </si>
  <si>
    <t>08874225</t>
  </si>
  <si>
    <t>GUZMAN CAMARENA ALBERTO EDUARDO</t>
  </si>
  <si>
    <t>ESPECIALISTA II - EN SEG. DE LA INFORMACION</t>
  </si>
  <si>
    <t>40787648</t>
  </si>
  <si>
    <t>HEIGHES SIFUENTES ALFONSO FEDERICO</t>
  </si>
  <si>
    <t>ESPECIALISTA EN PLANEA. ENERGETICO-ENERG. RENOVAB.</t>
  </si>
  <si>
    <t>40779626</t>
  </si>
  <si>
    <t>HEREDIA MUÑOZ MANUEL ANTONIO</t>
  </si>
  <si>
    <t>46597238</t>
  </si>
  <si>
    <t>HERNANDEZ  COLINA JEFFERSON JOSELITO</t>
  </si>
  <si>
    <t>32905228</t>
  </si>
  <si>
    <t>HERRERA BAZAN DANIEL GREGORIO</t>
  </si>
  <si>
    <t>08828558</t>
  </si>
  <si>
    <t>HERRERA HERRERA NORMA ALEJANDRINA</t>
  </si>
  <si>
    <t>ANALISTA I - DERECHO ADMINISTRATIVO</t>
  </si>
  <si>
    <t>70469568</t>
  </si>
  <si>
    <t>HIDALGO BELSUZARRI RAÚL CÉSAR</t>
  </si>
  <si>
    <t>42935725</t>
  </si>
  <si>
    <t>HOLGUIN LOZADA RICHARD LENIN</t>
  </si>
  <si>
    <t>30832092</t>
  </si>
  <si>
    <t>HOLGUIN ROJAS MANUEL ANTONIO</t>
  </si>
  <si>
    <t>43323522</t>
  </si>
  <si>
    <t>HOPKINS ALFARO JOSE DIEGO</t>
  </si>
  <si>
    <t>76882597</t>
  </si>
  <si>
    <t>HOYOS HUANCA DIEGO GUILLERMO</t>
  </si>
  <si>
    <t>06804650</t>
  </si>
  <si>
    <t>HUALLPA SALAZAR FABIOLA DZHAMILIA</t>
  </si>
  <si>
    <t>COORD. DE INST. PREVENTIVOS DE EXPLOR. EXPLOT, TRA</t>
  </si>
  <si>
    <t>41258635</t>
  </si>
  <si>
    <t>HUAMAN CABALLERO ROSMERY MARGARET</t>
  </si>
  <si>
    <t>COORDINADOR DE NORMATIVA AMB. DE HIDROCARBUROS</t>
  </si>
  <si>
    <t>42841612</t>
  </si>
  <si>
    <t>HUAMAN PEREZ ROCIO DEL PILAR</t>
  </si>
  <si>
    <t>19255163</t>
  </si>
  <si>
    <t>HUARIPATA TORRES ALEXIS ANEL</t>
  </si>
  <si>
    <t>ARTESANO  PARA EL MANT. DE LAS INSTA. DEL MEM</t>
  </si>
  <si>
    <t>40263373</t>
  </si>
  <si>
    <t>HUAROTO GIL MARCO ANTONIO</t>
  </si>
  <si>
    <t>REDACTOR PRINCIPAL</t>
  </si>
  <si>
    <t>06750353</t>
  </si>
  <si>
    <t>HUAYLINOS SANCHEZ PASCUAL  DAVY</t>
  </si>
  <si>
    <t xml:space="preserve">ESPECIALISTA EN COBRANZA COACTIVA </t>
  </si>
  <si>
    <t>44749477</t>
  </si>
  <si>
    <t>HUAYLLA BUSTAMANTE LAURA ROXANA</t>
  </si>
  <si>
    <t>ESPECIALISTA III - AMBIENTAL</t>
  </si>
  <si>
    <t>10706807</t>
  </si>
  <si>
    <t>HUERTA MENDOZA RONALD EDGARDO</t>
  </si>
  <si>
    <t>INGENIERIA SANITARIA</t>
  </si>
  <si>
    <t>ANALISTA AMBIENTAL PARA SUB SECT. ELECTRICO I</t>
  </si>
  <si>
    <t>45510164</t>
  </si>
  <si>
    <t>HURTADO DE MENDOZA CRUZ WILFRIDO ALONSO RENATO</t>
  </si>
  <si>
    <t>COORDINADOR DE COMERCIALIZ, ALMACEN. Y DIST. HIDRO</t>
  </si>
  <si>
    <t>08888553</t>
  </si>
  <si>
    <t>IBAÑEZ MONTERO CARLOS WILFREDO</t>
  </si>
  <si>
    <t>ESPECIALISTA EN PLAN. ENERG. AMBIENTAL</t>
  </si>
  <si>
    <t>41576469</t>
  </si>
  <si>
    <t>IBARRA VASQUEZ GIANNINA MILAGROS</t>
  </si>
  <si>
    <t>ANALISTA II EN CONTROL PATRIMONIAL</t>
  </si>
  <si>
    <t>06221770</t>
  </si>
  <si>
    <t>INFANTES RIQUE JUVENAL LENIN</t>
  </si>
  <si>
    <t>07201843</t>
  </si>
  <si>
    <t>INGUNZA PANDO LUIS ALBERTO</t>
  </si>
  <si>
    <t>ANALISTA III - ECONOMIA</t>
  </si>
  <si>
    <t>42560793</t>
  </si>
  <si>
    <t>ISIDRO ESPINOZA YESSICA BRUNELA</t>
  </si>
  <si>
    <t xml:space="preserve">ASESOR(A) </t>
  </si>
  <si>
    <t>10556566</t>
  </si>
  <si>
    <t>ISIQUE PÉREZ MÓNICA JEANETTE</t>
  </si>
  <si>
    <t>ANALISTA EN TEMAS ECONÓMICOS Y PLAN. ENERG</t>
  </si>
  <si>
    <t>45810804</t>
  </si>
  <si>
    <t>ISLA CASTAÑEDA LUIS ENRIQUE</t>
  </si>
  <si>
    <t>40914425</t>
  </si>
  <si>
    <t>IZARRA OJEDA MIKE JON</t>
  </si>
  <si>
    <t>ANALISTA III - EXPLORACIÓN Y EXPLOTACION DE HIDROCARBUROS</t>
  </si>
  <si>
    <t>10350868</t>
  </si>
  <si>
    <t>JACOME VERGARAY MARCO ANTONIO</t>
  </si>
  <si>
    <t>46618364</t>
  </si>
  <si>
    <t>JAIMES VALLEJOS DIEGO MARTIN</t>
  </si>
  <si>
    <t>COORDINADOR LEGAL MINERO ENERGÉTICO</t>
  </si>
  <si>
    <t>41584657</t>
  </si>
  <si>
    <t>JANAMPA  CORDOVA JEAN DANNY</t>
  </si>
  <si>
    <t>ESPECIALISTA EN GEST. DE RIESGO DE DESASTRES</t>
  </si>
  <si>
    <t>06019934</t>
  </si>
  <si>
    <t>JARA CARPIO DIEGO EDMUND</t>
  </si>
  <si>
    <t>ANALISTA II DISEÑO GRÁFICO</t>
  </si>
  <si>
    <t>46638408</t>
  </si>
  <si>
    <t>JARA MORA MELISSA</t>
  </si>
  <si>
    <t>ESPECIALISTA I - IDENTIFICACIÓN DE PASIVOS AMBIENTALES MINEROS</t>
  </si>
  <si>
    <t>40626145</t>
  </si>
  <si>
    <t>JARAMILLO MOSCOSO SILVIA ALCIRA</t>
  </si>
  <si>
    <t>ESPECIALISTA EN PLANEAMIENTO ESTRATEGIGO</t>
  </si>
  <si>
    <t>06699753</t>
  </si>
  <si>
    <t xml:space="preserve">JAUREGUI  ZUÑIGA BENITA ISABEL </t>
  </si>
  <si>
    <t>07939957</t>
  </si>
  <si>
    <t>JAUREGUI MORAN GABRIELA SIBIA</t>
  </si>
  <si>
    <t>EXPERTO/A LEGAL EN MATERIA AMBIENTAL</t>
  </si>
  <si>
    <t>44763450</t>
  </si>
  <si>
    <t>JESUS DE LAMA MANUEL ANDRES</t>
  </si>
  <si>
    <t>JEFE DE LA OFICINA GENERAL DE PLANEAMIENTO Y PRESU</t>
  </si>
  <si>
    <t>08174409</t>
  </si>
  <si>
    <t>JHONG GUERRERO MARIA ISABEL</t>
  </si>
  <si>
    <t>70440064</t>
  </si>
  <si>
    <t>JIMENEZ ALARCON ROSMERY GERALDINE</t>
  </si>
  <si>
    <t>ANALISTA EN SEG. Y MONIT. DE COMNPROMISOS SOCIALES</t>
  </si>
  <si>
    <t>73246727</t>
  </si>
  <si>
    <t xml:space="preserve">JIMENEZ LEON FERNANDO ALONSO </t>
  </si>
  <si>
    <t>CIENCIAS POLITICAS</t>
  </si>
  <si>
    <t>COORDINADOR DE ABASTECIMIENTO Y SERVICIOS</t>
  </si>
  <si>
    <t>32775574</t>
  </si>
  <si>
    <t>JO PASTOR CHRISTIAN DAN</t>
  </si>
  <si>
    <t>07856020</t>
  </si>
  <si>
    <t>KUZMA ALFARO MIGUEL ELISEO</t>
  </si>
  <si>
    <t>41743454</t>
  </si>
  <si>
    <t>LA ROSA ORBEZO NOHELIA THAIS</t>
  </si>
  <si>
    <t>DERCEHO</t>
  </si>
  <si>
    <t>COORD. DE TECNOLOGIAS ARCHIVISTICAS Y DOC. ELECT</t>
  </si>
  <si>
    <t>42549733</t>
  </si>
  <si>
    <t>LACHIRA ESPINOZA EMILIO</t>
  </si>
  <si>
    <t>INGENIERIA INFORMATICA</t>
  </si>
  <si>
    <t>10193801</t>
  </si>
  <si>
    <t>LACTAYO MONAGO MAXIMO</t>
  </si>
  <si>
    <t>15720532</t>
  </si>
  <si>
    <t xml:space="preserve">LAOS  RODRIGUEZ EDGARD RICHARD </t>
  </si>
  <si>
    <t>ANALISTA PROGRAM. PARA EL SIST. DE INF. ADMINIST.</t>
  </si>
  <si>
    <t>10313300</t>
  </si>
  <si>
    <t>LAU LUY JORGE JULIAN</t>
  </si>
  <si>
    <t>06169889</t>
  </si>
  <si>
    <t>LAVADO CHAVEZ GIOVANNA EPIFANIA</t>
  </si>
  <si>
    <t>ANALISTA I - LEGAL</t>
  </si>
  <si>
    <t>71291989</t>
  </si>
  <si>
    <t>LAVADO LISHNER KAREN MELISSA</t>
  </si>
  <si>
    <t>08662794</t>
  </si>
  <si>
    <t>LAVALLE QUIROZ MARIA DOLORES</t>
  </si>
  <si>
    <t>ESPECIALISTA EN TEMAS ECON. SOCIOAMBIENTALES</t>
  </si>
  <si>
    <t>07454381</t>
  </si>
  <si>
    <t>LAZO DIAZ MANUEL BRUNO</t>
  </si>
  <si>
    <t>ANALISTA DE RECURSOS HUMANOS</t>
  </si>
  <si>
    <t>70917795</t>
  </si>
  <si>
    <t>LEANDRO ALIAGA LESLIE MELINA</t>
  </si>
  <si>
    <t>HOTELERIA Y ADMINISTRACIÓN</t>
  </si>
  <si>
    <t>ASISTENCIA TEC. ADM. EN LA ATENC. EXP. CONGRESO</t>
  </si>
  <si>
    <t>07596280</t>
  </si>
  <si>
    <t>LEDESMA ROMAN BERTHA</t>
  </si>
  <si>
    <t>EVALUACION DE INSTRUM. DE GESTION AMBIENTAL</t>
  </si>
  <si>
    <t>40568093</t>
  </si>
  <si>
    <t>LEDESMA VALVERDE ROBERTO ANTONY</t>
  </si>
  <si>
    <t>ANALISTA II DE GESTIÓN DEL DIÁLOGO</t>
  </si>
  <si>
    <t>32888595</t>
  </si>
  <si>
    <t>LEON  HUERTA  NILTON CESAR</t>
  </si>
  <si>
    <t>EJECUTOR COACTIVO</t>
  </si>
  <si>
    <t>10770477</t>
  </si>
  <si>
    <t>LEON CANDELA EDGARDO JAVIER</t>
  </si>
  <si>
    <t>09440062</t>
  </si>
  <si>
    <t>LEON NIETO PEDRO HUMBERTO</t>
  </si>
  <si>
    <t>45385169</t>
  </si>
  <si>
    <t>LEÓN SAAVEDRA SEBASTIÁN</t>
  </si>
  <si>
    <t>ESPECIALISTA EN GESTION DEL RENDIMIENTO</t>
  </si>
  <si>
    <t>42088876</t>
  </si>
  <si>
    <t>LEON ZELADA RICHARD ANTHONY</t>
  </si>
  <si>
    <t>ESPECIALISTA EN MANEJO DE CONFLIC. SOC. AMB. CHIC</t>
  </si>
  <si>
    <t>26729003</t>
  </si>
  <si>
    <t>LIÑAN CASTAÑEDA EDUARDO AMERICO</t>
  </si>
  <si>
    <t>LICENCIADO EN EDUCACION SECUNDARIA</t>
  </si>
  <si>
    <t>ESPECIALISTA EN SEGURIDAD</t>
  </si>
  <si>
    <t>08695327</t>
  </si>
  <si>
    <t>LIRA VILLAVICENCIO  MANUEL</t>
  </si>
  <si>
    <t>43786004</t>
  </si>
  <si>
    <t>LIVIA ENCISO PATRICIA</t>
  </si>
  <si>
    <t>ANALISTA I - REDACTOR</t>
  </si>
  <si>
    <t>40086911</t>
  </si>
  <si>
    <t>LLAMO  AQUEZOLO  PIERO</t>
  </si>
  <si>
    <t>COMUNICACION SOCIAL</t>
  </si>
  <si>
    <t>ING. ESPECIALISTA EN SIST. ELECTRICOS RURALES</t>
  </si>
  <si>
    <t>00510402</t>
  </si>
  <si>
    <t>LLAMOJA CURI HUGO DAVID</t>
  </si>
  <si>
    <t>ESPECIALISTA II EN TESORERÍA</t>
  </si>
  <si>
    <t>41378797</t>
  </si>
  <si>
    <t>LOAYZA CUSI CARLOS ALBERTO</t>
  </si>
  <si>
    <t>10145966</t>
  </si>
  <si>
    <t xml:space="preserve">LOBATON PAZ YNA JESICA </t>
  </si>
  <si>
    <t>43885380</t>
  </si>
  <si>
    <t>LOPEZ AQUINO JIMMY JHONATHAN</t>
  </si>
  <si>
    <t>ASESOR TECNICO PARA ELAB. DE NORMAS Y PROC. TEC.</t>
  </si>
  <si>
    <t>09189566</t>
  </si>
  <si>
    <t>LOPEZ CEVALLOS MARIO ALBERTO</t>
  </si>
  <si>
    <t>ESPECIALISTA I - DERECHO PENAL</t>
  </si>
  <si>
    <t>18853055</t>
  </si>
  <si>
    <t>LOPEZ CHAVEZ JORGE LUIS</t>
  </si>
  <si>
    <t>40372252</t>
  </si>
  <si>
    <t>LOPEZ FIERRO JORGE EDUARDO</t>
  </si>
  <si>
    <t>05347998</t>
  </si>
  <si>
    <t>LOPEZ FLORES ROSSANA ELIZABETH</t>
  </si>
  <si>
    <t>03884080</t>
  </si>
  <si>
    <t>LOPEZ SUPO CAROLINA ERENIA</t>
  </si>
  <si>
    <t>ANALISTA III DE PREVENCIÓN DE CONFLICTOS</t>
  </si>
  <si>
    <t>44829364</t>
  </si>
  <si>
    <t>LOZANO DIAZ JUNIORS BELISARIO</t>
  </si>
  <si>
    <t>10177713</t>
  </si>
  <si>
    <t>LOZANO LADRON DE GUEVARA ORLANDO MARCIAL</t>
  </si>
  <si>
    <t>ANALISTA III DE TEMAS SOCIALES</t>
  </si>
  <si>
    <t>43924668</t>
  </si>
  <si>
    <t>LOZANO RAMIREZ JUAN JOEL</t>
  </si>
  <si>
    <t xml:space="preserve">INGENIERO ESPECIALISTA </t>
  </si>
  <si>
    <t>08142465</t>
  </si>
  <si>
    <t>LUCANA JARAMILLO JAVIER</t>
  </si>
  <si>
    <t>ANALISTA I -  ENERGÍA RENOVABLES</t>
  </si>
  <si>
    <t>44041199</t>
  </si>
  <si>
    <t>LUCIANO DE LA CRUZ LUCERO CYNTHIA</t>
  </si>
  <si>
    <t>ANALISTA I DE MANEJO DE CONFLICTOS SOCIALES</t>
  </si>
  <si>
    <t>05381892</t>
  </si>
  <si>
    <t>MACEDO CORAZAO FABRICIO JULIO</t>
  </si>
  <si>
    <t>ANALISTA II DESARROLLADOR DE SISTEMAS INFORMÁTICOS</t>
  </si>
  <si>
    <t>07525066</t>
  </si>
  <si>
    <t>MALDONADO CARDENAS ARTURO</t>
  </si>
  <si>
    <t>41748155</t>
  </si>
  <si>
    <t>MALDONADO VILLANUEVA WILBER</t>
  </si>
  <si>
    <t>CIENCIAS AGRÍCOLAS</t>
  </si>
  <si>
    <t>41756548</t>
  </si>
  <si>
    <t>MAMANI GRADOS EDGARDO</t>
  </si>
  <si>
    <t>CIENCIAS</t>
  </si>
  <si>
    <t>ESPECIALISTA III DE DEFENSA NACIONAL Y RIESGO DES.</t>
  </si>
  <si>
    <t>43653933</t>
  </si>
  <si>
    <t>MANCO PISCONTI AUGUSTO MAXIMO</t>
  </si>
  <si>
    <t>SECRETARIA ADMINISTRATIVA</t>
  </si>
  <si>
    <t>07462456</t>
  </si>
  <si>
    <t>MANGIER ARRESE MILAGROS DORA</t>
  </si>
  <si>
    <t>44589193</t>
  </si>
  <si>
    <t>MANNUCCI  SUAREZ  BRENDA CARLA</t>
  </si>
  <si>
    <t>SERVICIOS EN LA EJEC. DE LABORES DE CONTROL PLANIF</t>
  </si>
  <si>
    <t>09605891</t>
  </si>
  <si>
    <t xml:space="preserve">MANNUCCI PEREA ROSA KYDOMAR </t>
  </si>
  <si>
    <t>ESPECIALISTA I - EN TEMAS ARBITRALES Y JUDICIALES</t>
  </si>
  <si>
    <t>41111254</t>
  </si>
  <si>
    <t>MANSILLA ROJAS ELVIS JHORDAN</t>
  </si>
  <si>
    <t>ANALISTA I DE GESTIÓN ADMINISTRATIVA</t>
  </si>
  <si>
    <t>44380455</t>
  </si>
  <si>
    <t>MANSILLA SANCHEZ ELIANA VERONICA</t>
  </si>
  <si>
    <t>09678987</t>
  </si>
  <si>
    <t>MARIÑO CABELLO EUGENIA DE JESUS</t>
  </si>
  <si>
    <t>ANALISTA II ASUNTOS AMBIENTALES</t>
  </si>
  <si>
    <t>06799553</t>
  </si>
  <si>
    <t>MARTEL GORA MIGUEL LUIS</t>
  </si>
  <si>
    <t>COORDINADOR DE PROGRAMACIÓN E INVERSIONES</t>
  </si>
  <si>
    <t>09485376</t>
  </si>
  <si>
    <t>MARTINEZ ALVARADO HERACLITO</t>
  </si>
  <si>
    <t>ANALISTA I DE MINERÍA ILEGAL</t>
  </si>
  <si>
    <t>70693803</t>
  </si>
  <si>
    <t>MARTINEZ GOMERO MARTHA DEYANIRA</t>
  </si>
  <si>
    <t>ANALISTA LEGAL</t>
  </si>
  <si>
    <t>09378542</t>
  </si>
  <si>
    <t>MARTINEZ PIZARRO CLAUDIA</t>
  </si>
  <si>
    <t>09017638</t>
  </si>
  <si>
    <t>MATEO REYES VICTOR ELIAS</t>
  </si>
  <si>
    <t>ESPECIALISTA ADMINISTRATIVO</t>
  </si>
  <si>
    <t>40154202</t>
  </si>
  <si>
    <t>MATOS MATOS ANGEL OSCAR</t>
  </si>
  <si>
    <t>ESPEC. EN PLAN DE CIERRE DE MINAS Y PASIVOS AMB.</t>
  </si>
  <si>
    <t>43608941</t>
  </si>
  <si>
    <t>MATOS MEZA KATHERINE</t>
  </si>
  <si>
    <t>10048572</t>
  </si>
  <si>
    <t>MAURICIO MUÑOZ PEDRO</t>
  </si>
  <si>
    <t>09159501</t>
  </si>
  <si>
    <t>MEDINA ANICAMA MATILDE</t>
  </si>
  <si>
    <t>41410128</t>
  </si>
  <si>
    <t xml:space="preserve">MEDINA QUIÑE HEDY JANIREFF </t>
  </si>
  <si>
    <t>43002686</t>
  </si>
  <si>
    <t>MEJIA ISIDRO JHONNY ANIVAL</t>
  </si>
  <si>
    <t>ASISTENTE - EVALUACIÓN DE INSTRUMENTOS DE GESTIÓN AMBIENTAL</t>
  </si>
  <si>
    <t>70437005</t>
  </si>
  <si>
    <t>MEJIA SALAS DAVID ISIDRO</t>
  </si>
  <si>
    <t>ESPECIALISTA EN RESOL. DE CONFLICTOS SOCIALES</t>
  </si>
  <si>
    <t>18846504</t>
  </si>
  <si>
    <t>MENDEZ ALAZAVALA LORENZO FELIPE</t>
  </si>
  <si>
    <t>ESPECIALISTA EN GESTION DE RIEZGOS DE DESASTRES</t>
  </si>
  <si>
    <t>30862267</t>
  </si>
  <si>
    <t>MENDIZABAL QUIÑONES MARIO JOSE</t>
  </si>
  <si>
    <t>06783309</t>
  </si>
  <si>
    <t>MENDOZA CALVO ZOILA</t>
  </si>
  <si>
    <t>40759038</t>
  </si>
  <si>
    <t>MENDOZA MALDONADO FERNANDO SAMUEL</t>
  </si>
  <si>
    <t>ESPEC. LEGAL SENIOR DE PROC. ADM. DE DER. ELECTRIC</t>
  </si>
  <si>
    <t>40220116</t>
  </si>
  <si>
    <t>MENDOZA MARCHAND MELISSA JANETH</t>
  </si>
  <si>
    <t>COORDINACION DE PRENSA</t>
  </si>
  <si>
    <t>10160570</t>
  </si>
  <si>
    <t>MENDOZA MARTINEZ  SILVIA ALINA</t>
  </si>
  <si>
    <t>ATENCION PROTOCOLAR Y PUB. USUARIO</t>
  </si>
  <si>
    <t>09393087</t>
  </si>
  <si>
    <t>MENESES BARTOLINI CARLOS HUMBERTO</t>
  </si>
  <si>
    <t>ANALISTA TECNICA DEL PROCESO DE EXPEDICION</t>
  </si>
  <si>
    <t>09729378</t>
  </si>
  <si>
    <t>MENESES SERPA MARIA IRENE</t>
  </si>
  <si>
    <t>08228566</t>
  </si>
  <si>
    <t>MICHILOT RAMOS DE LAVARELLO ROSE-MARIE PATRICIA</t>
  </si>
  <si>
    <t>41255446</t>
  </si>
  <si>
    <t>MILLONES VARGAS CESAR AUGUSTO</t>
  </si>
  <si>
    <t>72121749</t>
  </si>
  <si>
    <t>MINAYA PANTOJA GABRIELA KRYSTEL</t>
  </si>
  <si>
    <t>40292838</t>
  </si>
  <si>
    <t>MINAYA SUCARI MILAGROS DEL PILAR</t>
  </si>
  <si>
    <t>10592524</t>
  </si>
  <si>
    <t>MIRANDA HERRERA DAVID GUILLERMO</t>
  </si>
  <si>
    <t>08805508</t>
  </si>
  <si>
    <t>MIRANDA LOZANO LUIS IVAN</t>
  </si>
  <si>
    <t>ESPECIALISTA III - TECNICO MINERO</t>
  </si>
  <si>
    <t>41337033</t>
  </si>
  <si>
    <t>MIRANDA ROSALES CÉSAR ROBERTO</t>
  </si>
  <si>
    <t>07633928</t>
  </si>
  <si>
    <t>MIRAVAL BERROSPI NESTOR GERARDO</t>
  </si>
  <si>
    <t>ANALISTA III . SISTEMAS DE GESTIÓN ADMINISTRATIVA</t>
  </si>
  <si>
    <t>40207016</t>
  </si>
  <si>
    <t>MOLINA VISOSA MONICA KARINA</t>
  </si>
  <si>
    <t>ANALISTA I DE ARTIC. Y SOSTENIBILIDAD</t>
  </si>
  <si>
    <t>72265989</t>
  </si>
  <si>
    <t>MOLLA LEON ESPERANZA VICTORIA GLORIA</t>
  </si>
  <si>
    <t>COORDINADOR - AUDITOR</t>
  </si>
  <si>
    <t>41577327</t>
  </si>
  <si>
    <t>MONTES CCARHUAZ EDWARD JOHANNIS</t>
  </si>
  <si>
    <t>23990413</t>
  </si>
  <si>
    <t>MONTESINOS FARFAN ILICH ALEXEI</t>
  </si>
  <si>
    <t>ESPECIALISTA LEGAL EN EVAL. AMB. DE HIDROCARBUROS</t>
  </si>
  <si>
    <t>43088711</t>
  </si>
  <si>
    <t>MONTOYA  CAYCHO  CYNTHIA IRIS</t>
  </si>
  <si>
    <t>ASISTENTE II - REDES</t>
  </si>
  <si>
    <t>42760962</t>
  </si>
  <si>
    <t>MONTOYA ARIAS RONALD ENRIQUE</t>
  </si>
  <si>
    <t>17970577</t>
  </si>
  <si>
    <t>MONTOYA MESTANZA SEGUNDO DEMETRIO</t>
  </si>
  <si>
    <t>ATENCION EN CAJA TRAMITE A USUARIOS EXTERNOS EN RE</t>
  </si>
  <si>
    <t>25572798</t>
  </si>
  <si>
    <t>MORA CHING PATRICIA LILIANA</t>
  </si>
  <si>
    <t>ANALISTA EN LA IMPLEM. DE ACC. DE CONTROL Y DAC</t>
  </si>
  <si>
    <t>25671688</t>
  </si>
  <si>
    <t>MORALES BARRETO EDGARDO</t>
  </si>
  <si>
    <t>08216394</t>
  </si>
  <si>
    <t>MORALES HURTADO JESSICA MILAGROS</t>
  </si>
  <si>
    <t>EXPERTO EN PROY. DE TRANSMISION DE ENEG. ELECTRICA</t>
  </si>
  <si>
    <t>16758391</t>
  </si>
  <si>
    <t>MORENO FLORES LUIS ALBERTO</t>
  </si>
  <si>
    <t>ANALISTA I - EVALUACIÓN EN ASUNTOS DE GESTIÓN MINERA</t>
  </si>
  <si>
    <t>44041429</t>
  </si>
  <si>
    <t>MORENO QUISPE EDWIN ROBERTO</t>
  </si>
  <si>
    <t>ASISTENTE Y APOYO ADMINISTRATIVO</t>
  </si>
  <si>
    <t>09369623</t>
  </si>
  <si>
    <t>MORVELI ZAVALA PATRICIA NATY</t>
  </si>
  <si>
    <t>ESPECIALISTA EN GESTION ACADEMICA PUBLICA</t>
  </si>
  <si>
    <t>40239581</t>
  </si>
  <si>
    <t>MOSCHELLA  VIDAL FIORELLA ROSSANA</t>
  </si>
  <si>
    <t>ESPECIALISTA EN COORDINACION PARLAMENTARIA</t>
  </si>
  <si>
    <t>06773103</t>
  </si>
  <si>
    <t>MOSCOSO ALVAREZ JOSE ALBERTO</t>
  </si>
  <si>
    <t>LICENCIADO EN PUBLICIDAD</t>
  </si>
  <si>
    <t>ESPECIALISTA I - AUDITORIA AMBIENTAL</t>
  </si>
  <si>
    <t>40964036</t>
  </si>
  <si>
    <t>MUCHA AUCCAISE IVAN RUDY</t>
  </si>
  <si>
    <t>INGENIERO SANITARIO</t>
  </si>
  <si>
    <t>ESPECIALISTA I - COORD. DE POLITICAS Y NORMAS</t>
  </si>
  <si>
    <t>24714924</t>
  </si>
  <si>
    <t>MUJICA AQUEHUA JHULFER</t>
  </si>
  <si>
    <t>ESPECIALISTA II - EN ESTUD. Y PROM. ELECTRICA</t>
  </si>
  <si>
    <t>20102066</t>
  </si>
  <si>
    <t>MUNGUIA CHIPANA CRISTOBAL</t>
  </si>
  <si>
    <t>ANALISTA EN CONTENIDOS DIGITALES</t>
  </si>
  <si>
    <t>45911866</t>
  </si>
  <si>
    <t>MUÑOZ BUENDIA MARIA PIA</t>
  </si>
  <si>
    <t>10609283</t>
  </si>
  <si>
    <t>MUÑOZ QUISPE JORGE LUIS</t>
  </si>
  <si>
    <t>ANALISTA II COMUNICACIÓN DIGITAL</t>
  </si>
  <si>
    <t>09636193</t>
  </si>
  <si>
    <t>NARRO CALLA LUIS ALBERTO</t>
  </si>
  <si>
    <t>COMUNICACIÓN SOCIAL</t>
  </si>
  <si>
    <t>ARCHIVO Y CLASIFICACION DE EXPEDIENTES</t>
  </si>
  <si>
    <t>06267990</t>
  </si>
  <si>
    <t>NAVA SAYAS JOSE LUIS</t>
  </si>
  <si>
    <t>ARCHIVISTICA</t>
  </si>
  <si>
    <t>ESPECIALISTA I  - CONCESIONES DE DISTRIBUCIÓN DEL SISTEMA DE TRANSPORTE VIRTUAL DE GAS NATURAL</t>
  </si>
  <si>
    <t>18215737</t>
  </si>
  <si>
    <t>NAVARRETE PEREDA ALEX EDUARDO</t>
  </si>
  <si>
    <t>APOYO EBN ATENCION A LA CAFET. Y CONSERJERIA</t>
  </si>
  <si>
    <t>41205665</t>
  </si>
  <si>
    <t>NEIRA  LARA GISSELLA OFELIA</t>
  </si>
  <si>
    <t>ANALISTA II - EN GESTION DE INFORMACION</t>
  </si>
  <si>
    <t>45859748</t>
  </si>
  <si>
    <t>NEYRA VILCA ANIVAL WENCESLAO</t>
  </si>
  <si>
    <t>ANALISTA I - TÉCNICO AMBIENTAL</t>
  </si>
  <si>
    <t>10631048</t>
  </si>
  <si>
    <t>NIETO  CISNEROS VICTOR RAUL</t>
  </si>
  <si>
    <t>08146730</t>
  </si>
  <si>
    <t>NIETO FERNANDEZ GABY JESSICA</t>
  </si>
  <si>
    <t>AUXILIAR DE SERVICIOS</t>
  </si>
  <si>
    <t>08033840</t>
  </si>
  <si>
    <t>NORABUENA RONDAN JULIAN TEODORO</t>
  </si>
  <si>
    <t>10543569</t>
  </si>
  <si>
    <t>NORIEGA HERRERA JULIO CESAR</t>
  </si>
  <si>
    <t>ESPECIALISTA ADMINISTRATIVO EN REMUNERACIONES</t>
  </si>
  <si>
    <t>29597245</t>
  </si>
  <si>
    <t>NUÑEZ DAZA JORGE EDUARDO</t>
  </si>
  <si>
    <t>ANALISTA DE ADQUISICIONES</t>
  </si>
  <si>
    <t>07633497</t>
  </si>
  <si>
    <t>OBLITAS ROSARIO JUAN CARLOS</t>
  </si>
  <si>
    <t>ANALISTA ECONOMICO EN LOS PROY. DE GAS NATURAL</t>
  </si>
  <si>
    <t>41250796</t>
  </si>
  <si>
    <t>OCAMPO MORENO MARIA DEL PILAR</t>
  </si>
  <si>
    <t>ANALISTA III DE SISTEMA DE INFORMACIÓN GEOGRÁFICA</t>
  </si>
  <si>
    <t>09954247</t>
  </si>
  <si>
    <t>OCAÑA VELASQUEZ RAFAEL EMILIANO</t>
  </si>
  <si>
    <t>20579272</t>
  </si>
  <si>
    <t>OJEDA ZEVALLOS VILMAR ASISCLO</t>
  </si>
  <si>
    <t>ANALISTA II - LEGAL DE PROYECTOS ELECTRICOS</t>
  </si>
  <si>
    <t>44024373</t>
  </si>
  <si>
    <t>OLAECHEA BARBIERI VILMA KARINA</t>
  </si>
  <si>
    <t>42979366</t>
  </si>
  <si>
    <t>OLAZABAL SANCHEZ CESAR</t>
  </si>
  <si>
    <t>29234870</t>
  </si>
  <si>
    <t>OPORTO VARGAS JOSE MIGUEL</t>
  </si>
  <si>
    <t>06239097</t>
  </si>
  <si>
    <t>ORDAYA PANDO RONALD ENRIQUE</t>
  </si>
  <si>
    <t>ANALISTA I DE MONITOREO DE PROYECTOS</t>
  </si>
  <si>
    <t>25566632</t>
  </si>
  <si>
    <t>ORE ZEVALLOS VICTOR ALEXIS</t>
  </si>
  <si>
    <t>COORDINADOR DE CONSULTA PREVIA</t>
  </si>
  <si>
    <t>29610739</t>
  </si>
  <si>
    <t>OROSCO CHAVEZ ALVARO EDWIN</t>
  </si>
  <si>
    <t>ASIST. PARA MANEJO DE Y RESOL. DE CONF. REG. CAJAM</t>
  </si>
  <si>
    <t>44214845</t>
  </si>
  <si>
    <t>ORRILLO CHAVEZ PEPE HUGO</t>
  </si>
  <si>
    <t>ESPECIALISTA I - PASIVOS AMBIENTALES MINEROS</t>
  </si>
  <si>
    <t>31667182</t>
  </si>
  <si>
    <t>ORTEGA  MONTAÑEZ HUGO RAUL</t>
  </si>
  <si>
    <t>ANALISTA I DE GESTION DE PROGRAMAS Y PROYECTOS</t>
  </si>
  <si>
    <t>72238877</t>
  </si>
  <si>
    <t>ORTEGA PALOMINO PAMELA MERCEDES</t>
  </si>
  <si>
    <t>GESTION PÚBLICA</t>
  </si>
  <si>
    <t>ANALISTA EN INGENIERIA</t>
  </si>
  <si>
    <t>03830203</t>
  </si>
  <si>
    <t>ORTIZ NAUTH EDUARDO LINO</t>
  </si>
  <si>
    <t>SECTORISTA REGIONAL  - REGION SUR</t>
  </si>
  <si>
    <t>16680866</t>
  </si>
  <si>
    <t>ORTIZ TENORIO MARTIN ALEJANDRO</t>
  </si>
  <si>
    <t>MEDICO VETERINARIO</t>
  </si>
  <si>
    <t>09454163</t>
  </si>
  <si>
    <t>ORTIZ VILLAVICENCIO ROBERTO ARTURO</t>
  </si>
  <si>
    <t>COORD. TECNICA ADMINISTRATIVA</t>
  </si>
  <si>
    <t>07634038</t>
  </si>
  <si>
    <t>OSORES CASTILLO DE HUAPAYA VIVIAN JOHANNA</t>
  </si>
  <si>
    <t>TRADUCCION E INTERPRETACION</t>
  </si>
  <si>
    <t>80575342</t>
  </si>
  <si>
    <t>OTERO AGUIRRE MARÍA MANUELA</t>
  </si>
  <si>
    <t>APOYO TECNICO</t>
  </si>
  <si>
    <t>08647561</t>
  </si>
  <si>
    <t>OVALLE CAMPOS MIGUEL ANGEL</t>
  </si>
  <si>
    <t>ANALISTA II DE IMPLEMENTACIÓN DE LOS PROCESOS DE CONSULTA PREVIA</t>
  </si>
  <si>
    <t>40327402</t>
  </si>
  <si>
    <t>OVIEDO  GAMERO MAGALY DEL PILAR</t>
  </si>
  <si>
    <t>41676719</t>
  </si>
  <si>
    <t>PACA PALAO PEDRO FERNANDO</t>
  </si>
  <si>
    <t>ASISTENTE ADMINISTRATIVO DE PROCESOS</t>
  </si>
  <si>
    <t>07537421</t>
  </si>
  <si>
    <t>PACHAS CORDOVA LIZ PATRICIA</t>
  </si>
  <si>
    <t>COORDINADOR DE EVALUACIÓN AMBIENTAL DE ACTIVIDADES DE HIDROCARBUROS</t>
  </si>
  <si>
    <t>09370015</t>
  </si>
  <si>
    <t>PACHECO VILLAMARIN VIRGINIA DE LOS MILAGROS</t>
  </si>
  <si>
    <t>ANALISTA EN UNIDADES MAYORES DE HIDROCARBUROS I</t>
  </si>
  <si>
    <t>43409159</t>
  </si>
  <si>
    <t>PADILLA FABIAN  NILDA ANGELICA</t>
  </si>
  <si>
    <t>09271573</t>
  </si>
  <si>
    <t>PAIVA HUARINGA LUZ MARIA</t>
  </si>
  <si>
    <t>ESPEC. EN ADM. DE SISTEMAS DE INF. GEOGRAFICA</t>
  </si>
  <si>
    <t>41353765</t>
  </si>
  <si>
    <t>PALACIN PUCUHUANCA LUBIA GRACE</t>
  </si>
  <si>
    <t>ANALISTA PARA LA REVIS. Y EVAL. DE EXPEDIENTES</t>
  </si>
  <si>
    <t>09177348</t>
  </si>
  <si>
    <t>PALACIOS ARBIZU CARLOS MAGNO</t>
  </si>
  <si>
    <t>ANALISTA III - TÉCNICO MINERO</t>
  </si>
  <si>
    <t>10586539</t>
  </si>
  <si>
    <t>PALACIOS BAHAMONDE  NESTOR ARMANDO</t>
  </si>
  <si>
    <t>44035219</t>
  </si>
  <si>
    <t>PALACIOS HUAMAN ESTHER</t>
  </si>
  <si>
    <t>EXPERTO EN CONTABILIDAD MINERA</t>
  </si>
  <si>
    <t>04742841</t>
  </si>
  <si>
    <t>PALACIOS VALDIVIA GABY</t>
  </si>
  <si>
    <t>SUPERVISOR DE SERV. DE MANT. - YANACOTO</t>
  </si>
  <si>
    <t>42371325</t>
  </si>
  <si>
    <t>PALMA YUPAN JHON DENYS</t>
  </si>
  <si>
    <t>ANALISTA II LEGAL EN DERECHO DE ELECTRICIDAD</t>
  </si>
  <si>
    <t>45949425</t>
  </si>
  <si>
    <t>PALOMINO RIMACHI IVONNE STEPHANIE</t>
  </si>
  <si>
    <t>ESPECIALISTA I DE SEGUIMIENTO DE COMPROMISOS</t>
  </si>
  <si>
    <t>06598545</t>
  </si>
  <si>
    <t>PALOMINO SANCHEZ PEDRO</t>
  </si>
  <si>
    <t>01207097</t>
  </si>
  <si>
    <t>PANCCA COILA AMADEO</t>
  </si>
  <si>
    <t>EVALUACION DE TEMAS RELACIONADOS AL GAS NATURAL</t>
  </si>
  <si>
    <t>40945961</t>
  </si>
  <si>
    <t>PANDURO BAZAN CARLOS</t>
  </si>
  <si>
    <t>70241047</t>
  </si>
  <si>
    <t>PANTOJA MANSILLA MIGUEL EDUARDO</t>
  </si>
  <si>
    <t>ADMINISTRACION BANCARIA</t>
  </si>
  <si>
    <t>ANALISTA III SOCIAL - ASUNTOS AMBIENTALES</t>
  </si>
  <si>
    <t>10246530</t>
  </si>
  <si>
    <t>PARAVECINO SANTIAGO MARILU</t>
  </si>
  <si>
    <t>40398889</t>
  </si>
  <si>
    <t>PARDO BONIFAZ JIMMY FRANK</t>
  </si>
  <si>
    <t>09565844</t>
  </si>
  <si>
    <t>PAREDES VARGAS RONAL SANTOS</t>
  </si>
  <si>
    <t>DOCTOR</t>
  </si>
  <si>
    <t>25710460</t>
  </si>
  <si>
    <t>PARKER CHAVEZ MYRIAM JUANA</t>
  </si>
  <si>
    <t>08811578</t>
  </si>
  <si>
    <t>PARRA TERRAZOS MARIA ELENA</t>
  </si>
  <si>
    <t>ESPECIALISTA I COMERCIALIZ. DE GAS LICUADO DE PETR</t>
  </si>
  <si>
    <t>42707924</t>
  </si>
  <si>
    <t>PARRAGA MARAVI ADEMIR EDUARDIÑO</t>
  </si>
  <si>
    <t>COORDINADOR DE GEST. PASIVOS AMB. DE HIDROCARBUROS</t>
  </si>
  <si>
    <t>41243625</t>
  </si>
  <si>
    <t>PASCO  LOAYZA GABRIEL</t>
  </si>
  <si>
    <t>PROCURADOR ADJUNTO ( E)  (CNP)</t>
  </si>
  <si>
    <t>10158562</t>
  </si>
  <si>
    <t>PASTOR REYES WALTER ORLANDO</t>
  </si>
  <si>
    <t>ESPECIALISTA III DE GESTIÓN DE CONTROL DE CALIDAD DE SOFTWARE Y SISTEMAS DE INFORMACIÓN DOCUMENTARÍA</t>
  </si>
  <si>
    <t>08133713</t>
  </si>
  <si>
    <t>PATIÑO CCOICCA MARIA MERCEDES</t>
  </si>
  <si>
    <t>ANALISTA III - EN EFICIENCIA ENERGÉTICA EN EDIFICACIONES E INDUSTRIAS</t>
  </si>
  <si>
    <t>40185248</t>
  </si>
  <si>
    <t>PAUCAR MAURICIE JESUS HERNAN</t>
  </si>
  <si>
    <t>ESPECIALISTA I - PROMOCION ELECTRICA</t>
  </si>
  <si>
    <t>06154194</t>
  </si>
  <si>
    <t>PAZ HERRERA DANIEL ALFREDO</t>
  </si>
  <si>
    <t>ESTADISTICA</t>
  </si>
  <si>
    <t>42433953</t>
  </si>
  <si>
    <t>PAZ VILLANUEVA NELLY MILUSKA</t>
  </si>
  <si>
    <t>ASISTENTE SECRETARIAL DE GESTIÓN ADM. PARA ALTA D.</t>
  </si>
  <si>
    <t>10247160</t>
  </si>
  <si>
    <t xml:space="preserve">PERALTA SERICHI MAGDALENA </t>
  </si>
  <si>
    <t>ANALISTA P. EVALUACION DE ESTUDIOS AMB. DE EXP.</t>
  </si>
  <si>
    <t>70439567</t>
  </si>
  <si>
    <t>PEREYRA VALENCIA ELIZABETH NATALY</t>
  </si>
  <si>
    <t>ANALISTA I EN EVAL. DE ADMISIBILIDAD DE INSTRTUM.</t>
  </si>
  <si>
    <t>45205969</t>
  </si>
  <si>
    <t>PEREZ  BALDEON KAREN GRACIELA</t>
  </si>
  <si>
    <t>46540004</t>
  </si>
  <si>
    <t>PEREZ ACHO WENDY</t>
  </si>
  <si>
    <t>ESPECIALISTA II EN PROGRAMAS EN PROYECTOS</t>
  </si>
  <si>
    <t>41399613</t>
  </si>
  <si>
    <t>PEREZ CAMARENA ROLF KENT</t>
  </si>
  <si>
    <t>MANTENIM. DE SIST. DE INFORMACION DEL MEM</t>
  </si>
  <si>
    <t>07084726</t>
  </si>
  <si>
    <t>PEREZ CUELLAR FLAVIO</t>
  </si>
  <si>
    <t>ANALISTA II DE TÉCNICA MINERA</t>
  </si>
  <si>
    <t>70844447</t>
  </si>
  <si>
    <t>PEREZ CURI CHRISTIAM ISRAEL</t>
  </si>
  <si>
    <t>ESPECIALISTA III DE GESTIÓN Y COORDINACIÓN  DE DESARROLLO DE SISTEMAS DE INFORMACIÓN</t>
  </si>
  <si>
    <t>10004311</t>
  </si>
  <si>
    <t>PEREZ SALINAS JORGE</t>
  </si>
  <si>
    <t>ASISTENTE PROFESIONAL EN MONITOREO DE MEDIOS</t>
  </si>
  <si>
    <t>45441567</t>
  </si>
  <si>
    <t>PEREZ SEDAMANOS GERMAN ADOLFO</t>
  </si>
  <si>
    <t>EVALUACION DE ESTUDIOS  AMBIENTALES</t>
  </si>
  <si>
    <t>43149979</t>
  </si>
  <si>
    <t>PEREZ SOLIS EVELYN ENA</t>
  </si>
  <si>
    <t>25721723</t>
  </si>
  <si>
    <t>PEZANTES AGUIRRE MARIA LINA</t>
  </si>
  <si>
    <t>41661525</t>
  </si>
  <si>
    <t>PILLCO HUANCCOLLUCHO  YANET</t>
  </si>
  <si>
    <t>29560510</t>
  </si>
  <si>
    <t>PINTO ORTIZ YURY ALFONSO</t>
  </si>
  <si>
    <t>ASISTENTE PROFESIONAL - ATENCIÓN DE SOLICITUDES DE INFORMACIÓN</t>
  </si>
  <si>
    <t>44430111</t>
  </si>
  <si>
    <t>PIÑASHCA MISAICO CLAUDIA JANNET</t>
  </si>
  <si>
    <t>ASISTENTE TECNICO DE GESTIÓN</t>
  </si>
  <si>
    <t>43666114</t>
  </si>
  <si>
    <t>PISCONTI RAMOS JESSICA LIZET</t>
  </si>
  <si>
    <t>ESPECIALISTA INFORM. PARA PROCESOS DE DATOS DE MON</t>
  </si>
  <si>
    <t>21139827</t>
  </si>
  <si>
    <t>PIZARRO LLANOS RICHARD ABEL</t>
  </si>
  <si>
    <t>44531653</t>
  </si>
  <si>
    <t>POLANCO DIAZ MARTHA CONCEPCION</t>
  </si>
  <si>
    <t>ANALISTA II - TÉCNICO AMBIENTAL</t>
  </si>
  <si>
    <t>70431354</t>
  </si>
  <si>
    <t>POMA SANCHEZ SALLY OLENKA</t>
  </si>
  <si>
    <t>ANALISTA II DE SISTEMAS</t>
  </si>
  <si>
    <t>41575083</t>
  </si>
  <si>
    <t>POMAHUALI LAPA RUSSEL NIPSON</t>
  </si>
  <si>
    <t xml:space="preserve">INGENIERIA INFORMÁTICA Y DE SISTEMAS </t>
  </si>
  <si>
    <t>ANALISTA CONTABLE</t>
  </si>
  <si>
    <t>07449414</t>
  </si>
  <si>
    <t>PONCE CASTILLO MARCO ANTONIO</t>
  </si>
  <si>
    <t>44822208</t>
  </si>
  <si>
    <t>PORLLES ARTEAGA MIRJANA ALICE</t>
  </si>
  <si>
    <t>ANALISTA EN COMUNICACION INTERNA</t>
  </si>
  <si>
    <t>44577731</t>
  </si>
  <si>
    <t>PORRAS MENDOZA JOSE MIGUEL</t>
  </si>
  <si>
    <t>INGENIERO GEOLOGO PARA LA EVAL DE PLANES DE CIERRE</t>
  </si>
  <si>
    <t>26716395</t>
  </si>
  <si>
    <t>PORTILLA CORNEJO MATEO ELMER</t>
  </si>
  <si>
    <t>ESPECIALISTA TECNICO EN MATERIA ECONOMICA</t>
  </si>
  <si>
    <t>21526936</t>
  </si>
  <si>
    <t>PRADO COMINGES EDWIN PAUL</t>
  </si>
  <si>
    <t>10138985</t>
  </si>
  <si>
    <t>PRADO VELASQUEZ ALFONSO EDUARDO</t>
  </si>
  <si>
    <t>ANALISTA II DE SEGUIMIENTO DE PROYECTOS DE INVERSIÓN</t>
  </si>
  <si>
    <t>41811166</t>
  </si>
  <si>
    <t>PRINCIPE HUAMANI MARCO ANTONIO</t>
  </si>
  <si>
    <t>ESPECIALISTA II DE COORDINACIÓN DE CONFLICTOS SOCIALES</t>
  </si>
  <si>
    <t>09278585</t>
  </si>
  <si>
    <t>PUENTE FARROÑAY EDUARDO ENRIQUE</t>
  </si>
  <si>
    <t>09274266</t>
  </si>
  <si>
    <t>PUERTA CHOROCO MARTIN ALEJANDRO</t>
  </si>
  <si>
    <t> ARCHIVISTICA</t>
  </si>
  <si>
    <t>AUXILIAR DE ATENCION AL USUARIO</t>
  </si>
  <si>
    <t>41043953</t>
  </si>
  <si>
    <t>PUMA CASTAÑEDA ANGELA MILAGROS</t>
  </si>
  <si>
    <t>21446199</t>
  </si>
  <si>
    <t>PUPPI AGUADO JOSE LUIS</t>
  </si>
  <si>
    <t>41268277</t>
  </si>
  <si>
    <t>QUEA SANTIVAÑEZ WILLIAM ALEJANDRO</t>
  </si>
  <si>
    <t>46199014</t>
  </si>
  <si>
    <t>QUEZADA AMACIFEN MILTON CESAR</t>
  </si>
  <si>
    <t>ELABORACION DE INFORMES TECNICOS</t>
  </si>
  <si>
    <t>41015672</t>
  </si>
  <si>
    <t>QUINTO ANCIETA LUIS CARLOS</t>
  </si>
  <si>
    <t>43361798</t>
  </si>
  <si>
    <t>QUINTO AZCONA LEOVICK ELIAS</t>
  </si>
  <si>
    <t>ASISTENTE PROFESIONAL DE PROGRAMA DE INTEGRACIÓN MINERA</t>
  </si>
  <si>
    <t>71127936</t>
  </si>
  <si>
    <t>QUINTO GALVEZ MILAGROS CONSUELO</t>
  </si>
  <si>
    <t>42599253</t>
  </si>
  <si>
    <t>QUIÑONES ALCOCER ANGELA LILIANA</t>
  </si>
  <si>
    <t xml:space="preserve">ANALISTA III -  EN GESTIÓN ADMINISTRATIVA </t>
  </si>
  <si>
    <t>09852400</t>
  </si>
  <si>
    <t>QUIÑONES MILLA CESAR ALBERTO</t>
  </si>
  <si>
    <t>ADMINISTRACIION</t>
  </si>
  <si>
    <t>COORDINADOR DEL SUBSECTOR ELECTRICIDAD</t>
  </si>
  <si>
    <t>31676444</t>
  </si>
  <si>
    <t>QUIROZ SIGUEÑAS LIVER AGRIPINO</t>
  </si>
  <si>
    <t>08891603</t>
  </si>
  <si>
    <t>QUIROZ VERA TUDELA ELIZABETH</t>
  </si>
  <si>
    <t>07506089</t>
  </si>
  <si>
    <t>QUISPE CANCHO CALIXTO</t>
  </si>
  <si>
    <t>41858636</t>
  </si>
  <si>
    <t>QUISPE CLEMENTE KARLA BRIGHITT</t>
  </si>
  <si>
    <t>09886455</t>
  </si>
  <si>
    <t>QUISPE FIGUEROA DAVID</t>
  </si>
  <si>
    <t>INGENIERO DE PETROLEO</t>
  </si>
  <si>
    <t>ESPECIALISTA I EN EVALUACIÓN AMBIENTAL MINERA – BIOLOGÍA</t>
  </si>
  <si>
    <t>42564035</t>
  </si>
  <si>
    <t>QUISPE HUAMAN JORGE LUIS</t>
  </si>
  <si>
    <t>10676136</t>
  </si>
  <si>
    <t>QUISPE MENA MIGUEL ANGEL</t>
  </si>
  <si>
    <t>ESPECIALISTA III - RECURSOS HÍDRICOS</t>
  </si>
  <si>
    <t>09904421</t>
  </si>
  <si>
    <t>QUISPE MIRANDA MARIA ANGELICA</t>
  </si>
  <si>
    <t>QUIMICO FARMACEUTICO</t>
  </si>
  <si>
    <t>43095552</t>
  </si>
  <si>
    <t>RAMIREZ ALBERCA GRACIELA ELIZABETH</t>
  </si>
  <si>
    <t>73149593</t>
  </si>
  <si>
    <t>RAMIREZ RAMIREZ DEIVID JHONATAN</t>
  </si>
  <si>
    <t>10667542</t>
  </si>
  <si>
    <t>RAMIREZ TAZA ROSENDO YONE</t>
  </si>
  <si>
    <t>ANALISTA I - PASIVOS AMBIENTALES</t>
  </si>
  <si>
    <t>21576619</t>
  </si>
  <si>
    <t>RAMIREZ TRUJILLO HENRY</t>
  </si>
  <si>
    <t>JEFE DE GABINETE DE ASESORES</t>
  </si>
  <si>
    <t>15750074</t>
  </si>
  <si>
    <t>RAMOS BARRIENTOS MARY JANET</t>
  </si>
  <si>
    <t>ANALISTA I DE SEGUIMIENTO DE COMPROMISOS</t>
  </si>
  <si>
    <t>16708949</t>
  </si>
  <si>
    <t>RAMOS MANAYAY SEGUNDO ALBERTO</t>
  </si>
  <si>
    <t>ARQUITECTURA</t>
  </si>
  <si>
    <t>42805054</t>
  </si>
  <si>
    <t>RAMOS TTITO EDUARDO CIRILO</t>
  </si>
  <si>
    <t>EXPERTO EN GEST. DE TECNOLOGIAS DE INF. Y TELECOM.</t>
  </si>
  <si>
    <t>09335581</t>
  </si>
  <si>
    <t>RAQUI QUISPE SAMUEL GENARO</t>
  </si>
  <si>
    <t>21565126</t>
  </si>
  <si>
    <t xml:space="preserve">REQUE  CORDOVA  KELLY ELVA </t>
  </si>
  <si>
    <t>06609860</t>
  </si>
  <si>
    <t>REQUENA MENDIZABAL MANUEL ANDRES</t>
  </si>
  <si>
    <t>ESPECIALISTA EN CONTRATACIONES</t>
  </si>
  <si>
    <t>18121497</t>
  </si>
  <si>
    <t>REVOREDO REGO LUZ DEL PILAR</t>
  </si>
  <si>
    <t>32118491</t>
  </si>
  <si>
    <t>REYES BANATE JUAN ALBERTO</t>
  </si>
  <si>
    <t>09334334</t>
  </si>
  <si>
    <t>REYES MIRANDA JAIME FLORENCIO</t>
  </si>
  <si>
    <t>41146433</t>
  </si>
  <si>
    <t>REYES ROSAS KARINA PAOLA</t>
  </si>
  <si>
    <t>41359949</t>
  </si>
  <si>
    <t>REYES SAMANAMÚ JULISSA LUZ</t>
  </si>
  <si>
    <t>ESPECIALISTA II EN SEGURIDAD TECNOLÓGICA</t>
  </si>
  <si>
    <t>28295744</t>
  </si>
  <si>
    <t>RICALDE SAYAS EDGAR</t>
  </si>
  <si>
    <t>EXPERTO EN COORD. Y GEST. SOCIAL P. MINERIA ILEGAL</t>
  </si>
  <si>
    <t>10613577</t>
  </si>
  <si>
    <t>RICO  LLAQUE  MARTHA LUCIA</t>
  </si>
  <si>
    <t>APOYO EN EL AREA DE RECEPCION Y AUDITORIO</t>
  </si>
  <si>
    <t>09127289</t>
  </si>
  <si>
    <t>RIMACHI RODRIGUEZ JAIME ANTONIO</t>
  </si>
  <si>
    <t>ASISTENTE CONTABLE</t>
  </si>
  <si>
    <t>10070177</t>
  </si>
  <si>
    <t>RIOS MURILLO ALEJANDRO CESAR</t>
  </si>
  <si>
    <t>10728338</t>
  </si>
  <si>
    <t>RIVAS VALCÁRCEL YENNY ELIZABETH</t>
  </si>
  <si>
    <t>ASESOR LEGAL PARA LA ALTA DIRECCION</t>
  </si>
  <si>
    <t>43575068</t>
  </si>
  <si>
    <t>RIVERA  MERE ANGEL GONZALO</t>
  </si>
  <si>
    <t>ANALISTA II - MINERO</t>
  </si>
  <si>
    <t>31920222</t>
  </si>
  <si>
    <t>RIVERA BLANCO EDWARD GIOVANNI</t>
  </si>
  <si>
    <t>AUXILIAR ADMINISTRATIVO</t>
  </si>
  <si>
    <t>70859978</t>
  </si>
  <si>
    <t>RIVERA GONZALES STHEFANY YHESABEL</t>
  </si>
  <si>
    <t>41142252</t>
  </si>
  <si>
    <t>RIVERA MUGUERZA PAUL ORLANDO</t>
  </si>
  <si>
    <t>07759612</t>
  </si>
  <si>
    <t>RIVERA OLIVERA MONICA ANTONIA</t>
  </si>
  <si>
    <t>41795673</t>
  </si>
  <si>
    <t>RIZO PATRON HERRERA YASMIN</t>
  </si>
  <si>
    <t>42084078</t>
  </si>
  <si>
    <t xml:space="preserve">ROBLEDO GONZALES CINTHYA DEL SOCORRO </t>
  </si>
  <si>
    <t xml:space="preserve">ANALISTA I - PROYECTOS ELÉCTRICOS </t>
  </si>
  <si>
    <t>45232442</t>
  </si>
  <si>
    <t>RODAS VARGAS NORIS ROSALIA</t>
  </si>
  <si>
    <t>SERV. MEDICO CON CONOC. EN SEG. Y SALUD EN EL TRAB</t>
  </si>
  <si>
    <t>07811043</t>
  </si>
  <si>
    <t>RODRIGUEZ ALVA JOSE ALFREDO</t>
  </si>
  <si>
    <t>MEDICINA HUMANA</t>
  </si>
  <si>
    <t>ASISTENCIA EN ADM. DOCUMENTARIA</t>
  </si>
  <si>
    <t>10535210</t>
  </si>
  <si>
    <t>RODRIGUEZ AVILA GINA MONICA</t>
  </si>
  <si>
    <t>10279659</t>
  </si>
  <si>
    <t>RODRIGUEZ DEL AGUILA JORGE MANUEL</t>
  </si>
  <si>
    <t>40681974</t>
  </si>
  <si>
    <t>RODRIGUEZ FIGUEROA SERGIO CHRISTIAN</t>
  </si>
  <si>
    <t>ESPEC. EN EVAL. E INTERP. DE BALANCES METALURGICO</t>
  </si>
  <si>
    <t>40777511</t>
  </si>
  <si>
    <t>RODRIGUEZ VASQUEZ CARMEN MARIA</t>
  </si>
  <si>
    <t>03204932</t>
  </si>
  <si>
    <t xml:space="preserve">RODRIGUEZ VELASCO FELIPE DE JESUS </t>
  </si>
  <si>
    <t>08268890</t>
  </si>
  <si>
    <t xml:space="preserve">RODRIGUEZ ZAVALA MAGDA ELISA </t>
  </si>
  <si>
    <t>COORDINADOR(A) LEGAL</t>
  </si>
  <si>
    <t>42087247</t>
  </si>
  <si>
    <t>ROJAS ARMIJO LUCIANA AURORA</t>
  </si>
  <si>
    <t>EXPERTO LEGAL EN NORMATIVIDAD DE FORM. MINERA</t>
  </si>
  <si>
    <t>42820447</t>
  </si>
  <si>
    <t>ROJAS CORTEGANA ALBERTO ARTURO</t>
  </si>
  <si>
    <t>ESPECIALISTA EN SUBESTACIONES DE TRANSFORMACION</t>
  </si>
  <si>
    <t>06452841</t>
  </si>
  <si>
    <t>ROJAS GARAY MARIO JACINTO</t>
  </si>
  <si>
    <t>ANALISTA II DE SEGUIMIENTO Y MONITOREO DE COMPROMISOS SOCIALES</t>
  </si>
  <si>
    <t>17540698</t>
  </si>
  <si>
    <t>ROJAS GOMEZ WILMER DARLIN</t>
  </si>
  <si>
    <t>LICENCIADO EN EDUCACION</t>
  </si>
  <si>
    <t>42961566</t>
  </si>
  <si>
    <t>ROJAS JAEN JUAN PAUL ELIAS</t>
  </si>
  <si>
    <t>09335886</t>
  </si>
  <si>
    <t>ROJAS MONTES VERONICA VIOLETA</t>
  </si>
  <si>
    <t>16785712</t>
  </si>
  <si>
    <t>ROJAS MONTEZA JAINER</t>
  </si>
  <si>
    <t>ESPECIALISTA LEGAL LABORAL</t>
  </si>
  <si>
    <t>06669204</t>
  </si>
  <si>
    <t>ROJAS NARVAEZ TERESA VERONICA</t>
  </si>
  <si>
    <t>10051717</t>
  </si>
  <si>
    <t>ROJAS TANNERT CAROLINA MIRELLA</t>
  </si>
  <si>
    <t>CIENCIAS ADMINISTRATIVAS</t>
  </si>
  <si>
    <t>ASISTENTE LEGAL</t>
  </si>
  <si>
    <t>71819820</t>
  </si>
  <si>
    <t>ROJAS URBINA MARIELITA SOLANGE</t>
  </si>
  <si>
    <t>43746586</t>
  </si>
  <si>
    <t>ROJAS VALLADARES TANIA LUPE</t>
  </si>
  <si>
    <t>44767299</t>
  </si>
  <si>
    <t>ROMAN  NOLE CARLOS ALBERTO</t>
  </si>
  <si>
    <t>10456075</t>
  </si>
  <si>
    <t>ROMAN LAZO JOSE</t>
  </si>
  <si>
    <t>LICENCIADO EN BIOLOGÍA</t>
  </si>
  <si>
    <t>40653260</t>
  </si>
  <si>
    <t>ROMANI CENTURION MANUELA</t>
  </si>
  <si>
    <t>10354010</t>
  </si>
  <si>
    <t>ROMERO BECERRA OLGA GIOVANNA</t>
  </si>
  <si>
    <t>10545043</t>
  </si>
  <si>
    <t>ROMERO CAIRAMPOMA CARLOS ANTONIO</t>
  </si>
  <si>
    <t>ANALISTA EN GEST. SOCIAL DEL AMBITO MIN.ENERG.HID</t>
  </si>
  <si>
    <t>31680587</t>
  </si>
  <si>
    <t>ROMERO CUADROS KATTIA SOLEDAD</t>
  </si>
  <si>
    <t>42960489</t>
  </si>
  <si>
    <t>ROMERO PONCE CATHERINE ANGIE</t>
  </si>
  <si>
    <t>ASISTENCIA EN LAS GESTIONES ADM. Y DE CONTROL</t>
  </si>
  <si>
    <t>09771374</t>
  </si>
  <si>
    <t>ROMERO QUISPE LUIS ENRIQUE</t>
  </si>
  <si>
    <t>ADMINISTRACION NEGOCIOS INTERNACIONALES</t>
  </si>
  <si>
    <t>10251125</t>
  </si>
  <si>
    <t>ROMERO TORRES CESAR IVAN</t>
  </si>
  <si>
    <t>06282579</t>
  </si>
  <si>
    <t>ROSA PEREZ SANCHEZ ROGER</t>
  </si>
  <si>
    <t>ANALISTA III DE CONTABILIDAD</t>
  </si>
  <si>
    <t>45622179</t>
  </si>
  <si>
    <t>RUBIO CASTILLO JORGE EDUARDO</t>
  </si>
  <si>
    <t>RESPONSABLE DE TRANSPORTE</t>
  </si>
  <si>
    <t>08261302</t>
  </si>
  <si>
    <t>RUIZ DE SOMOCURCIO RUIZ DE SOMOCURCIO GONZALO JAVIER</t>
  </si>
  <si>
    <t>MECÁNICO DE MANTENIMIENTO</t>
  </si>
  <si>
    <t>ESPECIALISTA EN INVERSIONES</t>
  </si>
  <si>
    <t>40378242</t>
  </si>
  <si>
    <t>RUIZ QUISPE VANESSA GLICERIA</t>
  </si>
  <si>
    <t>10405896</t>
  </si>
  <si>
    <t>SAAVEDRA HERRERA JOSE INVERLIN</t>
  </si>
  <si>
    <t>41177193</t>
  </si>
  <si>
    <t>SAAVEDRA RUJEL MARYURI JANNINA</t>
  </si>
  <si>
    <t>ASISTENCIA Y APOYO SECRETARIAL</t>
  </si>
  <si>
    <t>10471052</t>
  </si>
  <si>
    <t>SAAVEDRA VITTERI DE LOPEZ SONIA ESPERANZA</t>
  </si>
  <si>
    <t>07180508</t>
  </si>
  <si>
    <t>SAENZ CASTAÑEDA JOSE ANTONIO</t>
  </si>
  <si>
    <t xml:space="preserve">ANALISTA III DE INFRAESTRUCTURA </t>
  </si>
  <si>
    <t>44054837</t>
  </si>
  <si>
    <t>SAEZ REGALADO CHRISTIAN DAVID</t>
  </si>
  <si>
    <t>10770580</t>
  </si>
  <si>
    <t>SAGASTEGUI ARANGURI PATRICIA DEL ROSARIO</t>
  </si>
  <si>
    <t xml:space="preserve">ANALISTA I - ARCHIVO </t>
  </si>
  <si>
    <t>46519443</t>
  </si>
  <si>
    <t xml:space="preserve">SALDAÑA  PAREDES CINDY FIORELA </t>
  </si>
  <si>
    <t>ASISTENTE ADMINISTRATIVO PARA EL ARCHIVO</t>
  </si>
  <si>
    <t>41661998</t>
  </si>
  <si>
    <t>SANCHEZ ATAHUI KETTY</t>
  </si>
  <si>
    <t>COORDINADOR DE GESTION AMBIENTAL</t>
  </si>
  <si>
    <t>09357288</t>
  </si>
  <si>
    <t>SANCHEZ CANALES MARTIN ERASMO</t>
  </si>
  <si>
    <t>43942616</t>
  </si>
  <si>
    <t>SANCHEZ FERNANDEZ JOSE JAIME</t>
  </si>
  <si>
    <t>ANALISTA I - GESTIÓN PRESUPUESTAL</t>
  </si>
  <si>
    <t>44138204</t>
  </si>
  <si>
    <t>SANCHEZ MARRUJO ALFREDO CRISTIAN</t>
  </si>
  <si>
    <t>06808795</t>
  </si>
  <si>
    <t>SANCHEZ ROMERO CARLOS OSWALDO</t>
  </si>
  <si>
    <t>ANALISTA III - AMBIENTAL</t>
  </si>
  <si>
    <t>44478491</t>
  </si>
  <si>
    <t>SANDOVAL DIAZ RONNI AMERICO</t>
  </si>
  <si>
    <t>ASESOR(A) EN PROYECTOS</t>
  </si>
  <si>
    <t>23811409</t>
  </si>
  <si>
    <t>SANDOVAL TUPAYACHI MARIO ANTONIO</t>
  </si>
  <si>
    <t>01334202</t>
  </si>
  <si>
    <t>SANGA YAMPASI WILSON WILFREDO</t>
  </si>
  <si>
    <t>ORIENTADOR DE ADMISION</t>
  </si>
  <si>
    <t>06268776</t>
  </si>
  <si>
    <t>SANTILLAN RIVAS FRANCISCO</t>
  </si>
  <si>
    <t>ESPECIALISTA I - PASIVOS AMBIENTALES</t>
  </si>
  <si>
    <t>40745312</t>
  </si>
  <si>
    <t>SANTOS CONDE ALINA LILIANA</t>
  </si>
  <si>
    <t>TECNICO ADMINISTRATIVO</t>
  </si>
  <si>
    <t>07831269</t>
  </si>
  <si>
    <t xml:space="preserve">SEGOVIA ZUÑIGA SARA ISABEL </t>
  </si>
  <si>
    <t>ANALISTA II LEGAL DE GESTIÓN DEL DIÁLOGO</t>
  </si>
  <si>
    <t>17822076</t>
  </si>
  <si>
    <t>SEGURA QUIÑONES JORGE LUIS</t>
  </si>
  <si>
    <t>ANALISTA III - COMUNICACION EN TEMAS ECONOMICOS</t>
  </si>
  <si>
    <t>07624137</t>
  </si>
  <si>
    <t>SERRA FUERTES RICARDO NESTOR</t>
  </si>
  <si>
    <t>08744817</t>
  </si>
  <si>
    <t>SERRANO FREYRE ANA BEATRIZ</t>
  </si>
  <si>
    <t>ESPECIALISTA I RECURSOS HÍDRICOS - ASUNTOS AMBIENTALES</t>
  </si>
  <si>
    <t>40340975</t>
  </si>
  <si>
    <t>SERVAN VARGAS MARIO</t>
  </si>
  <si>
    <t>INGENIERIA MECANICA DE FLUIDOS</t>
  </si>
  <si>
    <t>ESPECIALISTA II DE SISTEMAS</t>
  </si>
  <si>
    <t>40089447</t>
  </si>
  <si>
    <t>SEVERINO URBINA GILBERTO FERNANDO</t>
  </si>
  <si>
    <t>10622333</t>
  </si>
  <si>
    <t>SIFUENTES CASTRO CAROLINA JENNIFER</t>
  </si>
  <si>
    <t>INDUSTRIAS ALIMENTARIAS</t>
  </si>
  <si>
    <t>ESPECIALISTA III LEGAL LABORAL</t>
  </si>
  <si>
    <t>40765002</t>
  </si>
  <si>
    <t>SILVA ALBAN SILVIA CECILIA DEL SOCORRO</t>
  </si>
  <si>
    <t>ASISTENTE DE GESTION ADMINISTRATIVA Y DIGITALIZ.</t>
  </si>
  <si>
    <t>46695968</t>
  </si>
  <si>
    <t>SILVA HILARIO JORGE ARMANDO</t>
  </si>
  <si>
    <t>ASESOR (A)</t>
  </si>
  <si>
    <t>32970324</t>
  </si>
  <si>
    <t>SILVA OLIVA CARLOS EDUARDO</t>
  </si>
  <si>
    <t>ESPECIALISTA LEGAL EN EVALUACION DE EXPEDIENTES</t>
  </si>
  <si>
    <t>40602119</t>
  </si>
  <si>
    <t>SILVA PASSUNI BRENDA ISABEL</t>
  </si>
  <si>
    <t>DERECHO AMBIENTAL Y DE LOS RR. NN.</t>
  </si>
  <si>
    <t>44700325</t>
  </si>
  <si>
    <t>SILVA TORRES LUIS MIGUEL</t>
  </si>
  <si>
    <t>ASISTENCIA PARA EL AREA DE ASESORES</t>
  </si>
  <si>
    <t>06653390</t>
  </si>
  <si>
    <t>SIMONETTI PAREDES  MARTHA CECILIA</t>
  </si>
  <si>
    <t>45974519</t>
  </si>
  <si>
    <t>SINCHE  VASQUEZ LUIS ALBERTO</t>
  </si>
  <si>
    <t>ASISTENTE DE GESTION DOCUMENTAL Y ARCHIVO</t>
  </si>
  <si>
    <t>44363701</t>
  </si>
  <si>
    <t>SOLANO RAMOS JOSE LUIS</t>
  </si>
  <si>
    <t>40455614</t>
  </si>
  <si>
    <t>SOLIS  SALAZAR  JOSE LUIS</t>
  </si>
  <si>
    <t>09300337</t>
  </si>
  <si>
    <t>SOLIS JAVIER LUIS ALBERTO</t>
  </si>
  <si>
    <t>ESPECIALISTA EN ARCHIVO</t>
  </si>
  <si>
    <t>42735987</t>
  </si>
  <si>
    <t>SONEHUA CASTILLO NIEVES ISABEL</t>
  </si>
  <si>
    <t>ARCHIVÍSTICA Y GESTIÓN DOCUMENTAL</t>
  </si>
  <si>
    <t>APOYO EN ATENCION AL PUBLICO</t>
  </si>
  <si>
    <t>07549749</t>
  </si>
  <si>
    <t>SOSA ARROYO ADRIAN</t>
  </si>
  <si>
    <t>ESPECIALISTA I - AMBIENTAL DE ELECTRICIDAD</t>
  </si>
  <si>
    <t>10085514</t>
  </si>
  <si>
    <t>SOTO MAURICIO EFRAIN ANTIOQUIO</t>
  </si>
  <si>
    <t>ASISTENTE ADMINISTRATIVO SECRETARIAL</t>
  </si>
  <si>
    <t>10374110</t>
  </si>
  <si>
    <t>SOTO PAZ PAOLA GIOVANNA</t>
  </si>
  <si>
    <t xml:space="preserve">ESPECIALISTA III DE LEGAL </t>
  </si>
  <si>
    <t>45627834</t>
  </si>
  <si>
    <t>SOTOMAYOR SOTOMAYOR ZENON DARIO</t>
  </si>
  <si>
    <t>ANALISTA AMBIENTAL PARA SUB SECT. ELECTRICO II</t>
  </si>
  <si>
    <t>43464443</t>
  </si>
  <si>
    <t>STORNAIUOLO GARCIA MARCO ANTONIO</t>
  </si>
  <si>
    <t>09306894</t>
  </si>
  <si>
    <t>SUAREZ GARCIA ROCIO ESPERANZA</t>
  </si>
  <si>
    <t>46698698</t>
  </si>
  <si>
    <t>TALLEDO HERRERA LUIS GABRIEL</t>
  </si>
  <si>
    <t>10003451</t>
  </si>
  <si>
    <t>TAPIA  ARGUEDAS OMAR</t>
  </si>
  <si>
    <t>70180809</t>
  </si>
  <si>
    <t>TAPIA PURIZACA JOSE JAIRO</t>
  </si>
  <si>
    <t>PLANEAMIENTO ENERGÉTICO</t>
  </si>
  <si>
    <t>10168283</t>
  </si>
  <si>
    <t>TARDILLO HIDALGO GUILLERMO ALEJANDRO</t>
  </si>
  <si>
    <t xml:space="preserve">ASESOR (A) TÉCNICO </t>
  </si>
  <si>
    <t>10665249</t>
  </si>
  <si>
    <t>TARRAGA MAMANI GILMER MANUEL</t>
  </si>
  <si>
    <t>ESPECIALISTA II - LEGAL EN DERECHOS ELECTRICOS</t>
  </si>
  <si>
    <t>06676832</t>
  </si>
  <si>
    <t>TEJADA TORDOYA BERTIN MARTIN</t>
  </si>
  <si>
    <t>41973779</t>
  </si>
  <si>
    <t>TELLEZ APONTE GREGORY HELARD</t>
  </si>
  <si>
    <t>05347811</t>
  </si>
  <si>
    <t>TELLO DIAZ RAFAEL</t>
  </si>
  <si>
    <t>APOYO EN EL PROCESO DE DIGITALIZACION</t>
  </si>
  <si>
    <t>43284875</t>
  </si>
  <si>
    <t>TELLO LAUPA JORGE LUIS</t>
  </si>
  <si>
    <t>45815154</t>
  </si>
  <si>
    <t>TELLO LLANTOY ANA MARIA</t>
  </si>
  <si>
    <t>ESPECIALISTA EN ASUNTOS DEL SECTOR ELECTRICIDAD</t>
  </si>
  <si>
    <t>24006024</t>
  </si>
  <si>
    <t>TELLO ORTIZ ELVIS RICHARD</t>
  </si>
  <si>
    <t>ASISTENTE ADM. PARA LA GESTIÓN DEL ARCHIVO</t>
  </si>
  <si>
    <t>09532801</t>
  </si>
  <si>
    <t>TELLO SEGURA CARMEN DEL PILAR</t>
  </si>
  <si>
    <t>ESPECIALISTA EN PRESUPUESTO</t>
  </si>
  <si>
    <t>06007118</t>
  </si>
  <si>
    <t>TELLO SORIA DANIEL RAUL</t>
  </si>
  <si>
    <t>ESPECIALISTA III - PLANEAMIENTO ESTRATÉGICO</t>
  </si>
  <si>
    <t>28291111</t>
  </si>
  <si>
    <t>TELLO TORRE CAROLINA</t>
  </si>
  <si>
    <t>ESPECIALISTA II – LEGAL EN CONCESIONES ELÉCTRICAS</t>
  </si>
  <si>
    <t>07718382</t>
  </si>
  <si>
    <t>TEULLET PIPOLI MARITZA GIUSEPPINA</t>
  </si>
  <si>
    <t>MENSAJERIA DE DOC. CLASIFICADOS</t>
  </si>
  <si>
    <t>41518219</t>
  </si>
  <si>
    <t>TORIBIO ESPINO FRANKS CARLO</t>
  </si>
  <si>
    <t>46336153</t>
  </si>
  <si>
    <t>TORRES AGUILAR CARLOS CHEITO</t>
  </si>
  <si>
    <t>ESPECIALISTA EN EVALUACION DE PROY. DE INVERSION</t>
  </si>
  <si>
    <t>10361992</t>
  </si>
  <si>
    <t>TORRES COPA ALEX AXEL</t>
  </si>
  <si>
    <t>06782072</t>
  </si>
  <si>
    <t>TORRES FELIX ANGELICA ROSARIO</t>
  </si>
  <si>
    <t>00087601</t>
  </si>
  <si>
    <t>TORRES PALOMARES ROBERT</t>
  </si>
  <si>
    <t>CIENCIAS FORESTALES</t>
  </si>
  <si>
    <t>AUDITOR DE CONTROL INSTITUCIONAL</t>
  </si>
  <si>
    <t>43776382</t>
  </si>
  <si>
    <t>TORRES RAMIREZ KELLY YUDITH</t>
  </si>
  <si>
    <t>ESPECIALISTA I EN NORMATIVIDAD DE TECNOLOGÍAS DE LA INFORMACIÒN</t>
  </si>
  <si>
    <t>41498377</t>
  </si>
  <si>
    <t>TORRES TARAZONA MAGALY MARINA</t>
  </si>
  <si>
    <t>CIENCIAS DE LA COMPUTACIÓN</t>
  </si>
  <si>
    <t>EXPERTO TECNICO EN FORMALIZACION MINERA</t>
  </si>
  <si>
    <t>20120465</t>
  </si>
  <si>
    <t>TORRES TUNQUE LUIS TONY</t>
  </si>
  <si>
    <t>09670112</t>
  </si>
  <si>
    <t>TORRICO HUERTA JORGE ALEJANDRO</t>
  </si>
  <si>
    <t>COORDINADOR DE PROM. DEL DIALOGO Y PARTICIP. CIUDA</t>
  </si>
  <si>
    <t>25508985</t>
  </si>
  <si>
    <t>TRIGOSO ALCA ANDRES FERNANDO</t>
  </si>
  <si>
    <t>10292800</t>
  </si>
  <si>
    <t>TRUJILLO ESPINOZA JANETT GUISSELA</t>
  </si>
  <si>
    <t>ESPECIALISTA I - GESTION ADMINISTRATIVA</t>
  </si>
  <si>
    <t>07296276</t>
  </si>
  <si>
    <t>TSUTSUMI VICENTE RICARDO FELIPE</t>
  </si>
  <si>
    <t>ANALISTA I - COMERCIALIZ. DE COMBUSTIBLES LIQUIDOS</t>
  </si>
  <si>
    <t>46189745</t>
  </si>
  <si>
    <t>TUÑON LEVANO GEORGE ANTHONY</t>
  </si>
  <si>
    <t>TECNOLOGO EN URGENCIAS MEDICAS Y DESASTRES</t>
  </si>
  <si>
    <t>47102023</t>
  </si>
  <si>
    <t>UCHIDA TRUJILLO MONICA NAOMI</t>
  </si>
  <si>
    <t>COORD. DE GST. SOCIAL-PASCO,AYACUCHO,JUNIN,HUANUCO</t>
  </si>
  <si>
    <t>09869570</t>
  </si>
  <si>
    <t>ULLOA ARTEAGA CESAR FRANCISCO</t>
  </si>
  <si>
    <t>ESPECIALISTA III PLANIFICACION, PRESUP Y GEST. ADM</t>
  </si>
  <si>
    <t>40103290</t>
  </si>
  <si>
    <t>ULLOA GALLARDO MARIA DEL CARMEN</t>
  </si>
  <si>
    <t>INGENIERIA DE MATERIALES</t>
  </si>
  <si>
    <t>09679716</t>
  </si>
  <si>
    <t>URDANIVIA MORENO MIRIAM GLADYS</t>
  </si>
  <si>
    <t>ESPECIALISTA I DE ARTICULACIÓN Y SOSTENIBILIDAD</t>
  </si>
  <si>
    <t>09338842</t>
  </si>
  <si>
    <t>VALDIVIA URDAY MARIA YOLANDA</t>
  </si>
  <si>
    <t>40395493</t>
  </si>
  <si>
    <t>VALENCIA ARROYO LENIN ARTURO</t>
  </si>
  <si>
    <t>AUXILIAR DE CONSERJERIA PARA LA ALTA DIRECCION</t>
  </si>
  <si>
    <t>41200351</t>
  </si>
  <si>
    <t>VALLADARES MANSILLA MIRIAM KATHERINE</t>
  </si>
  <si>
    <t>46870475</t>
  </si>
  <si>
    <t>VALLE PAJUELO SIMEÓN JOHEL</t>
  </si>
  <si>
    <t>33409039</t>
  </si>
  <si>
    <t>VALLE REINA DALIA</t>
  </si>
  <si>
    <t>ANALISTA III EN ADM. DE PERSONAL</t>
  </si>
  <si>
    <t>43736431</t>
  </si>
  <si>
    <t>VARE  PABLICH  JENNY MARGARITA</t>
  </si>
  <si>
    <t>26698751</t>
  </si>
  <si>
    <t xml:space="preserve">VARGAS  TORRES  SANTOS HERNAN </t>
  </si>
  <si>
    <t>INGENIERÍA ZOOTECNISTA</t>
  </si>
  <si>
    <t>21498397</t>
  </si>
  <si>
    <t>VARGAS CORDOVA RAMIRO ALBERTO</t>
  </si>
  <si>
    <t>22507184</t>
  </si>
  <si>
    <t>VARGAS PEÑA ESTEBAN VICTOR RAUL</t>
  </si>
  <si>
    <t>44565614</t>
  </si>
  <si>
    <t>VASQUEZ ANGULO GABRIELA</t>
  </si>
  <si>
    <t>10135640</t>
  </si>
  <si>
    <t>VASQUEZ BONIFAZ MARTHA CECILIA</t>
  </si>
  <si>
    <t>46934610</t>
  </si>
  <si>
    <t>VASQUEZ CHOY ETHEL LISETH</t>
  </si>
  <si>
    <t>EVALUACION DE SERVIDUMBRES DE DIST. Y TRANS DE GAS</t>
  </si>
  <si>
    <t>09671298</t>
  </si>
  <si>
    <t>VASQUEZ GARCIA MARTHA OFELIA</t>
  </si>
  <si>
    <t>ASESORIA LEGAL PARA DEFENSA JURIDICA DEL ESTADO</t>
  </si>
  <si>
    <t>09179898</t>
  </si>
  <si>
    <t>VASQUEZ MERINO LUIS ENRIQUE</t>
  </si>
  <si>
    <t>ESPEC. EN GESTION DE SIST. INFORMATICOS DE ADM.</t>
  </si>
  <si>
    <t>10765912</t>
  </si>
  <si>
    <t>VASQUEZ UCHUYPUMA JESUS ALEXANDER</t>
  </si>
  <si>
    <t>ESPECIALISTA I EN GESTIÓN POR PROCESOS</t>
  </si>
  <si>
    <t>07264212</t>
  </si>
  <si>
    <t>VEGA  MIRANDA CARLOS ORLANDO</t>
  </si>
  <si>
    <t>UBICACION GEOGRAFICA DE LOS DERECHOS ELECTRICOS</t>
  </si>
  <si>
    <t>40655371</t>
  </si>
  <si>
    <t>VEGA ALVA LUIS ALBERTO</t>
  </si>
  <si>
    <t>44705204</t>
  </si>
  <si>
    <t>VEGA CAJAMARCA BRAULIO</t>
  </si>
  <si>
    <t>41688552</t>
  </si>
  <si>
    <t>VEGA TORRES ROSA MARIA</t>
  </si>
  <si>
    <t>ANALISTA DE GESTION AMBIENTAL EN ELECTRICIDAD</t>
  </si>
  <si>
    <t>10006253</t>
  </si>
  <si>
    <t>VEGAS CARRERA CECILIA ELIZABETH</t>
  </si>
  <si>
    <t>47089477</t>
  </si>
  <si>
    <t>VELA MARROQUIN YESENIA</t>
  </si>
  <si>
    <t>SUPERVISOR DE SEG. INTERNA DE LAS INST. DEL MEM</t>
  </si>
  <si>
    <t>10208612</t>
  </si>
  <si>
    <t>VELASQUEZ OLIVEROS JAIRO UVI</t>
  </si>
  <si>
    <t>07946290</t>
  </si>
  <si>
    <t>VELAZQUEZ ORTIZ EDUARDO MARTIN ADRIAN</t>
  </si>
  <si>
    <t>07762359</t>
  </si>
  <si>
    <t>VELEZ FERNANDEZ GIOVANNA FABIOLA</t>
  </si>
  <si>
    <t>ESPECIALISTA EN GESTION DE REMUNERACIONES</t>
  </si>
  <si>
    <t>21263488</t>
  </si>
  <si>
    <t>VELIZ HURTADO MARCO ANTONIO</t>
  </si>
  <si>
    <t>RELACIONES INDUSTRIALES</t>
  </si>
  <si>
    <t>42504611</t>
  </si>
  <si>
    <t>VENEGAS HUARCAYA DE ALARCON SARA CECILIA</t>
  </si>
  <si>
    <t>42430585</t>
  </si>
  <si>
    <t>VERA OLIVA KARLA LILIBETH</t>
  </si>
  <si>
    <t>44636481</t>
  </si>
  <si>
    <t>VERA TORREJON JOSE ANTONIO</t>
  </si>
  <si>
    <t>42257698</t>
  </si>
  <si>
    <t>VERANO ZELADA SUSANA JANNELLY</t>
  </si>
  <si>
    <t>DERCHO</t>
  </si>
  <si>
    <t>09429290</t>
  </si>
  <si>
    <t>VERASTEGUI SALAZAR MILAGROS DEL PILAR</t>
  </si>
  <si>
    <t>ANALISTA II COMUNICADOR AUDIOVISUAL</t>
  </si>
  <si>
    <t>41047396</t>
  </si>
  <si>
    <t>VIAÑA ROSA-PÉREZ DIEGO</t>
  </si>
  <si>
    <t>70885330</t>
  </si>
  <si>
    <t>VICUÑA ANTARA JHOJANS ANGELO</t>
  </si>
  <si>
    <t>42159729</t>
  </si>
  <si>
    <t>VIDAL GARCIA BEATRIZ RICARDINA</t>
  </si>
  <si>
    <t>ESPECIALISTA III - REMEDIACIÓN</t>
  </si>
  <si>
    <t>40103159</t>
  </si>
  <si>
    <t>VIDAL HERRERA CARLOS ALFONSO</t>
  </si>
  <si>
    <t>43537158</t>
  </si>
  <si>
    <t>VIDALON BARRETO LUIS MIGUEL</t>
  </si>
  <si>
    <t>COORDINADOR SOCIAL - ZONA SELVA</t>
  </si>
  <si>
    <t>25518130</t>
  </si>
  <si>
    <t>VIDALON MOGNASCHI MARCOS DANIEL</t>
  </si>
  <si>
    <t>ESPECIALISTA III DE MINERÍA ILEGAL</t>
  </si>
  <si>
    <t>40358028</t>
  </si>
  <si>
    <t>VILCA MARTINEZ MILKA SOFIA</t>
  </si>
  <si>
    <t>AUXILIAR EN INFORMATICA</t>
  </si>
  <si>
    <t>41913602</t>
  </si>
  <si>
    <t>VILCA NALVARTE ERIK JOEL</t>
  </si>
  <si>
    <t>COORDINADOR DE PLANEAMIENTO ENERGETICO</t>
  </si>
  <si>
    <t>10581660</t>
  </si>
  <si>
    <t>VILCHEZ LEON LUIS ALDO</t>
  </si>
  <si>
    <t>06801474</t>
  </si>
  <si>
    <t>VILLACORTA OLAZA MARCO ANTONIO</t>
  </si>
  <si>
    <t>ANALISTA III - SOCIAL</t>
  </si>
  <si>
    <t>40283188</t>
  </si>
  <si>
    <t>VILLALOBOS PORRAS EDUARDO MARTIN</t>
  </si>
  <si>
    <t>04078061</t>
  </si>
  <si>
    <t>VILLANUEVA MENDOZA NELLY LUCY</t>
  </si>
  <si>
    <t>47098395</t>
  </si>
  <si>
    <t>VILLAR VASQUEZ MERCEDES DEL PILAR</t>
  </si>
  <si>
    <t>43478017</t>
  </si>
  <si>
    <t>VILLAVICENCIO FERRO RICARDO</t>
  </si>
  <si>
    <t>10033158</t>
  </si>
  <si>
    <t>VILLAVICENCIO MOGROVEJO ANA CECILIA</t>
  </si>
  <si>
    <t>42098057</t>
  </si>
  <si>
    <t>VILLEGAS CASTAÑEDA CINTHYA GIULIANA</t>
  </si>
  <si>
    <t xml:space="preserve">ESPECIALISTA I - HIDROCARBUROS Y FONDO DE ESTABILIZACIÓN DE PRECIOS DE COMBUSTIBLES - FEPC. </t>
  </si>
  <si>
    <t>40548867</t>
  </si>
  <si>
    <t>VILLENA CALDERON JUAN JESUS</t>
  </si>
  <si>
    <t>07495645</t>
  </si>
  <si>
    <t>VITER MENDOZA WILFREDO RODOLFO</t>
  </si>
  <si>
    <t>09879101</t>
  </si>
  <si>
    <t>VIVAS MARIN MILAGROS ELSA</t>
  </si>
  <si>
    <t>08839195</t>
  </si>
  <si>
    <t>VIZARRAGA ROBLES ROLANDO MIGUEL</t>
  </si>
  <si>
    <t>43054265</t>
  </si>
  <si>
    <t>WASIW BUENDIA JOSÉ IVÁN</t>
  </si>
  <si>
    <t>19991035</t>
  </si>
  <si>
    <t>YANA JAHUIRA FRANCISCO</t>
  </si>
  <si>
    <t>31618403</t>
  </si>
  <si>
    <t>YANAC SUAREZ GENY ROBERTO</t>
  </si>
  <si>
    <t>46833346</t>
  </si>
  <si>
    <t>YAÑEZ  ARANGO ABEL GUSTAVO</t>
  </si>
  <si>
    <t>ESPECIALISTA EN EVAL. DE PROCEDIMIENTOS MINEROS</t>
  </si>
  <si>
    <t>10810024</t>
  </si>
  <si>
    <t xml:space="preserve">YAUYO VERASTEGUI RUDY RAFFO </t>
  </si>
  <si>
    <t>08369727</t>
  </si>
  <si>
    <t>YAYA DE LA CRUZ CARLOS GUSTAVO</t>
  </si>
  <si>
    <t>72890496</t>
  </si>
  <si>
    <t>YONG AREVALO FERNANDO ANTONIO</t>
  </si>
  <si>
    <t>ANALISTA LEGAL EN GESTION AMB. ENERGETICA II</t>
  </si>
  <si>
    <t>44419002</t>
  </si>
  <si>
    <t>ZABARBURU CHAVEZ SHARON MAY</t>
  </si>
  <si>
    <t>46633801</t>
  </si>
  <si>
    <t>ZAPANA MESTAS LUIS PEDRO</t>
  </si>
  <si>
    <t>ESPECIALISTA DE PLANIF. Y GEST. ACADEMICA CARELEC</t>
  </si>
  <si>
    <t>17451746</t>
  </si>
  <si>
    <t>ZAPATA SERNAQUE ADRIAN</t>
  </si>
  <si>
    <t>ANALISTA III - ECONÓMICO EN ACTIVIDADES DE HIDROCARBUROS</t>
  </si>
  <si>
    <t>74174485</t>
  </si>
  <si>
    <t>ZARATE MORAN MELISSA DEL ROSARIO</t>
  </si>
  <si>
    <t>43097573</t>
  </si>
  <si>
    <t>ZAVALETA ROJAS LESLY BELÉN</t>
  </si>
  <si>
    <t>ANALISTA III  EN DISTRIBUCIÓN DE GAS NATURAL POR RED DE DUCTOS</t>
  </si>
  <si>
    <t>46307771</t>
  </si>
  <si>
    <t>ZEGARRA NINACO JESUS ALFREDO</t>
  </si>
  <si>
    <t>40565832</t>
  </si>
  <si>
    <t>ZEGARRA OTAZU MARISABEL</t>
  </si>
  <si>
    <t>ESPECIALISTA III PLANIFICACIÓN DE COMUNICACIONES</t>
  </si>
  <si>
    <t>43919404</t>
  </si>
  <si>
    <t>ZEVALLOS HUAMAN CLAUDIA LUCIA</t>
  </si>
  <si>
    <t>ANALISTA II DE PREVENCIÓN DE CONFLICTOS SOCIALES EN APURIMAC</t>
  </si>
  <si>
    <t>45596257</t>
  </si>
  <si>
    <t>ZEVALLOS PAREDES ANTHONY HENRY</t>
  </si>
  <si>
    <t>ESPECIALISTA I - SOCIAL REGION PUNO</t>
  </si>
  <si>
    <t>41164956</t>
  </si>
  <si>
    <t>ZEVALLOS PAREDES JHON RICHARD</t>
  </si>
  <si>
    <t xml:space="preserve">ESPECIALISTA II - GESTIÓN DEL DIÁLOGO </t>
  </si>
  <si>
    <t>40124048</t>
  </si>
  <si>
    <t>ZUMAETA COSSIO IGOR MAURO OSMAN</t>
  </si>
  <si>
    <t>COORDINADOR DE SEGUIM. Y MONIT. DE COMPROMISOS SOC</t>
  </si>
  <si>
    <t>16658373</t>
  </si>
  <si>
    <t>ZUMARAN ALVITEZ CARLOS FAUSTO</t>
  </si>
  <si>
    <t>09</t>
  </si>
  <si>
    <t>ESPECIALISTA EN CONTROL DE VAL. Y SEGUIMIENTO DE OBRAS</t>
  </si>
  <si>
    <t>ACOSTA ALVIAR, JEAN ROBERT</t>
  </si>
  <si>
    <t>TECNICO EN COMPUTACION E INFORMATICA</t>
  </si>
  <si>
    <t>3</t>
  </si>
  <si>
    <t>6</t>
  </si>
  <si>
    <t>10028855</t>
  </si>
  <si>
    <t>ALONSO LEDESMA,EDWIN JESUS</t>
  </si>
  <si>
    <t>INGENIERO DE SISTEMAS E INFORMATICA</t>
  </si>
  <si>
    <t>TITULO</t>
  </si>
  <si>
    <t>INGENIERO</t>
  </si>
  <si>
    <t>4</t>
  </si>
  <si>
    <t>8</t>
  </si>
  <si>
    <t>INGENIERO GEOGRAFO</t>
  </si>
  <si>
    <t>41237058</t>
  </si>
  <si>
    <t>ALVA SALVADOR, NERY ZENON</t>
  </si>
  <si>
    <t>7</t>
  </si>
  <si>
    <t>12</t>
  </si>
  <si>
    <t>ESPECIALISTA EN LICITACIONES Y CONTRATOS</t>
  </si>
  <si>
    <t>09710030</t>
  </si>
  <si>
    <t>BERNAL HUERE, LEYBINEZ</t>
  </si>
  <si>
    <t>ABOGADO</t>
  </si>
  <si>
    <t>COORDINADOR DE OBRAS</t>
  </si>
  <si>
    <t>40510048</t>
  </si>
  <si>
    <t>CABALLERO CHAVEZ, BRUSLY SIDNEY</t>
  </si>
  <si>
    <t>INGENIERO ELECTRICISTA</t>
  </si>
  <si>
    <t>21298330</t>
  </si>
  <si>
    <t>CAJAHUANCA ARTEAGA, HUGO JORGE</t>
  </si>
  <si>
    <t>ARQUITECTO</t>
  </si>
  <si>
    <t>2</t>
  </si>
  <si>
    <t>CERVANTES HURTADO, CHRISTIAN DENNIS</t>
  </si>
  <si>
    <t>1</t>
  </si>
  <si>
    <t>ABOGADA</t>
  </si>
  <si>
    <t>41474943</t>
  </si>
  <si>
    <t>CHIRINOS FLORES,ISABEL</t>
  </si>
  <si>
    <t>21514452</t>
  </si>
  <si>
    <t>ESTOCALENKO PEÑA, JAVIER SANTOS</t>
  </si>
  <si>
    <t>TECNICO ALMACENERO</t>
  </si>
  <si>
    <t>25727664</t>
  </si>
  <si>
    <t>FIGUEROA SANDOVAL, GUSTAVO ADOLFO</t>
  </si>
  <si>
    <t>TECNICO ADMINISTRADOR</t>
  </si>
  <si>
    <t>16799176</t>
  </si>
  <si>
    <t>FLORES GONZALES, ZULLY ARACELLY</t>
  </si>
  <si>
    <t>ESPECIALISTA EN LIQUIDACIONES Y CONTRATOS</t>
  </si>
  <si>
    <t>20074722</t>
  </si>
  <si>
    <t>GALVAN LAZO, MARCIAL ROLANDO</t>
  </si>
  <si>
    <t>ESPECIALISTA EN POSTES DE MADERA</t>
  </si>
  <si>
    <t>19917693</t>
  </si>
  <si>
    <t>GAMBOA DEL CARPIO, HECTOR ENRIQUE</t>
  </si>
  <si>
    <t>INGENIERO FORESTAL</t>
  </si>
  <si>
    <t>COORDINADOR DE OBRA</t>
  </si>
  <si>
    <t>09466189</t>
  </si>
  <si>
    <t>HERRERA MENDOZA, RONALD ENRIQUE</t>
  </si>
  <si>
    <t>ESPECIALISTA EN PLANEAMIENTO Y GESTION SOCIAL</t>
  </si>
  <si>
    <t>07465157</t>
  </si>
  <si>
    <t>HORNA GUEVARA, YVAN WALTER</t>
  </si>
  <si>
    <t>SOCIOLOGO</t>
  </si>
  <si>
    <t>LICENCIADO EN SOCIOLOGIA</t>
  </si>
  <si>
    <t>ESPECIALISTA I ABASTECIMIENTO</t>
  </si>
  <si>
    <t>10645641</t>
  </si>
  <si>
    <t>HUAMANI QUISPE, ANA MARIBEL</t>
  </si>
  <si>
    <t>DIRECTOR DE FONDOS CONCURSABLES</t>
  </si>
  <si>
    <t>HUARI ROMAN CARLOS DANILO</t>
  </si>
  <si>
    <t>ASISTENTE DE ALMACEN</t>
  </si>
  <si>
    <t>10095305</t>
  </si>
  <si>
    <t>IMAN SILVA, FRANCISCO</t>
  </si>
  <si>
    <t>18157740</t>
  </si>
  <si>
    <t>LA TORRE LAU, EDUARDO GUSTAVO</t>
  </si>
  <si>
    <t>ASISTENTE EN SERVICIOS GENERALES</t>
  </si>
  <si>
    <t>09838219</t>
  </si>
  <si>
    <t>LEGUIA RIVAS, ISIDRO</t>
  </si>
  <si>
    <t>LIZARZABURU KLEPATZKY, MONICA MARIELLA</t>
  </si>
  <si>
    <t>ANALISTA I TESORERIA</t>
  </si>
  <si>
    <t>40130327</t>
  </si>
  <si>
    <t>LORO CALDERON, JUAN GUALBERTO</t>
  </si>
  <si>
    <t>CONTADOR PUBLICO</t>
  </si>
  <si>
    <t>23850989</t>
  </si>
  <si>
    <t>NAVARRO PEREZ,IVAN EDUARDO</t>
  </si>
  <si>
    <t>43888464</t>
  </si>
  <si>
    <t>PALMA CUELA, EVELYN KAREN</t>
  </si>
  <si>
    <t>ESPECIALISTA I PROYECTOS</t>
  </si>
  <si>
    <t>08556021</t>
  </si>
  <si>
    <t>QUISPE PORRAS, ALFREDO MARIO</t>
  </si>
  <si>
    <t>COORDINADOR EN PROYECTOS DE ENERGIA RENOVABLE</t>
  </si>
  <si>
    <t>08141716</t>
  </si>
  <si>
    <t>RAMOS CHAYA, RICARDO MIGUEL</t>
  </si>
  <si>
    <t>INGENIERO MECANICO</t>
  </si>
  <si>
    <t>40586374</t>
  </si>
  <si>
    <t>REVILLA ALARCON, MARIELLA JUDITH</t>
  </si>
  <si>
    <t>ASISTENTE DE GERENCIA</t>
  </si>
  <si>
    <t>07642248</t>
  </si>
  <si>
    <t>ROMERO DE LA GRECA, MARTHA MARIA</t>
  </si>
  <si>
    <t>BACHILLER EN ECONOMIA</t>
  </si>
  <si>
    <t>ECONOMISTA</t>
  </si>
  <si>
    <t>ESPECIALISTA EN LABORES FINANCIERAS Y CONTABLES</t>
  </si>
  <si>
    <t>06908077</t>
  </si>
  <si>
    <t>SANCHEZ CABANILLAS, JOSE ARTURO</t>
  </si>
  <si>
    <t>COORDINADOR DE ESTUDIOS</t>
  </si>
  <si>
    <t>06041480</t>
  </si>
  <si>
    <t>SILVA GARCIA, CARLOS SIMEON</t>
  </si>
  <si>
    <t>ESPECIALISTA EN SISTEMAS E INFORMATICA</t>
  </si>
  <si>
    <t>08668769</t>
  </si>
  <si>
    <t>SOTO AGÜERO, FERNANDO JAVIER</t>
  </si>
  <si>
    <t>06927662</t>
  </si>
  <si>
    <t>SOTOMAYOR MANCISIDOR, WALTER OLEGARIO</t>
  </si>
  <si>
    <t>41099686</t>
  </si>
  <si>
    <t>STOSIC SAONA, ZORKA MILUSKA</t>
  </si>
  <si>
    <t>SECRETARIA EJECUTIVA</t>
  </si>
  <si>
    <t>32909640</t>
  </si>
  <si>
    <t>SUAREZ LEYVA, PERCY OSCAR</t>
  </si>
  <si>
    <t>INGENIERO MECANICO/ELECTRICISTA</t>
  </si>
  <si>
    <t>09371632</t>
  </si>
  <si>
    <t>TORRES KISICH, EDWIN WILFREDO</t>
  </si>
  <si>
    <t>09297780</t>
  </si>
  <si>
    <t>TOVAR DIAZ, RAFAEL</t>
  </si>
  <si>
    <t>43106418</t>
  </si>
  <si>
    <t xml:space="preserve">VARGAS MONTERO, MANUEL ARTURO </t>
  </si>
  <si>
    <t>02623456</t>
  </si>
  <si>
    <t>VALENCIA SANTIVAÑEZ, JORGE ENRIQUE</t>
  </si>
  <si>
    <t>OPERARIO DE ALMACEN</t>
  </si>
  <si>
    <t>40101211</t>
  </si>
  <si>
    <t>VASQUEZ MONSALVE, AVELINO</t>
  </si>
  <si>
    <t>OPERARIO</t>
  </si>
  <si>
    <t>10862656</t>
  </si>
  <si>
    <t>VERGARAY INGA, MARLENI MADELEINE</t>
  </si>
  <si>
    <t>ASISTENTE I CONTABLE</t>
  </si>
  <si>
    <t>48707225</t>
  </si>
  <si>
    <t>YNCHE ORE, JIMENA SUSAN</t>
  </si>
  <si>
    <t>5</t>
  </si>
  <si>
    <t>9</t>
  </si>
  <si>
    <t>ANALISTA I CONTABLE</t>
  </si>
  <si>
    <t>41335092</t>
  </si>
  <si>
    <t>ZAVALA VARGAS, OSCAR ALCIDES</t>
  </si>
  <si>
    <t>10724944</t>
  </si>
  <si>
    <t>ZORRILLA MARCAS, ARMANDO</t>
  </si>
  <si>
    <t>001 IPEN</t>
  </si>
  <si>
    <t>00</t>
  </si>
  <si>
    <t>Dleg. 1057 - CAS</t>
  </si>
  <si>
    <t>AUDITORA ESPECIALISTA</t>
  </si>
  <si>
    <t>10833041</t>
  </si>
  <si>
    <t>ALDEA POLO MARIA SOLEDAD</t>
  </si>
  <si>
    <t>TITULO BIOLOGO-MICROBIOLOGO</t>
  </si>
  <si>
    <t>TITULADO</t>
  </si>
  <si>
    <t>43659205</t>
  </si>
  <si>
    <t>ANCHANTE  CHACALTANA  MARIO ZAHEDY</t>
  </si>
  <si>
    <t>TITULO DE INGENIERIA CIVIL</t>
  </si>
  <si>
    <t>AGENTE DE SEGURIDAD</t>
  </si>
  <si>
    <t>76221142</t>
  </si>
  <si>
    <t>ARBAYZA ARCE  AARON JOSE LUIS</t>
  </si>
  <si>
    <t>SECUNDARIA COMPLETA</t>
  </si>
  <si>
    <t>25565895</t>
  </si>
  <si>
    <t>AYALA ROSILLO VICTOR HUGO</t>
  </si>
  <si>
    <t>ESPECIALISTA EN COMERCIALIZACION</t>
  </si>
  <si>
    <t>41437098</t>
  </si>
  <si>
    <t>BARBOZA DELGADO JOSE ALONSO</t>
  </si>
  <si>
    <t>Dleg. 1057 - CAS - DU.034.2021</t>
  </si>
  <si>
    <t>46656817</t>
  </si>
  <si>
    <t>BARRIOS SARMIENTO OLGA DIANA</t>
  </si>
  <si>
    <t>TITULO PRFESIONAL DE ABOGADO</t>
  </si>
  <si>
    <t>ESPECIALISTA EN DERECHO DEL TRABAJO</t>
  </si>
  <si>
    <t>ESPECIALISTA CONTABLE</t>
  </si>
  <si>
    <t>16763148</t>
  </si>
  <si>
    <t>BENAVIDES PEREZ GUILLERMO ANTENOR</t>
  </si>
  <si>
    <t>TITULO DE CONTADOR PUBLICO</t>
  </si>
  <si>
    <t>TECNICO EN MANTENIMIENTO ELECTRONICO</t>
  </si>
  <si>
    <t>41245505</t>
  </si>
  <si>
    <t>BUITRON LOZANO ERNESTO</t>
  </si>
  <si>
    <t>TITULO EN ELECTRONICA</t>
  </si>
  <si>
    <t>ESPECIALISTA EN CONTROLES BIOLOGICOS</t>
  </si>
  <si>
    <t>07861244</t>
  </si>
  <si>
    <t>CABRERA VIZCARRA  CESAR AUGUSTO</t>
  </si>
  <si>
    <t>TITULO DE LICENCIADO EN BIOLOGIA</t>
  </si>
  <si>
    <t xml:space="preserve">ESPECIALISTA EN SEGURIDAD FISICA </t>
  </si>
  <si>
    <t>17609334</t>
  </si>
  <si>
    <t>CALLACNA SANTA MARIA JAIME ALBERTO</t>
  </si>
  <si>
    <t>LICENCIADO EN CIENCIAS SOCIALES</t>
  </si>
  <si>
    <t>CASTILLA  QUINTO LUIS FERNANDO</t>
  </si>
  <si>
    <t>OPERADOR DE SEGURIDAD</t>
  </si>
  <si>
    <t>09422416</t>
  </si>
  <si>
    <t>CATPO GARCIA JAIME</t>
  </si>
  <si>
    <t>ESPECIALISTA EN INFRAESTRUCTURA, TRANSPORTE Y SERVICIOS GENERALES</t>
  </si>
  <si>
    <t>10488915</t>
  </si>
  <si>
    <t>CAYCHO SORAS NADIA</t>
  </si>
  <si>
    <t>TITULO DE ADMINISTRACION</t>
  </si>
  <si>
    <t>CHOFER</t>
  </si>
  <si>
    <t>CHACALIAZA ARANA JUAN DE DIOS</t>
  </si>
  <si>
    <t>ESPECIALISTA EN SEGUIMIENTO Y EVALUACION DE LA GESTION DE INVERSION PUBLICA.</t>
  </si>
  <si>
    <t>46750830</t>
  </si>
  <si>
    <t>CHAHUA  ROJAS LILIANA ISABEL</t>
  </si>
  <si>
    <t>BACHILLER EN CIENCIAS SOCIALES CON MENCION A ECONOMIA</t>
  </si>
  <si>
    <t>40455576</t>
  </si>
  <si>
    <t>CHALLAPA VELASQUEZ JAVIER FELICIANO</t>
  </si>
  <si>
    <t>TECNICO EN ELECTRICIDAD</t>
  </si>
  <si>
    <t>INGENIERO ELECTRONICO</t>
  </si>
  <si>
    <t>CHAN RIOS RENZO JOSE</t>
  </si>
  <si>
    <t>BACHILLER INGENIERIA ELECTRONICA</t>
  </si>
  <si>
    <t>ESPECIALISTA EN SEGURIDAD Y SALUD EN EL TRABAJO</t>
  </si>
  <si>
    <t>40050814</t>
  </si>
  <si>
    <t>CHAVEZ TORRES JORGE JEAN</t>
  </si>
  <si>
    <t>INGENIERO INDUSTRIAL</t>
  </si>
  <si>
    <t>AUDITOR INTEGRANTE</t>
  </si>
  <si>
    <t>09710846</t>
  </si>
  <si>
    <t>CHAVEZ CHAVEZ ALFONSO JOSE</t>
  </si>
  <si>
    <t>02603691</t>
  </si>
  <si>
    <t>CHAVEZ VILCHEZ RUPERTO</t>
  </si>
  <si>
    <t>ESPECIALISTA EN ASEGURAMIENTO DE LA CALIDAD</t>
  </si>
  <si>
    <t>45086385</t>
  </si>
  <si>
    <t>CHOQUE FLORES EDWIN GUILLERMO</t>
  </si>
  <si>
    <t>ESPECIALISTA EN RACIONALIZACION</t>
  </si>
  <si>
    <t>CHUMPITAZ PALOMINO MARIA DEL CARMEN</t>
  </si>
  <si>
    <t>BACHILLER EN ECONOMICAS CONTABLES Y FINANCIERAS</t>
  </si>
  <si>
    <t>44808617</t>
  </si>
  <si>
    <t>CHUQUILIN CANCHARI WEBSTER BILVAN</t>
  </si>
  <si>
    <t>COPARI LOZA JENNY JANET</t>
  </si>
  <si>
    <t>44019487</t>
  </si>
  <si>
    <t>CORAHUA LOPEZ WILMER CESAR</t>
  </si>
  <si>
    <t>TECNICO/1AÑO</t>
  </si>
  <si>
    <t>45443387</t>
  </si>
  <si>
    <t>CORDOVA NORABUENA VITALIA</t>
  </si>
  <si>
    <t xml:space="preserve">AUXILIAR DE OPERACIÓN DEL REACTOR RP-10 </t>
  </si>
  <si>
    <t>74891595</t>
  </si>
  <si>
    <t>CRISPIN POLO  LUIS AUGUSTO</t>
  </si>
  <si>
    <t>47797762</t>
  </si>
  <si>
    <t>CURI CAYO LEYDI SUSAN</t>
  </si>
  <si>
    <t>42928392</t>
  </si>
  <si>
    <t>CURI CORDOVA MARIA DENISSE</t>
  </si>
  <si>
    <t>25741985</t>
  </si>
  <si>
    <t>DIAZ FIGARI  ALICIA GRACIELA</t>
  </si>
  <si>
    <t>LICENCIADO EN ADMINISTRACION</t>
  </si>
  <si>
    <t>42632806</t>
  </si>
  <si>
    <t>DIAZ  TORRES JEFRIE  PHILIPH</t>
  </si>
  <si>
    <t>TECNICO MECANICO DE PRODUCCION</t>
  </si>
  <si>
    <t>43072191</t>
  </si>
  <si>
    <t>ESPINOZA FLORES ELBER ALEXANDER</t>
  </si>
  <si>
    <t>TECNICO QUIMICO PARA CONTROL DE CALIDAD</t>
  </si>
  <si>
    <t>41637973</t>
  </si>
  <si>
    <t>FARFAN VALENZUELA YADBERTO VLADIMIR</t>
  </si>
  <si>
    <t>INGENIERO QUIMICO</t>
  </si>
  <si>
    <t>TECNICO EN ARCHIVO</t>
  </si>
  <si>
    <t>48803457</t>
  </si>
  <si>
    <t>FERNANDEZ  VILLANOVA DAVID</t>
  </si>
  <si>
    <t>10666586</t>
  </si>
  <si>
    <t>FLORES ROJAS  WILMER ERNESTO</t>
  </si>
  <si>
    <t>AUXILIAR ELECTRICO</t>
  </si>
  <si>
    <t>FLORES CARLOS JHON BRAYAN</t>
  </si>
  <si>
    <t>ELECTRICISTA INDUSTRIAL</t>
  </si>
  <si>
    <t>ESPECIALISTA EN TESORERIA</t>
  </si>
  <si>
    <t>10045467</t>
  </si>
  <si>
    <t>GAMBOA ESCOBEDO ZULLY MILAGROS</t>
  </si>
  <si>
    <t>10295970</t>
  </si>
  <si>
    <t>GONZALES NAVARRO TEOFILO TORIBIO</t>
  </si>
  <si>
    <t>32987010</t>
  </si>
  <si>
    <t>GONZALES  GUEVARA  KARLA JUANA</t>
  </si>
  <si>
    <t>ESPECIALISTA EN GESTION DE RESIDUOS RADIOACTIVOS EN FUENTES ABIERTAS Y SELLADAS</t>
  </si>
  <si>
    <t>09417703</t>
  </si>
  <si>
    <t>GUIOP   CARDENAS LUDWIG</t>
  </si>
  <si>
    <t>TITULO QUIMICO</t>
  </si>
  <si>
    <t xml:space="preserve">INGENIERO QUÍMICO </t>
  </si>
  <si>
    <t>41648505</t>
  </si>
  <si>
    <t>HERRERA VARA JOSEPH LOUIS</t>
  </si>
  <si>
    <t>03872122</t>
  </si>
  <si>
    <t>HIDALGO  CRUZ MARLON YIMI</t>
  </si>
  <si>
    <t>71951834</t>
  </si>
  <si>
    <t>HIGA  SANCHEZ ARMANDO HARUKY</t>
  </si>
  <si>
    <t>ESPECIALISTA EN ELECTRONICA PARA FISICA EXPERIMENTAL DE REACTORES NUCLEARES</t>
  </si>
  <si>
    <t>47750293</t>
  </si>
  <si>
    <t>HUACCACHI QUISPE LEIDY DIANA</t>
  </si>
  <si>
    <t>FÍSICO EXPERIMENTAL DE REACTORES NUCLEARES</t>
  </si>
  <si>
    <t>47275807</t>
  </si>
  <si>
    <t>HUACCHO ZAVALA GIANFRANCO</t>
  </si>
  <si>
    <t>INGENIERO NUCLEAR</t>
  </si>
  <si>
    <t>JARDINERO</t>
  </si>
  <si>
    <t>HUAMAN  TENORIO JAVIER RAUL</t>
  </si>
  <si>
    <t>10626583</t>
  </si>
  <si>
    <t>HUISA TUMBA EVARISTO</t>
  </si>
  <si>
    <t>16757374</t>
  </si>
  <si>
    <t>IMAN BENITES AMARO</t>
  </si>
  <si>
    <t>AUXILIAR MANTEN. INFRAESTRUCT.</t>
  </si>
  <si>
    <t>41838182</t>
  </si>
  <si>
    <t>INGA SACSARA VICTOR ROLANDO</t>
  </si>
  <si>
    <t>40815511</t>
  </si>
  <si>
    <t>JIMENEZ SOTELO NILTON</t>
  </si>
  <si>
    <t>TECNICO EN ALMACEN</t>
  </si>
  <si>
    <t>48373557</t>
  </si>
  <si>
    <t>JUAREZ COBEÑAS DIANA CARINA</t>
  </si>
  <si>
    <t>TECNICO EN FARMACIA</t>
  </si>
  <si>
    <t xml:space="preserve">TÉCNICO QUÍMICO PARA PRODUCCIÓN </t>
  </si>
  <si>
    <t>45862396</t>
  </si>
  <si>
    <t>LAUREL  PANDURO BETTY</t>
  </si>
  <si>
    <t>09333776</t>
  </si>
  <si>
    <t>LEANDRO SILVA IGNACIO POMPELIO</t>
  </si>
  <si>
    <t>BIOLOGA</t>
  </si>
  <si>
    <t>06272747</t>
  </si>
  <si>
    <t>LEON PALOMINO KETY NOELIA</t>
  </si>
  <si>
    <t>TITULO MICROBIOLOGIA Y PARASITOLOGIA</t>
  </si>
  <si>
    <t>ADMINISTRADOR DE REDES</t>
  </si>
  <si>
    <t>46744685</t>
  </si>
  <si>
    <t>LOBO INCHAUSTEGUI JAIME ALBERTO</t>
  </si>
  <si>
    <t>BACHILLER EN INGENIERIA INFORMATICA</t>
  </si>
  <si>
    <t>ESPECIALISTA EN PLANILLAS</t>
  </si>
  <si>
    <t>06012182</t>
  </si>
  <si>
    <t>LUJAN  VENEGAS HECTOR</t>
  </si>
  <si>
    <t>INGENIERIA INDUSTRIAL/COMUNICACIÓN SOCIAL</t>
  </si>
  <si>
    <t>70945757</t>
  </si>
  <si>
    <t>LUNA RAMIREZ GERMAN FELIPE</t>
  </si>
  <si>
    <t>ASISTENTE DE MESA DE PARTES</t>
  </si>
  <si>
    <t>41809551</t>
  </si>
  <si>
    <t>MAMANI LAZO INDIRA ANDRHA</t>
  </si>
  <si>
    <t>SECRETARIA EJECUTIVA BILINGÜE</t>
  </si>
  <si>
    <t>43289041</t>
  </si>
  <si>
    <t>MATTA GARCIA VICTOR JESUS</t>
  </si>
  <si>
    <t>TECNICO FFAA</t>
  </si>
  <si>
    <t>ANALISTA EN CONTRATACIONES</t>
  </si>
  <si>
    <t>41343963</t>
  </si>
  <si>
    <t>MELGAR  GAMBINI VICTOR JOSHUA</t>
  </si>
  <si>
    <t>40653181</t>
  </si>
  <si>
    <t>MELGAREJO ÑAUPA RAMON</t>
  </si>
  <si>
    <t xml:space="preserve">CHOFER </t>
  </si>
  <si>
    <t>09404968</t>
  </si>
  <si>
    <t>MIRANDA ROJAS FREDDY EFRAIN</t>
  </si>
  <si>
    <t>25856593</t>
  </si>
  <si>
    <t>MONTERO  LAMAS JENNYFFER JOANNA</t>
  </si>
  <si>
    <t>TITULO DE ECONOMISTA</t>
  </si>
  <si>
    <t>10068657</t>
  </si>
  <si>
    <t>MORE SANDOVAL SEGUNDO GREGORIO</t>
  </si>
  <si>
    <t>MEDICO ASISTENCIAL OCUPACIONAL</t>
  </si>
  <si>
    <t>42985294</t>
  </si>
  <si>
    <t>NATIVIDAD ESPINOZA JOSE ALBINO</t>
  </si>
  <si>
    <t>TITULO MEDICO CIRUJANO</t>
  </si>
  <si>
    <t>ESPECIALISTA EN PLANEAMIENTO</t>
  </si>
  <si>
    <t>25658183</t>
  </si>
  <si>
    <t>NUÑEZ RUIZ CRISTOBAL</t>
  </si>
  <si>
    <t xml:space="preserve">ESPECIALISTA EN VALIDACIÓN DE METODOLOGÍAS ANALÍTICAS </t>
  </si>
  <si>
    <t>45197284</t>
  </si>
  <si>
    <t>ÑAÑEZ  CHAMPI JOBELITH TANIA</t>
  </si>
  <si>
    <t>BIOLOGIA,MICROBIOLOGIA, PARASITOLOGIA</t>
  </si>
  <si>
    <t>47658299</t>
  </si>
  <si>
    <t>ORTIZ LAZO LUIS ANGEL</t>
  </si>
  <si>
    <t>70434002</t>
  </si>
  <si>
    <t>OYANGUREN SARMIENTO KATYHUSCA MERCEDES</t>
  </si>
  <si>
    <t>ESPECIALISTA EN METROLOGIA DE RADIACIONES IONIZANTES</t>
  </si>
  <si>
    <t>70670024</t>
  </si>
  <si>
    <t>PALOMINO FIGUEROA NATALI CECILIA</t>
  </si>
  <si>
    <t>LICENCIADA EN FISICA</t>
  </si>
  <si>
    <t>70510201</t>
  </si>
  <si>
    <t>PALOMINO  OVALLE PERÚ STEFANY</t>
  </si>
  <si>
    <t>40015128</t>
  </si>
  <si>
    <t>PERALTA MENDOZA ALICIA</t>
  </si>
  <si>
    <t>ANALISTA EN GESTION DOCUMENTARIA PARA ASEGURAMIENTO DE LA CALIDAD</t>
  </si>
  <si>
    <t>45798331</t>
  </si>
  <si>
    <t>PERALTA  SAENZ  DANIEL ALFREDO</t>
  </si>
  <si>
    <t>QUIMICA</t>
  </si>
  <si>
    <t>TECNICO EN CONTRATACIONES</t>
  </si>
  <si>
    <t>41077984</t>
  </si>
  <si>
    <t>PRADO NOMBERTO DANIEL HUMBERTO</t>
  </si>
  <si>
    <t>TECNICO COMPUTACION</t>
  </si>
  <si>
    <t>APOYO DOCUMENTARIO</t>
  </si>
  <si>
    <t>08665755</t>
  </si>
  <si>
    <t>PUYEN PORRO YOLANDA BEATRIZ</t>
  </si>
  <si>
    <t>TECNICO CONTABLE</t>
  </si>
  <si>
    <t>80377633</t>
  </si>
  <si>
    <t>QUEZADA SOLIS ERNESTINO ANGEL</t>
  </si>
  <si>
    <t>47502203</t>
  </si>
  <si>
    <t>QUIÑONES  USAQUI FRANCISCO ULISES</t>
  </si>
  <si>
    <t>ASISTENTE DE LABORATORIO DE FISICA DE REACTORES</t>
  </si>
  <si>
    <t>42364247</t>
  </si>
  <si>
    <t>QUISPE  QUISPE JAVIER ARMANDO</t>
  </si>
  <si>
    <t>TITULO LICENCIADO EN CIENCIAS FISICO MATEMATICAS</t>
  </si>
  <si>
    <t>25832452</t>
  </si>
  <si>
    <t>RAMIREZ REATEGUI  NEITHER</t>
  </si>
  <si>
    <t>70157431</t>
  </si>
  <si>
    <t>REDOLFO MANCCO NATHIA KAREM</t>
  </si>
  <si>
    <t>CIENCIA POLITICA</t>
  </si>
  <si>
    <t>47968713</t>
  </si>
  <si>
    <t>RIOS BARDALES MAYRA ALEJANDRA</t>
  </si>
  <si>
    <t>BACHILLER EN ADMINISTRACION DE EMPRESAS</t>
  </si>
  <si>
    <t>06947289</t>
  </si>
  <si>
    <t>RODRIGUEZ PAZ ERNESTO</t>
  </si>
  <si>
    <t>07641764</t>
  </si>
  <si>
    <t>RODRIGUEZ SANCHEZ CAROLINA AMPARO</t>
  </si>
  <si>
    <t>BACHILLER EN ADMINISTRACION</t>
  </si>
  <si>
    <t>07152606</t>
  </si>
  <si>
    <t>ROJAS  CARDENAS JOSE VICTOR</t>
  </si>
  <si>
    <t xml:space="preserve">ESPECIALISTA EN ASEGURAMIENTO DE LA CALIDAD </t>
  </si>
  <si>
    <t>ROJAS CASAÑA ANA MARIA</t>
  </si>
  <si>
    <t>QUIMICO FARMACEUTICO Y BIOQUIMICO</t>
  </si>
  <si>
    <t>09548194</t>
  </si>
  <si>
    <t>RONDAN ALVARADO IDELSO VIGNE</t>
  </si>
  <si>
    <t>08306148</t>
  </si>
  <si>
    <t>ROSALES ATENCIA MARINO</t>
  </si>
  <si>
    <t>AUDITOR-ENCARGADO</t>
  </si>
  <si>
    <t>RUBIO  GONZALEZ VICTORIA ELIZABETH</t>
  </si>
  <si>
    <t>TITULO CONTADOR</t>
  </si>
  <si>
    <t>09592069</t>
  </si>
  <si>
    <t>RUIZ SOVERO BEATRIZ</t>
  </si>
  <si>
    <t>MEDICO CIRUJANO</t>
  </si>
  <si>
    <t>TECNICO MECANICO EN MANTENIMIENTO</t>
  </si>
  <si>
    <t>10690029</t>
  </si>
  <si>
    <t>SAENZ LOPEZ BECKER ALBERTO</t>
  </si>
  <si>
    <t>TECNICO ELECTRONICO</t>
  </si>
  <si>
    <t>44674553</t>
  </si>
  <si>
    <t>SALAZAR CHUMPE SAUL DAVID</t>
  </si>
  <si>
    <t>SALAZAR CABRERA MARCO ANTONIO</t>
  </si>
  <si>
    <t>INGENIERO AMBIENTAL Y SANITARIO</t>
  </si>
  <si>
    <t>45125276</t>
  </si>
  <si>
    <t xml:space="preserve">SANTOS  BERROSPI RUTH </t>
  </si>
  <si>
    <t>PROFESIONAL TECNICO EN COMPUTACION E INFORMATICA</t>
  </si>
  <si>
    <t>07178829</t>
  </si>
  <si>
    <t>SARMIENTO BENAVIDES  YANINA ALEJANDRINA</t>
  </si>
  <si>
    <t>10616554</t>
  </si>
  <si>
    <t>SILVA YATACO ANGEL OMAR</t>
  </si>
  <si>
    <t>SIRLOPU CHAVEZ MIGUEL ANGEL</t>
  </si>
  <si>
    <t>45287812</t>
  </si>
  <si>
    <t>SURICHAQUI PEREZ JINO RICARDO</t>
  </si>
  <si>
    <t>TAHUA  CALDERON  JUAN JONAS</t>
  </si>
  <si>
    <t>41248075</t>
  </si>
  <si>
    <t>TELLO ESPINOZA MONICA PAOLA</t>
  </si>
  <si>
    <t>AUXILIAR DE LABORATORIO</t>
  </si>
  <si>
    <t>44776537</t>
  </si>
  <si>
    <t>TINTAYA SANTANDER  GIOVANETT DEL PILAR</t>
  </si>
  <si>
    <t>07487931</t>
  </si>
  <si>
    <t>TUME CASTRO MARIA DEL CARMEN</t>
  </si>
  <si>
    <t>TITULO DE LICENCIADO DE ADMINISTRACION</t>
  </si>
  <si>
    <t>47597249</t>
  </si>
  <si>
    <t>VELARDE  BUENDIA CARLOS ANDRES</t>
  </si>
  <si>
    <t>TITULO DE ADMINISTRACION DE NEGOCIOS INTERNACIONALES</t>
  </si>
  <si>
    <t>ASISTENTE DE SISTEMAS DE INFORMACION</t>
  </si>
  <si>
    <t>VILLALOBOS PISFIL JOSE EDUARDO</t>
  </si>
  <si>
    <t>ANALISTA PROGRAMADOR</t>
  </si>
  <si>
    <t>10018182</t>
  </si>
  <si>
    <t>VILLANUEVA HILARI FRANCISCO REGIS</t>
  </si>
  <si>
    <t>ESPECIALISTA EN RECURSOS HUMANOS</t>
  </si>
  <si>
    <t>40096261</t>
  </si>
  <si>
    <t>WONG  VILLA CLEILA DEYANIRA</t>
  </si>
  <si>
    <t>06119613</t>
  </si>
  <si>
    <t>YALICO VILLALTA CARLOS MANUEL</t>
  </si>
  <si>
    <t>44867694</t>
  </si>
  <si>
    <t>YAP ORTIZ JORGE</t>
  </si>
  <si>
    <t>TECNICO EN ENFERMERIA TECNICA</t>
  </si>
  <si>
    <t>48358439</t>
  </si>
  <si>
    <t>YAURI JARA HENRY NARCISO</t>
  </si>
  <si>
    <t>PROFESIONAL EN TECNICAS DE INGENIERIA ELECTRONICA</t>
  </si>
  <si>
    <t>TECNICO MECANICO</t>
  </si>
  <si>
    <t>70493630</t>
  </si>
  <si>
    <t>YNFANTES FLOREZ LUIS CARLOS</t>
  </si>
  <si>
    <t>ALIMENTOS Y BEBIDAS ANIMALES</t>
  </si>
  <si>
    <t>ALIMENTOS Y BEBIDAS PARA CONSUMO HUMANO</t>
  </si>
  <si>
    <t>ALIMENTOS Y BEBIDAS PERSONAS</t>
  </si>
  <si>
    <t>ALQUILER DE EDIFICIOS Y ESTRUCTURAS</t>
  </si>
  <si>
    <t xml:space="preserve">ALQUILER DE VEHICULOS </t>
  </si>
  <si>
    <t>ASEO, LIMPIEZA Y COCINA</t>
  </si>
  <si>
    <t>ASEO, LIMPIEZA Y TOCADOR</t>
  </si>
  <si>
    <t>ASESORIA - AUDITORIA - ESTUDIOS</t>
  </si>
  <si>
    <t>CALZADO</t>
  </si>
  <si>
    <t>CARGOS BANCARIOS</t>
  </si>
  <si>
    <t>COMBUSTIBLES Y CARBURANTES</t>
  </si>
  <si>
    <t>COMBUSTIBLES, CARBURANTES, LUBRICANTES Y AFINES</t>
  </si>
  <si>
    <t>CONSULTORIAS - P JURIDICA</t>
  </si>
  <si>
    <t>CONSULTORIAS - P NATURAL</t>
  </si>
  <si>
    <t>CONSULTORIAS - PERSONA JURÍDICA</t>
  </si>
  <si>
    <t>CONSULTORIAS - PERSONA NATURAL</t>
  </si>
  <si>
    <t>CORREOS Y SERVICIOS DE MENSAJERIA</t>
  </si>
  <si>
    <t>DE EDIFICACIONES, OFICINAS Y ESTRUCTURAS</t>
  </si>
  <si>
    <t>DE MAQUINARIAS Y EQUIPOS</t>
  </si>
  <si>
    <t>DE MOBILIARIO Y SIMILARES</t>
  </si>
  <si>
    <t>DE OTROS BIENES Y ACTIVOS</t>
  </si>
  <si>
    <t>DE VEHICULOS</t>
  </si>
  <si>
    <t>DERECHOS ADMINISTRATIVOS</t>
  </si>
  <si>
    <t>ELECTRICIDAD, ILUMINACION Y ELECTRONICA</t>
  </si>
  <si>
    <t>GASTOS NOTARIALES</t>
  </si>
  <si>
    <t>LIBROS, DIARIOS, REVISTAS Y OTROS BIENES IMPRESOS NO VINCULADOS A ENSEÑANZA</t>
  </si>
  <si>
    <t>LOCACIÓN DE SERVICIOS RELACIONADAS AL ROL DE LA ENTIDAD</t>
  </si>
  <si>
    <t>MANTENIMIENTO DE EDIFICACIONES, OFICINAS Y ESTRUCTURAS</t>
  </si>
  <si>
    <t>MANTENIMIENTO DE MAQUINARIAS Y EQUIPOS</t>
  </si>
  <si>
    <t>MANTENIMIENTO DE MOBILIARIO Y SIMILARES</t>
  </si>
  <si>
    <t>MANTENIMIENTO DE VEHÍCULOS</t>
  </si>
  <si>
    <t>MATERIAL, INSUMOS, INSTRUMENTAL Y ACCESORIOS MEDICOS</t>
  </si>
  <si>
    <t>MATERIAL, INSUMOS, INSTRUMENTAL Y ACCESORIOS MEDICOS, QUIRURGICOS</t>
  </si>
  <si>
    <t>MATERIAL,INSUMOS,INSTRUMENTAL</t>
  </si>
  <si>
    <t>OTROS ACCESORIOS Y REPUESTOS</t>
  </si>
  <si>
    <t>OTROS MATERIALES Y UTILES</t>
  </si>
  <si>
    <t>OTROS SEGUROS DE BIENES MUEBLES E INMUEBLES</t>
  </si>
  <si>
    <t>OTROS SEGUROS PERSONALES</t>
  </si>
  <si>
    <t>OTROS SERVICIOS</t>
  </si>
  <si>
    <t>OTROS SERVICIOS SIMILARES - PERSONA JURÍDICA</t>
  </si>
  <si>
    <t>OTROS SERVICIOS SIMILARES - PERSONA NATURAL</t>
  </si>
  <si>
    <t>PAPELERIA EN GENERAL, UTILES Y MATERIALES DE OFICINA</t>
  </si>
  <si>
    <t>PARA EDIFICIOS Y ESTRUCTURAS</t>
  </si>
  <si>
    <t>PRACTICANTES, SECIGRISTAS Y SIMILARES</t>
  </si>
  <si>
    <t>PROPINAS PARA PRACTICANTES</t>
  </si>
  <si>
    <t>REALIZADO POR PERSONAS JURIDICAS</t>
  </si>
  <si>
    <t>SEGURO  DE VIDA</t>
  </si>
  <si>
    <t>SEGURO DE VEHICULOS</t>
  </si>
  <si>
    <t>SEGURO OBLIGATORIO ACCIDENTES DE TRANSITO (SOAT)</t>
  </si>
  <si>
    <t>SERVICIO DE AGUA Y DESAGUE</t>
  </si>
  <si>
    <t>SERVICIO DE CAPACITACION</t>
  </si>
  <si>
    <t>SERVICIO DE CAPACITACION Y PERFECCIONAMIENTO</t>
  </si>
  <si>
    <t>SERVICIO DE IMPRESIONES, ENCUADERNACION Y EMPASTADO</t>
  </si>
  <si>
    <t>SERVICIO DE INTERNET</t>
  </si>
  <si>
    <t>SERVICIO DE PUBLICIDAD, IMPRESIONES, DIFUSION E IMAGEN INSTITUCIONAL</t>
  </si>
  <si>
    <t>SERVICIO DE SUMINISTRO DE ENERGIA ELECTRICA</t>
  </si>
  <si>
    <t>SERVICIO DE TELEFONIA FIJA</t>
  </si>
  <si>
    <t>SERVICIO DE TELEFONIA MOVIL</t>
  </si>
  <si>
    <t>SERVICIO POR ATENCIONES Y CELEBRACIONES</t>
  </si>
  <si>
    <t>SERVICIOS ADMINISTRATIVOS</t>
  </si>
  <si>
    <t>SERVICIOS DE CONSULTORIAS Y SIMILARES DESARROLLADOS POR PERSONAS NATURALES</t>
  </si>
  <si>
    <t>SERVICIOS DE DIFUSIÓN EN EL DIARIO OFICIAL</t>
  </si>
  <si>
    <t>SERVICIOS DE ENERGIA ELECTRICA, AGUA Y GAS</t>
  </si>
  <si>
    <t>SERVICIOS DE MENSAJERIA, TELECOMUNICACIONES Y OTROS AFINES</t>
  </si>
  <si>
    <t>SERVICIOS DE ORGANIZACION DE EVENTOS</t>
  </si>
  <si>
    <t>SERVICIOS DE PROCESAMIENTO DE DATOS E INFORMATICA</t>
  </si>
  <si>
    <t>SERVICIOS DE SEGURIDAD Y VIGILANCIA</t>
  </si>
  <si>
    <t>SERVICIOS DE TELEFONIA E INTERNET</t>
  </si>
  <si>
    <t>SERVICIOS DIVERSOS</t>
  </si>
  <si>
    <t>SERVICIOS FINANCIEROS</t>
  </si>
  <si>
    <t>SERVICIOS PROFESIONALES Y TECNICOS - P. JURIDICA</t>
  </si>
  <si>
    <t>SERVICIOS PROFESIONALES Y TECNICOS - P. NATURAL</t>
  </si>
  <si>
    <t>SERVICIOS RELACIONADOS CON EL MEDIO AMBIENTE REALIZADO POR PERSONAS JURÍDICAS</t>
  </si>
  <si>
    <t>SERVICIOS TÉCNICOS DESARROLLADOS POR PERSONAS JURÍDICAS</t>
  </si>
  <si>
    <t>SERVICIOS TÉCNICOS DESARROLLADOS POR PERSONAS NATURALES</t>
  </si>
  <si>
    <t>SERVICIOS TÉCNICOS Y PROFESIONALES DESARROLLADOS POR PERSONAS JURÍDICAS</t>
  </si>
  <si>
    <t>SERVICIOS TÉCNICOS Y PROFESIONALES DESARROLLADOS POR PERSONAS NATURALES</t>
  </si>
  <si>
    <t>VESTUARIO Y TEXTILES</t>
  </si>
  <si>
    <t xml:space="preserve">VESTUARIO Y TEXTILES </t>
  </si>
  <si>
    <t>VESTUARIO, ACCESORIOS Y PRENDAS DIVERSAS</t>
  </si>
  <si>
    <t>VESTUARIOS Y TEXTILES</t>
  </si>
  <si>
    <t>VIAJES DOMESTICOS</t>
  </si>
  <si>
    <t>VIAJES INTERNACIONALES</t>
  </si>
  <si>
    <t>VIATICOS</t>
  </si>
  <si>
    <t>VIATICOS Y ASIGNACIONES POR COMISION DE SERVICIO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</si>
</sst>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 #,##0.00_-;_-* &quot;-&quot;??_-;_-@_-"/>
    <numFmt numFmtId="164" formatCode="[$-280A]d&quot; de &quot;mmmm&quot; de &quot;yyyy;@"/>
    <numFmt numFmtId="165" formatCode="_-* #,##0_-;\-* #,##0_-;_-* &quot;-&quot;??_-;_-@_-"/>
    <numFmt numFmtId="166" formatCode="0.0%"/>
    <numFmt numFmtId="167" formatCode="dd/mm/yyyy;@"/>
    <numFmt numFmtId="168" formatCode="#,##0.00_ ;\-#,##0.00\ "/>
    <numFmt numFmtId="169" formatCode="_ * #,##0.00_ ;_ * \-#,##0.00_ ;_ * &quot;-&quot;??_ ;_ @_ "/>
    <numFmt numFmtId="170" formatCode="_ * #,##0_ ;_ * \-#,##0_ ;_ * &quot;-&quot;??_ ;_ @_ "/>
    <numFmt numFmtId="171" formatCode="0.0"/>
    <numFmt numFmtId="172" formatCode="d\-m"/>
    <numFmt numFmtId="173" formatCode="#0.00"/>
    <numFmt numFmtId="174" formatCode="&quot;S/&quot;\ #,##0.00"/>
    <numFmt numFmtId="175" formatCode="&quot;S/&quot;\ #,##0"/>
    <numFmt numFmtId="176" formatCode="#,##0_ ;[Red]\-#,##0\ "/>
    <numFmt numFmtId="177" formatCode="&quot;S/.&quot;#,##0.00"/>
  </numFmts>
  <fonts count="35" x14ac:knownFonts="1">
    <font>
      <sz val="10"/>
      <name val="Arial"/>
    </font>
    <font>
      <sz val="11"/>
      <color theme="1"/>
      <name val="Calibri"/>
      <family val="2"/>
      <scheme val="minor"/>
    </font>
    <font>
      <sz val="10"/>
      <name val="Arial"/>
      <family val="2"/>
    </font>
    <font>
      <sz val="8"/>
      <name val="Arial"/>
      <family val="2"/>
    </font>
    <font>
      <b/>
      <sz val="10"/>
      <name val="Arial"/>
      <family val="2"/>
    </font>
    <font>
      <sz val="10"/>
      <name val="Arial Narrow"/>
      <family val="2"/>
    </font>
    <font>
      <sz val="10"/>
      <name val="Arial"/>
      <family val="2"/>
    </font>
    <font>
      <b/>
      <sz val="8"/>
      <name val="Arial"/>
      <family val="2"/>
    </font>
    <font>
      <sz val="10"/>
      <name val="Courier"/>
      <family val="3"/>
    </font>
    <font>
      <b/>
      <sz val="12"/>
      <name val="Arial"/>
      <family val="2"/>
    </font>
    <font>
      <sz val="9"/>
      <name val="Arial"/>
      <family val="2"/>
    </font>
    <font>
      <b/>
      <sz val="9"/>
      <name val="Arial"/>
      <family val="2"/>
    </font>
    <font>
      <b/>
      <sz val="9"/>
      <color indexed="8"/>
      <name val="Arial"/>
      <family val="2"/>
    </font>
    <font>
      <sz val="9"/>
      <color indexed="32"/>
      <name val="Arial"/>
      <family val="2"/>
    </font>
    <font>
      <sz val="9"/>
      <color indexed="8"/>
      <name val="Arial"/>
      <family val="2"/>
    </font>
    <font>
      <sz val="8"/>
      <color indexed="81"/>
      <name val="Tahoma"/>
      <family val="2"/>
    </font>
    <font>
      <sz val="12"/>
      <name val="Arial"/>
      <family val="2"/>
    </font>
    <font>
      <sz val="8"/>
      <name val="Calibri"/>
      <family val="2"/>
      <scheme val="minor"/>
    </font>
    <font>
      <b/>
      <sz val="8"/>
      <name val="Calibri"/>
      <family val="2"/>
      <scheme val="minor"/>
    </font>
    <font>
      <sz val="8"/>
      <color indexed="8"/>
      <name val="Arial"/>
      <family val="2"/>
    </font>
    <font>
      <b/>
      <u/>
      <sz val="8"/>
      <name val="Arial"/>
      <family val="2"/>
    </font>
    <font>
      <sz val="10"/>
      <name val="Arial"/>
    </font>
    <font>
      <b/>
      <sz val="11"/>
      <name val="Arial"/>
      <family val="2"/>
    </font>
    <font>
      <sz val="10"/>
      <color theme="0"/>
      <name val="Arial"/>
      <family val="2"/>
    </font>
    <font>
      <sz val="11"/>
      <color indexed="8"/>
      <name val="Calibri"/>
      <family val="2"/>
    </font>
    <font>
      <sz val="9"/>
      <color theme="1"/>
      <name val="Arial Narrow"/>
      <family val="2"/>
    </font>
    <font>
      <b/>
      <sz val="9"/>
      <color indexed="81"/>
      <name val="Tahoma"/>
      <family val="2"/>
    </font>
    <font>
      <sz val="9"/>
      <color indexed="81"/>
      <name val="Tahoma"/>
      <family val="2"/>
    </font>
    <font>
      <sz val="8"/>
      <color rgb="FF333333"/>
      <name val="Arial"/>
      <family val="2"/>
    </font>
    <font>
      <sz val="8"/>
      <color rgb="FF333333"/>
      <name val="Trebuchet MS"/>
      <family val="2"/>
    </font>
    <font>
      <sz val="12"/>
      <name val="Arial Narrow"/>
      <family val="2"/>
    </font>
    <font>
      <sz val="12"/>
      <color theme="1"/>
      <name val="Arial Narrow"/>
      <family val="2"/>
    </font>
    <font>
      <sz val="9"/>
      <color theme="1"/>
      <name val="Arial"/>
      <family val="2"/>
    </font>
    <font>
      <b/>
      <sz val="9"/>
      <name val="Calibri"/>
      <family val="2"/>
      <scheme val="minor"/>
    </font>
    <font>
      <sz val="9"/>
      <name val="Calibri"/>
      <family val="2"/>
      <scheme val="minor"/>
    </font>
  </fonts>
  <fills count="12">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3" tint="0.79998168889431442"/>
        <bgColor indexed="64"/>
      </patternFill>
    </fill>
    <fill>
      <patternFill patternType="solid">
        <fgColor theme="9" tint="-0.249977111117893"/>
        <bgColor indexed="64"/>
      </patternFill>
    </fill>
    <fill>
      <patternFill patternType="solid">
        <fgColor theme="9"/>
        <bgColor indexed="64"/>
      </patternFill>
    </fill>
    <fill>
      <patternFill patternType="solid">
        <fgColor theme="0" tint="-4.9989318521683403E-2"/>
        <bgColor indexed="64"/>
      </patternFill>
    </fill>
    <fill>
      <patternFill patternType="solid">
        <fgColor indexed="9"/>
        <bgColor indexed="64"/>
      </patternFill>
    </fill>
    <fill>
      <patternFill patternType="solid">
        <fgColor theme="2" tint="-0.249977111117893"/>
        <bgColor indexed="64"/>
      </patternFill>
    </fill>
  </fills>
  <borders count="121">
    <border>
      <left/>
      <right/>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ck">
        <color indexed="64"/>
      </bottom>
      <diagonal/>
    </border>
    <border>
      <left style="medium">
        <color indexed="64"/>
      </left>
      <right style="thin">
        <color indexed="64"/>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medium">
        <color indexed="64"/>
      </right>
      <top/>
      <bottom style="thick">
        <color indexed="64"/>
      </bottom>
      <diagonal/>
    </border>
    <border>
      <left style="thin">
        <color indexed="64"/>
      </left>
      <right style="thin">
        <color indexed="64"/>
      </right>
      <top/>
      <bottom style="thick">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bottom style="hair">
        <color indexed="64"/>
      </bottom>
      <diagonal/>
    </border>
    <border>
      <left style="medium">
        <color indexed="64"/>
      </left>
      <right style="medium">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thin">
        <color indexed="64"/>
      </top>
      <bottom/>
      <diagonal/>
    </border>
    <border>
      <left style="thin">
        <color indexed="64"/>
      </left>
      <right/>
      <top style="medium">
        <color indexed="64"/>
      </top>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hair">
        <color indexed="64"/>
      </top>
      <bottom/>
      <diagonal/>
    </border>
    <border>
      <left style="hair">
        <color indexed="30"/>
      </left>
      <right/>
      <top style="thin">
        <color auto="1"/>
      </top>
      <bottom style="thin">
        <color auto="1"/>
      </bottom>
      <diagonal/>
    </border>
    <border>
      <left/>
      <right style="hair">
        <color indexed="30"/>
      </right>
      <top style="thin">
        <color auto="1"/>
      </top>
      <bottom style="thin">
        <color auto="1"/>
      </bottom>
      <diagonal/>
    </border>
    <border>
      <left style="hair">
        <color indexed="30"/>
      </left>
      <right style="hair">
        <color indexed="30"/>
      </right>
      <top style="thin">
        <color auto="1"/>
      </top>
      <bottom style="thin">
        <color auto="1"/>
      </bottom>
      <diagonal/>
    </border>
    <border>
      <left style="medium">
        <color auto="1"/>
      </left>
      <right style="hair">
        <color indexed="30"/>
      </right>
      <top style="thin">
        <color auto="1"/>
      </top>
      <bottom style="thin">
        <color auto="1"/>
      </bottom>
      <diagonal/>
    </border>
    <border>
      <left style="hair">
        <color indexed="30"/>
      </left>
      <right style="medium">
        <color auto="1"/>
      </right>
      <top style="thin">
        <color auto="1"/>
      </top>
      <bottom style="thin">
        <color auto="1"/>
      </bottom>
      <diagonal/>
    </border>
  </borders>
  <cellStyleXfs count="48">
    <xf numFmtId="0" fontId="0" fillId="0" borderId="0"/>
    <xf numFmtId="0" fontId="5" fillId="0" borderId="0"/>
    <xf numFmtId="0" fontId="5" fillId="0" borderId="0"/>
    <xf numFmtId="49" fontId="8" fillId="0" borderId="0"/>
    <xf numFmtId="0" fontId="2" fillId="0" borderId="0"/>
    <xf numFmtId="43" fontId="21"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xf numFmtId="169" fontId="2" fillId="0" borderId="0" applyFont="0" applyFill="0" applyBorder="0" applyAlignment="0" applyProtection="0"/>
    <xf numFmtId="9" fontId="2" fillId="0" borderId="0" applyFont="0" applyFill="0" applyBorder="0" applyAlignment="0" applyProtection="0"/>
    <xf numFmtId="43" fontId="1" fillId="0" borderId="0" applyFont="0" applyFill="0" applyBorder="0" applyAlignment="0" applyProtection="0"/>
    <xf numFmtId="0" fontId="2"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169"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9" fontId="2" fillId="0" borderId="0" applyFont="0" applyFill="0" applyBorder="0" applyAlignment="0" applyProtection="0"/>
    <xf numFmtId="0" fontId="1" fillId="0" borderId="0"/>
    <xf numFmtId="169" fontId="24" fillId="0" borderId="0" applyFont="0" applyFill="0" applyBorder="0" applyAlignment="0" applyProtection="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21" fillId="0" borderId="0" applyFont="0" applyFill="0" applyBorder="0" applyAlignment="0" applyProtection="0"/>
  </cellStyleXfs>
  <cellXfs count="1537">
    <xf numFmtId="0" fontId="0" fillId="0" borderId="0" xfId="0"/>
    <xf numFmtId="0" fontId="3" fillId="0" borderId="0" xfId="0" applyFont="1" applyAlignment="1">
      <alignment horizontal="center" vertical="center" wrapText="1"/>
    </xf>
    <xf numFmtId="0" fontId="3" fillId="0" borderId="0" xfId="0" applyFont="1"/>
    <xf numFmtId="0" fontId="9" fillId="4" borderId="0" xfId="0" applyFont="1" applyFill="1" applyAlignment="1">
      <alignment vertical="center"/>
    </xf>
    <xf numFmtId="0" fontId="16" fillId="4" borderId="0" xfId="0" applyFont="1" applyFill="1" applyAlignment="1">
      <alignment vertical="center" wrapText="1"/>
    </xf>
    <xf numFmtId="0" fontId="16" fillId="4" borderId="0" xfId="0" applyFont="1" applyFill="1" applyAlignment="1">
      <alignment vertical="center"/>
    </xf>
    <xf numFmtId="0" fontId="0" fillId="0" borderId="0" xfId="0" applyAlignment="1">
      <alignment vertical="center"/>
    </xf>
    <xf numFmtId="0" fontId="0" fillId="0" borderId="0" xfId="0" applyAlignment="1">
      <alignment vertical="center" wrapText="1"/>
    </xf>
    <xf numFmtId="0" fontId="6" fillId="0" borderId="0" xfId="0" applyFont="1" applyAlignment="1">
      <alignment vertical="center"/>
    </xf>
    <xf numFmtId="0" fontId="4" fillId="0" borderId="0" xfId="0" applyFont="1" applyAlignment="1">
      <alignment vertical="center"/>
    </xf>
    <xf numFmtId="0" fontId="16" fillId="0" borderId="0" xfId="0" applyFont="1" applyFill="1" applyAlignment="1">
      <alignment vertical="center"/>
    </xf>
    <xf numFmtId="0" fontId="0" fillId="0" borderId="0" xfId="0" applyFill="1" applyAlignment="1">
      <alignment vertical="center"/>
    </xf>
    <xf numFmtId="0" fontId="6" fillId="0" borderId="0" xfId="0" applyFont="1" applyFill="1" applyAlignment="1">
      <alignment vertical="center"/>
    </xf>
    <xf numFmtId="0" fontId="7" fillId="0" borderId="0" xfId="0" applyFont="1" applyFill="1" applyAlignment="1">
      <alignment horizontal="left"/>
    </xf>
    <xf numFmtId="0" fontId="3" fillId="0" borderId="0" xfId="0" applyFont="1" applyFill="1" applyAlignment="1">
      <alignment horizontal="left"/>
    </xf>
    <xf numFmtId="0" fontId="7" fillId="0" borderId="0" xfId="2" applyFont="1" applyFill="1" applyAlignment="1">
      <alignment vertical="center"/>
    </xf>
    <xf numFmtId="0" fontId="3" fillId="0" borderId="0" xfId="0" applyFont="1" applyAlignment="1">
      <alignment horizontal="justify" vertical="center" wrapText="1"/>
    </xf>
    <xf numFmtId="0" fontId="18" fillId="0" borderId="0" xfId="0" applyFont="1" applyFill="1"/>
    <xf numFmtId="0" fontId="18" fillId="0" borderId="0" xfId="2" applyFont="1" applyFill="1" applyAlignment="1">
      <alignment vertical="center"/>
    </xf>
    <xf numFmtId="0" fontId="17" fillId="0" borderId="0" xfId="0" applyFont="1" applyFill="1"/>
    <xf numFmtId="0" fontId="17" fillId="0" borderId="0" xfId="0" applyFont="1"/>
    <xf numFmtId="0" fontId="18" fillId="0" borderId="0" xfId="0" applyFont="1"/>
    <xf numFmtId="0" fontId="17" fillId="0" borderId="0" xfId="0" applyFont="1" applyFill="1" applyAlignment="1">
      <alignment horizontal="centerContinuous"/>
    </xf>
    <xf numFmtId="0" fontId="18" fillId="0" borderId="0" xfId="0" applyFont="1" applyAlignment="1">
      <alignment horizontal="center" vertical="center" textRotation="90"/>
    </xf>
    <xf numFmtId="0" fontId="18" fillId="0" borderId="0" xfId="0" applyFont="1" applyFill="1" applyAlignment="1">
      <alignment horizontal="center" vertical="center" wrapText="1"/>
    </xf>
    <xf numFmtId="0" fontId="4" fillId="0" borderId="0" xfId="0" applyFont="1" applyAlignment="1">
      <alignment horizontal="center" vertical="center"/>
    </xf>
    <xf numFmtId="0" fontId="2" fillId="0" borderId="28" xfId="0" applyFont="1" applyFill="1" applyBorder="1" applyAlignment="1">
      <alignment horizontal="left" indent="2"/>
    </xf>
    <xf numFmtId="0" fontId="2" fillId="0" borderId="0" xfId="0" applyFont="1" applyFill="1"/>
    <xf numFmtId="0" fontId="4" fillId="6" borderId="28" xfId="0" applyFont="1" applyFill="1" applyBorder="1"/>
    <xf numFmtId="0" fontId="2" fillId="0" borderId="0" xfId="0" applyFont="1" applyFill="1" applyBorder="1"/>
    <xf numFmtId="0" fontId="4" fillId="6" borderId="28" xfId="0" applyFont="1" applyFill="1" applyBorder="1" applyAlignment="1">
      <alignment horizontal="right" vertical="center"/>
    </xf>
    <xf numFmtId="0" fontId="4" fillId="6" borderId="28" xfId="0" applyFont="1" applyFill="1" applyBorder="1" applyAlignment="1">
      <alignment vertical="center"/>
    </xf>
    <xf numFmtId="0" fontId="2" fillId="0" borderId="0" xfId="0" applyFont="1" applyFill="1" applyAlignment="1">
      <alignment vertical="center"/>
    </xf>
    <xf numFmtId="0" fontId="4" fillId="6" borderId="28" xfId="0" applyFont="1" applyFill="1" applyBorder="1" applyAlignment="1">
      <alignment horizontal="right" vertical="center" indent="2"/>
    </xf>
    <xf numFmtId="0" fontId="17" fillId="0" borderId="0" xfId="0" applyFont="1"/>
    <xf numFmtId="0" fontId="4" fillId="7" borderId="28" xfId="0" applyFont="1" applyFill="1" applyBorder="1" applyAlignment="1">
      <alignment horizontal="center" vertical="center" wrapText="1"/>
    </xf>
    <xf numFmtId="0" fontId="4" fillId="7" borderId="28" xfId="0" applyFont="1" applyFill="1" applyBorder="1" applyAlignment="1">
      <alignment horizontal="center" vertical="center"/>
    </xf>
    <xf numFmtId="0" fontId="3" fillId="0" borderId="0" xfId="0" applyFont="1" applyFill="1" applyAlignment="1">
      <alignment horizontal="centerContinuous"/>
    </xf>
    <xf numFmtId="0" fontId="3" fillId="0" borderId="0" xfId="0" applyFont="1" applyFill="1"/>
    <xf numFmtId="0" fontId="7" fillId="0" borderId="0" xfId="0" quotePrefix="1" applyFont="1" applyFill="1" applyAlignment="1"/>
    <xf numFmtId="0" fontId="7" fillId="7" borderId="42" xfId="0" applyFont="1" applyFill="1" applyBorder="1" applyAlignment="1">
      <alignment horizontal="center" vertical="center" textRotation="90" wrapText="1"/>
    </xf>
    <xf numFmtId="0" fontId="7" fillId="7" borderId="16" xfId="0" applyFont="1" applyFill="1" applyBorder="1" applyAlignment="1">
      <alignment horizontal="center" vertical="center" textRotation="90" wrapText="1"/>
    </xf>
    <xf numFmtId="0" fontId="7" fillId="7" borderId="15" xfId="0" applyFont="1" applyFill="1" applyBorder="1" applyAlignment="1">
      <alignment horizontal="center" vertical="center" textRotation="90" wrapText="1"/>
    </xf>
    <xf numFmtId="0" fontId="7" fillId="7" borderId="18" xfId="0" applyFont="1" applyFill="1" applyBorder="1" applyAlignment="1">
      <alignment horizontal="center" vertical="center" textRotation="90" wrapText="1"/>
    </xf>
    <xf numFmtId="0" fontId="7" fillId="0" borderId="12" xfId="0" applyFont="1" applyBorder="1" applyAlignment="1">
      <alignment horizontal="center" wrapText="1"/>
    </xf>
    <xf numFmtId="0" fontId="7" fillId="0" borderId="58" xfId="0" applyFont="1" applyBorder="1" applyAlignment="1">
      <alignment horizontal="center"/>
    </xf>
    <xf numFmtId="0" fontId="7" fillId="0" borderId="49" xfId="0" applyFont="1" applyBorder="1" applyAlignment="1">
      <alignment horizontal="center"/>
    </xf>
    <xf numFmtId="0" fontId="7" fillId="0" borderId="13" xfId="0" applyFont="1" applyBorder="1" applyAlignment="1">
      <alignment horizontal="center"/>
    </xf>
    <xf numFmtId="0" fontId="7" fillId="0" borderId="4" xfId="0" applyFont="1" applyBorder="1" applyAlignment="1">
      <alignment horizontal="center"/>
    </xf>
    <xf numFmtId="0" fontId="20" fillId="0" borderId="14" xfId="0" applyFont="1" applyFill="1" applyBorder="1" applyAlignment="1">
      <alignment wrapText="1"/>
    </xf>
    <xf numFmtId="3" fontId="7" fillId="0" borderId="56" xfId="0" applyNumberFormat="1" applyFont="1" applyBorder="1"/>
    <xf numFmtId="3" fontId="7" fillId="0" borderId="49" xfId="0" applyNumberFormat="1" applyFont="1" applyBorder="1"/>
    <xf numFmtId="3" fontId="7" fillId="0" borderId="13" xfId="0" applyNumberFormat="1" applyFont="1" applyBorder="1"/>
    <xf numFmtId="3" fontId="7" fillId="0" borderId="4" xfId="0" applyNumberFormat="1" applyFont="1" applyBorder="1"/>
    <xf numFmtId="0" fontId="3" fillId="0" borderId="14" xfId="0" applyFont="1" applyFill="1" applyBorder="1" applyAlignment="1">
      <alignment wrapText="1"/>
    </xf>
    <xf numFmtId="3" fontId="3" fillId="0" borderId="56" xfId="0" applyNumberFormat="1" applyFont="1" applyBorder="1"/>
    <xf numFmtId="3" fontId="3" fillId="0" borderId="49" xfId="0" applyNumberFormat="1" applyFont="1" applyBorder="1"/>
    <xf numFmtId="3" fontId="3" fillId="0" borderId="13" xfId="0" applyNumberFormat="1" applyFont="1" applyBorder="1"/>
    <xf numFmtId="3" fontId="3" fillId="0" borderId="4" xfId="0" applyNumberFormat="1" applyFont="1" applyBorder="1"/>
    <xf numFmtId="0" fontId="7" fillId="0" borderId="14" xfId="0" applyFont="1" applyFill="1" applyBorder="1" applyAlignment="1">
      <alignment wrapText="1"/>
    </xf>
    <xf numFmtId="0" fontId="3" fillId="0" borderId="14" xfId="0" applyFont="1" applyFill="1" applyBorder="1" applyAlignment="1">
      <alignment horizontal="left" wrapText="1"/>
    </xf>
    <xf numFmtId="0" fontId="3" fillId="0" borderId="14" xfId="0" quotePrefix="1" applyFont="1" applyFill="1" applyBorder="1" applyAlignment="1">
      <alignment horizontal="left" wrapText="1"/>
    </xf>
    <xf numFmtId="0" fontId="20" fillId="0" borderId="14" xfId="0" applyFont="1" applyFill="1" applyBorder="1" applyAlignment="1">
      <alignment horizontal="left" wrapText="1"/>
    </xf>
    <xf numFmtId="0" fontId="7" fillId="0" borderId="45" xfId="0" applyFont="1" applyFill="1" applyBorder="1" applyAlignment="1">
      <alignment horizontal="center" wrapText="1"/>
    </xf>
    <xf numFmtId="3" fontId="7" fillId="0" borderId="68" xfId="0" applyNumberFormat="1" applyFont="1" applyFill="1" applyBorder="1"/>
    <xf numFmtId="3" fontId="7" fillId="0" borderId="69" xfId="0" applyNumberFormat="1" applyFont="1" applyFill="1" applyBorder="1"/>
    <xf numFmtId="3" fontId="7" fillId="0" borderId="70" xfId="0" applyNumberFormat="1" applyFont="1" applyFill="1" applyBorder="1"/>
    <xf numFmtId="3" fontId="7" fillId="0" borderId="67" xfId="0" applyNumberFormat="1" applyFont="1" applyFill="1" applyBorder="1"/>
    <xf numFmtId="0" fontId="7" fillId="0" borderId="5" xfId="0" applyFont="1" applyFill="1" applyBorder="1" applyAlignment="1">
      <alignment horizontal="center" wrapText="1"/>
    </xf>
    <xf numFmtId="3" fontId="7" fillId="0" borderId="42" xfId="0" applyNumberFormat="1" applyFont="1" applyFill="1" applyBorder="1"/>
    <xf numFmtId="3" fontId="7" fillId="0" borderId="20" xfId="0" applyNumberFormat="1" applyFont="1" applyFill="1" applyBorder="1"/>
    <xf numFmtId="3" fontId="7" fillId="0" borderId="15" xfId="0" applyNumberFormat="1" applyFont="1" applyFill="1" applyBorder="1"/>
    <xf numFmtId="3" fontId="7" fillId="0" borderId="18" xfId="0" applyNumberFormat="1" applyFont="1" applyFill="1" applyBorder="1"/>
    <xf numFmtId="3" fontId="7" fillId="0" borderId="71" xfId="0" applyNumberFormat="1" applyFont="1" applyFill="1" applyBorder="1"/>
    <xf numFmtId="3" fontId="7" fillId="0" borderId="43" xfId="0" applyNumberFormat="1" applyFont="1" applyFill="1" applyBorder="1"/>
    <xf numFmtId="3" fontId="7" fillId="0" borderId="72" xfId="0" applyNumberFormat="1" applyFont="1" applyFill="1" applyBorder="1"/>
    <xf numFmtId="3" fontId="7" fillId="0" borderId="16" xfId="0" applyNumberFormat="1" applyFont="1" applyFill="1" applyBorder="1"/>
    <xf numFmtId="0" fontId="0" fillId="5" borderId="0" xfId="0" applyFill="1" applyAlignment="1">
      <alignment horizontal="left" vertical="center" wrapText="1"/>
    </xf>
    <xf numFmtId="0" fontId="0" fillId="0" borderId="0" xfId="0" applyAlignment="1">
      <alignment horizontal="left" vertical="center"/>
    </xf>
    <xf numFmtId="0" fontId="0" fillId="0" borderId="0" xfId="0" applyFill="1" applyAlignment="1">
      <alignment horizontal="left" vertical="center"/>
    </xf>
    <xf numFmtId="0" fontId="4" fillId="6" borderId="36" xfId="0" applyFont="1" applyFill="1" applyBorder="1" applyAlignment="1">
      <alignment horizontal="right" vertical="center"/>
    </xf>
    <xf numFmtId="0" fontId="3" fillId="0" borderId="74" xfId="0" applyFont="1" applyFill="1" applyBorder="1" applyAlignment="1">
      <alignment horizontal="left" indent="2"/>
    </xf>
    <xf numFmtId="0" fontId="3" fillId="0" borderId="0" xfId="0" applyFont="1" applyFill="1" applyBorder="1" applyAlignment="1">
      <alignment horizontal="left" indent="2"/>
    </xf>
    <xf numFmtId="0" fontId="4" fillId="0" borderId="28" xfId="0" applyFont="1" applyBorder="1" applyAlignment="1">
      <alignment horizontal="left" vertical="center"/>
    </xf>
    <xf numFmtId="0" fontId="7" fillId="7" borderId="33" xfId="0" applyFont="1" applyFill="1" applyBorder="1" applyAlignment="1">
      <alignment horizontal="center" vertical="center" wrapText="1"/>
    </xf>
    <xf numFmtId="0" fontId="2" fillId="0" borderId="28" xfId="0" applyFont="1" applyFill="1" applyBorder="1" applyAlignment="1">
      <alignment vertical="center"/>
    </xf>
    <xf numFmtId="3" fontId="2" fillId="0" borderId="28" xfId="0" applyNumberFormat="1" applyFont="1" applyFill="1" applyBorder="1" applyAlignment="1">
      <alignment vertical="center"/>
    </xf>
    <xf numFmtId="3" fontId="0" fillId="0" borderId="0" xfId="0" applyNumberFormat="1"/>
    <xf numFmtId="3" fontId="4" fillId="6" borderId="28" xfId="0" applyNumberFormat="1" applyFont="1" applyFill="1" applyBorder="1" applyAlignment="1">
      <alignment vertical="center"/>
    </xf>
    <xf numFmtId="0" fontId="22" fillId="0" borderId="0" xfId="0" applyFont="1" applyFill="1" applyAlignment="1">
      <alignment horizontal="left"/>
    </xf>
    <xf numFmtId="0" fontId="22" fillId="0" borderId="0" xfId="2" applyFont="1" applyFill="1" applyAlignment="1">
      <alignment vertical="center"/>
    </xf>
    <xf numFmtId="165" fontId="4" fillId="6" borderId="28" xfId="5" applyNumberFormat="1" applyFont="1" applyFill="1" applyBorder="1"/>
    <xf numFmtId="165" fontId="2" fillId="0" borderId="28" xfId="5" applyNumberFormat="1" applyFont="1" applyFill="1" applyBorder="1"/>
    <xf numFmtId="165" fontId="4" fillId="6" borderId="28" xfId="5" applyNumberFormat="1" applyFont="1" applyFill="1" applyBorder="1" applyAlignment="1">
      <alignment vertical="center"/>
    </xf>
    <xf numFmtId="165" fontId="0" fillId="0" borderId="0" xfId="5" applyNumberFormat="1" applyFont="1"/>
    <xf numFmtId="165" fontId="0" fillId="0" borderId="0" xfId="0" applyNumberFormat="1"/>
    <xf numFmtId="0" fontId="2" fillId="0" borderId="0" xfId="0" applyFont="1" applyFill="1" applyBorder="1" applyAlignment="1">
      <alignment vertical="center"/>
    </xf>
    <xf numFmtId="0" fontId="2" fillId="0" borderId="28" xfId="0" applyFont="1" applyFill="1" applyBorder="1" applyAlignment="1">
      <alignment horizontal="left" vertical="center"/>
    </xf>
    <xf numFmtId="165" fontId="2" fillId="0" borderId="28" xfId="5" applyNumberFormat="1" applyFont="1" applyFill="1" applyBorder="1" applyAlignment="1">
      <alignment vertical="center"/>
    </xf>
    <xf numFmtId="3" fontId="23" fillId="0" borderId="0" xfId="0" applyNumberFormat="1" applyFont="1"/>
    <xf numFmtId="0" fontId="23" fillId="0" borderId="0" xfId="0" applyFont="1"/>
    <xf numFmtId="0" fontId="7" fillId="0" borderId="0" xfId="2" applyFont="1" applyFill="1" applyAlignment="1">
      <alignment vertical="center"/>
    </xf>
    <xf numFmtId="0" fontId="18" fillId="0" borderId="0" xfId="2" applyFont="1" applyFill="1" applyAlignment="1">
      <alignment vertical="center"/>
    </xf>
    <xf numFmtId="0" fontId="10" fillId="0" borderId="6" xfId="4" applyFont="1" applyBorder="1" applyAlignment="1">
      <alignment vertical="center"/>
    </xf>
    <xf numFmtId="0" fontId="10" fillId="0" borderId="12" xfId="4" applyFont="1" applyBorder="1" applyAlignment="1">
      <alignment vertical="center"/>
    </xf>
    <xf numFmtId="49" fontId="10" fillId="0" borderId="3" xfId="4" applyNumberFormat="1" applyFont="1" applyBorder="1" applyAlignment="1">
      <alignment horizontal="left" vertical="center"/>
    </xf>
    <xf numFmtId="0" fontId="10" fillId="0" borderId="7" xfId="4" applyFont="1" applyBorder="1" applyAlignment="1">
      <alignment horizontal="right" vertical="center"/>
    </xf>
    <xf numFmtId="0" fontId="10" fillId="3" borderId="11" xfId="4" applyFont="1" applyFill="1" applyBorder="1" applyAlignment="1">
      <alignment horizontal="right" vertical="center"/>
    </xf>
    <xf numFmtId="0" fontId="11" fillId="3" borderId="11" xfId="4" applyFont="1" applyFill="1" applyBorder="1" applyAlignment="1">
      <alignment horizontal="right" vertical="center"/>
    </xf>
    <xf numFmtId="0" fontId="11" fillId="3" borderId="40" xfId="4" applyNumberFormat="1" applyFont="1" applyFill="1" applyBorder="1" applyAlignment="1">
      <alignment vertical="center"/>
    </xf>
    <xf numFmtId="0" fontId="11" fillId="0" borderId="3" xfId="4" applyFont="1" applyBorder="1" applyAlignment="1">
      <alignment horizontal="left" vertical="center"/>
    </xf>
    <xf numFmtId="0" fontId="10" fillId="0" borderId="0" xfId="4" applyFont="1" applyAlignment="1">
      <alignment vertical="center"/>
    </xf>
    <xf numFmtId="0" fontId="10" fillId="0" borderId="75" xfId="4" applyFont="1" applyBorder="1" applyAlignment="1">
      <alignment vertical="center"/>
    </xf>
    <xf numFmtId="0" fontId="10" fillId="0" borderId="78" xfId="4" applyFont="1" applyBorder="1" applyAlignment="1">
      <alignment vertical="center"/>
    </xf>
    <xf numFmtId="0" fontId="10" fillId="0" borderId="75" xfId="4" applyFont="1" applyBorder="1"/>
    <xf numFmtId="0" fontId="10" fillId="0" borderId="77" xfId="4" applyFont="1" applyBorder="1" applyAlignment="1">
      <alignment horizontal="center"/>
    </xf>
    <xf numFmtId="3" fontId="10" fillId="0" borderId="77" xfId="4" applyNumberFormat="1" applyFont="1" applyBorder="1" applyAlignment="1">
      <alignment horizontal="center"/>
    </xf>
    <xf numFmtId="3" fontId="10" fillId="0" borderId="76" xfId="4" applyNumberFormat="1" applyFont="1" applyBorder="1" applyAlignment="1">
      <alignment horizontal="center"/>
    </xf>
    <xf numFmtId="0" fontId="10" fillId="0" borderId="78" xfId="4" applyFont="1" applyBorder="1"/>
    <xf numFmtId="3" fontId="10" fillId="0" borderId="80" xfId="4" applyNumberFormat="1" applyFont="1" applyBorder="1" applyAlignment="1">
      <alignment horizontal="center"/>
    </xf>
    <xf numFmtId="3" fontId="10" fillId="0" borderId="79" xfId="4" applyNumberFormat="1" applyFont="1" applyBorder="1" applyAlignment="1">
      <alignment horizontal="center"/>
    </xf>
    <xf numFmtId="3" fontId="10" fillId="0" borderId="77" xfId="4" applyNumberFormat="1" applyFont="1" applyBorder="1"/>
    <xf numFmtId="167" fontId="10" fillId="0" borderId="75" xfId="4" applyNumberFormat="1" applyFont="1" applyBorder="1" applyAlignment="1">
      <alignment horizontal="center"/>
    </xf>
    <xf numFmtId="168" fontId="10" fillId="0" borderId="77" xfId="4" applyNumberFormat="1" applyFont="1" applyBorder="1"/>
    <xf numFmtId="3" fontId="10" fillId="0" borderId="80" xfId="4" applyNumberFormat="1" applyFont="1" applyBorder="1"/>
    <xf numFmtId="167" fontId="10" fillId="0" borderId="78" xfId="4" applyNumberFormat="1" applyFont="1" applyBorder="1" applyAlignment="1">
      <alignment horizontal="center"/>
    </xf>
    <xf numFmtId="168" fontId="10" fillId="0" borderId="80" xfId="4" applyNumberFormat="1" applyFont="1" applyBorder="1"/>
    <xf numFmtId="3" fontId="10" fillId="5" borderId="80" xfId="4" applyNumberFormat="1" applyFont="1" applyFill="1" applyBorder="1"/>
    <xf numFmtId="0" fontId="10" fillId="0" borderId="78" xfId="4" applyFont="1" applyBorder="1" applyAlignment="1">
      <alignment horizontal="center" vertical="center"/>
    </xf>
    <xf numFmtId="167" fontId="10" fillId="5" borderId="46" xfId="4" applyNumberFormat="1" applyFont="1" applyFill="1" applyBorder="1" applyAlignment="1">
      <alignment horizontal="center" vertical="center" wrapText="1"/>
    </xf>
    <xf numFmtId="0" fontId="10" fillId="0" borderId="0" xfId="4" applyFont="1" applyBorder="1" applyAlignment="1">
      <alignment vertical="center"/>
    </xf>
    <xf numFmtId="0" fontId="11" fillId="0" borderId="0" xfId="4" applyFont="1" applyAlignment="1">
      <alignment vertical="center"/>
    </xf>
    <xf numFmtId="0" fontId="3" fillId="0" borderId="73" xfId="4" applyFont="1" applyBorder="1" applyAlignment="1">
      <alignment horizontal="center" vertical="center" wrapText="1"/>
    </xf>
    <xf numFmtId="49" fontId="3" fillId="0" borderId="28" xfId="4" applyNumberFormat="1" applyFont="1" applyBorder="1" applyAlignment="1">
      <alignment horizontal="center" vertical="center" wrapText="1"/>
    </xf>
    <xf numFmtId="0" fontId="7" fillId="7" borderId="28" xfId="0" applyFont="1" applyFill="1" applyBorder="1" applyAlignment="1">
      <alignment horizontal="center" vertical="center" wrapText="1"/>
    </xf>
    <xf numFmtId="0" fontId="10" fillId="0" borderId="28" xfId="0" applyFont="1" applyBorder="1" applyAlignment="1">
      <alignment horizontal="justify" vertical="center" wrapText="1"/>
    </xf>
    <xf numFmtId="0" fontId="10" fillId="0" borderId="28" xfId="0" applyFont="1" applyBorder="1" applyAlignment="1">
      <alignment horizontal="center" vertical="center" wrapText="1"/>
    </xf>
    <xf numFmtId="0" fontId="10" fillId="0" borderId="28" xfId="0" applyFont="1" applyFill="1" applyBorder="1" applyAlignment="1">
      <alignment horizontal="justify" vertical="center" wrapText="1"/>
    </xf>
    <xf numFmtId="9" fontId="10" fillId="0" borderId="28" xfId="0" applyNumberFormat="1" applyFont="1" applyBorder="1" applyAlignment="1">
      <alignment horizontal="center" vertical="center" wrapText="1"/>
    </xf>
    <xf numFmtId="0" fontId="10" fillId="0" borderId="28" xfId="0" applyFont="1" applyFill="1" applyBorder="1" applyAlignment="1">
      <alignment horizontal="center" vertical="center" wrapText="1"/>
    </xf>
    <xf numFmtId="0" fontId="11" fillId="7" borderId="31" xfId="4" applyFont="1" applyFill="1" applyBorder="1" applyAlignment="1">
      <alignment horizontal="center" vertical="center" wrapText="1"/>
    </xf>
    <xf numFmtId="0" fontId="11" fillId="7" borderId="28" xfId="4" applyFont="1" applyFill="1" applyBorder="1" applyAlignment="1">
      <alignment horizontal="center" vertical="center" wrapText="1"/>
    </xf>
    <xf numFmtId="0" fontId="11" fillId="7" borderId="29" xfId="4" applyFont="1" applyFill="1" applyBorder="1" applyAlignment="1">
      <alignment horizontal="center" vertical="center" wrapText="1"/>
    </xf>
    <xf numFmtId="0" fontId="10" fillId="0" borderId="28" xfId="4" applyFont="1" applyBorder="1" applyAlignment="1">
      <alignment horizontal="justify" vertical="center" wrapText="1"/>
    </xf>
    <xf numFmtId="0" fontId="10" fillId="0" borderId="28" xfId="4" applyFont="1" applyBorder="1" applyAlignment="1">
      <alignment horizontal="center" vertical="center" wrapText="1"/>
    </xf>
    <xf numFmtId="3" fontId="10" fillId="0" borderId="28" xfId="4" applyNumberFormat="1" applyFont="1" applyBorder="1" applyAlignment="1">
      <alignment horizontal="center" vertical="center" wrapText="1"/>
    </xf>
    <xf numFmtId="3" fontId="10" fillId="0" borderId="29" xfId="4" applyNumberFormat="1" applyFont="1" applyBorder="1" applyAlignment="1">
      <alignment horizontal="center" vertical="center" wrapText="1"/>
    </xf>
    <xf numFmtId="4" fontId="10" fillId="0" borderId="28" xfId="4" applyNumberFormat="1" applyFont="1" applyBorder="1" applyAlignment="1">
      <alignment horizontal="center" vertical="center" wrapText="1"/>
    </xf>
    <xf numFmtId="0" fontId="10" fillId="0" borderId="26" xfId="4" applyFont="1" applyBorder="1" applyAlignment="1">
      <alignment horizontal="justify" vertical="center" wrapText="1"/>
    </xf>
    <xf numFmtId="10" fontId="10" fillId="0" borderId="28" xfId="4" applyNumberFormat="1" applyFont="1" applyBorder="1" applyAlignment="1">
      <alignment horizontal="center" vertical="center" wrapText="1"/>
    </xf>
    <xf numFmtId="9" fontId="10" fillId="0" borderId="28" xfId="4" applyNumberFormat="1" applyFont="1" applyBorder="1" applyAlignment="1">
      <alignment horizontal="center" vertical="center" wrapText="1"/>
    </xf>
    <xf numFmtId="9" fontId="10" fillId="0" borderId="29" xfId="4" applyNumberFormat="1" applyFont="1" applyBorder="1" applyAlignment="1">
      <alignment horizontal="center" vertical="center" wrapText="1"/>
    </xf>
    <xf numFmtId="0" fontId="10" fillId="0" borderId="110" xfId="4" applyFont="1" applyBorder="1" applyAlignment="1">
      <alignment horizontal="center" vertical="center" wrapText="1"/>
    </xf>
    <xf numFmtId="9" fontId="25" fillId="0" borderId="28" xfId="4" applyNumberFormat="1" applyFont="1" applyBorder="1" applyAlignment="1">
      <alignment horizontal="center" vertical="center"/>
    </xf>
    <xf numFmtId="0" fontId="10" fillId="0" borderId="2" xfId="4" applyFont="1" applyBorder="1" applyAlignment="1">
      <alignment horizontal="center" vertical="center" wrapText="1"/>
    </xf>
    <xf numFmtId="171" fontId="10" fillId="0" borderId="29" xfId="4" applyNumberFormat="1" applyFont="1" applyBorder="1" applyAlignment="1">
      <alignment horizontal="center" vertical="center" wrapText="1"/>
    </xf>
    <xf numFmtId="0" fontId="10" fillId="0" borderId="39" xfId="4" applyFont="1" applyBorder="1" applyAlignment="1">
      <alignment horizontal="justify" vertical="center" wrapText="1"/>
    </xf>
    <xf numFmtId="0" fontId="10" fillId="0" borderId="41" xfId="4" applyFont="1" applyBorder="1" applyAlignment="1">
      <alignment horizontal="justify" vertical="center" wrapText="1"/>
    </xf>
    <xf numFmtId="0" fontId="10" fillId="0" borderId="41" xfId="4" applyFont="1" applyBorder="1" applyAlignment="1">
      <alignment horizontal="center" vertical="center" wrapText="1"/>
    </xf>
    <xf numFmtId="9" fontId="10" fillId="0" borderId="41" xfId="4" applyNumberFormat="1" applyFont="1" applyBorder="1" applyAlignment="1">
      <alignment horizontal="center" vertical="center" wrapText="1"/>
    </xf>
    <xf numFmtId="9" fontId="10" fillId="0" borderId="41" xfId="12" applyNumberFormat="1" applyFont="1" applyBorder="1" applyAlignment="1">
      <alignment horizontal="center" vertical="center" wrapText="1"/>
    </xf>
    <xf numFmtId="9" fontId="10" fillId="0" borderId="40" xfId="4" applyNumberFormat="1" applyFont="1" applyBorder="1" applyAlignment="1">
      <alignment horizontal="center" vertical="center" wrapText="1"/>
    </xf>
    <xf numFmtId="0" fontId="10" fillId="5" borderId="32" xfId="0" applyFont="1" applyFill="1" applyBorder="1" applyAlignment="1">
      <alignment vertical="center" wrapText="1"/>
    </xf>
    <xf numFmtId="0" fontId="10" fillId="5" borderId="32" xfId="0" applyFont="1" applyFill="1" applyBorder="1" applyAlignment="1">
      <alignment horizontal="justify" vertical="center" wrapText="1"/>
    </xf>
    <xf numFmtId="9" fontId="10" fillId="5" borderId="32" xfId="0" applyNumberFormat="1" applyFont="1" applyFill="1" applyBorder="1" applyAlignment="1">
      <alignment horizontal="center" vertical="center"/>
    </xf>
    <xf numFmtId="0" fontId="10" fillId="5" borderId="32" xfId="0" applyFont="1" applyFill="1" applyBorder="1" applyAlignment="1">
      <alignment horizontal="left" vertical="center" wrapText="1"/>
    </xf>
    <xf numFmtId="0" fontId="10" fillId="5" borderId="28" xfId="0" applyFont="1" applyFill="1" applyBorder="1" applyAlignment="1">
      <alignment vertical="center" wrapText="1"/>
    </xf>
    <xf numFmtId="0" fontId="10" fillId="5" borderId="28" xfId="0" applyFont="1" applyFill="1" applyBorder="1" applyAlignment="1">
      <alignment horizontal="center" vertical="center" wrapText="1"/>
    </xf>
    <xf numFmtId="9" fontId="10" fillId="5" borderId="28" xfId="0" applyNumberFormat="1" applyFont="1" applyFill="1" applyBorder="1" applyAlignment="1">
      <alignment horizontal="center" vertical="center" wrapText="1"/>
    </xf>
    <xf numFmtId="0" fontId="10" fillId="5" borderId="28" xfId="0" applyFont="1" applyFill="1" applyBorder="1" applyAlignment="1">
      <alignment horizontal="left" vertical="center" wrapText="1"/>
    </xf>
    <xf numFmtId="0" fontId="10" fillId="5" borderId="41" xfId="0" applyFont="1" applyFill="1" applyBorder="1" applyAlignment="1">
      <alignment horizontal="center" vertical="center" wrapText="1"/>
    </xf>
    <xf numFmtId="0" fontId="10" fillId="5" borderId="41" xfId="0" applyFont="1" applyFill="1" applyBorder="1" applyAlignment="1">
      <alignment vertical="center" wrapText="1"/>
    </xf>
    <xf numFmtId="9" fontId="10" fillId="5" borderId="41" xfId="0" applyNumberFormat="1" applyFont="1" applyFill="1" applyBorder="1" applyAlignment="1">
      <alignment horizontal="center" vertical="center" wrapText="1"/>
    </xf>
    <xf numFmtId="0" fontId="10" fillId="5" borderId="41" xfId="0" applyFont="1" applyFill="1" applyBorder="1" applyAlignment="1">
      <alignment horizontal="left" vertical="center" wrapText="1"/>
    </xf>
    <xf numFmtId="166" fontId="10" fillId="5" borderId="32" xfId="0" applyNumberFormat="1" applyFont="1" applyFill="1" applyBorder="1" applyAlignment="1">
      <alignment horizontal="center" vertical="center"/>
    </xf>
    <xf numFmtId="166" fontId="10" fillId="5" borderId="48" xfId="0" applyNumberFormat="1" applyFont="1" applyFill="1" applyBorder="1" applyAlignment="1">
      <alignment horizontal="center" vertical="center"/>
    </xf>
    <xf numFmtId="166" fontId="10" fillId="5" borderId="28" xfId="0" applyNumberFormat="1" applyFont="1" applyFill="1" applyBorder="1" applyAlignment="1">
      <alignment horizontal="center" vertical="center" wrapText="1"/>
    </xf>
    <xf numFmtId="166" fontId="10" fillId="5" borderId="41" xfId="0" applyNumberFormat="1" applyFont="1" applyFill="1" applyBorder="1" applyAlignment="1">
      <alignment horizontal="center" vertical="center" wrapText="1"/>
    </xf>
    <xf numFmtId="0" fontId="11" fillId="7" borderId="32" xfId="0" applyFont="1" applyFill="1" applyBorder="1" applyAlignment="1">
      <alignment horizontal="center" vertical="center" wrapText="1"/>
    </xf>
    <xf numFmtId="0" fontId="11" fillId="7" borderId="23" xfId="0" applyFont="1" applyFill="1" applyBorder="1" applyAlignment="1">
      <alignment horizontal="center" vertical="center" wrapText="1"/>
    </xf>
    <xf numFmtId="0" fontId="10" fillId="5" borderId="32" xfId="0" applyFont="1" applyFill="1" applyBorder="1" applyAlignment="1">
      <alignment horizontal="center" vertical="center" wrapText="1"/>
    </xf>
    <xf numFmtId="0" fontId="11" fillId="7" borderId="31" xfId="0" applyFont="1" applyFill="1" applyBorder="1" applyAlignment="1">
      <alignment horizontal="center" vertical="center" wrapText="1"/>
    </xf>
    <xf numFmtId="0" fontId="11" fillId="7" borderId="25" xfId="0" applyFont="1" applyFill="1" applyBorder="1" applyAlignment="1">
      <alignment horizontal="center" vertical="center" wrapText="1"/>
    </xf>
    <xf numFmtId="9" fontId="10" fillId="5" borderId="31" xfId="0" applyNumberFormat="1" applyFont="1" applyFill="1" applyBorder="1" applyAlignment="1">
      <alignment horizontal="center" vertical="center"/>
    </xf>
    <xf numFmtId="166" fontId="10" fillId="5" borderId="29" xfId="0" applyNumberFormat="1" applyFont="1" applyFill="1" applyBorder="1" applyAlignment="1">
      <alignment horizontal="center" vertical="center" wrapText="1"/>
    </xf>
    <xf numFmtId="166" fontId="10" fillId="5" borderId="40" xfId="0" applyNumberFormat="1" applyFont="1" applyFill="1" applyBorder="1" applyAlignment="1">
      <alignment horizontal="center" vertical="center" wrapText="1"/>
    </xf>
    <xf numFmtId="0" fontId="10" fillId="0" borderId="0" xfId="0" applyFont="1" applyBorder="1" applyAlignment="1">
      <alignment horizontal="center" vertical="center"/>
    </xf>
    <xf numFmtId="0" fontId="10" fillId="0" borderId="0" xfId="0" applyFont="1" applyBorder="1" applyAlignment="1">
      <alignment horizontal="justify" vertical="center" wrapText="1"/>
    </xf>
    <xf numFmtId="0" fontId="10" fillId="0" borderId="0" xfId="0" applyFont="1" applyBorder="1" applyAlignment="1">
      <alignment horizontal="center" vertical="center" wrapText="1"/>
    </xf>
    <xf numFmtId="0" fontId="7" fillId="7" borderId="31" xfId="0" applyFont="1" applyFill="1" applyBorder="1" applyAlignment="1">
      <alignment horizontal="center" vertical="center" wrapText="1"/>
    </xf>
    <xf numFmtId="0" fontId="7" fillId="7" borderId="29" xfId="0" applyFont="1" applyFill="1" applyBorder="1" applyAlignment="1">
      <alignment horizontal="center" vertical="center" wrapText="1"/>
    </xf>
    <xf numFmtId="0" fontId="10" fillId="0" borderId="29" xfId="0" applyFont="1" applyBorder="1" applyAlignment="1">
      <alignment horizontal="center" vertical="center" wrapText="1"/>
    </xf>
    <xf numFmtId="9" fontId="10" fillId="0" borderId="29" xfId="0" applyNumberFormat="1" applyFont="1" applyBorder="1" applyAlignment="1">
      <alignment horizontal="center" vertical="center" wrapText="1"/>
    </xf>
    <xf numFmtId="0" fontId="11" fillId="0" borderId="9" xfId="0" applyFont="1" applyBorder="1" applyAlignment="1">
      <alignment vertical="center" wrapText="1"/>
    </xf>
    <xf numFmtId="0" fontId="10" fillId="0" borderId="41" xfId="0" applyFont="1" applyBorder="1" applyAlignment="1">
      <alignment horizontal="justify" vertical="center" wrapText="1"/>
    </xf>
    <xf numFmtId="0" fontId="10" fillId="0" borderId="41" xfId="0" applyFont="1" applyBorder="1" applyAlignment="1">
      <alignment horizontal="center" vertical="center" wrapText="1"/>
    </xf>
    <xf numFmtId="0" fontId="10" fillId="0" borderId="40" xfId="0" applyFont="1" applyBorder="1" applyAlignment="1">
      <alignment horizontal="center" vertical="center" wrapText="1"/>
    </xf>
    <xf numFmtId="9" fontId="10" fillId="0" borderId="41" xfId="0" applyNumberFormat="1" applyFont="1" applyBorder="1" applyAlignment="1">
      <alignment horizontal="center" vertical="center" wrapText="1"/>
    </xf>
    <xf numFmtId="0" fontId="7" fillId="7" borderId="61" xfId="0" applyFont="1" applyFill="1" applyBorder="1" applyAlignment="1">
      <alignment horizontal="center" vertical="center" wrapText="1"/>
    </xf>
    <xf numFmtId="0" fontId="7" fillId="7" borderId="26" xfId="0" applyFont="1" applyFill="1" applyBorder="1" applyAlignment="1">
      <alignment horizontal="center" vertical="center" wrapText="1"/>
    </xf>
    <xf numFmtId="0" fontId="10" fillId="0" borderId="26" xfId="0" applyFont="1" applyBorder="1" applyAlignment="1">
      <alignment horizontal="center" vertical="center" wrapText="1"/>
    </xf>
    <xf numFmtId="9" fontId="10" fillId="0" borderId="39" xfId="0" applyNumberFormat="1" applyFont="1" applyBorder="1" applyAlignment="1">
      <alignment horizontal="center" vertical="center" wrapText="1"/>
    </xf>
    <xf numFmtId="9" fontId="10" fillId="0" borderId="40" xfId="0" applyNumberFormat="1" applyFont="1" applyBorder="1" applyAlignment="1">
      <alignment horizontal="center" vertical="center" wrapText="1"/>
    </xf>
    <xf numFmtId="0" fontId="11" fillId="0" borderId="0" xfId="0" applyFont="1" applyBorder="1" applyAlignment="1">
      <alignment vertical="center" wrapText="1"/>
    </xf>
    <xf numFmtId="0" fontId="10" fillId="0" borderId="81" xfId="0" applyFont="1" applyBorder="1" applyAlignment="1">
      <alignment horizontal="justify" vertical="center" wrapText="1"/>
    </xf>
    <xf numFmtId="0" fontId="10" fillId="0" borderId="81" xfId="0" applyFont="1" applyBorder="1" applyAlignment="1">
      <alignment horizontal="center" vertical="center" wrapText="1"/>
    </xf>
    <xf numFmtId="0" fontId="11" fillId="0" borderId="81" xfId="0" applyFont="1" applyBorder="1" applyAlignment="1">
      <alignment vertical="center" wrapText="1"/>
    </xf>
    <xf numFmtId="0" fontId="10" fillId="0" borderId="81" xfId="0" applyFont="1" applyBorder="1" applyAlignment="1">
      <alignment horizontal="center" vertical="center"/>
    </xf>
    <xf numFmtId="0" fontId="11" fillId="0" borderId="0" xfId="2" applyFont="1" applyFill="1" applyAlignment="1">
      <alignment vertical="center"/>
    </xf>
    <xf numFmtId="165" fontId="10" fillId="0" borderId="28" xfId="6" applyNumberFormat="1" applyFont="1" applyBorder="1"/>
    <xf numFmtId="0" fontId="11" fillId="0" borderId="0" xfId="4" applyFont="1" applyFill="1" applyAlignment="1">
      <alignment horizontal="left"/>
    </xf>
    <xf numFmtId="165" fontId="10" fillId="0" borderId="0" xfId="6" applyNumberFormat="1" applyFont="1"/>
    <xf numFmtId="0" fontId="17" fillId="0" borderId="0" xfId="0" applyFont="1" applyAlignment="1">
      <alignment vertical="center"/>
    </xf>
    <xf numFmtId="49" fontId="14" fillId="7" borderId="42" xfId="3" applyFont="1" applyFill="1" applyBorder="1" applyAlignment="1">
      <alignment horizontal="center" textRotation="90" wrapText="1"/>
    </xf>
    <xf numFmtId="49" fontId="14" fillId="7" borderId="16" xfId="3" applyFont="1" applyFill="1" applyBorder="1" applyAlignment="1">
      <alignment horizontal="center" textRotation="90" wrapText="1"/>
    </xf>
    <xf numFmtId="49" fontId="14" fillId="7" borderId="17" xfId="3" applyFont="1" applyFill="1" applyBorder="1" applyAlignment="1">
      <alignment horizontal="center" textRotation="90" wrapText="1"/>
    </xf>
    <xf numFmtId="49" fontId="11" fillId="7" borderId="42" xfId="3" applyNumberFormat="1" applyFont="1" applyFill="1" applyBorder="1" applyAlignment="1" applyProtection="1">
      <alignment horizontal="center" textRotation="90" wrapText="1"/>
    </xf>
    <xf numFmtId="49" fontId="11" fillId="7" borderId="43" xfId="3" applyFont="1" applyFill="1" applyBorder="1" applyAlignment="1">
      <alignment horizontal="center" textRotation="90" wrapText="1"/>
    </xf>
    <xf numFmtId="49" fontId="10" fillId="0" borderId="61" xfId="3" applyFont="1" applyFill="1" applyBorder="1" applyAlignment="1">
      <alignment vertical="center"/>
    </xf>
    <xf numFmtId="3" fontId="11" fillId="0" borderId="22" xfId="3" applyNumberFormat="1" applyFont="1" applyBorder="1" applyAlignment="1">
      <alignment vertical="center"/>
    </xf>
    <xf numFmtId="3" fontId="10" fillId="0" borderId="23" xfId="3" applyNumberFormat="1" applyFont="1" applyBorder="1" applyAlignment="1">
      <alignment vertical="center"/>
    </xf>
    <xf numFmtId="3" fontId="11" fillId="0" borderId="24" xfId="3" applyNumberFormat="1" applyFont="1" applyBorder="1" applyAlignment="1">
      <alignment vertical="center"/>
    </xf>
    <xf numFmtId="3" fontId="11" fillId="0" borderId="23" xfId="3" applyNumberFormat="1" applyFont="1" applyBorder="1" applyAlignment="1">
      <alignment vertical="center"/>
    </xf>
    <xf numFmtId="3" fontId="10" fillId="0" borderId="23" xfId="6" applyNumberFormat="1" applyFont="1" applyBorder="1" applyAlignment="1">
      <alignment vertical="center"/>
    </xf>
    <xf numFmtId="3" fontId="11" fillId="0" borderId="24" xfId="6" applyNumberFormat="1" applyFont="1" applyBorder="1" applyAlignment="1">
      <alignment vertical="center"/>
    </xf>
    <xf numFmtId="9" fontId="11" fillId="0" borderId="25" xfId="12" applyFont="1" applyBorder="1" applyAlignment="1">
      <alignment vertical="center"/>
    </xf>
    <xf numFmtId="49" fontId="10" fillId="0" borderId="2" xfId="3" applyFont="1" applyFill="1" applyBorder="1" applyAlignment="1">
      <alignment vertical="center"/>
    </xf>
    <xf numFmtId="3" fontId="11" fillId="0" borderId="26" xfId="3" applyNumberFormat="1" applyFont="1" applyBorder="1" applyAlignment="1">
      <alignment vertical="center"/>
    </xf>
    <xf numFmtId="3" fontId="11" fillId="0" borderId="28" xfId="3" applyNumberFormat="1" applyFont="1" applyBorder="1" applyAlignment="1">
      <alignment vertical="center"/>
    </xf>
    <xf numFmtId="3" fontId="11" fillId="0" borderId="1" xfId="3" applyNumberFormat="1" applyFont="1" applyBorder="1" applyAlignment="1">
      <alignment vertical="center"/>
    </xf>
    <xf numFmtId="3" fontId="10" fillId="0" borderId="26" xfId="3" applyNumberFormat="1" applyFont="1" applyBorder="1" applyAlignment="1">
      <alignment horizontal="justify" vertical="center"/>
    </xf>
    <xf numFmtId="3" fontId="10" fillId="0" borderId="28" xfId="3" applyNumberFormat="1" applyFont="1" applyBorder="1" applyAlignment="1">
      <alignment horizontal="justify" vertical="center"/>
    </xf>
    <xf numFmtId="3" fontId="10" fillId="0" borderId="1" xfId="3" applyNumberFormat="1" applyFont="1" applyBorder="1" applyAlignment="1">
      <alignment horizontal="right" vertical="center"/>
    </xf>
    <xf numFmtId="49" fontId="11" fillId="2" borderId="19" xfId="3" applyFont="1" applyFill="1" applyBorder="1" applyAlignment="1">
      <alignment horizontal="center" vertical="center"/>
    </xf>
    <xf numFmtId="3" fontId="11" fillId="2" borderId="42" xfId="3" applyNumberFormat="1" applyFont="1" applyFill="1" applyBorder="1" applyAlignment="1">
      <alignment horizontal="right" vertical="center"/>
    </xf>
    <xf numFmtId="3" fontId="11" fillId="2" borderId="16" xfId="3" applyNumberFormat="1" applyFont="1" applyFill="1" applyBorder="1" applyAlignment="1">
      <alignment horizontal="right" vertical="center"/>
    </xf>
    <xf numFmtId="3" fontId="11" fillId="2" borderId="17" xfId="3" applyNumberFormat="1" applyFont="1" applyFill="1" applyBorder="1" applyAlignment="1">
      <alignment horizontal="right" vertical="center"/>
    </xf>
    <xf numFmtId="9" fontId="11" fillId="2" borderId="43" xfId="12" applyFont="1" applyFill="1" applyBorder="1" applyAlignment="1">
      <alignment horizontal="right" vertical="center"/>
    </xf>
    <xf numFmtId="49" fontId="33" fillId="0" borderId="0" xfId="3" applyFont="1" applyBorder="1" applyAlignment="1">
      <alignment horizontal="left" vertical="center"/>
    </xf>
    <xf numFmtId="3" fontId="34" fillId="0" borderId="0" xfId="3" applyNumberFormat="1" applyFont="1" applyBorder="1" applyAlignment="1">
      <alignment vertical="center"/>
    </xf>
    <xf numFmtId="3" fontId="34" fillId="0" borderId="0" xfId="3" applyNumberFormat="1" applyFont="1" applyAlignment="1">
      <alignment vertical="center"/>
    </xf>
    <xf numFmtId="3" fontId="34" fillId="0" borderId="0" xfId="3" applyNumberFormat="1" applyFont="1" applyAlignment="1">
      <alignment horizontal="right" vertical="center"/>
    </xf>
    <xf numFmtId="0" fontId="34" fillId="0" borderId="0" xfId="0" applyFont="1"/>
    <xf numFmtId="165" fontId="11" fillId="0" borderId="22" xfId="5" applyNumberFormat="1" applyFont="1" applyBorder="1" applyAlignment="1">
      <alignment vertical="center"/>
    </xf>
    <xf numFmtId="165" fontId="10" fillId="0" borderId="0" xfId="5" applyNumberFormat="1" applyFont="1" applyAlignment="1">
      <alignment vertical="center"/>
    </xf>
    <xf numFmtId="165" fontId="10" fillId="0" borderId="48" xfId="5" applyNumberFormat="1" applyFont="1" applyBorder="1" applyAlignment="1">
      <alignment vertical="center"/>
    </xf>
    <xf numFmtId="165" fontId="11" fillId="0" borderId="24" xfId="5" applyNumberFormat="1" applyFont="1" applyBorder="1" applyAlignment="1">
      <alignment vertical="center"/>
    </xf>
    <xf numFmtId="165" fontId="11" fillId="0" borderId="23" xfId="5" applyNumberFormat="1" applyFont="1" applyBorder="1" applyAlignment="1">
      <alignment vertical="center"/>
    </xf>
    <xf numFmtId="165" fontId="11" fillId="0" borderId="26" xfId="5" applyNumberFormat="1" applyFont="1" applyBorder="1" applyAlignment="1">
      <alignment vertical="center"/>
    </xf>
    <xf numFmtId="165" fontId="10" fillId="0" borderId="1" xfId="5" applyNumberFormat="1" applyFont="1" applyBorder="1" applyAlignment="1">
      <alignment vertical="center"/>
    </xf>
    <xf numFmtId="165" fontId="10" fillId="0" borderId="28" xfId="5" applyNumberFormat="1" applyFont="1" applyBorder="1" applyAlignment="1">
      <alignment vertical="center"/>
    </xf>
    <xf numFmtId="165" fontId="10" fillId="0" borderId="27" xfId="5" applyNumberFormat="1" applyFont="1" applyBorder="1" applyAlignment="1">
      <alignment vertical="center"/>
    </xf>
    <xf numFmtId="165" fontId="11" fillId="0" borderId="28" xfId="5" applyNumberFormat="1" applyFont="1" applyBorder="1" applyAlignment="1">
      <alignment vertical="center"/>
    </xf>
    <xf numFmtId="165" fontId="11" fillId="0" borderId="1" xfId="5" applyNumberFormat="1" applyFont="1" applyBorder="1" applyAlignment="1">
      <alignment vertical="center"/>
    </xf>
    <xf numFmtId="165" fontId="10" fillId="0" borderId="26" xfId="5" applyNumberFormat="1" applyFont="1" applyBorder="1" applyAlignment="1">
      <alignment horizontal="justify" vertical="center"/>
    </xf>
    <xf numFmtId="165" fontId="10" fillId="0" borderId="28" xfId="5" applyNumberFormat="1" applyFont="1" applyBorder="1" applyAlignment="1">
      <alignment horizontal="justify" vertical="center"/>
    </xf>
    <xf numFmtId="165" fontId="10" fillId="0" borderId="1" xfId="5" applyNumberFormat="1" applyFont="1" applyBorder="1" applyAlignment="1">
      <alignment horizontal="right" vertical="center"/>
    </xf>
    <xf numFmtId="165" fontId="10" fillId="0" borderId="23" xfId="5" applyNumberFormat="1" applyFont="1" applyBorder="1" applyAlignment="1">
      <alignment horizontal="right" vertical="center"/>
    </xf>
    <xf numFmtId="165" fontId="10" fillId="0" borderId="44" xfId="5" applyNumberFormat="1" applyFont="1" applyBorder="1" applyAlignment="1">
      <alignment horizontal="right" vertical="center"/>
    </xf>
    <xf numFmtId="165" fontId="11" fillId="2" borderId="42" xfId="5" applyNumberFormat="1" applyFont="1" applyFill="1" applyBorder="1" applyAlignment="1">
      <alignment horizontal="right" vertical="center"/>
    </xf>
    <xf numFmtId="165" fontId="11" fillId="2" borderId="16" xfId="5" applyNumberFormat="1" applyFont="1" applyFill="1" applyBorder="1" applyAlignment="1">
      <alignment horizontal="right" vertical="center"/>
    </xf>
    <xf numFmtId="165" fontId="11" fillId="2" borderId="17" xfId="5" applyNumberFormat="1" applyFont="1" applyFill="1" applyBorder="1" applyAlignment="1">
      <alignment horizontal="right" vertical="center"/>
    </xf>
    <xf numFmtId="165" fontId="11" fillId="2" borderId="43" xfId="5" applyNumberFormat="1" applyFont="1" applyFill="1" applyBorder="1" applyAlignment="1">
      <alignment horizontal="right" vertical="center"/>
    </xf>
    <xf numFmtId="165" fontId="11" fillId="2" borderId="15" xfId="5" applyNumberFormat="1" applyFont="1" applyFill="1" applyBorder="1" applyAlignment="1">
      <alignment horizontal="right" vertical="center"/>
    </xf>
    <xf numFmtId="165" fontId="10" fillId="0" borderId="32" xfId="5" applyNumberFormat="1" applyFont="1" applyBorder="1" applyAlignment="1">
      <alignment vertical="center"/>
    </xf>
    <xf numFmtId="165" fontId="10" fillId="0" borderId="0" xfId="5" applyNumberFormat="1" applyFont="1"/>
    <xf numFmtId="165" fontId="10" fillId="0" borderId="32" xfId="5" applyNumberFormat="1" applyFont="1" applyBorder="1"/>
    <xf numFmtId="165" fontId="10" fillId="0" borderId="28" xfId="5" applyNumberFormat="1" applyFont="1" applyBorder="1"/>
    <xf numFmtId="165" fontId="10" fillId="0" borderId="1" xfId="5" applyNumberFormat="1" applyFont="1" applyBorder="1"/>
    <xf numFmtId="165" fontId="10" fillId="0" borderId="27" xfId="5" applyNumberFormat="1" applyFont="1" applyBorder="1"/>
    <xf numFmtId="4" fontId="11" fillId="0" borderId="22" xfId="3" applyNumberFormat="1" applyFont="1" applyBorder="1" applyAlignment="1">
      <alignment vertical="center"/>
    </xf>
    <xf numFmtId="165" fontId="10" fillId="0" borderId="32" xfId="6" applyNumberFormat="1" applyFont="1" applyBorder="1"/>
    <xf numFmtId="165" fontId="11" fillId="0" borderId="24" xfId="6" applyNumberFormat="1" applyFont="1" applyBorder="1" applyAlignment="1">
      <alignment vertical="center"/>
    </xf>
    <xf numFmtId="165" fontId="11" fillId="0" borderId="22" xfId="6" applyNumberFormat="1" applyFont="1" applyBorder="1" applyAlignment="1">
      <alignment vertical="center"/>
    </xf>
    <xf numFmtId="165" fontId="11" fillId="0" borderId="23" xfId="6" applyNumberFormat="1" applyFont="1" applyBorder="1" applyAlignment="1">
      <alignment vertical="center"/>
    </xf>
    <xf numFmtId="4" fontId="11" fillId="0" borderId="26" xfId="3" applyNumberFormat="1" applyFont="1" applyBorder="1" applyAlignment="1">
      <alignment vertical="center"/>
    </xf>
    <xf numFmtId="165" fontId="11" fillId="0" borderId="26" xfId="6" applyNumberFormat="1" applyFont="1" applyBorder="1" applyAlignment="1">
      <alignment vertical="center"/>
    </xf>
    <xf numFmtId="165" fontId="11" fillId="0" borderId="28" xfId="6" applyNumberFormat="1" applyFont="1" applyBorder="1" applyAlignment="1">
      <alignment vertical="center"/>
    </xf>
    <xf numFmtId="165" fontId="11" fillId="0" borderId="1" xfId="6" applyNumberFormat="1" applyFont="1" applyBorder="1" applyAlignment="1">
      <alignment vertical="center"/>
    </xf>
    <xf numFmtId="4" fontId="10" fillId="0" borderId="26" xfId="3" applyNumberFormat="1" applyFont="1" applyBorder="1" applyAlignment="1">
      <alignment horizontal="justify" vertical="center"/>
    </xf>
    <xf numFmtId="165" fontId="10" fillId="0" borderId="1" xfId="6" applyNumberFormat="1" applyFont="1" applyBorder="1"/>
    <xf numFmtId="165" fontId="10" fillId="0" borderId="27" xfId="6" applyNumberFormat="1" applyFont="1" applyBorder="1"/>
    <xf numFmtId="165" fontId="10" fillId="0" borderId="26" xfId="6" applyNumberFormat="1" applyFont="1" applyBorder="1" applyAlignment="1">
      <alignment horizontal="justify" vertical="center"/>
    </xf>
    <xf numFmtId="165" fontId="10" fillId="0" borderId="28" xfId="6" applyNumberFormat="1" applyFont="1" applyBorder="1" applyAlignment="1">
      <alignment horizontal="justify" vertical="center"/>
    </xf>
    <xf numFmtId="165" fontId="10" fillId="0" borderId="1" xfId="6" applyNumberFormat="1" applyFont="1" applyBorder="1" applyAlignment="1">
      <alignment horizontal="right" vertical="center"/>
    </xf>
    <xf numFmtId="165" fontId="10" fillId="0" borderId="23" xfId="6" applyNumberFormat="1" applyFont="1" applyBorder="1" applyAlignment="1">
      <alignment horizontal="right" vertical="center"/>
    </xf>
    <xf numFmtId="165" fontId="10" fillId="0" borderId="44" xfId="6" applyNumberFormat="1" applyFont="1" applyBorder="1" applyAlignment="1">
      <alignment horizontal="right" vertical="center"/>
    </xf>
    <xf numFmtId="4" fontId="11" fillId="2" borderId="42" xfId="3" applyNumberFormat="1" applyFont="1" applyFill="1" applyBorder="1" applyAlignment="1">
      <alignment horizontal="right" vertical="center"/>
    </xf>
    <xf numFmtId="165" fontId="11" fillId="2" borderId="16" xfId="6" applyNumberFormat="1" applyFont="1" applyFill="1" applyBorder="1" applyAlignment="1">
      <alignment horizontal="right" vertical="center"/>
    </xf>
    <xf numFmtId="165" fontId="11" fillId="2" borderId="17" xfId="6" applyNumberFormat="1" applyFont="1" applyFill="1" applyBorder="1" applyAlignment="1">
      <alignment horizontal="right" vertical="center"/>
    </xf>
    <xf numFmtId="165" fontId="11" fillId="2" borderId="42" xfId="6" applyNumberFormat="1" applyFont="1" applyFill="1" applyBorder="1" applyAlignment="1">
      <alignment horizontal="right" vertical="center"/>
    </xf>
    <xf numFmtId="165" fontId="11" fillId="2" borderId="43" xfId="6" applyNumberFormat="1" applyFont="1" applyFill="1" applyBorder="1" applyAlignment="1">
      <alignment horizontal="right" vertical="center"/>
    </xf>
    <xf numFmtId="165" fontId="11" fillId="2" borderId="15" xfId="6" applyNumberFormat="1" applyFont="1" applyFill="1" applyBorder="1" applyAlignment="1">
      <alignment horizontal="right" vertical="center"/>
    </xf>
    <xf numFmtId="0" fontId="33" fillId="7" borderId="18" xfId="0" applyFont="1" applyFill="1" applyBorder="1" applyAlignment="1">
      <alignment horizontal="center" vertical="center" textRotation="90" wrapText="1"/>
    </xf>
    <xf numFmtId="3" fontId="34" fillId="0" borderId="0" xfId="4" applyNumberFormat="1" applyFont="1" applyBorder="1"/>
    <xf numFmtId="3" fontId="0" fillId="0" borderId="28" xfId="0" applyNumberFormat="1" applyBorder="1" applyAlignment="1">
      <alignment vertical="center"/>
    </xf>
    <xf numFmtId="0" fontId="33" fillId="7" borderId="20" xfId="0" applyFont="1" applyFill="1" applyBorder="1" applyAlignment="1">
      <alignment horizontal="center" vertical="center" textRotation="90" wrapText="1"/>
    </xf>
    <xf numFmtId="0" fontId="34" fillId="0" borderId="14" xfId="4" applyFont="1" applyBorder="1"/>
    <xf numFmtId="0" fontId="7" fillId="0" borderId="0" xfId="2" applyFont="1" applyFill="1" applyAlignment="1">
      <alignment vertical="center"/>
    </xf>
    <xf numFmtId="0" fontId="33" fillId="7" borderId="5" xfId="0" applyFont="1" applyFill="1" applyBorder="1" applyAlignment="1">
      <alignment horizontal="center" vertical="center" textRotation="90" wrapText="1"/>
    </xf>
    <xf numFmtId="3" fontId="34" fillId="0" borderId="14" xfId="4" applyNumberFormat="1" applyFont="1" applyBorder="1"/>
    <xf numFmtId="0" fontId="2" fillId="0" borderId="0" xfId="4"/>
    <xf numFmtId="0" fontId="10" fillId="0" borderId="0" xfId="2" applyFont="1" applyFill="1" applyBorder="1" applyAlignment="1">
      <alignment horizontal="left" vertical="center"/>
    </xf>
    <xf numFmtId="0" fontId="11" fillId="0" borderId="0" xfId="2" applyFont="1" applyFill="1" applyBorder="1" applyAlignment="1">
      <alignment vertical="center"/>
    </xf>
    <xf numFmtId="0" fontId="10" fillId="0" borderId="0" xfId="4" applyFont="1" applyFill="1" applyBorder="1"/>
    <xf numFmtId="0" fontId="11" fillId="0" borderId="0" xfId="4" applyFont="1" applyBorder="1"/>
    <xf numFmtId="49" fontId="10" fillId="0" borderId="0" xfId="3" applyFont="1" applyAlignment="1">
      <alignment vertical="center"/>
    </xf>
    <xf numFmtId="0" fontId="10" fillId="0" borderId="13" xfId="4" applyFont="1" applyBorder="1"/>
    <xf numFmtId="0" fontId="10" fillId="0" borderId="20" xfId="4" applyFont="1" applyBorder="1"/>
    <xf numFmtId="0" fontId="10" fillId="0" borderId="5" xfId="4" applyFont="1" applyBorder="1"/>
    <xf numFmtId="0" fontId="10" fillId="0" borderId="18" xfId="4" applyFont="1" applyBorder="1"/>
    <xf numFmtId="49" fontId="13" fillId="0" borderId="0" xfId="1" quotePrefix="1" applyNumberFormat="1" applyFont="1" applyFill="1" applyAlignment="1">
      <alignment horizontal="left" vertical="center"/>
    </xf>
    <xf numFmtId="49" fontId="10" fillId="0" borderId="0" xfId="1" applyNumberFormat="1" applyFont="1" applyFill="1" applyAlignment="1">
      <alignment horizontal="left" vertical="center"/>
    </xf>
    <xf numFmtId="0" fontId="10" fillId="0" borderId="6" xfId="4" applyFont="1" applyBorder="1"/>
    <xf numFmtId="0" fontId="10" fillId="0" borderId="49" xfId="4" applyFont="1" applyBorder="1"/>
    <xf numFmtId="0" fontId="10" fillId="0" borderId="3" xfId="4" applyFont="1" applyBorder="1" applyAlignment="1">
      <alignment horizontal="center"/>
    </xf>
    <xf numFmtId="0" fontId="10" fillId="0" borderId="52" xfId="4" applyFont="1" applyBorder="1"/>
    <xf numFmtId="0" fontId="10" fillId="0" borderId="0" xfId="2" applyFont="1" applyAlignment="1">
      <alignment vertical="center"/>
    </xf>
    <xf numFmtId="0" fontId="11" fillId="0" borderId="0" xfId="2" applyFont="1" applyFill="1" applyBorder="1" applyAlignment="1">
      <alignment horizontal="center" vertical="center"/>
    </xf>
    <xf numFmtId="0" fontId="10" fillId="0" borderId="0" xfId="2" applyFont="1" applyBorder="1" applyAlignment="1">
      <alignment vertical="center"/>
    </xf>
    <xf numFmtId="0" fontId="11" fillId="2" borderId="19" xfId="2" applyFont="1" applyFill="1" applyBorder="1" applyAlignment="1">
      <alignment horizontal="center" vertical="center"/>
    </xf>
    <xf numFmtId="0" fontId="11" fillId="2" borderId="18" xfId="2" applyFont="1" applyFill="1" applyBorder="1" applyAlignment="1">
      <alignment horizontal="center" vertical="center"/>
    </xf>
    <xf numFmtId="0" fontId="10" fillId="0" borderId="14" xfId="2" applyFont="1" applyBorder="1" applyAlignment="1">
      <alignment horizontal="center" vertical="center"/>
    </xf>
    <xf numFmtId="0" fontId="11" fillId="2" borderId="14" xfId="2" applyFont="1" applyFill="1" applyBorder="1" applyAlignment="1">
      <alignment horizontal="center" vertical="center"/>
    </xf>
    <xf numFmtId="0" fontId="11" fillId="2" borderId="0" xfId="2" applyFont="1" applyFill="1" applyBorder="1" applyAlignment="1">
      <alignment vertical="center"/>
    </xf>
    <xf numFmtId="0" fontId="11" fillId="2" borderId="4" xfId="2" applyFont="1" applyFill="1" applyBorder="1" applyAlignment="1">
      <alignment vertical="center"/>
    </xf>
    <xf numFmtId="0" fontId="10" fillId="0" borderId="56" xfId="2" applyFont="1" applyBorder="1" applyAlignment="1">
      <alignment vertical="center"/>
    </xf>
    <xf numFmtId="0" fontId="10" fillId="0" borderId="4" xfId="2" applyFont="1" applyBorder="1" applyAlignment="1">
      <alignment vertical="center"/>
    </xf>
    <xf numFmtId="0" fontId="10" fillId="0" borderId="55" xfId="2" applyFont="1" applyBorder="1" applyAlignment="1">
      <alignment vertical="center"/>
    </xf>
    <xf numFmtId="0" fontId="11" fillId="2" borderId="5" xfId="2" applyFont="1" applyFill="1" applyBorder="1" applyAlignment="1">
      <alignment horizontal="center" vertical="center"/>
    </xf>
    <xf numFmtId="0" fontId="11" fillId="2" borderId="42" xfId="2" applyFont="1" applyFill="1" applyBorder="1" applyAlignment="1">
      <alignment vertical="center"/>
    </xf>
    <xf numFmtId="0" fontId="11" fillId="2" borderId="17" xfId="2" applyFont="1" applyFill="1" applyBorder="1" applyAlignment="1">
      <alignment vertical="center"/>
    </xf>
    <xf numFmtId="0" fontId="11" fillId="2" borderId="20" xfId="2" applyFont="1" applyFill="1" applyBorder="1" applyAlignment="1">
      <alignment vertical="center"/>
    </xf>
    <xf numFmtId="0" fontId="11" fillId="2" borderId="18" xfId="2" applyFont="1" applyFill="1" applyBorder="1" applyAlignment="1">
      <alignment vertical="center"/>
    </xf>
    <xf numFmtId="0" fontId="11" fillId="2" borderId="43" xfId="2" applyFont="1" applyFill="1" applyBorder="1" applyAlignment="1">
      <alignment vertical="center"/>
    </xf>
    <xf numFmtId="0" fontId="11" fillId="0" borderId="3" xfId="2" applyFont="1" applyFill="1" applyBorder="1" applyAlignment="1">
      <alignment vertical="center"/>
    </xf>
    <xf numFmtId="0" fontId="11" fillId="0" borderId="0" xfId="2" applyFont="1" applyFill="1" applyBorder="1" applyAlignment="1">
      <alignment horizontal="left" vertical="center"/>
    </xf>
    <xf numFmtId="0" fontId="10" fillId="0" borderId="3" xfId="2" applyFont="1" applyBorder="1" applyAlignment="1">
      <alignment horizontal="center" vertical="center"/>
    </xf>
    <xf numFmtId="0" fontId="10" fillId="0" borderId="14" xfId="2" applyFont="1" applyBorder="1" applyAlignment="1">
      <alignment vertical="center"/>
    </xf>
    <xf numFmtId="0" fontId="11" fillId="2" borderId="5" xfId="2" applyFont="1" applyFill="1" applyBorder="1" applyAlignment="1">
      <alignment vertical="center"/>
    </xf>
    <xf numFmtId="0" fontId="10" fillId="0" borderId="14" xfId="2" applyFont="1" applyFill="1" applyBorder="1" applyAlignment="1">
      <alignment horizontal="left" vertical="center"/>
    </xf>
    <xf numFmtId="0" fontId="11" fillId="0" borderId="14" xfId="2" applyFont="1" applyFill="1" applyBorder="1" applyAlignment="1">
      <alignment vertical="center"/>
    </xf>
    <xf numFmtId="0" fontId="11" fillId="0" borderId="4" xfId="2" applyFont="1" applyFill="1" applyBorder="1" applyAlignment="1">
      <alignment vertical="center"/>
    </xf>
    <xf numFmtId="0" fontId="11" fillId="2" borderId="7" xfId="2" applyFont="1" applyFill="1" applyBorder="1" applyAlignment="1">
      <alignment horizontal="center" vertical="center"/>
    </xf>
    <xf numFmtId="0" fontId="11" fillId="2" borderId="21" xfId="2" applyFont="1" applyFill="1" applyBorder="1" applyAlignment="1">
      <alignment horizontal="center" vertical="center"/>
    </xf>
    <xf numFmtId="0" fontId="11" fillId="0" borderId="14" xfId="2" applyFont="1" applyFill="1" applyBorder="1" applyAlignment="1">
      <alignment horizontal="left" vertical="center"/>
    </xf>
    <xf numFmtId="0" fontId="11" fillId="0" borderId="3" xfId="2" applyFont="1" applyFill="1" applyBorder="1" applyAlignment="1">
      <alignment horizontal="left" vertical="center"/>
    </xf>
    <xf numFmtId="0" fontId="10" fillId="0" borderId="56" xfId="4" applyFont="1" applyBorder="1"/>
    <xf numFmtId="0" fontId="10" fillId="0" borderId="9" xfId="4" applyFont="1" applyBorder="1"/>
    <xf numFmtId="0" fontId="10" fillId="0" borderId="16" xfId="4" applyFont="1" applyBorder="1"/>
    <xf numFmtId="164" fontId="10" fillId="0" borderId="0" xfId="4" applyNumberFormat="1" applyFont="1"/>
    <xf numFmtId="0" fontId="10" fillId="0" borderId="15" xfId="4" applyFont="1" applyBorder="1"/>
    <xf numFmtId="0" fontId="11" fillId="0" borderId="26" xfId="2" applyFont="1" applyFill="1" applyBorder="1" applyAlignment="1">
      <alignment vertical="center"/>
    </xf>
    <xf numFmtId="0" fontId="11" fillId="0" borderId="29" xfId="2" applyFont="1" applyFill="1" applyBorder="1" applyAlignment="1">
      <alignment vertical="center"/>
    </xf>
    <xf numFmtId="0" fontId="10" fillId="0" borderId="0" xfId="2" applyFont="1" applyBorder="1" applyAlignment="1">
      <alignment horizontal="center" vertical="center"/>
    </xf>
    <xf numFmtId="0" fontId="10" fillId="0" borderId="55" xfId="4" applyFont="1" applyBorder="1"/>
    <xf numFmtId="0" fontId="10" fillId="0" borderId="13" xfId="4" applyFont="1" applyBorder="1" applyAlignment="1"/>
    <xf numFmtId="0" fontId="10" fillId="0" borderId="49" xfId="4" applyFont="1" applyBorder="1" applyAlignment="1"/>
    <xf numFmtId="0" fontId="10" fillId="0" borderId="4" xfId="4" applyFont="1" applyBorder="1" applyAlignment="1"/>
    <xf numFmtId="0" fontId="11" fillId="0" borderId="4" xfId="2" applyFont="1" applyFill="1" applyBorder="1" applyAlignment="1">
      <alignment horizontal="left" vertical="center"/>
    </xf>
    <xf numFmtId="0" fontId="11" fillId="2" borderId="8" xfId="2" applyFont="1" applyFill="1" applyBorder="1" applyAlignment="1">
      <alignment horizontal="center" vertical="center"/>
    </xf>
    <xf numFmtId="0" fontId="11" fillId="0" borderId="60" xfId="2" applyFont="1" applyFill="1" applyBorder="1" applyAlignment="1">
      <alignment vertical="center"/>
    </xf>
    <xf numFmtId="0" fontId="10" fillId="0" borderId="11" xfId="2" applyFont="1" applyBorder="1" applyAlignment="1">
      <alignment horizontal="center" vertical="center"/>
    </xf>
    <xf numFmtId="0" fontId="10" fillId="0" borderId="8" xfId="2" applyFont="1" applyBorder="1" applyAlignment="1">
      <alignment horizontal="center" vertical="center"/>
    </xf>
    <xf numFmtId="0" fontId="11" fillId="2" borderId="4" xfId="2" applyFont="1" applyFill="1" applyBorder="1" applyAlignment="1">
      <alignment horizontal="center" vertical="center"/>
    </xf>
    <xf numFmtId="0" fontId="11" fillId="0" borderId="11" xfId="2" applyFont="1" applyBorder="1" applyAlignment="1">
      <alignment horizontal="left" vertical="center"/>
    </xf>
    <xf numFmtId="0" fontId="10" fillId="0" borderId="0" xfId="2" applyFont="1" applyFill="1" applyBorder="1" applyAlignment="1">
      <alignment vertical="center"/>
    </xf>
    <xf numFmtId="0" fontId="10" fillId="0" borderId="58" xfId="4" applyFont="1" applyBorder="1"/>
    <xf numFmtId="0" fontId="11" fillId="0" borderId="42" xfId="4" applyFont="1" applyBorder="1" applyAlignment="1">
      <alignment horizontal="center"/>
    </xf>
    <xf numFmtId="0" fontId="10" fillId="0" borderId="0" xfId="4" applyFont="1" applyAlignment="1">
      <alignment horizontal="center" wrapText="1"/>
    </xf>
    <xf numFmtId="0" fontId="11" fillId="0" borderId="15" xfId="4" applyFont="1" applyBorder="1" applyAlignment="1">
      <alignment horizontal="center"/>
    </xf>
    <xf numFmtId="0" fontId="11" fillId="0" borderId="0" xfId="4" applyFont="1" applyAlignment="1">
      <alignment horizontal="center" textRotation="90" wrapText="1"/>
    </xf>
    <xf numFmtId="0" fontId="10" fillId="0" borderId="10" xfId="4" applyFont="1" applyBorder="1"/>
    <xf numFmtId="0" fontId="10" fillId="0" borderId="55" xfId="4" applyFont="1" applyBorder="1" applyAlignment="1"/>
    <xf numFmtId="0" fontId="10" fillId="0" borderId="56" xfId="4" applyFont="1" applyBorder="1" applyAlignment="1"/>
    <xf numFmtId="0" fontId="11" fillId="2" borderId="20" xfId="2" applyFont="1" applyFill="1" applyBorder="1" applyAlignment="1">
      <alignment horizontal="center" vertical="center"/>
    </xf>
    <xf numFmtId="0" fontId="11" fillId="2" borderId="11" xfId="2" applyFont="1" applyFill="1" applyBorder="1" applyAlignment="1">
      <alignment horizontal="center" vertical="center"/>
    </xf>
    <xf numFmtId="164" fontId="10" fillId="0" borderId="4" xfId="4" applyNumberFormat="1" applyFont="1" applyBorder="1"/>
    <xf numFmtId="164" fontId="10" fillId="0" borderId="18" xfId="4" applyNumberFormat="1" applyFont="1" applyBorder="1"/>
    <xf numFmtId="0" fontId="10" fillId="0" borderId="49" xfId="2" applyFont="1" applyBorder="1" applyAlignment="1">
      <alignment horizontal="left" vertical="center"/>
    </xf>
    <xf numFmtId="0" fontId="10" fillId="0" borderId="13" xfId="2" applyFont="1" applyBorder="1" applyAlignment="1">
      <alignment horizontal="left" vertical="center"/>
    </xf>
    <xf numFmtId="164" fontId="10" fillId="0" borderId="56" xfId="4" applyNumberFormat="1" applyFont="1" applyBorder="1"/>
    <xf numFmtId="164" fontId="10" fillId="0" borderId="42" xfId="4" applyNumberFormat="1" applyFont="1" applyBorder="1"/>
    <xf numFmtId="164" fontId="10" fillId="0" borderId="49" xfId="4" applyNumberFormat="1" applyFont="1" applyBorder="1"/>
    <xf numFmtId="164" fontId="10" fillId="0" borderId="16" xfId="4" applyNumberFormat="1" applyFont="1" applyBorder="1"/>
    <xf numFmtId="0" fontId="7" fillId="0" borderId="14" xfId="2" applyFont="1" applyBorder="1" applyAlignment="1">
      <alignment vertical="center"/>
    </xf>
    <xf numFmtId="0" fontId="11" fillId="0" borderId="0" xfId="4" applyFont="1" applyFill="1"/>
    <xf numFmtId="0" fontId="9" fillId="5" borderId="0" xfId="4" applyFont="1" applyFill="1" applyBorder="1"/>
    <xf numFmtId="0" fontId="10" fillId="5" borderId="0" xfId="4" applyFont="1" applyFill="1" applyBorder="1"/>
    <xf numFmtId="0" fontId="9" fillId="5" borderId="0" xfId="4" applyFont="1" applyFill="1"/>
    <xf numFmtId="0" fontId="10" fillId="0" borderId="46" xfId="2" applyFont="1" applyFill="1" applyBorder="1" applyAlignment="1">
      <alignment horizontal="left" vertical="center"/>
    </xf>
    <xf numFmtId="0" fontId="11" fillId="5" borderId="0" xfId="4" applyFont="1" applyFill="1"/>
    <xf numFmtId="0" fontId="11" fillId="5" borderId="0" xfId="2" applyFont="1" applyFill="1" applyAlignment="1">
      <alignment vertical="center"/>
    </xf>
    <xf numFmtId="0" fontId="11" fillId="5" borderId="0" xfId="4" applyFont="1" applyFill="1" applyBorder="1"/>
    <xf numFmtId="0" fontId="10" fillId="5" borderId="0" xfId="4" applyFont="1" applyFill="1"/>
    <xf numFmtId="0" fontId="2" fillId="0" borderId="0" xfId="4" applyFont="1" applyAlignment="1">
      <alignment vertical="center"/>
    </xf>
    <xf numFmtId="0" fontId="11" fillId="0" borderId="0" xfId="2" applyFont="1" applyFill="1" applyAlignment="1">
      <alignment vertical="center"/>
    </xf>
    <xf numFmtId="0" fontId="9" fillId="0" borderId="0" xfId="2" applyFont="1" applyFill="1" applyAlignment="1">
      <alignment vertical="center"/>
    </xf>
    <xf numFmtId="0" fontId="16" fillId="0" borderId="0" xfId="4" applyFont="1" applyFill="1" applyBorder="1"/>
    <xf numFmtId="49" fontId="9" fillId="0" borderId="0" xfId="3" applyFont="1" applyFill="1" applyAlignment="1">
      <alignment vertical="center"/>
    </xf>
    <xf numFmtId="49" fontId="9" fillId="0" borderId="0" xfId="3" applyFont="1" applyFill="1" applyBorder="1" applyAlignment="1">
      <alignment vertical="center"/>
    </xf>
    <xf numFmtId="0" fontId="18" fillId="0" borderId="0" xfId="2" applyFont="1" applyFill="1" applyAlignment="1">
      <alignment vertical="center"/>
    </xf>
    <xf numFmtId="0" fontId="10" fillId="0" borderId="43" xfId="4" applyFont="1" applyBorder="1"/>
    <xf numFmtId="0" fontId="10" fillId="0" borderId="54" xfId="2" applyFont="1" applyBorder="1" applyAlignment="1">
      <alignment horizontal="left" vertical="center"/>
    </xf>
    <xf numFmtId="0" fontId="10" fillId="0" borderId="54" xfId="4" applyFont="1" applyBorder="1"/>
    <xf numFmtId="0" fontId="10" fillId="0" borderId="54" xfId="4" applyFont="1" applyBorder="1" applyAlignment="1"/>
    <xf numFmtId="0" fontId="10" fillId="0" borderId="17" xfId="4" applyFont="1" applyBorder="1"/>
    <xf numFmtId="0" fontId="10" fillId="0" borderId="42" xfId="4" applyFont="1" applyBorder="1"/>
    <xf numFmtId="49" fontId="14" fillId="7" borderId="39" xfId="3" applyFont="1" applyFill="1" applyBorder="1" applyAlignment="1">
      <alignment horizontal="center" textRotation="90" wrapText="1"/>
    </xf>
    <xf numFmtId="49" fontId="14" fillId="7" borderId="41" xfId="3" applyFont="1" applyFill="1" applyBorder="1" applyAlignment="1">
      <alignment horizontal="center" textRotation="90" wrapText="1"/>
    </xf>
    <xf numFmtId="49" fontId="14" fillId="7" borderId="40" xfId="3" applyFont="1" applyFill="1" applyBorder="1" applyAlignment="1">
      <alignment horizontal="center" textRotation="90" wrapText="1"/>
    </xf>
    <xf numFmtId="49" fontId="14" fillId="7" borderId="51" xfId="3" applyFont="1" applyFill="1" applyBorder="1" applyAlignment="1">
      <alignment horizontal="center" textRotation="90" wrapText="1"/>
    </xf>
    <xf numFmtId="49" fontId="12" fillId="7" borderId="41" xfId="3" applyFont="1" applyFill="1" applyBorder="1" applyAlignment="1">
      <alignment horizontal="center" textRotation="90" wrapText="1"/>
    </xf>
    <xf numFmtId="49" fontId="11" fillId="7" borderId="40" xfId="3" applyFont="1" applyFill="1" applyBorder="1" applyAlignment="1">
      <alignment horizontal="center" textRotation="90" wrapText="1"/>
    </xf>
    <xf numFmtId="0" fontId="7" fillId="7" borderId="62" xfId="2" applyFont="1" applyFill="1" applyBorder="1" applyAlignment="1">
      <alignment horizontal="center" vertical="center"/>
    </xf>
    <xf numFmtId="0" fontId="7" fillId="7" borderId="46" xfId="2" applyFont="1" applyFill="1" applyBorder="1" applyAlignment="1">
      <alignment horizontal="center" vertical="center" wrapText="1"/>
    </xf>
    <xf numFmtId="0" fontId="3" fillId="7" borderId="27" xfId="2" applyFont="1" applyFill="1" applyBorder="1" applyAlignment="1">
      <alignment horizontal="center" vertical="center" textRotation="90" wrapText="1"/>
    </xf>
    <xf numFmtId="0" fontId="3" fillId="7" borderId="28" xfId="2" applyFont="1" applyFill="1" applyBorder="1" applyAlignment="1">
      <alignment horizontal="center" vertical="center" textRotation="90" wrapText="1"/>
    </xf>
    <xf numFmtId="0" fontId="7" fillId="7" borderId="28" xfId="2" applyFont="1" applyFill="1" applyBorder="1" applyAlignment="1">
      <alignment horizontal="center" vertical="center" textRotation="90" wrapText="1"/>
    </xf>
    <xf numFmtId="0" fontId="7" fillId="7" borderId="1" xfId="2" applyFont="1" applyFill="1" applyBorder="1" applyAlignment="1">
      <alignment horizontal="center" vertical="center" textRotation="90" wrapText="1"/>
    </xf>
    <xf numFmtId="0" fontId="7" fillId="7" borderId="29" xfId="2" applyFont="1" applyFill="1" applyBorder="1" applyAlignment="1">
      <alignment horizontal="center" vertical="center" textRotation="90" wrapText="1"/>
    </xf>
    <xf numFmtId="0" fontId="11" fillId="7" borderId="12" xfId="2" applyFont="1" applyFill="1" applyBorder="1" applyAlignment="1">
      <alignment horizontal="center" vertical="center"/>
    </xf>
    <xf numFmtId="0" fontId="11" fillId="7" borderId="12" xfId="2" applyFont="1" applyFill="1" applyBorder="1" applyAlignment="1">
      <alignment horizontal="center" vertical="center" wrapText="1"/>
    </xf>
    <xf numFmtId="0" fontId="11" fillId="7" borderId="21" xfId="2" applyFont="1" applyFill="1" applyBorder="1" applyAlignment="1">
      <alignment horizontal="center" vertical="center" wrapText="1"/>
    </xf>
    <xf numFmtId="0" fontId="11" fillId="7" borderId="59" xfId="2" applyFont="1" applyFill="1" applyBorder="1" applyAlignment="1">
      <alignment horizontal="center" vertical="center" wrapText="1"/>
    </xf>
    <xf numFmtId="0" fontId="11" fillId="7" borderId="31" xfId="2" applyFont="1" applyFill="1" applyBorder="1" applyAlignment="1">
      <alignment horizontal="center" vertical="center" wrapText="1"/>
    </xf>
    <xf numFmtId="0" fontId="11" fillId="7" borderId="12" xfId="4" applyFont="1" applyFill="1" applyBorder="1" applyAlignment="1">
      <alignment horizontal="center" vertical="center" textRotation="90" wrapText="1"/>
    </xf>
    <xf numFmtId="0" fontId="11" fillId="7" borderId="13" xfId="4" applyFont="1" applyFill="1" applyBorder="1" applyAlignment="1">
      <alignment horizontal="center" vertical="center" textRotation="90" wrapText="1"/>
    </xf>
    <xf numFmtId="0" fontId="11" fillId="7" borderId="49" xfId="4" applyFont="1" applyFill="1" applyBorder="1" applyAlignment="1">
      <alignment horizontal="center" vertical="center" textRotation="90" wrapText="1"/>
    </xf>
    <xf numFmtId="0" fontId="11" fillId="7" borderId="54" xfId="4" applyFont="1" applyFill="1" applyBorder="1" applyAlignment="1">
      <alignment horizontal="center" vertical="center" textRotation="90" wrapText="1"/>
    </xf>
    <xf numFmtId="0" fontId="11" fillId="7" borderId="58" xfId="4" applyFont="1" applyFill="1" applyBorder="1" applyAlignment="1">
      <alignment horizontal="center" vertical="center" textRotation="90" wrapText="1"/>
    </xf>
    <xf numFmtId="0" fontId="11" fillId="7" borderId="21" xfId="4" applyFont="1" applyFill="1" applyBorder="1" applyAlignment="1">
      <alignment horizontal="center" vertical="center" textRotation="90" wrapText="1"/>
    </xf>
    <xf numFmtId="0" fontId="11" fillId="7" borderId="14" xfId="4" applyFont="1" applyFill="1" applyBorder="1" applyAlignment="1">
      <alignment horizontal="center" vertical="center" textRotation="90" wrapText="1"/>
    </xf>
    <xf numFmtId="0" fontId="11" fillId="7" borderId="11" xfId="4" applyFont="1" applyFill="1" applyBorder="1" applyAlignment="1">
      <alignment horizontal="center"/>
    </xf>
    <xf numFmtId="0" fontId="11" fillId="7" borderId="10" xfId="4" applyFont="1" applyFill="1" applyBorder="1" applyAlignment="1">
      <alignment horizontal="center"/>
    </xf>
    <xf numFmtId="0" fontId="11" fillId="7" borderId="50" xfId="4" applyFont="1" applyFill="1" applyBorder="1" applyAlignment="1">
      <alignment horizontal="center"/>
    </xf>
    <xf numFmtId="0" fontId="11" fillId="7" borderId="50" xfId="4" quotePrefix="1" applyFont="1" applyFill="1" applyBorder="1" applyAlignment="1">
      <alignment horizontal="center"/>
    </xf>
    <xf numFmtId="0" fontId="11" fillId="7" borderId="57" xfId="4" quotePrefix="1" applyFont="1" applyFill="1" applyBorder="1" applyAlignment="1">
      <alignment horizontal="center"/>
    </xf>
    <xf numFmtId="0" fontId="11" fillId="7" borderId="9" xfId="4" quotePrefix="1" applyFont="1" applyFill="1" applyBorder="1" applyAlignment="1">
      <alignment horizontal="center"/>
    </xf>
    <xf numFmtId="0" fontId="11" fillId="7" borderId="8" xfId="4" quotePrefix="1" applyFont="1" applyFill="1" applyBorder="1" applyAlignment="1">
      <alignment horizontal="center"/>
    </xf>
    <xf numFmtId="0" fontId="11" fillId="7" borderId="8" xfId="4" applyFont="1" applyFill="1" applyBorder="1" applyAlignment="1">
      <alignment horizontal="center"/>
    </xf>
    <xf numFmtId="0" fontId="11" fillId="7" borderId="5" xfId="2" applyFont="1" applyFill="1" applyBorder="1" applyAlignment="1">
      <alignment horizontal="center" vertical="center"/>
    </xf>
    <xf numFmtId="0" fontId="11" fillId="7" borderId="18" xfId="2" applyFont="1" applyFill="1" applyBorder="1" applyAlignment="1">
      <alignment horizontal="center" vertical="center" wrapText="1"/>
    </xf>
    <xf numFmtId="0" fontId="11" fillId="7" borderId="19" xfId="2" applyFont="1" applyFill="1" applyBorder="1" applyAlignment="1">
      <alignment horizontal="center" vertical="center"/>
    </xf>
    <xf numFmtId="0" fontId="11" fillId="7" borderId="5" xfId="2" applyFont="1" applyFill="1" applyBorder="1" applyAlignment="1">
      <alignment horizontal="center" vertical="center" wrapText="1"/>
    </xf>
    <xf numFmtId="15" fontId="11" fillId="7" borderId="12" xfId="2" applyNumberFormat="1" applyFont="1" applyFill="1" applyBorder="1" applyAlignment="1">
      <alignment horizontal="center" vertical="center"/>
    </xf>
    <xf numFmtId="0" fontId="11" fillId="7" borderId="8" xfId="2" applyFont="1" applyFill="1" applyBorder="1" applyAlignment="1">
      <alignment horizontal="center" vertical="center"/>
    </xf>
    <xf numFmtId="0" fontId="11" fillId="7" borderId="42" xfId="4" applyFont="1" applyFill="1" applyBorder="1" applyAlignment="1">
      <alignment horizontal="center" vertical="center" wrapText="1"/>
    </xf>
    <xf numFmtId="0" fontId="11" fillId="7" borderId="15" xfId="4" applyFont="1" applyFill="1" applyBorder="1" applyAlignment="1">
      <alignment horizontal="center" vertical="center" wrapText="1"/>
    </xf>
    <xf numFmtId="0" fontId="11" fillId="7" borderId="16" xfId="4" applyFont="1" applyFill="1" applyBorder="1" applyAlignment="1">
      <alignment horizontal="center" vertical="center" wrapText="1"/>
    </xf>
    <xf numFmtId="0" fontId="11" fillId="7" borderId="43" xfId="4" applyFont="1" applyFill="1" applyBorder="1" applyAlignment="1">
      <alignment horizontal="center" vertical="center" wrapText="1"/>
    </xf>
    <xf numFmtId="0" fontId="11" fillId="7" borderId="20" xfId="4" applyFont="1" applyFill="1" applyBorder="1" applyAlignment="1">
      <alignment horizontal="center" vertical="center" wrapText="1"/>
    </xf>
    <xf numFmtId="164" fontId="11" fillId="7" borderId="42" xfId="4" applyNumberFormat="1" applyFont="1" applyFill="1" applyBorder="1" applyAlignment="1">
      <alignment horizontal="center" textRotation="90" wrapText="1"/>
    </xf>
    <xf numFmtId="164" fontId="11" fillId="7" borderId="16" xfId="4" applyNumberFormat="1" applyFont="1" applyFill="1" applyBorder="1" applyAlignment="1">
      <alignment horizontal="center" textRotation="90" wrapText="1"/>
    </xf>
    <xf numFmtId="164" fontId="11" fillId="7" borderId="43" xfId="4" applyNumberFormat="1" applyFont="1" applyFill="1" applyBorder="1" applyAlignment="1">
      <alignment horizontal="center" textRotation="90" wrapText="1"/>
    </xf>
    <xf numFmtId="0" fontId="11" fillId="7" borderId="5" xfId="4" applyFont="1" applyFill="1" applyBorder="1" applyAlignment="1">
      <alignment horizontal="center" vertical="center" wrapText="1"/>
    </xf>
    <xf numFmtId="0" fontId="11" fillId="7" borderId="19" xfId="4" applyFont="1" applyFill="1" applyBorder="1" applyAlignment="1">
      <alignment horizontal="center" vertical="center" wrapText="1"/>
    </xf>
    <xf numFmtId="164" fontId="11" fillId="7" borderId="16" xfId="4" applyNumberFormat="1" applyFont="1" applyFill="1" applyBorder="1" applyAlignment="1">
      <alignment horizontal="center" vertical="center" textRotation="90" wrapText="1"/>
    </xf>
    <xf numFmtId="164" fontId="11" fillId="7" borderId="43" xfId="4" applyNumberFormat="1" applyFont="1" applyFill="1" applyBorder="1" applyAlignment="1">
      <alignment horizontal="center" vertical="center" textRotation="90" wrapText="1"/>
    </xf>
    <xf numFmtId="0" fontId="11" fillId="7" borderId="18" xfId="4" applyFont="1" applyFill="1" applyBorder="1" applyAlignment="1">
      <alignment horizontal="center" vertical="center" wrapText="1"/>
    </xf>
    <xf numFmtId="0" fontId="4" fillId="0" borderId="0" xfId="2" applyFont="1" applyFill="1" applyAlignment="1">
      <alignment vertical="center"/>
    </xf>
    <xf numFmtId="0" fontId="10" fillId="0" borderId="49" xfId="2" applyFont="1" applyBorder="1" applyAlignment="1">
      <alignment vertical="center"/>
    </xf>
    <xf numFmtId="0" fontId="10" fillId="0" borderId="0" xfId="4" applyFont="1"/>
    <xf numFmtId="0" fontId="10" fillId="0" borderId="4" xfId="4" applyFont="1" applyBorder="1"/>
    <xf numFmtId="0" fontId="10" fillId="0" borderId="14" xfId="4" applyFont="1" applyBorder="1"/>
    <xf numFmtId="0" fontId="10" fillId="0" borderId="0" xfId="4" applyFont="1" applyBorder="1"/>
    <xf numFmtId="0" fontId="10" fillId="0" borderId="8" xfId="4" applyFont="1" applyBorder="1"/>
    <xf numFmtId="0" fontId="10" fillId="0" borderId="11" xfId="4" applyFont="1" applyBorder="1"/>
    <xf numFmtId="3" fontId="10" fillId="0" borderId="4" xfId="4" applyNumberFormat="1" applyFont="1" applyBorder="1"/>
    <xf numFmtId="3" fontId="10" fillId="0" borderId="14" xfId="4" applyNumberFormat="1" applyFont="1" applyBorder="1"/>
    <xf numFmtId="3" fontId="10" fillId="0" borderId="0" xfId="4" applyNumberFormat="1" applyFont="1" applyBorder="1"/>
    <xf numFmtId="3" fontId="10" fillId="0" borderId="4" xfId="4" applyNumberFormat="1" applyFont="1" applyBorder="1" applyAlignment="1"/>
    <xf numFmtId="3" fontId="10" fillId="0" borderId="14" xfId="4" applyNumberFormat="1" applyFont="1" applyBorder="1" applyAlignment="1"/>
    <xf numFmtId="3" fontId="10" fillId="0" borderId="0" xfId="4" applyNumberFormat="1" applyFont="1" applyBorder="1" applyAlignment="1"/>
    <xf numFmtId="0" fontId="10" fillId="0" borderId="21" xfId="4" applyFont="1" applyBorder="1"/>
    <xf numFmtId="0" fontId="10" fillId="0" borderId="12" xfId="4" applyFont="1" applyBorder="1"/>
    <xf numFmtId="0" fontId="11" fillId="0" borderId="0" xfId="4" applyFont="1" applyFill="1" applyAlignment="1">
      <alignment horizontal="center"/>
    </xf>
    <xf numFmtId="0" fontId="11" fillId="8" borderId="18" xfId="4" applyFont="1" applyFill="1" applyBorder="1" applyAlignment="1">
      <alignment horizontal="center"/>
    </xf>
    <xf numFmtId="0" fontId="11" fillId="8" borderId="5" xfId="4" applyFont="1" applyFill="1" applyBorder="1" applyAlignment="1">
      <alignment horizontal="center" wrapText="1"/>
    </xf>
    <xf numFmtId="0" fontId="11" fillId="8" borderId="19" xfId="4" applyFont="1" applyFill="1" applyBorder="1" applyAlignment="1">
      <alignment horizontal="center"/>
    </xf>
    <xf numFmtId="0" fontId="11" fillId="8" borderId="5" xfId="4" applyFont="1" applyFill="1" applyBorder="1" applyAlignment="1">
      <alignment horizontal="center"/>
    </xf>
    <xf numFmtId="0" fontId="16" fillId="0" borderId="0" xfId="4" applyFont="1" applyFill="1"/>
    <xf numFmtId="0" fontId="9" fillId="0" borderId="0" xfId="4" applyFont="1" applyFill="1"/>
    <xf numFmtId="0" fontId="9" fillId="0" borderId="0" xfId="4" applyFont="1" applyFill="1" applyAlignment="1"/>
    <xf numFmtId="0" fontId="11" fillId="0" borderId="0" xfId="4" applyFont="1" applyFill="1" applyAlignment="1"/>
    <xf numFmtId="9" fontId="11" fillId="3" borderId="41" xfId="12" applyFont="1" applyFill="1" applyBorder="1" applyAlignment="1">
      <alignment horizontal="center" vertical="center"/>
    </xf>
    <xf numFmtId="9" fontId="11" fillId="3" borderId="51" xfId="12" applyFont="1" applyFill="1" applyBorder="1" applyAlignment="1">
      <alignment horizontal="center" vertical="center"/>
    </xf>
    <xf numFmtId="9" fontId="11" fillId="3" borderId="40" xfId="12" applyFont="1" applyFill="1" applyBorder="1" applyAlignment="1">
      <alignment horizontal="center" vertical="center"/>
    </xf>
    <xf numFmtId="9" fontId="10" fillId="0" borderId="29" xfId="12" applyFont="1" applyBorder="1" applyAlignment="1">
      <alignment horizontal="center" vertical="center"/>
    </xf>
    <xf numFmtId="9" fontId="10" fillId="0" borderId="53" xfId="12" applyFont="1" applyBorder="1" applyAlignment="1">
      <alignment horizontal="center" vertical="center"/>
    </xf>
    <xf numFmtId="9" fontId="10" fillId="0" borderId="25" xfId="12" applyFont="1" applyBorder="1" applyAlignment="1">
      <alignment horizontal="center" vertical="center"/>
    </xf>
    <xf numFmtId="0" fontId="11" fillId="0" borderId="0" xfId="4" applyFont="1"/>
    <xf numFmtId="0" fontId="10" fillId="0" borderId="14" xfId="4" applyFont="1" applyBorder="1" applyAlignment="1">
      <alignment vertical="center"/>
    </xf>
    <xf numFmtId="3" fontId="10" fillId="0" borderId="4" xfId="4" applyNumberFormat="1" applyFont="1" applyBorder="1" applyAlignment="1">
      <alignment horizontal="left"/>
    </xf>
    <xf numFmtId="3" fontId="10" fillId="0" borderId="4" xfId="4" applyNumberFormat="1" applyFont="1" applyFill="1" applyBorder="1"/>
    <xf numFmtId="3" fontId="11" fillId="0" borderId="5" xfId="4" applyNumberFormat="1" applyFont="1" applyBorder="1"/>
    <xf numFmtId="165" fontId="11" fillId="0" borderId="5" xfId="4" applyNumberFormat="1" applyFont="1" applyBorder="1"/>
    <xf numFmtId="3" fontId="10" fillId="5" borderId="4" xfId="4" applyNumberFormat="1" applyFont="1" applyFill="1" applyBorder="1"/>
    <xf numFmtId="0" fontId="10" fillId="0" borderId="4" xfId="4" applyFont="1" applyBorder="1" applyAlignment="1">
      <alignment horizontal="center"/>
    </xf>
    <xf numFmtId="3" fontId="10" fillId="0" borderId="0" xfId="4" applyNumberFormat="1" applyFont="1" applyBorder="1" applyAlignment="1">
      <alignment horizontal="center"/>
    </xf>
    <xf numFmtId="3" fontId="10" fillId="0" borderId="4" xfId="4" applyNumberFormat="1" applyFont="1" applyBorder="1" applyAlignment="1">
      <alignment horizontal="center"/>
    </xf>
    <xf numFmtId="3" fontId="11" fillId="5" borderId="5" xfId="4" applyNumberFormat="1" applyFont="1" applyFill="1" applyBorder="1"/>
    <xf numFmtId="0" fontId="10" fillId="0" borderId="0" xfId="37" applyFont="1"/>
    <xf numFmtId="4" fontId="10" fillId="0" borderId="0" xfId="37" applyNumberFormat="1" applyFont="1"/>
    <xf numFmtId="2" fontId="10" fillId="0" borderId="0" xfId="37" applyNumberFormat="1" applyFont="1"/>
    <xf numFmtId="0" fontId="2" fillId="0" borderId="0" xfId="37"/>
    <xf numFmtId="0" fontId="10" fillId="0" borderId="90" xfId="4" applyFont="1" applyBorder="1" applyAlignment="1">
      <alignment horizontal="center" vertical="center"/>
    </xf>
    <xf numFmtId="0" fontId="10" fillId="0" borderId="80" xfId="4" applyFont="1" applyBorder="1" applyAlignment="1">
      <alignment horizontal="center" vertical="center"/>
    </xf>
    <xf numFmtId="0" fontId="10" fillId="0" borderId="56" xfId="4" applyFont="1" applyBorder="1" applyAlignment="1">
      <alignment horizontal="center" vertical="center"/>
    </xf>
    <xf numFmtId="0" fontId="10" fillId="0" borderId="4" xfId="4" applyFont="1" applyBorder="1" applyAlignment="1">
      <alignment horizontal="center" vertical="center"/>
    </xf>
    <xf numFmtId="0" fontId="3" fillId="0" borderId="46" xfId="2" applyFont="1" applyFill="1" applyBorder="1" applyAlignment="1">
      <alignment vertical="center" wrapText="1"/>
    </xf>
    <xf numFmtId="0" fontId="3" fillId="0" borderId="46" xfId="2" applyFont="1" applyFill="1" applyBorder="1" applyAlignment="1">
      <alignment vertical="center"/>
    </xf>
    <xf numFmtId="169" fontId="3" fillId="0" borderId="46" xfId="2" applyNumberFormat="1" applyFont="1" applyFill="1" applyBorder="1" applyAlignment="1">
      <alignment vertical="center"/>
    </xf>
    <xf numFmtId="169" fontId="3" fillId="0" borderId="2" xfId="2" applyNumberFormat="1" applyFont="1" applyFill="1" applyBorder="1" applyAlignment="1">
      <alignment horizontal="center" vertical="center"/>
    </xf>
    <xf numFmtId="0" fontId="3" fillId="0" borderId="82" xfId="2" applyFont="1" applyFill="1" applyBorder="1" applyAlignment="1">
      <alignment horizontal="center" vertical="center" wrapText="1"/>
    </xf>
    <xf numFmtId="0" fontId="3" fillId="0" borderId="46" xfId="2" applyFont="1" applyFill="1" applyBorder="1" applyAlignment="1">
      <alignment horizontal="center" vertical="center"/>
    </xf>
    <xf numFmtId="4" fontId="3" fillId="0" borderId="46" xfId="2" applyNumberFormat="1" applyFont="1" applyFill="1" applyBorder="1" applyAlignment="1">
      <alignment vertical="center"/>
    </xf>
    <xf numFmtId="4" fontId="3" fillId="0" borderId="2" xfId="2" applyNumberFormat="1" applyFont="1" applyFill="1" applyBorder="1" applyAlignment="1">
      <alignment vertical="center"/>
    </xf>
    <xf numFmtId="4" fontId="3" fillId="0" borderId="2" xfId="2" applyNumberFormat="1" applyFont="1" applyFill="1" applyBorder="1" applyAlignment="1">
      <alignment horizontal="right" vertical="center"/>
    </xf>
    <xf numFmtId="0" fontId="3" fillId="0" borderId="46" xfId="2" applyFont="1" applyFill="1" applyBorder="1" applyAlignment="1">
      <alignment horizontal="center" vertical="center" wrapText="1"/>
    </xf>
    <xf numFmtId="4" fontId="3" fillId="5" borderId="2" xfId="2" applyNumberFormat="1" applyFont="1" applyFill="1" applyBorder="1" applyAlignment="1">
      <alignment vertical="center"/>
    </xf>
    <xf numFmtId="4" fontId="3" fillId="0" borderId="2" xfId="2" applyNumberFormat="1" applyFont="1" applyFill="1" applyBorder="1" applyAlignment="1">
      <alignment horizontal="center" vertical="center"/>
    </xf>
    <xf numFmtId="0" fontId="3" fillId="0" borderId="3" xfId="2" applyFont="1" applyFill="1" applyBorder="1" applyAlignment="1">
      <alignment vertical="center" wrapText="1"/>
    </xf>
    <xf numFmtId="4" fontId="3" fillId="0" borderId="3" xfId="2" applyNumberFormat="1" applyFont="1" applyFill="1" applyBorder="1" applyAlignment="1">
      <alignment vertical="center"/>
    </xf>
    <xf numFmtId="0" fontId="3" fillId="0" borderId="63" xfId="2" applyFont="1" applyFill="1" applyBorder="1" applyAlignment="1">
      <alignment horizontal="center" vertical="center" wrapText="1"/>
    </xf>
    <xf numFmtId="0" fontId="11" fillId="0" borderId="14" xfId="2" applyFont="1" applyFill="1" applyBorder="1" applyAlignment="1">
      <alignment horizontal="center" vertical="center"/>
    </xf>
    <xf numFmtId="0" fontId="3" fillId="0" borderId="3" xfId="2" applyFont="1" applyFill="1" applyBorder="1" applyAlignment="1">
      <alignment horizontal="left" vertical="center"/>
    </xf>
    <xf numFmtId="0" fontId="3" fillId="0" borderId="14" xfId="2" applyFont="1" applyFill="1" applyBorder="1" applyAlignment="1">
      <alignment horizontal="left" vertical="center"/>
    </xf>
    <xf numFmtId="0" fontId="3" fillId="0" borderId="14" xfId="2" applyFont="1" applyFill="1" applyBorder="1" applyAlignment="1">
      <alignment vertical="center"/>
    </xf>
    <xf numFmtId="0" fontId="3" fillId="0" borderId="4" xfId="2" applyFont="1" applyFill="1" applyBorder="1" applyAlignment="1">
      <alignment vertical="center"/>
    </xf>
    <xf numFmtId="0" fontId="3" fillId="0" borderId="14" xfId="2" applyFont="1" applyFill="1" applyBorder="1" applyAlignment="1">
      <alignment horizontal="center" vertical="center"/>
    </xf>
    <xf numFmtId="0" fontId="3" fillId="0" borderId="0" xfId="2" applyFont="1" applyFill="1" applyBorder="1" applyAlignment="1">
      <alignment vertical="center"/>
    </xf>
    <xf numFmtId="0" fontId="11" fillId="4" borderId="3" xfId="2" applyFont="1" applyFill="1" applyBorder="1" applyAlignment="1">
      <alignment horizontal="center" vertical="center"/>
    </xf>
    <xf numFmtId="0" fontId="11" fillId="4" borderId="14" xfId="2" applyFont="1" applyFill="1" applyBorder="1" applyAlignment="1">
      <alignment horizontal="left" vertical="center"/>
    </xf>
    <xf numFmtId="0" fontId="11" fillId="4" borderId="0" xfId="2" applyFont="1" applyFill="1" applyBorder="1" applyAlignment="1">
      <alignment vertical="center"/>
    </xf>
    <xf numFmtId="0" fontId="11" fillId="4" borderId="14" xfId="2" applyFont="1" applyFill="1" applyBorder="1" applyAlignment="1">
      <alignment vertical="center"/>
    </xf>
    <xf numFmtId="0" fontId="11" fillId="4" borderId="4" xfId="2" applyFont="1" applyFill="1" applyBorder="1" applyAlignment="1">
      <alignment vertical="center"/>
    </xf>
    <xf numFmtId="0" fontId="11" fillId="4" borderId="14" xfId="2" applyFont="1" applyFill="1" applyBorder="1" applyAlignment="1">
      <alignment horizontal="center" vertical="center"/>
    </xf>
    <xf numFmtId="165" fontId="11" fillId="0" borderId="4" xfId="2" applyNumberFormat="1" applyFont="1" applyFill="1" applyBorder="1" applyAlignment="1">
      <alignment vertical="center"/>
    </xf>
    <xf numFmtId="165" fontId="10" fillId="0" borderId="4" xfId="2" applyNumberFormat="1" applyFont="1" applyBorder="1" applyAlignment="1">
      <alignment vertical="center"/>
    </xf>
    <xf numFmtId="165" fontId="11" fillId="2" borderId="18" xfId="2" applyNumberFormat="1" applyFont="1" applyFill="1" applyBorder="1" applyAlignment="1">
      <alignment vertical="center"/>
    </xf>
    <xf numFmtId="3" fontId="10" fillId="0" borderId="0" xfId="4" applyNumberFormat="1" applyFont="1" applyAlignment="1">
      <alignment horizontal="center"/>
    </xf>
    <xf numFmtId="49" fontId="10" fillId="0" borderId="14" xfId="4" applyNumberFormat="1" applyFont="1" applyBorder="1" applyAlignment="1">
      <alignment horizontal="center"/>
    </xf>
    <xf numFmtId="4" fontId="10" fillId="0" borderId="4" xfId="4" applyNumberFormat="1" applyFont="1" applyBorder="1"/>
    <xf numFmtId="3" fontId="10" fillId="0" borderId="0" xfId="4" applyNumberFormat="1" applyFont="1"/>
    <xf numFmtId="49" fontId="10" fillId="0" borderId="14" xfId="4" applyNumberFormat="1" applyFont="1" applyBorder="1"/>
    <xf numFmtId="4" fontId="10" fillId="0" borderId="14" xfId="4" applyNumberFormat="1" applyFont="1" applyBorder="1"/>
    <xf numFmtId="0" fontId="10" fillId="0" borderId="11" xfId="4" applyFont="1" applyBorder="1" applyAlignment="1">
      <alignment horizontal="center"/>
    </xf>
    <xf numFmtId="0" fontId="11" fillId="3" borderId="3" xfId="2" applyFont="1" applyFill="1" applyBorder="1" applyAlignment="1">
      <alignment horizontal="left" vertical="center"/>
    </xf>
    <xf numFmtId="0" fontId="11" fillId="3" borderId="47" xfId="2" applyFont="1" applyFill="1" applyBorder="1" applyAlignment="1">
      <alignment horizontal="center" vertical="center" wrapText="1"/>
    </xf>
    <xf numFmtId="0" fontId="11" fillId="3" borderId="4" xfId="2" applyFont="1" applyFill="1" applyBorder="1" applyAlignment="1">
      <alignment horizontal="center" vertical="center" wrapText="1"/>
    </xf>
    <xf numFmtId="0" fontId="11" fillId="3" borderId="0" xfId="2" applyFont="1" applyFill="1" applyBorder="1" applyAlignment="1">
      <alignment horizontal="center" vertical="center" wrapText="1"/>
    </xf>
    <xf numFmtId="0" fontId="10" fillId="0" borderId="28" xfId="2" applyFont="1" applyFill="1" applyBorder="1" applyAlignment="1">
      <alignment vertical="center" wrapText="1"/>
    </xf>
    <xf numFmtId="0" fontId="10" fillId="0" borderId="29" xfId="2" applyFont="1" applyFill="1" applyBorder="1" applyAlignment="1">
      <alignment vertical="center"/>
    </xf>
    <xf numFmtId="0" fontId="10" fillId="0" borderId="26" xfId="2" applyFont="1" applyFill="1" applyBorder="1" applyAlignment="1">
      <alignment horizontal="center" vertical="center"/>
    </xf>
    <xf numFmtId="0" fontId="10" fillId="0" borderId="28" xfId="2" applyFont="1" applyFill="1" applyBorder="1" applyAlignment="1">
      <alignment horizontal="center" vertical="center" wrapText="1"/>
    </xf>
    <xf numFmtId="0" fontId="11" fillId="2" borderId="8" xfId="2" applyFont="1" applyFill="1" applyBorder="1" applyAlignment="1">
      <alignment vertical="center"/>
    </xf>
    <xf numFmtId="174" fontId="11" fillId="2" borderId="8" xfId="2" applyNumberFormat="1" applyFont="1" applyFill="1" applyBorder="1" applyAlignment="1">
      <alignment vertical="center"/>
    </xf>
    <xf numFmtId="0" fontId="11" fillId="2" borderId="11" xfId="2" applyFont="1" applyFill="1" applyBorder="1" applyAlignment="1">
      <alignment vertical="center"/>
    </xf>
    <xf numFmtId="0" fontId="11" fillId="2" borderId="11" xfId="2" applyFont="1" applyFill="1" applyBorder="1" applyAlignment="1">
      <alignment vertical="center" wrapText="1"/>
    </xf>
    <xf numFmtId="0" fontId="11" fillId="2" borderId="11" xfId="2" applyFont="1" applyFill="1" applyBorder="1" applyAlignment="1">
      <alignment horizontal="center" vertical="center" wrapText="1"/>
    </xf>
    <xf numFmtId="0" fontId="10" fillId="2" borderId="11" xfId="2" applyFont="1" applyFill="1" applyBorder="1" applyAlignment="1">
      <alignment horizontal="center" vertical="center"/>
    </xf>
    <xf numFmtId="0" fontId="11" fillId="3" borderId="21" xfId="2" applyFont="1" applyFill="1" applyBorder="1" applyAlignment="1">
      <alignment horizontal="center" vertical="center" wrapText="1"/>
    </xf>
    <xf numFmtId="0" fontId="11" fillId="2" borderId="0" xfId="2" applyFont="1" applyFill="1" applyBorder="1" applyAlignment="1">
      <alignment horizontal="center" vertical="center" wrapText="1"/>
    </xf>
    <xf numFmtId="0" fontId="11" fillId="2" borderId="0" xfId="2" applyFont="1" applyFill="1" applyBorder="1" applyAlignment="1">
      <alignment horizontal="center" vertical="center"/>
    </xf>
    <xf numFmtId="174" fontId="11" fillId="2" borderId="0" xfId="2" applyNumberFormat="1" applyFont="1" applyFill="1" applyBorder="1" applyAlignment="1">
      <alignment vertical="center"/>
    </xf>
    <xf numFmtId="0" fontId="11" fillId="2" borderId="0" xfId="2" applyFont="1" applyFill="1" applyBorder="1" applyAlignment="1">
      <alignment vertical="center" wrapText="1"/>
    </xf>
    <xf numFmtId="0" fontId="10" fillId="2" borderId="0" xfId="2" applyFont="1" applyFill="1" applyBorder="1" applyAlignment="1">
      <alignment horizontal="center" vertical="center"/>
    </xf>
    <xf numFmtId="0" fontId="11" fillId="2" borderId="5" xfId="2" applyFont="1" applyFill="1" applyBorder="1" applyAlignment="1">
      <alignment horizontal="center" vertical="center" wrapText="1"/>
    </xf>
    <xf numFmtId="0" fontId="11" fillId="2" borderId="5" xfId="2" applyFont="1" applyFill="1" applyBorder="1" applyAlignment="1">
      <alignment vertical="center" wrapText="1"/>
    </xf>
    <xf numFmtId="0" fontId="10" fillId="2" borderId="5" xfId="2" applyFont="1" applyFill="1" applyBorder="1" applyAlignment="1">
      <alignment horizontal="center" vertical="center"/>
    </xf>
    <xf numFmtId="175" fontId="11" fillId="2" borderId="5" xfId="2" applyNumberFormat="1" applyFont="1" applyFill="1" applyBorder="1" applyAlignment="1">
      <alignment vertical="center"/>
    </xf>
    <xf numFmtId="0" fontId="10" fillId="0" borderId="14" xfId="4" applyFont="1" applyBorder="1" applyAlignment="1">
      <alignment horizontal="center"/>
    </xf>
    <xf numFmtId="3" fontId="10" fillId="0" borderId="13" xfId="4" applyNumberFormat="1" applyFont="1" applyBorder="1"/>
    <xf numFmtId="3" fontId="10" fillId="0" borderId="56" xfId="4" applyNumberFormat="1" applyFont="1" applyBorder="1"/>
    <xf numFmtId="3" fontId="11" fillId="0" borderId="29" xfId="2" applyNumberFormat="1" applyFont="1" applyFill="1" applyBorder="1" applyAlignment="1">
      <alignment vertical="center"/>
    </xf>
    <xf numFmtId="0" fontId="11" fillId="0" borderId="46" xfId="2" applyFont="1" applyFill="1" applyBorder="1" applyAlignment="1">
      <alignment horizontal="left" vertical="center"/>
    </xf>
    <xf numFmtId="3" fontId="11" fillId="2" borderId="18" xfId="2" applyNumberFormat="1" applyFont="1" applyFill="1" applyBorder="1" applyAlignment="1">
      <alignment vertical="center"/>
    </xf>
    <xf numFmtId="3" fontId="11" fillId="2" borderId="43" xfId="2" applyNumberFormat="1" applyFont="1" applyFill="1" applyBorder="1" applyAlignment="1">
      <alignment vertical="center"/>
    </xf>
    <xf numFmtId="0" fontId="3" fillId="0" borderId="0" xfId="2" applyFont="1" applyBorder="1" applyAlignment="1">
      <alignment vertical="center"/>
    </xf>
    <xf numFmtId="3" fontId="3" fillId="0" borderId="4" xfId="2" applyNumberFormat="1" applyFont="1" applyBorder="1" applyAlignment="1">
      <alignment vertical="center"/>
    </xf>
    <xf numFmtId="0" fontId="11" fillId="0" borderId="0" xfId="2" applyFont="1" applyAlignment="1">
      <alignment vertical="center"/>
    </xf>
    <xf numFmtId="0" fontId="11" fillId="5" borderId="0" xfId="37" applyFont="1" applyFill="1"/>
    <xf numFmtId="0" fontId="11" fillId="5" borderId="0" xfId="37" applyFont="1" applyFill="1" applyBorder="1"/>
    <xf numFmtId="176" fontId="11" fillId="5" borderId="0" xfId="37" applyNumberFormat="1" applyFont="1" applyFill="1"/>
    <xf numFmtId="0" fontId="11" fillId="7" borderId="12" xfId="37" applyFont="1" applyFill="1" applyBorder="1" applyAlignment="1">
      <alignment horizontal="center" vertical="center" textRotation="90" wrapText="1"/>
    </xf>
    <xf numFmtId="0" fontId="11" fillId="7" borderId="52" xfId="37" applyFont="1" applyFill="1" applyBorder="1" applyAlignment="1">
      <alignment horizontal="center" vertical="center" textRotation="90" wrapText="1"/>
    </xf>
    <xf numFmtId="0" fontId="11" fillId="7" borderId="48" xfId="37" applyFont="1" applyFill="1" applyBorder="1" applyAlignment="1">
      <alignment horizontal="center" vertical="center" textRotation="90" wrapText="1"/>
    </xf>
    <xf numFmtId="176" fontId="11" fillId="7" borderId="48" xfId="37" applyNumberFormat="1" applyFont="1" applyFill="1" applyBorder="1" applyAlignment="1">
      <alignment horizontal="center" vertical="center" textRotation="90" wrapText="1"/>
    </xf>
    <xf numFmtId="0" fontId="11" fillId="7" borderId="111" xfId="37" applyFont="1" applyFill="1" applyBorder="1" applyAlignment="1">
      <alignment horizontal="center" vertical="center" textRotation="90" wrapText="1"/>
    </xf>
    <xf numFmtId="0" fontId="11" fillId="7" borderId="58" xfId="37" applyFont="1" applyFill="1" applyBorder="1" applyAlignment="1">
      <alignment horizontal="center" vertical="center" textRotation="90" wrapText="1"/>
    </xf>
    <xf numFmtId="0" fontId="11" fillId="7" borderId="21" xfId="37" applyFont="1" applyFill="1" applyBorder="1" applyAlignment="1">
      <alignment horizontal="center" vertical="center" textRotation="90" wrapText="1"/>
    </xf>
    <xf numFmtId="0" fontId="11" fillId="7" borderId="11" xfId="37" applyFont="1" applyFill="1" applyBorder="1" applyAlignment="1">
      <alignment horizontal="center"/>
    </xf>
    <xf numFmtId="0" fontId="11" fillId="7" borderId="10" xfId="37" applyFont="1" applyFill="1" applyBorder="1" applyAlignment="1">
      <alignment horizontal="center"/>
    </xf>
    <xf numFmtId="0" fontId="11" fillId="7" borderId="50" xfId="37" applyFont="1" applyFill="1" applyBorder="1" applyAlignment="1">
      <alignment horizontal="center"/>
    </xf>
    <xf numFmtId="0" fontId="11" fillId="7" borderId="50" xfId="37" quotePrefix="1" applyFont="1" applyFill="1" applyBorder="1" applyAlignment="1">
      <alignment horizontal="center"/>
    </xf>
    <xf numFmtId="176" fontId="11" fillId="7" borderId="50" xfId="37" quotePrefix="1" applyNumberFormat="1" applyFont="1" applyFill="1" applyBorder="1" applyAlignment="1">
      <alignment horizontal="center"/>
    </xf>
    <xf numFmtId="0" fontId="11" fillId="7" borderId="57" xfId="37" quotePrefix="1" applyFont="1" applyFill="1" applyBorder="1" applyAlignment="1">
      <alignment horizontal="center"/>
    </xf>
    <xf numFmtId="0" fontId="11" fillId="7" borderId="9" xfId="37" quotePrefix="1" applyFont="1" applyFill="1" applyBorder="1" applyAlignment="1">
      <alignment horizontal="center"/>
    </xf>
    <xf numFmtId="0" fontId="11" fillId="7" borderId="8" xfId="37" quotePrefix="1" applyFont="1" applyFill="1" applyBorder="1" applyAlignment="1">
      <alignment horizontal="center"/>
    </xf>
    <xf numFmtId="0" fontId="11" fillId="7" borderId="8" xfId="37" applyFont="1" applyFill="1" applyBorder="1" applyAlignment="1">
      <alignment horizontal="center"/>
    </xf>
    <xf numFmtId="0" fontId="10" fillId="0" borderId="6" xfId="37" applyFont="1" applyBorder="1"/>
    <xf numFmtId="0" fontId="10" fillId="5" borderId="0" xfId="37" applyFont="1" applyFill="1" applyBorder="1"/>
    <xf numFmtId="176" fontId="10" fillId="5" borderId="0" xfId="37" applyNumberFormat="1" applyFont="1" applyFill="1" applyBorder="1"/>
    <xf numFmtId="3" fontId="11" fillId="2" borderId="28" xfId="2" applyNumberFormat="1" applyFont="1" applyFill="1" applyBorder="1" applyAlignment="1">
      <alignment horizontal="right" vertical="center"/>
    </xf>
    <xf numFmtId="176" fontId="11" fillId="2" borderId="28" xfId="2" applyNumberFormat="1" applyFont="1" applyFill="1" applyBorder="1" applyAlignment="1">
      <alignment horizontal="right" vertical="center"/>
    </xf>
    <xf numFmtId="3" fontId="10" fillId="0" borderId="28" xfId="32" applyNumberFormat="1" applyFont="1" applyFill="1" applyBorder="1" applyAlignment="1">
      <alignment horizontal="right"/>
    </xf>
    <xf numFmtId="0" fontId="10" fillId="0" borderId="28" xfId="37" applyFont="1" applyBorder="1"/>
    <xf numFmtId="3" fontId="10" fillId="0" borderId="28" xfId="37" applyNumberFormat="1" applyFont="1" applyBorder="1"/>
    <xf numFmtId="3" fontId="10" fillId="5" borderId="28" xfId="32" applyNumberFormat="1" applyFont="1" applyFill="1" applyBorder="1" applyAlignment="1">
      <alignment horizontal="right"/>
    </xf>
    <xf numFmtId="3" fontId="10" fillId="5" borderId="28" xfId="4" applyNumberFormat="1" applyFont="1" applyFill="1" applyBorder="1" applyAlignment="1">
      <alignment horizontal="right"/>
    </xf>
    <xf numFmtId="4" fontId="10" fillId="5" borderId="28" xfId="4" applyNumberFormat="1" applyFont="1" applyFill="1" applyBorder="1" applyAlignment="1">
      <alignment horizontal="right"/>
    </xf>
    <xf numFmtId="176" fontId="10" fillId="0" borderId="28" xfId="37" applyNumberFormat="1" applyFont="1" applyBorder="1"/>
    <xf numFmtId="0" fontId="10" fillId="5" borderId="28" xfId="32" applyFont="1" applyFill="1" applyBorder="1" applyAlignment="1">
      <alignment horizontal="center"/>
    </xf>
    <xf numFmtId="0" fontId="10" fillId="5" borderId="28" xfId="4" applyFont="1" applyFill="1" applyBorder="1" applyAlignment="1">
      <alignment horizontal="center"/>
    </xf>
    <xf numFmtId="176" fontId="10" fillId="0" borderId="0" xfId="37" applyNumberFormat="1" applyFont="1"/>
    <xf numFmtId="3" fontId="10" fillId="0" borderId="0" xfId="37" applyNumberFormat="1" applyFont="1"/>
    <xf numFmtId="4" fontId="10" fillId="0" borderId="0" xfId="2" applyNumberFormat="1" applyFont="1" applyBorder="1" applyAlignment="1">
      <alignment vertical="center"/>
    </xf>
    <xf numFmtId="0" fontId="10" fillId="0" borderId="0" xfId="37" applyFont="1" applyBorder="1"/>
    <xf numFmtId="3" fontId="10" fillId="0" borderId="0" xfId="37" applyNumberFormat="1" applyFont="1" applyBorder="1"/>
    <xf numFmtId="4" fontId="10" fillId="0" borderId="0" xfId="37" applyNumberFormat="1" applyFont="1" applyBorder="1"/>
    <xf numFmtId="0" fontId="11" fillId="0" borderId="0" xfId="37" applyFont="1" applyFill="1" applyAlignment="1">
      <alignment horizontal="left"/>
    </xf>
    <xf numFmtId="0" fontId="10" fillId="0" borderId="3" xfId="37" applyFont="1" applyBorder="1"/>
    <xf numFmtId="3" fontId="11" fillId="3" borderId="28" xfId="2" applyNumberFormat="1" applyFont="1" applyFill="1" applyBorder="1" applyAlignment="1">
      <alignment horizontal="right" vertical="center"/>
    </xf>
    <xf numFmtId="4" fontId="11" fillId="3" borderId="28" xfId="2" applyNumberFormat="1" applyFont="1" applyFill="1" applyBorder="1" applyAlignment="1">
      <alignment horizontal="center" vertical="center"/>
    </xf>
    <xf numFmtId="0" fontId="11" fillId="3" borderId="28" xfId="2" applyFont="1" applyFill="1" applyBorder="1" applyAlignment="1">
      <alignment horizontal="left" vertical="center"/>
    </xf>
    <xf numFmtId="3" fontId="11" fillId="3" borderId="28" xfId="2" applyNumberFormat="1" applyFont="1" applyFill="1" applyBorder="1" applyAlignment="1">
      <alignment horizontal="center" vertical="center"/>
    </xf>
    <xf numFmtId="0" fontId="11" fillId="3" borderId="2" xfId="2" applyFont="1" applyFill="1" applyBorder="1" applyAlignment="1">
      <alignment horizontal="left" vertical="center"/>
    </xf>
    <xf numFmtId="0" fontId="10" fillId="5" borderId="2" xfId="32" applyFont="1" applyFill="1" applyBorder="1" applyAlignment="1">
      <alignment horizontal="center"/>
    </xf>
    <xf numFmtId="165" fontId="11" fillId="2" borderId="43" xfId="2" applyNumberFormat="1" applyFont="1" applyFill="1" applyBorder="1" applyAlignment="1">
      <alignment vertical="center"/>
    </xf>
    <xf numFmtId="165" fontId="11" fillId="0" borderId="29" xfId="2" applyNumberFormat="1" applyFont="1" applyFill="1" applyBorder="1" applyAlignment="1">
      <alignment vertical="center"/>
    </xf>
    <xf numFmtId="0" fontId="9" fillId="5" borderId="0" xfId="37" applyFont="1" applyFill="1"/>
    <xf numFmtId="4" fontId="9" fillId="5" borderId="0" xfId="37" applyNumberFormat="1" applyFont="1" applyFill="1"/>
    <xf numFmtId="4" fontId="7" fillId="7" borderId="29" xfId="2" applyNumberFormat="1" applyFont="1" applyFill="1" applyBorder="1" applyAlignment="1">
      <alignment horizontal="center" vertical="center" textRotation="90" wrapText="1"/>
    </xf>
    <xf numFmtId="4" fontId="10" fillId="0" borderId="4" xfId="2" applyNumberFormat="1" applyFont="1" applyBorder="1" applyAlignment="1">
      <alignment vertical="center"/>
    </xf>
    <xf numFmtId="4" fontId="11" fillId="0" borderId="0" xfId="2" applyNumberFormat="1" applyFont="1" applyFill="1" applyBorder="1" applyAlignment="1">
      <alignment vertical="center"/>
    </xf>
    <xf numFmtId="0" fontId="10" fillId="0" borderId="0" xfId="37" applyFont="1" applyFill="1" applyBorder="1"/>
    <xf numFmtId="4" fontId="10" fillId="0" borderId="0" xfId="2" applyNumberFormat="1" applyFont="1" applyAlignment="1">
      <alignment vertical="center"/>
    </xf>
    <xf numFmtId="3" fontId="10" fillId="0" borderId="4" xfId="2" applyNumberFormat="1" applyFont="1" applyBorder="1" applyAlignment="1">
      <alignment vertical="center"/>
    </xf>
    <xf numFmtId="177" fontId="10" fillId="0" borderId="28" xfId="2" applyNumberFormat="1" applyFont="1" applyFill="1" applyBorder="1" applyAlignment="1">
      <alignment horizontal="center" vertical="center" wrapText="1"/>
    </xf>
    <xf numFmtId="0" fontId="30" fillId="0" borderId="28" xfId="4" applyFont="1" applyFill="1" applyBorder="1" applyAlignment="1">
      <alignment vertical="center" wrapText="1"/>
    </xf>
    <xf numFmtId="0" fontId="31" fillId="0" borderId="28" xfId="4" applyFont="1" applyFill="1" applyBorder="1" applyAlignment="1">
      <alignment horizontal="center" vertical="center" wrapText="1"/>
    </xf>
    <xf numFmtId="0" fontId="31" fillId="0" borderId="28" xfId="4" applyFont="1" applyFill="1" applyBorder="1" applyAlignment="1">
      <alignment vertical="center" wrapText="1"/>
    </xf>
    <xf numFmtId="49" fontId="31" fillId="0" borderId="28" xfId="4" applyNumberFormat="1" applyFont="1" applyFill="1" applyBorder="1" applyAlignment="1">
      <alignment horizontal="center" vertical="center" wrapText="1"/>
    </xf>
    <xf numFmtId="0" fontId="10" fillId="0" borderId="58" xfId="4" applyFont="1" applyBorder="1" applyAlignment="1">
      <alignment horizontal="center" vertical="center"/>
    </xf>
    <xf numFmtId="0" fontId="10" fillId="0" borderId="88" xfId="4" applyFont="1" applyBorder="1" applyAlignment="1">
      <alignment horizontal="center" vertical="center"/>
    </xf>
    <xf numFmtId="0" fontId="10" fillId="0" borderId="23" xfId="4" applyFont="1" applyFill="1" applyBorder="1" applyAlignment="1">
      <alignment vertical="center" wrapText="1"/>
    </xf>
    <xf numFmtId="0" fontId="10" fillId="0" borderId="28" xfId="4" applyFont="1" applyFill="1" applyBorder="1" applyAlignment="1">
      <alignment horizontal="center" vertical="center" wrapText="1"/>
    </xf>
    <xf numFmtId="0" fontId="10" fillId="0" borderId="28" xfId="4" applyFont="1" applyFill="1" applyBorder="1" applyAlignment="1">
      <alignment vertical="center" wrapText="1"/>
    </xf>
    <xf numFmtId="0" fontId="3" fillId="0" borderId="28" xfId="4" applyFont="1" applyFill="1" applyBorder="1" applyAlignment="1">
      <alignment horizontal="center" vertical="center" wrapText="1"/>
    </xf>
    <xf numFmtId="177" fontId="10" fillId="0" borderId="28" xfId="4" applyNumberFormat="1" applyFont="1" applyFill="1" applyBorder="1" applyAlignment="1">
      <alignment horizontal="right" vertical="center" wrapText="1"/>
    </xf>
    <xf numFmtId="177" fontId="10" fillId="0" borderId="28" xfId="4" applyNumberFormat="1" applyFont="1" applyFill="1" applyBorder="1" applyAlignment="1">
      <alignment horizontal="center" vertical="center" wrapText="1"/>
    </xf>
    <xf numFmtId="4" fontId="10" fillId="0" borderId="28" xfId="4" applyNumberFormat="1" applyFont="1" applyFill="1" applyBorder="1" applyAlignment="1">
      <alignment horizontal="right" vertical="center" wrapText="1"/>
    </xf>
    <xf numFmtId="14" fontId="10" fillId="0" borderId="28" xfId="4" applyNumberFormat="1" applyFont="1" applyFill="1" applyBorder="1" applyAlignment="1">
      <alignment horizontal="center" vertical="center" wrapText="1"/>
    </xf>
    <xf numFmtId="0" fontId="3" fillId="0" borderId="28" xfId="4" applyFont="1" applyFill="1" applyBorder="1" applyAlignment="1">
      <alignment vertical="center" wrapText="1"/>
    </xf>
    <xf numFmtId="0" fontId="32" fillId="0" borderId="28" xfId="4" applyFont="1" applyFill="1" applyBorder="1" applyAlignment="1">
      <alignment vertical="center" wrapText="1"/>
    </xf>
    <xf numFmtId="0" fontId="10" fillId="0" borderId="0" xfId="4" applyFont="1" applyFill="1"/>
    <xf numFmtId="168" fontId="11" fillId="0" borderId="5" xfId="4" applyNumberFormat="1" applyFont="1" applyBorder="1"/>
    <xf numFmtId="3" fontId="11" fillId="2" borderId="20" xfId="2" applyNumberFormat="1" applyFont="1" applyFill="1" applyBorder="1" applyAlignment="1">
      <alignment vertical="center"/>
    </xf>
    <xf numFmtId="0" fontId="11" fillId="0" borderId="0" xfId="4" applyFont="1" applyFill="1" applyAlignment="1">
      <alignment horizontal="left"/>
    </xf>
    <xf numFmtId="170" fontId="11" fillId="2" borderId="19" xfId="2" applyNumberFormat="1" applyFont="1" applyFill="1" applyBorder="1" applyAlignment="1">
      <alignment horizontal="center" vertical="center"/>
    </xf>
    <xf numFmtId="3" fontId="11" fillId="3" borderId="0" xfId="2" applyNumberFormat="1" applyFont="1" applyFill="1" applyBorder="1" applyAlignment="1">
      <alignment horizontal="right" vertical="center" wrapText="1"/>
    </xf>
    <xf numFmtId="3" fontId="11" fillId="0" borderId="0" xfId="2" applyNumberFormat="1" applyFont="1" applyFill="1" applyBorder="1" applyAlignment="1">
      <alignment vertical="center"/>
    </xf>
    <xf numFmtId="0" fontId="10" fillId="0" borderId="26" xfId="2" applyFont="1" applyFill="1" applyBorder="1" applyAlignment="1">
      <alignment vertical="center"/>
    </xf>
    <xf numFmtId="3" fontId="10" fillId="0" borderId="29" xfId="2" applyNumberFormat="1" applyFont="1" applyFill="1" applyBorder="1" applyAlignment="1">
      <alignment vertical="center"/>
    </xf>
    <xf numFmtId="0" fontId="3" fillId="7" borderId="35" xfId="2" applyFont="1" applyFill="1" applyBorder="1" applyAlignment="1">
      <alignment horizontal="center" vertical="center" textRotation="90" wrapText="1"/>
    </xf>
    <xf numFmtId="0" fontId="3" fillId="7" borderId="36" xfId="2" applyFont="1" applyFill="1" applyBorder="1" applyAlignment="1">
      <alignment horizontal="center" vertical="center" textRotation="90" wrapText="1"/>
    </xf>
    <xf numFmtId="0" fontId="7" fillId="7" borderId="36" xfId="2" applyFont="1" applyFill="1" applyBorder="1" applyAlignment="1">
      <alignment horizontal="center" vertical="center" textRotation="90" wrapText="1"/>
    </xf>
    <xf numFmtId="0" fontId="7" fillId="7" borderId="37" xfId="2" applyFont="1" applyFill="1" applyBorder="1" applyAlignment="1">
      <alignment horizontal="center" vertical="center" textRotation="90" wrapText="1"/>
    </xf>
    <xf numFmtId="0" fontId="7" fillId="7" borderId="38" xfId="2" applyFont="1" applyFill="1" applyBorder="1" applyAlignment="1">
      <alignment horizontal="center" vertical="center" textRotation="90" wrapText="1"/>
    </xf>
    <xf numFmtId="0" fontId="10" fillId="0" borderId="7" xfId="2" applyFont="1" applyBorder="1" applyAlignment="1">
      <alignment vertical="center"/>
    </xf>
    <xf numFmtId="0" fontId="10" fillId="0" borderId="81" xfId="2" applyFont="1" applyBorder="1" applyAlignment="1">
      <alignment vertical="center"/>
    </xf>
    <xf numFmtId="0" fontId="10" fillId="0" borderId="8" xfId="2" applyFont="1" applyBorder="1" applyAlignment="1">
      <alignment vertical="center"/>
    </xf>
    <xf numFmtId="4" fontId="10" fillId="0" borderId="0" xfId="4" applyNumberFormat="1" applyFont="1"/>
    <xf numFmtId="0" fontId="11" fillId="7" borderId="14" xfId="4" applyFont="1" applyFill="1" applyBorder="1" applyAlignment="1">
      <alignment horizontal="center"/>
    </xf>
    <xf numFmtId="0" fontId="11" fillId="7" borderId="13" xfId="4" applyFont="1" applyFill="1" applyBorder="1" applyAlignment="1">
      <alignment horizontal="center"/>
    </xf>
    <xf numFmtId="0" fontId="11" fillId="7" borderId="49" xfId="4" applyFont="1" applyFill="1" applyBorder="1" applyAlignment="1">
      <alignment horizontal="center"/>
    </xf>
    <xf numFmtId="0" fontId="11" fillId="7" borderId="49" xfId="4" quotePrefix="1" applyFont="1" applyFill="1" applyBorder="1" applyAlignment="1">
      <alignment horizontal="center"/>
    </xf>
    <xf numFmtId="0" fontId="11" fillId="7" borderId="54" xfId="4" quotePrefix="1" applyFont="1" applyFill="1" applyBorder="1" applyAlignment="1">
      <alignment horizontal="center"/>
    </xf>
    <xf numFmtId="0" fontId="10" fillId="0" borderId="12" xfId="4" applyFont="1" applyBorder="1" applyAlignment="1">
      <alignment horizontal="center"/>
    </xf>
    <xf numFmtId="0" fontId="10" fillId="0" borderId="47" xfId="4" applyFont="1" applyBorder="1"/>
    <xf numFmtId="0" fontId="11" fillId="0" borderId="14" xfId="4" applyFont="1" applyBorder="1"/>
    <xf numFmtId="4" fontId="10" fillId="0" borderId="13" xfId="4" applyNumberFormat="1" applyFont="1" applyBorder="1"/>
    <xf numFmtId="4" fontId="10" fillId="0" borderId="0" xfId="4" applyNumberFormat="1" applyFont="1" applyBorder="1"/>
    <xf numFmtId="4" fontId="10" fillId="0" borderId="0" xfId="4" applyNumberFormat="1" applyFont="1" applyBorder="1" applyAlignment="1">
      <alignment horizontal="center"/>
    </xf>
    <xf numFmtId="0" fontId="10" fillId="0" borderId="81" xfId="4" applyFont="1" applyBorder="1"/>
    <xf numFmtId="3" fontId="10" fillId="0" borderId="11" xfId="4" applyNumberFormat="1" applyFont="1" applyBorder="1"/>
    <xf numFmtId="3" fontId="10" fillId="0" borderId="3" xfId="4" applyNumberFormat="1" applyFont="1" applyBorder="1"/>
    <xf numFmtId="3" fontId="10" fillId="0" borderId="10" xfId="4" applyNumberFormat="1" applyFont="1" applyBorder="1"/>
    <xf numFmtId="3" fontId="10" fillId="0" borderId="8" xfId="4" applyNumberFormat="1" applyFont="1" applyBorder="1"/>
    <xf numFmtId="0" fontId="3" fillId="0" borderId="28" xfId="4" applyFont="1" applyBorder="1" applyAlignment="1">
      <alignment horizontal="left" vertical="center" wrapText="1"/>
    </xf>
    <xf numFmtId="0" fontId="7" fillId="2" borderId="11" xfId="2" applyFont="1" applyFill="1" applyBorder="1" applyAlignment="1">
      <alignment horizontal="center" vertical="center"/>
    </xf>
    <xf numFmtId="0" fontId="7" fillId="2" borderId="11" xfId="2" applyFont="1" applyFill="1" applyBorder="1" applyAlignment="1">
      <alignment vertical="center"/>
    </xf>
    <xf numFmtId="0" fontId="3" fillId="0" borderId="82" xfId="4" applyFont="1" applyBorder="1" applyAlignment="1">
      <alignment horizontal="center" vertical="center" wrapText="1"/>
    </xf>
    <xf numFmtId="0" fontId="3" fillId="0" borderId="63" xfId="4" applyFont="1" applyBorder="1" applyAlignment="1">
      <alignment horizontal="center" vertical="center" wrapText="1"/>
    </xf>
    <xf numFmtId="0" fontId="7" fillId="2" borderId="5" xfId="2" applyFont="1" applyFill="1" applyBorder="1" applyAlignment="1">
      <alignment vertical="center"/>
    </xf>
    <xf numFmtId="165" fontId="11" fillId="2" borderId="42" xfId="2" applyNumberFormat="1" applyFont="1" applyFill="1" applyBorder="1" applyAlignment="1">
      <alignment vertical="center"/>
    </xf>
    <xf numFmtId="0" fontId="11" fillId="0" borderId="81" xfId="2" applyFont="1" applyFill="1" applyBorder="1" applyAlignment="1">
      <alignment horizontal="left" vertical="center"/>
    </xf>
    <xf numFmtId="0" fontId="11" fillId="0" borderId="81" xfId="2" applyFont="1" applyFill="1" applyBorder="1" applyAlignment="1">
      <alignment vertical="center"/>
    </xf>
    <xf numFmtId="0" fontId="11" fillId="3" borderId="6" xfId="2" applyFont="1" applyFill="1" applyBorder="1" applyAlignment="1">
      <alignment horizontal="left" vertical="center"/>
    </xf>
    <xf numFmtId="0" fontId="11" fillId="7" borderId="3" xfId="4" applyFont="1" applyFill="1" applyBorder="1" applyAlignment="1">
      <alignment horizontal="center" vertical="center" textRotation="90" wrapText="1"/>
    </xf>
    <xf numFmtId="0" fontId="11" fillId="7" borderId="4" xfId="4" applyFont="1" applyFill="1" applyBorder="1" applyAlignment="1">
      <alignment horizontal="center" vertical="center" textRotation="90" wrapText="1"/>
    </xf>
    <xf numFmtId="0" fontId="11" fillId="7" borderId="81" xfId="4" applyFont="1" applyFill="1" applyBorder="1" applyAlignment="1">
      <alignment horizontal="center"/>
    </xf>
    <xf numFmtId="0" fontId="11" fillId="11" borderId="19" xfId="4" applyFont="1" applyFill="1" applyBorder="1" applyAlignment="1">
      <alignment horizontal="center"/>
    </xf>
    <xf numFmtId="1" fontId="2" fillId="11" borderId="5" xfId="4" applyNumberFormat="1" applyFont="1" applyFill="1" applyBorder="1"/>
    <xf numFmtId="4" fontId="2" fillId="11" borderId="16" xfId="4" applyNumberFormat="1" applyFont="1" applyFill="1" applyBorder="1"/>
    <xf numFmtId="1" fontId="2" fillId="11" borderId="16" xfId="4" applyNumberFormat="1" applyFont="1" applyFill="1" applyBorder="1"/>
    <xf numFmtId="1" fontId="2" fillId="11" borderId="15" xfId="4" applyNumberFormat="1" applyFont="1" applyFill="1" applyBorder="1"/>
    <xf numFmtId="0" fontId="10" fillId="0" borderId="3" xfId="4" applyFont="1" applyBorder="1"/>
    <xf numFmtId="0" fontId="4" fillId="2" borderId="19" xfId="2" applyFont="1" applyFill="1" applyBorder="1" applyAlignment="1">
      <alignment horizontal="center" vertical="center" wrapText="1"/>
    </xf>
    <xf numFmtId="3" fontId="4" fillId="2" borderId="5" xfId="2" applyNumberFormat="1" applyFont="1" applyFill="1" applyBorder="1" applyAlignment="1">
      <alignment vertical="center"/>
    </xf>
    <xf numFmtId="3" fontId="4" fillId="2" borderId="15" xfId="2" applyNumberFormat="1" applyFont="1" applyFill="1" applyBorder="1" applyAlignment="1">
      <alignment vertical="center"/>
    </xf>
    <xf numFmtId="3" fontId="4" fillId="2" borderId="16" xfId="2" applyNumberFormat="1" applyFont="1" applyFill="1" applyBorder="1" applyAlignment="1">
      <alignment vertical="center"/>
    </xf>
    <xf numFmtId="4" fontId="4" fillId="2" borderId="15" xfId="2" applyNumberFormat="1" applyFont="1" applyFill="1" applyBorder="1" applyAlignment="1">
      <alignment vertical="center"/>
    </xf>
    <xf numFmtId="0" fontId="10" fillId="0" borderId="13" xfId="4" applyFont="1" applyBorder="1" applyAlignment="1">
      <alignment horizontal="center"/>
    </xf>
    <xf numFmtId="0" fontId="4" fillId="2" borderId="19" xfId="2" applyFont="1" applyFill="1" applyBorder="1" applyAlignment="1">
      <alignment horizontal="center" vertical="center"/>
    </xf>
    <xf numFmtId="0" fontId="4" fillId="3" borderId="19" xfId="4" applyFont="1" applyFill="1" applyBorder="1" applyAlignment="1">
      <alignment horizontal="center" wrapText="1"/>
    </xf>
    <xf numFmtId="3" fontId="4" fillId="3" borderId="5" xfId="4" applyNumberFormat="1" applyFont="1" applyFill="1" applyBorder="1"/>
    <xf numFmtId="3" fontId="2" fillId="11" borderId="16" xfId="4" applyNumberFormat="1" applyFont="1" applyFill="1" applyBorder="1"/>
    <xf numFmtId="0" fontId="11" fillId="4" borderId="11" xfId="4" applyFont="1" applyFill="1" applyBorder="1" applyAlignment="1">
      <alignment horizontal="center"/>
    </xf>
    <xf numFmtId="0" fontId="11" fillId="4" borderId="5" xfId="4" applyFont="1" applyFill="1" applyBorder="1" applyAlignment="1">
      <alignment horizontal="center"/>
    </xf>
    <xf numFmtId="3" fontId="11" fillId="4" borderId="15" xfId="4" applyNumberFormat="1" applyFont="1" applyFill="1" applyBorder="1" applyAlignment="1">
      <alignment horizontal="center"/>
    </xf>
    <xf numFmtId="3" fontId="11" fillId="4" borderId="15" xfId="4" applyNumberFormat="1" applyFont="1" applyFill="1" applyBorder="1"/>
    <xf numFmtId="3" fontId="11" fillId="4" borderId="20" xfId="4" applyNumberFormat="1" applyFont="1" applyFill="1" applyBorder="1"/>
    <xf numFmtId="3" fontId="11" fillId="4" borderId="42" xfId="4" applyNumberFormat="1" applyFont="1" applyFill="1" applyBorder="1"/>
    <xf numFmtId="3" fontId="11" fillId="4" borderId="18" xfId="4" applyNumberFormat="1" applyFont="1" applyFill="1" applyBorder="1"/>
    <xf numFmtId="3" fontId="11" fillId="4" borderId="57" xfId="4" applyNumberFormat="1" applyFont="1" applyFill="1" applyBorder="1"/>
    <xf numFmtId="3" fontId="11" fillId="4" borderId="19" xfId="4" applyNumberFormat="1" applyFont="1" applyFill="1" applyBorder="1"/>
    <xf numFmtId="3" fontId="11" fillId="4" borderId="43" xfId="4" applyNumberFormat="1" applyFont="1" applyFill="1" applyBorder="1"/>
    <xf numFmtId="0" fontId="11" fillId="4" borderId="18" xfId="4" applyFont="1" applyFill="1" applyBorder="1"/>
    <xf numFmtId="0" fontId="11" fillId="4" borderId="5" xfId="4" applyFont="1" applyFill="1" applyBorder="1"/>
    <xf numFmtId="0" fontId="11" fillId="4" borderId="18" xfId="4" applyFont="1" applyFill="1" applyBorder="1" applyAlignment="1">
      <alignment horizontal="center"/>
    </xf>
    <xf numFmtId="3" fontId="11" fillId="4" borderId="5" xfId="4" applyNumberFormat="1" applyFont="1" applyFill="1" applyBorder="1"/>
    <xf numFmtId="0" fontId="11" fillId="7" borderId="62" xfId="2" applyFont="1" applyFill="1" applyBorder="1" applyAlignment="1">
      <alignment horizontal="center" vertical="center" wrapText="1"/>
    </xf>
    <xf numFmtId="0" fontId="11" fillId="0" borderId="18" xfId="4" applyFont="1" applyBorder="1" applyAlignment="1">
      <alignment horizontal="center"/>
    </xf>
    <xf numFmtId="3" fontId="34" fillId="0" borderId="4" xfId="4" applyNumberFormat="1" applyFont="1" applyBorder="1"/>
    <xf numFmtId="3" fontId="33" fillId="0" borderId="0" xfId="4" applyNumberFormat="1" applyFont="1" applyBorder="1"/>
    <xf numFmtId="9" fontId="33" fillId="0" borderId="14" xfId="12" applyFont="1" applyBorder="1" applyAlignment="1">
      <alignment horizontal="center" vertical="center"/>
    </xf>
    <xf numFmtId="0" fontId="34" fillId="0" borderId="11" xfId="4" applyFont="1" applyBorder="1"/>
    <xf numFmtId="0" fontId="34" fillId="0" borderId="0" xfId="4" applyFont="1" applyBorder="1"/>
    <xf numFmtId="0" fontId="34" fillId="0" borderId="4" xfId="4" applyFont="1" applyBorder="1"/>
    <xf numFmtId="0" fontId="34" fillId="0" borderId="0" xfId="0" applyFont="1" applyBorder="1"/>
    <xf numFmtId="0" fontId="33" fillId="0" borderId="14" xfId="4" applyFont="1" applyBorder="1"/>
    <xf numFmtId="0" fontId="33" fillId="0" borderId="0" xfId="4" applyFont="1" applyBorder="1"/>
    <xf numFmtId="49" fontId="33" fillId="9" borderId="19" xfId="3" applyFont="1" applyFill="1" applyBorder="1" applyAlignment="1">
      <alignment horizontal="left" vertical="center"/>
    </xf>
    <xf numFmtId="166" fontId="33" fillId="9" borderId="5" xfId="12" applyNumberFormat="1" applyFont="1" applyFill="1" applyBorder="1" applyAlignment="1">
      <alignment horizontal="center" vertical="center"/>
    </xf>
    <xf numFmtId="0" fontId="34" fillId="9" borderId="5" xfId="4" applyFont="1" applyFill="1" applyBorder="1" applyAlignment="1">
      <alignment vertical="center"/>
    </xf>
    <xf numFmtId="165" fontId="33" fillId="9" borderId="5" xfId="4" applyNumberFormat="1" applyFont="1" applyFill="1" applyBorder="1" applyAlignment="1">
      <alignment vertical="center"/>
    </xf>
    <xf numFmtId="165" fontId="34" fillId="9" borderId="5" xfId="4" applyNumberFormat="1" applyFont="1" applyFill="1" applyBorder="1" applyAlignment="1">
      <alignment vertical="center"/>
    </xf>
    <xf numFmtId="0" fontId="34" fillId="0" borderId="75" xfId="4" applyFont="1" applyBorder="1" applyAlignment="1">
      <alignment vertical="center"/>
    </xf>
    <xf numFmtId="3" fontId="34" fillId="0" borderId="75" xfId="4" applyNumberFormat="1" applyFont="1" applyBorder="1" applyAlignment="1">
      <alignment vertical="center"/>
    </xf>
    <xf numFmtId="3" fontId="34" fillId="0" borderId="76" xfId="4" applyNumberFormat="1" applyFont="1" applyBorder="1" applyAlignment="1">
      <alignment vertical="center"/>
    </xf>
    <xf numFmtId="3" fontId="34" fillId="0" borderId="77" xfId="4" applyNumberFormat="1" applyFont="1" applyBorder="1" applyAlignment="1">
      <alignment vertical="center"/>
    </xf>
    <xf numFmtId="3" fontId="33" fillId="0" borderId="77" xfId="4" applyNumberFormat="1" applyFont="1" applyBorder="1" applyAlignment="1">
      <alignment vertical="center"/>
    </xf>
    <xf numFmtId="3" fontId="33" fillId="0" borderId="76" xfId="4" applyNumberFormat="1" applyFont="1" applyBorder="1" applyAlignment="1">
      <alignment vertical="center"/>
    </xf>
    <xf numFmtId="166" fontId="33" fillId="0" borderId="75" xfId="12" applyNumberFormat="1" applyFont="1" applyBorder="1" applyAlignment="1">
      <alignment horizontal="center" vertical="center"/>
    </xf>
    <xf numFmtId="0" fontId="34" fillId="0" borderId="78" xfId="4" applyFont="1" applyBorder="1" applyAlignment="1">
      <alignment vertical="center"/>
    </xf>
    <xf numFmtId="3" fontId="34" fillId="0" borderId="78" xfId="4" applyNumberFormat="1" applyFont="1" applyBorder="1" applyAlignment="1">
      <alignment vertical="center"/>
    </xf>
    <xf numFmtId="3" fontId="34" fillId="0" borderId="79" xfId="4" applyNumberFormat="1" applyFont="1" applyBorder="1" applyAlignment="1">
      <alignment vertical="center"/>
    </xf>
    <xf numFmtId="3" fontId="34" fillId="0" borderId="80" xfId="4" applyNumberFormat="1" applyFont="1" applyBorder="1" applyAlignment="1">
      <alignment vertical="center"/>
    </xf>
    <xf numFmtId="3" fontId="33" fillId="0" borderId="80" xfId="4" applyNumberFormat="1" applyFont="1" applyBorder="1" applyAlignment="1">
      <alignment vertical="center"/>
    </xf>
    <xf numFmtId="3" fontId="33" fillId="0" borderId="79" xfId="4" applyNumberFormat="1" applyFont="1" applyBorder="1" applyAlignment="1">
      <alignment vertical="center"/>
    </xf>
    <xf numFmtId="166" fontId="33" fillId="0" borderId="78" xfId="12" applyNumberFormat="1" applyFont="1" applyBorder="1" applyAlignment="1">
      <alignment horizontal="center" vertical="center"/>
    </xf>
    <xf numFmtId="43" fontId="34" fillId="0" borderId="79" xfId="6" applyFont="1" applyBorder="1" applyAlignment="1">
      <alignment vertical="center"/>
    </xf>
    <xf numFmtId="43" fontId="34" fillId="0" borderId="78" xfId="6" applyFont="1" applyBorder="1" applyAlignment="1">
      <alignment vertical="center"/>
    </xf>
    <xf numFmtId="43" fontId="34" fillId="0" borderId="80" xfId="6" applyFont="1" applyBorder="1" applyAlignment="1">
      <alignment vertical="center"/>
    </xf>
    <xf numFmtId="0" fontId="34" fillId="0" borderId="75" xfId="4" applyFont="1" applyBorder="1"/>
    <xf numFmtId="3" fontId="34" fillId="0" borderId="75" xfId="4" applyNumberFormat="1" applyFont="1" applyBorder="1"/>
    <xf numFmtId="3" fontId="34" fillId="0" borderId="76" xfId="4" applyNumberFormat="1" applyFont="1" applyBorder="1"/>
    <xf numFmtId="3" fontId="34" fillId="0" borderId="77" xfId="4" applyNumberFormat="1" applyFont="1" applyBorder="1"/>
    <xf numFmtId="3" fontId="33" fillId="0" borderId="76" xfId="4" applyNumberFormat="1" applyFont="1" applyBorder="1"/>
    <xf numFmtId="9" fontId="33" fillId="0" borderId="75" xfId="12" applyFont="1" applyBorder="1" applyAlignment="1">
      <alignment horizontal="center" vertical="center"/>
    </xf>
    <xf numFmtId="0" fontId="34" fillId="0" borderId="78" xfId="4" applyFont="1" applyBorder="1"/>
    <xf numFmtId="3" fontId="34" fillId="0" borderId="78" xfId="4" applyNumberFormat="1" applyFont="1" applyBorder="1"/>
    <xf numFmtId="3" fontId="34" fillId="0" borderId="79" xfId="4" applyNumberFormat="1" applyFont="1" applyBorder="1"/>
    <xf numFmtId="3" fontId="34" fillId="0" borderId="80" xfId="4" applyNumberFormat="1" applyFont="1" applyBorder="1"/>
    <xf numFmtId="3" fontId="33" fillId="0" borderId="79" xfId="4" applyNumberFormat="1" applyFont="1" applyBorder="1"/>
    <xf numFmtId="9" fontId="33" fillId="0" borderId="78" xfId="12" applyFont="1" applyBorder="1" applyAlignment="1">
      <alignment horizontal="center" vertical="center"/>
    </xf>
    <xf numFmtId="165" fontId="10" fillId="0" borderId="28" xfId="44" applyNumberFormat="1" applyFont="1" applyBorder="1" applyAlignment="1">
      <alignment vertical="center"/>
    </xf>
    <xf numFmtId="165" fontId="10" fillId="0" borderId="32" xfId="44" applyNumberFormat="1" applyFont="1" applyBorder="1" applyAlignment="1">
      <alignment vertical="center"/>
    </xf>
    <xf numFmtId="165" fontId="10" fillId="0" borderId="26" xfId="44" applyNumberFormat="1" applyFont="1" applyBorder="1" applyAlignment="1">
      <alignment vertical="center"/>
    </xf>
    <xf numFmtId="9" fontId="11" fillId="0" borderId="53" xfId="12" applyFont="1" applyBorder="1" applyAlignment="1">
      <alignment horizontal="center" vertical="center"/>
    </xf>
    <xf numFmtId="9" fontId="11" fillId="0" borderId="29" xfId="12" applyFont="1" applyBorder="1" applyAlignment="1">
      <alignment horizontal="center" vertical="center"/>
    </xf>
    <xf numFmtId="9" fontId="11" fillId="0" borderId="25" xfId="12" applyFont="1" applyBorder="1" applyAlignment="1">
      <alignment horizontal="center" vertical="center"/>
    </xf>
    <xf numFmtId="0" fontId="10" fillId="0" borderId="30" xfId="4" applyNumberFormat="1" applyFont="1" applyBorder="1" applyAlignment="1">
      <alignment vertical="center"/>
    </xf>
    <xf numFmtId="165" fontId="11" fillId="0" borderId="29" xfId="4" applyNumberFormat="1" applyFont="1" applyBorder="1" applyAlignment="1">
      <alignment vertical="center"/>
    </xf>
    <xf numFmtId="0" fontId="10" fillId="0" borderId="32" xfId="4" applyNumberFormat="1" applyFont="1" applyBorder="1" applyAlignment="1">
      <alignment vertical="center"/>
    </xf>
    <xf numFmtId="165" fontId="11" fillId="0" borderId="29" xfId="44" applyNumberFormat="1" applyFont="1" applyBorder="1" applyAlignment="1">
      <alignment vertical="center"/>
    </xf>
    <xf numFmtId="0" fontId="10" fillId="0" borderId="64" xfId="4" applyNumberFormat="1" applyFont="1" applyBorder="1" applyAlignment="1">
      <alignment vertical="center"/>
    </xf>
    <xf numFmtId="165" fontId="11" fillId="0" borderId="28" xfId="4" applyNumberFormat="1" applyFont="1" applyBorder="1" applyAlignment="1">
      <alignment vertical="center"/>
    </xf>
    <xf numFmtId="0" fontId="10" fillId="0" borderId="26" xfId="4" applyNumberFormat="1" applyFont="1" applyBorder="1" applyAlignment="1">
      <alignment vertical="center"/>
    </xf>
    <xf numFmtId="0" fontId="10" fillId="0" borderId="28" xfId="4" applyNumberFormat="1" applyFont="1" applyBorder="1" applyAlignment="1">
      <alignment vertical="center"/>
    </xf>
    <xf numFmtId="0" fontId="10" fillId="0" borderId="27" xfId="4" applyNumberFormat="1" applyFont="1" applyBorder="1" applyAlignment="1">
      <alignment vertical="center"/>
    </xf>
    <xf numFmtId="0" fontId="10" fillId="3" borderId="39" xfId="4" applyNumberFormat="1" applyFont="1" applyFill="1" applyBorder="1" applyAlignment="1">
      <alignment vertical="center"/>
    </xf>
    <xf numFmtId="0" fontId="10" fillId="3" borderId="41" xfId="4" applyNumberFormat="1" applyFont="1" applyFill="1" applyBorder="1" applyAlignment="1">
      <alignment vertical="center"/>
    </xf>
    <xf numFmtId="0" fontId="10" fillId="3" borderId="51" xfId="4" applyNumberFormat="1" applyFont="1" applyFill="1" applyBorder="1" applyAlignment="1">
      <alignment vertical="center"/>
    </xf>
    <xf numFmtId="0" fontId="10" fillId="3" borderId="40" xfId="4" applyNumberFormat="1" applyFont="1" applyFill="1" applyBorder="1" applyAlignment="1">
      <alignment vertical="center"/>
    </xf>
    <xf numFmtId="165" fontId="0" fillId="0" borderId="0" xfId="44" applyNumberFormat="1" applyFont="1" applyAlignment="1">
      <alignment vertical="center"/>
    </xf>
    <xf numFmtId="165" fontId="0" fillId="0" borderId="28" xfId="44" applyNumberFormat="1" applyFont="1" applyBorder="1" applyAlignment="1">
      <alignment vertical="center"/>
    </xf>
    <xf numFmtId="0" fontId="11" fillId="0" borderId="12" xfId="4" applyFont="1" applyBorder="1" applyAlignment="1">
      <alignment vertical="center"/>
    </xf>
    <xf numFmtId="0" fontId="11" fillId="0" borderId="22" xfId="4" applyNumberFormat="1" applyFont="1" applyBorder="1" applyAlignment="1">
      <alignment vertical="center"/>
    </xf>
    <xf numFmtId="165" fontId="11" fillId="0" borderId="1" xfId="4" applyNumberFormat="1" applyFont="1" applyBorder="1" applyAlignment="1">
      <alignment vertical="center"/>
    </xf>
    <xf numFmtId="165" fontId="11" fillId="0" borderId="30" xfId="4" applyNumberFormat="1" applyFont="1" applyBorder="1" applyAlignment="1">
      <alignment vertical="center"/>
    </xf>
    <xf numFmtId="165" fontId="11" fillId="0" borderId="32" xfId="4" applyNumberFormat="1" applyFont="1" applyBorder="1" applyAlignment="1">
      <alignment vertical="center"/>
    </xf>
    <xf numFmtId="165" fontId="11" fillId="0" borderId="31" xfId="4" applyNumberFormat="1" applyFont="1" applyBorder="1" applyAlignment="1">
      <alignment vertical="center"/>
    </xf>
    <xf numFmtId="165" fontId="11" fillId="0" borderId="27" xfId="4" applyNumberFormat="1" applyFont="1" applyBorder="1" applyAlignment="1">
      <alignment vertical="center"/>
    </xf>
    <xf numFmtId="0" fontId="11" fillId="0" borderId="23" xfId="4" applyNumberFormat="1" applyFont="1" applyBorder="1" applyAlignment="1">
      <alignment vertical="center"/>
    </xf>
    <xf numFmtId="0" fontId="11" fillId="0" borderId="3" xfId="4" applyFont="1" applyBorder="1" applyAlignment="1">
      <alignment horizontal="center" vertical="center"/>
    </xf>
    <xf numFmtId="0" fontId="11" fillId="0" borderId="14" xfId="4" applyFont="1" applyBorder="1" applyAlignment="1">
      <alignment vertical="center"/>
    </xf>
    <xf numFmtId="0" fontId="11" fillId="0" borderId="26" xfId="4" applyNumberFormat="1" applyFont="1" applyBorder="1" applyAlignment="1">
      <alignment vertical="center"/>
    </xf>
    <xf numFmtId="165" fontId="11" fillId="0" borderId="26" xfId="4" applyNumberFormat="1" applyFont="1" applyBorder="1" applyAlignment="1">
      <alignment vertical="center"/>
    </xf>
    <xf numFmtId="0" fontId="11" fillId="0" borderId="28" xfId="4" applyNumberFormat="1" applyFont="1" applyBorder="1" applyAlignment="1">
      <alignment vertical="center"/>
    </xf>
    <xf numFmtId="0" fontId="11" fillId="0" borderId="27" xfId="4" applyNumberFormat="1" applyFont="1" applyBorder="1" applyAlignment="1">
      <alignment vertical="center"/>
    </xf>
    <xf numFmtId="0" fontId="11" fillId="0" borderId="7" xfId="4" applyFont="1" applyBorder="1" applyAlignment="1">
      <alignment horizontal="right" vertical="center"/>
    </xf>
    <xf numFmtId="0" fontId="11" fillId="3" borderId="39" xfId="4" applyNumberFormat="1" applyFont="1" applyFill="1" applyBorder="1" applyAlignment="1">
      <alignment vertical="center"/>
    </xf>
    <xf numFmtId="0" fontId="11" fillId="3" borderId="41" xfId="4" applyNumberFormat="1" applyFont="1" applyFill="1" applyBorder="1" applyAlignment="1">
      <alignment vertical="center"/>
    </xf>
    <xf numFmtId="0" fontId="11" fillId="3" borderId="51" xfId="4" applyNumberFormat="1" applyFont="1" applyFill="1" applyBorder="1" applyAlignment="1">
      <alignment vertical="center"/>
    </xf>
    <xf numFmtId="165" fontId="11" fillId="2" borderId="4" xfId="44" applyNumberFormat="1" applyFont="1" applyFill="1" applyBorder="1" applyAlignment="1">
      <alignment vertical="center"/>
    </xf>
    <xf numFmtId="165" fontId="10" fillId="0" borderId="4" xfId="44" applyNumberFormat="1" applyFont="1" applyBorder="1" applyAlignment="1">
      <alignment vertical="center"/>
    </xf>
    <xf numFmtId="43" fontId="11" fillId="2" borderId="20" xfId="44" applyFont="1" applyFill="1" applyBorder="1" applyAlignment="1">
      <alignment vertical="center"/>
    </xf>
    <xf numFmtId="165" fontId="11" fillId="2" borderId="20" xfId="44" applyNumberFormat="1" applyFont="1" applyFill="1" applyBorder="1" applyAlignment="1">
      <alignment vertical="center"/>
    </xf>
    <xf numFmtId="165" fontId="11" fillId="2" borderId="18" xfId="44" applyNumberFormat="1" applyFont="1" applyFill="1" applyBorder="1" applyAlignment="1">
      <alignment vertical="center"/>
    </xf>
    <xf numFmtId="0" fontId="10" fillId="0" borderId="75" xfId="2" applyFont="1" applyBorder="1" applyAlignment="1">
      <alignment horizontal="center" vertical="center"/>
    </xf>
    <xf numFmtId="0" fontId="10" fillId="0" borderId="76" xfId="2" applyFont="1" applyBorder="1" applyAlignment="1">
      <alignment vertical="center"/>
    </xf>
    <xf numFmtId="165" fontId="10" fillId="0" borderId="77" xfId="44" applyNumberFormat="1" applyFont="1" applyBorder="1" applyAlignment="1">
      <alignment vertical="center"/>
    </xf>
    <xf numFmtId="0" fontId="10" fillId="0" borderId="78" xfId="2" applyFont="1" applyBorder="1" applyAlignment="1">
      <alignment horizontal="center" vertical="center"/>
    </xf>
    <xf numFmtId="0" fontId="10" fillId="0" borderId="79" xfId="2" applyFont="1" applyBorder="1" applyAlignment="1">
      <alignment vertical="center"/>
    </xf>
    <xf numFmtId="165" fontId="10" fillId="0" borderId="80" xfId="44" applyNumberFormat="1" applyFont="1" applyBorder="1" applyAlignment="1">
      <alignment vertical="center"/>
    </xf>
    <xf numFmtId="0" fontId="10" fillId="0" borderId="80" xfId="2" applyFont="1" applyBorder="1" applyAlignment="1">
      <alignment vertical="center"/>
    </xf>
    <xf numFmtId="0" fontId="7" fillId="0" borderId="78" xfId="2" applyFont="1" applyBorder="1" applyAlignment="1">
      <alignment vertical="center"/>
    </xf>
    <xf numFmtId="0" fontId="11" fillId="2" borderId="78" xfId="2" applyFont="1" applyFill="1" applyBorder="1" applyAlignment="1">
      <alignment horizontal="center" vertical="center"/>
    </xf>
    <xf numFmtId="0" fontId="11" fillId="2" borderId="79" xfId="2" applyFont="1" applyFill="1" applyBorder="1" applyAlignment="1">
      <alignment vertical="center"/>
    </xf>
    <xf numFmtId="165" fontId="11" fillId="2" borderId="80" xfId="44" applyNumberFormat="1" applyFont="1" applyFill="1" applyBorder="1" applyAlignment="1">
      <alignment vertical="center"/>
    </xf>
    <xf numFmtId="0" fontId="11" fillId="2" borderId="75" xfId="2" applyFont="1" applyFill="1" applyBorder="1" applyAlignment="1">
      <alignment horizontal="center" vertical="center"/>
    </xf>
    <xf numFmtId="0" fontId="11" fillId="2" borderId="76" xfId="2" applyFont="1" applyFill="1" applyBorder="1" applyAlignment="1">
      <alignment vertical="center"/>
    </xf>
    <xf numFmtId="0" fontId="11" fillId="2" borderId="77" xfId="2" applyFont="1" applyFill="1" applyBorder="1" applyAlignment="1">
      <alignment vertical="center"/>
    </xf>
    <xf numFmtId="0" fontId="3" fillId="0" borderId="79" xfId="2" applyFont="1" applyBorder="1" applyAlignment="1">
      <alignment vertical="center"/>
    </xf>
    <xf numFmtId="3" fontId="3" fillId="0" borderId="80" xfId="2" applyNumberFormat="1" applyFont="1" applyBorder="1" applyAlignment="1">
      <alignment vertical="center"/>
    </xf>
    <xf numFmtId="0" fontId="7" fillId="2" borderId="79" xfId="2" applyFont="1" applyFill="1" applyBorder="1" applyAlignment="1">
      <alignment vertical="center"/>
    </xf>
    <xf numFmtId="0" fontId="7" fillId="2" borderId="80" xfId="2" applyFont="1" applyFill="1" applyBorder="1" applyAlignment="1">
      <alignment vertical="center"/>
    </xf>
    <xf numFmtId="3" fontId="11" fillId="2" borderId="77" xfId="2" applyNumberFormat="1" applyFont="1" applyFill="1" applyBorder="1" applyAlignment="1">
      <alignment vertical="center"/>
    </xf>
    <xf numFmtId="3" fontId="10" fillId="0" borderId="80" xfId="2" applyNumberFormat="1" applyFont="1" applyBorder="1" applyAlignment="1">
      <alignment vertical="center"/>
    </xf>
    <xf numFmtId="3" fontId="11" fillId="2" borderId="80" xfId="2" applyNumberFormat="1" applyFont="1" applyFill="1" applyBorder="1" applyAlignment="1">
      <alignment vertical="center"/>
    </xf>
    <xf numFmtId="3" fontId="11" fillId="2" borderId="79" xfId="2" applyNumberFormat="1" applyFont="1" applyFill="1" applyBorder="1" applyAlignment="1">
      <alignment vertical="center"/>
    </xf>
    <xf numFmtId="0" fontId="11" fillId="2" borderId="89" xfId="2" applyFont="1" applyFill="1" applyBorder="1" applyAlignment="1">
      <alignment vertical="center"/>
    </xf>
    <xf numFmtId="3" fontId="2" fillId="0" borderId="79" xfId="37" applyNumberFormat="1" applyBorder="1"/>
    <xf numFmtId="0" fontId="10" fillId="0" borderId="89" xfId="2" applyFont="1" applyBorder="1" applyAlignment="1">
      <alignment vertical="center"/>
    </xf>
    <xf numFmtId="3" fontId="10" fillId="0" borderId="79" xfId="2" applyNumberFormat="1" applyFont="1" applyBorder="1" applyAlignment="1">
      <alignment vertical="center"/>
    </xf>
    <xf numFmtId="0" fontId="11" fillId="0" borderId="78" xfId="2" applyFont="1" applyFill="1" applyBorder="1" applyAlignment="1">
      <alignment horizontal="center" vertical="center"/>
    </xf>
    <xf numFmtId="4" fontId="10" fillId="0" borderId="80" xfId="2" applyNumberFormat="1" applyFont="1" applyBorder="1" applyAlignment="1">
      <alignment vertical="center"/>
    </xf>
    <xf numFmtId="0" fontId="10" fillId="0" borderId="78" xfId="32" applyFont="1" applyFill="1" applyBorder="1" applyAlignment="1">
      <alignment horizontal="center"/>
    </xf>
    <xf numFmtId="4" fontId="11" fillId="2" borderId="80" xfId="2" applyNumberFormat="1" applyFont="1" applyFill="1" applyBorder="1" applyAlignment="1">
      <alignment vertical="center"/>
    </xf>
    <xf numFmtId="0" fontId="11" fillId="2" borderId="86" xfId="2" applyFont="1" applyFill="1" applyBorder="1" applyAlignment="1">
      <alignment vertical="center"/>
    </xf>
    <xf numFmtId="0" fontId="11" fillId="2" borderId="85" xfId="2" applyFont="1" applyFill="1" applyBorder="1" applyAlignment="1">
      <alignment vertical="center"/>
    </xf>
    <xf numFmtId="0" fontId="11" fillId="2" borderId="88" xfId="2" applyFont="1" applyFill="1" applyBorder="1" applyAlignment="1">
      <alignment vertical="center"/>
    </xf>
    <xf numFmtId="0" fontId="11" fillId="0" borderId="79" xfId="2" applyFont="1" applyBorder="1" applyAlignment="1">
      <alignment vertical="center"/>
    </xf>
    <xf numFmtId="4" fontId="10" fillId="0" borderId="80" xfId="4" applyNumberFormat="1" applyFont="1" applyBorder="1"/>
    <xf numFmtId="0" fontId="11" fillId="2" borderId="80" xfId="2" applyFont="1" applyFill="1" applyBorder="1" applyAlignment="1">
      <alignment vertical="center"/>
    </xf>
    <xf numFmtId="4" fontId="10" fillId="0" borderId="79" xfId="2" applyNumberFormat="1" applyFont="1" applyBorder="1" applyAlignment="1">
      <alignment vertical="center"/>
    </xf>
    <xf numFmtId="43" fontId="10" fillId="0" borderId="13" xfId="44" applyFont="1" applyBorder="1"/>
    <xf numFmtId="165" fontId="2" fillId="11" borderId="15" xfId="44" applyNumberFormat="1" applyFont="1" applyFill="1" applyBorder="1"/>
    <xf numFmtId="165" fontId="2" fillId="11" borderId="16" xfId="44" applyNumberFormat="1" applyFont="1" applyFill="1" applyBorder="1"/>
    <xf numFmtId="43" fontId="2" fillId="11" borderId="16" xfId="44" applyFont="1" applyFill="1" applyBorder="1"/>
    <xf numFmtId="165" fontId="2" fillId="11" borderId="17" xfId="44" applyNumberFormat="1" applyFont="1" applyFill="1" applyBorder="1"/>
    <xf numFmtId="165" fontId="2" fillId="11" borderId="5" xfId="44" applyNumberFormat="1" applyFont="1" applyFill="1" applyBorder="1"/>
    <xf numFmtId="165" fontId="2" fillId="11" borderId="43" xfId="44" applyNumberFormat="1" applyFont="1" applyFill="1" applyBorder="1"/>
    <xf numFmtId="165" fontId="10" fillId="0" borderId="0" xfId="44" applyNumberFormat="1" applyFont="1" applyBorder="1"/>
    <xf numFmtId="165" fontId="10" fillId="0" borderId="56" xfId="44" applyNumberFormat="1" applyFont="1" applyBorder="1"/>
    <xf numFmtId="165" fontId="10" fillId="0" borderId="4" xfId="44" applyNumberFormat="1" applyFont="1" applyBorder="1"/>
    <xf numFmtId="165" fontId="10" fillId="0" borderId="13" xfId="44" applyNumberFormat="1" applyFont="1" applyBorder="1"/>
    <xf numFmtId="165" fontId="10" fillId="0" borderId="14" xfId="44" applyNumberFormat="1" applyFont="1" applyBorder="1"/>
    <xf numFmtId="43" fontId="4" fillId="2" borderId="16" xfId="44" applyFont="1" applyFill="1" applyBorder="1" applyAlignment="1">
      <alignment vertical="center"/>
    </xf>
    <xf numFmtId="165" fontId="4" fillId="2" borderId="16" xfId="44" applyNumberFormat="1" applyFont="1" applyFill="1" applyBorder="1" applyAlignment="1">
      <alignment vertical="center"/>
    </xf>
    <xf numFmtId="165" fontId="4" fillId="2" borderId="15" xfId="44" applyNumberFormat="1" applyFont="1" applyFill="1" applyBorder="1" applyAlignment="1">
      <alignment vertical="center"/>
    </xf>
    <xf numFmtId="43" fontId="4" fillId="2" borderId="15" xfId="44" applyFont="1" applyFill="1" applyBorder="1" applyAlignment="1">
      <alignment vertical="center"/>
    </xf>
    <xf numFmtId="165" fontId="4" fillId="2" borderId="20" xfId="44" applyNumberFormat="1" applyFont="1" applyFill="1" applyBorder="1" applyAlignment="1">
      <alignment vertical="center"/>
    </xf>
    <xf numFmtId="165" fontId="4" fillId="2" borderId="5" xfId="44" applyNumberFormat="1" applyFont="1" applyFill="1" applyBorder="1" applyAlignment="1">
      <alignment vertical="center"/>
    </xf>
    <xf numFmtId="165" fontId="4" fillId="2" borderId="18" xfId="44" applyNumberFormat="1" applyFont="1" applyFill="1" applyBorder="1" applyAlignment="1">
      <alignment vertical="center"/>
    </xf>
    <xf numFmtId="43" fontId="10" fillId="0" borderId="14" xfId="44" applyFont="1" applyBorder="1"/>
    <xf numFmtId="43" fontId="4" fillId="2" borderId="20" xfId="44" applyFont="1" applyFill="1" applyBorder="1" applyAlignment="1">
      <alignment vertical="center"/>
    </xf>
    <xf numFmtId="43" fontId="10" fillId="0" borderId="0" xfId="44" applyFont="1" applyBorder="1"/>
    <xf numFmtId="165" fontId="4" fillId="2" borderId="43" xfId="44" applyNumberFormat="1" applyFont="1" applyFill="1" applyBorder="1" applyAlignment="1">
      <alignment vertical="center"/>
    </xf>
    <xf numFmtId="43" fontId="10" fillId="0" borderId="3" xfId="44" applyFont="1" applyBorder="1"/>
    <xf numFmtId="165" fontId="10" fillId="0" borderId="0" xfId="44" applyNumberFormat="1" applyFont="1"/>
    <xf numFmtId="165" fontId="11" fillId="4" borderId="5" xfId="44" applyNumberFormat="1" applyFont="1" applyFill="1" applyBorder="1"/>
    <xf numFmtId="43" fontId="10" fillId="0" borderId="28" xfId="44" applyFont="1" applyBorder="1"/>
    <xf numFmtId="165" fontId="11" fillId="4" borderId="5" xfId="44" applyNumberFormat="1" applyFont="1" applyFill="1" applyBorder="1" applyAlignment="1">
      <alignment horizontal="center"/>
    </xf>
    <xf numFmtId="43" fontId="11" fillId="4" borderId="15" xfId="44" applyFont="1" applyFill="1" applyBorder="1"/>
    <xf numFmtId="43" fontId="11" fillId="4" borderId="57" xfId="44" applyFont="1" applyFill="1" applyBorder="1"/>
    <xf numFmtId="0" fontId="22" fillId="5" borderId="0" xfId="2" applyFont="1" applyFill="1" applyAlignment="1">
      <alignment vertical="center"/>
    </xf>
    <xf numFmtId="0" fontId="10" fillId="0" borderId="99" xfId="4" applyFont="1" applyBorder="1" applyAlignment="1">
      <alignment horizontal="center"/>
    </xf>
    <xf numFmtId="165" fontId="10" fillId="0" borderId="75" xfId="44" applyNumberFormat="1" applyFont="1" applyBorder="1"/>
    <xf numFmtId="43" fontId="10" fillId="0" borderId="75" xfId="44" applyFont="1" applyBorder="1"/>
    <xf numFmtId="165" fontId="10" fillId="0" borderId="76" xfId="44" applyNumberFormat="1" applyFont="1" applyBorder="1"/>
    <xf numFmtId="0" fontId="10" fillId="0" borderId="77" xfId="4" applyFont="1" applyBorder="1"/>
    <xf numFmtId="165" fontId="10" fillId="0" borderId="77" xfId="44" applyNumberFormat="1" applyFont="1" applyBorder="1"/>
    <xf numFmtId="0" fontId="10" fillId="0" borderId="102" xfId="4" applyFont="1" applyBorder="1" applyAlignment="1">
      <alignment horizontal="center"/>
    </xf>
    <xf numFmtId="165" fontId="10" fillId="0" borderId="78" xfId="44" applyNumberFormat="1" applyFont="1" applyBorder="1"/>
    <xf numFmtId="43" fontId="10" fillId="0" borderId="78" xfId="44" applyFont="1" applyBorder="1"/>
    <xf numFmtId="165" fontId="10" fillId="0" borderId="79" xfId="44" applyNumberFormat="1" applyFont="1" applyBorder="1"/>
    <xf numFmtId="0" fontId="10" fillId="0" borderId="80" xfId="4" applyFont="1" applyBorder="1"/>
    <xf numFmtId="165" fontId="10" fillId="0" borderId="80" xfId="44" applyNumberFormat="1" applyFont="1" applyBorder="1"/>
    <xf numFmtId="43" fontId="10" fillId="0" borderId="76" xfId="44" applyFont="1" applyBorder="1"/>
    <xf numFmtId="43" fontId="10" fillId="0" borderId="79" xfId="44" applyFont="1" applyBorder="1"/>
    <xf numFmtId="43" fontId="10" fillId="0" borderId="103" xfId="44" applyFont="1" applyBorder="1"/>
    <xf numFmtId="0" fontId="4" fillId="4" borderId="19" xfId="4" applyFont="1" applyFill="1" applyBorder="1" applyAlignment="1">
      <alignment horizontal="center" vertical="center"/>
    </xf>
    <xf numFmtId="3" fontId="4" fillId="4" borderId="5" xfId="4" applyNumberFormat="1" applyFont="1" applyFill="1" applyBorder="1" applyAlignment="1">
      <alignment vertical="center"/>
    </xf>
    <xf numFmtId="165" fontId="4" fillId="4" borderId="18" xfId="44" applyNumberFormat="1" applyFont="1" applyFill="1" applyBorder="1" applyAlignment="1">
      <alignment vertical="center"/>
    </xf>
    <xf numFmtId="165" fontId="4" fillId="4" borderId="5" xfId="44" applyNumberFormat="1" applyFont="1" applyFill="1" applyBorder="1" applyAlignment="1">
      <alignment vertical="center"/>
    </xf>
    <xf numFmtId="43" fontId="4" fillId="4" borderId="5" xfId="44" applyFont="1" applyFill="1" applyBorder="1" applyAlignment="1">
      <alignment vertical="center"/>
    </xf>
    <xf numFmtId="3" fontId="4" fillId="4" borderId="19" xfId="4" applyNumberFormat="1" applyFont="1" applyFill="1" applyBorder="1" applyAlignment="1">
      <alignment vertical="center"/>
    </xf>
    <xf numFmtId="3" fontId="4" fillId="4" borderId="18" xfId="4" applyNumberFormat="1" applyFont="1" applyFill="1" applyBorder="1" applyAlignment="1">
      <alignment vertical="center"/>
    </xf>
    <xf numFmtId="0" fontId="11" fillId="2" borderId="97" xfId="2" applyFont="1" applyFill="1" applyBorder="1" applyAlignment="1">
      <alignment horizontal="center" vertical="center"/>
    </xf>
    <xf numFmtId="3" fontId="11" fillId="2" borderId="97" xfId="2" applyNumberFormat="1" applyFont="1" applyFill="1" applyBorder="1" applyAlignment="1">
      <alignment horizontal="center" vertical="center"/>
    </xf>
    <xf numFmtId="3" fontId="11" fillId="2" borderId="97" xfId="2" applyNumberFormat="1" applyFont="1" applyFill="1" applyBorder="1" applyAlignment="1">
      <alignment horizontal="right" vertical="center"/>
    </xf>
    <xf numFmtId="0" fontId="11" fillId="2" borderId="97" xfId="2" applyFont="1" applyFill="1" applyBorder="1" applyAlignment="1">
      <alignment vertical="center"/>
    </xf>
    <xf numFmtId="176" fontId="11" fillId="2" borderId="97" xfId="2" applyNumberFormat="1" applyFont="1" applyFill="1" applyBorder="1" applyAlignment="1">
      <alignment horizontal="right" vertical="center"/>
    </xf>
    <xf numFmtId="3" fontId="11" fillId="2" borderId="97" xfId="2" applyNumberFormat="1" applyFont="1" applyFill="1" applyBorder="1" applyAlignment="1">
      <alignment vertical="center"/>
    </xf>
    <xf numFmtId="165" fontId="11" fillId="2" borderId="97" xfId="44" applyNumberFormat="1" applyFont="1" applyFill="1" applyBorder="1" applyAlignment="1">
      <alignment vertical="center"/>
    </xf>
    <xf numFmtId="0" fontId="10" fillId="0" borderId="100" xfId="2" applyFont="1" applyBorder="1" applyAlignment="1">
      <alignment horizontal="center" vertical="center"/>
    </xf>
    <xf numFmtId="0" fontId="10" fillId="0" borderId="100" xfId="4" applyFont="1" applyBorder="1" applyAlignment="1">
      <alignment horizontal="center"/>
    </xf>
    <xf numFmtId="3" fontId="10" fillId="0" borderId="100" xfId="32" applyNumberFormat="1" applyFont="1" applyFill="1" applyBorder="1" applyAlignment="1">
      <alignment horizontal="right"/>
    </xf>
    <xf numFmtId="3" fontId="10" fillId="0" borderId="100" xfId="4" applyNumberFormat="1" applyFont="1" applyBorder="1" applyAlignment="1">
      <alignment horizontal="right"/>
    </xf>
    <xf numFmtId="4" fontId="10" fillId="0" borderId="100" xfId="4" applyNumberFormat="1" applyFont="1" applyBorder="1" applyAlignment="1">
      <alignment horizontal="right"/>
    </xf>
    <xf numFmtId="0" fontId="10" fillId="0" borderId="100" xfId="2" applyFont="1" applyBorder="1" applyAlignment="1">
      <alignment vertical="center"/>
    </xf>
    <xf numFmtId="0" fontId="10" fillId="0" borderId="100" xfId="37" applyFont="1" applyBorder="1"/>
    <xf numFmtId="176" fontId="10" fillId="0" borderId="100" xfId="32" applyNumberFormat="1" applyFont="1" applyFill="1" applyBorder="1" applyAlignment="1">
      <alignment horizontal="right"/>
    </xf>
    <xf numFmtId="3" fontId="10" fillId="0" borderId="100" xfId="37" applyNumberFormat="1" applyFont="1" applyBorder="1"/>
    <xf numFmtId="176" fontId="10" fillId="0" borderId="100" xfId="4" applyNumberFormat="1" applyFont="1" applyBorder="1" applyAlignment="1">
      <alignment horizontal="right"/>
    </xf>
    <xf numFmtId="3" fontId="10" fillId="0" borderId="49" xfId="32" applyNumberFormat="1" applyFont="1" applyFill="1" applyBorder="1" applyAlignment="1">
      <alignment horizontal="right"/>
    </xf>
    <xf numFmtId="0" fontId="10" fillId="0" borderId="100" xfId="2" applyFont="1" applyFill="1" applyBorder="1" applyAlignment="1">
      <alignment horizontal="center" vertical="center"/>
    </xf>
    <xf numFmtId="0" fontId="10" fillId="0" borderId="79" xfId="37" applyFont="1" applyBorder="1"/>
    <xf numFmtId="3" fontId="10" fillId="0" borderId="100" xfId="4" applyNumberFormat="1" applyFont="1" applyBorder="1" applyAlignment="1">
      <alignment horizontal="center"/>
    </xf>
    <xf numFmtId="176" fontId="10" fillId="0" borderId="100" xfId="37" quotePrefix="1" applyNumberFormat="1" applyFont="1" applyBorder="1"/>
    <xf numFmtId="0" fontId="10" fillId="0" borderId="100" xfId="37" quotePrefix="1" applyFont="1" applyBorder="1"/>
    <xf numFmtId="170" fontId="11" fillId="2" borderId="97" xfId="45" applyNumberFormat="1" applyFont="1" applyFill="1" applyBorder="1" applyAlignment="1">
      <alignment horizontal="center" vertical="center"/>
    </xf>
    <xf numFmtId="0" fontId="11" fillId="2" borderId="49" xfId="2" applyFont="1" applyFill="1" applyBorder="1" applyAlignment="1">
      <alignment horizontal="center" vertical="center"/>
    </xf>
    <xf numFmtId="3" fontId="11" fillId="2" borderId="49" xfId="2" applyNumberFormat="1" applyFont="1" applyFill="1" applyBorder="1" applyAlignment="1">
      <alignment horizontal="center" vertical="center"/>
    </xf>
    <xf numFmtId="3" fontId="11" fillId="2" borderId="49" xfId="2" applyNumberFormat="1" applyFont="1" applyFill="1" applyBorder="1" applyAlignment="1">
      <alignment horizontal="right" vertical="center"/>
    </xf>
    <xf numFmtId="0" fontId="11" fillId="2" borderId="49" xfId="2" applyFont="1" applyFill="1" applyBorder="1" applyAlignment="1">
      <alignment vertical="center"/>
    </xf>
    <xf numFmtId="176" fontId="11" fillId="2" borderId="49" xfId="2" applyNumberFormat="1" applyFont="1" applyFill="1" applyBorder="1" applyAlignment="1">
      <alignment horizontal="right" vertical="center"/>
    </xf>
    <xf numFmtId="165" fontId="11" fillId="2" borderId="49" xfId="44" applyNumberFormat="1" applyFont="1" applyFill="1" applyBorder="1" applyAlignment="1">
      <alignment vertical="center"/>
    </xf>
    <xf numFmtId="4" fontId="11" fillId="2" borderId="49" xfId="2" applyNumberFormat="1" applyFont="1" applyFill="1" applyBorder="1" applyAlignment="1">
      <alignment vertical="center"/>
    </xf>
    <xf numFmtId="0" fontId="10" fillId="0" borderId="97" xfId="2" applyFont="1" applyBorder="1" applyAlignment="1">
      <alignment horizontal="center" vertical="center"/>
    </xf>
    <xf numFmtId="0" fontId="10" fillId="0" borderId="97" xfId="4" applyFont="1" applyBorder="1" applyAlignment="1">
      <alignment horizontal="center"/>
    </xf>
    <xf numFmtId="3" fontId="10" fillId="0" borderId="97" xfId="32" applyNumberFormat="1" applyFont="1" applyFill="1" applyBorder="1" applyAlignment="1">
      <alignment horizontal="right"/>
    </xf>
    <xf numFmtId="3" fontId="10" fillId="0" borderId="97" xfId="4" applyNumberFormat="1" applyFont="1" applyBorder="1" applyAlignment="1">
      <alignment horizontal="right"/>
    </xf>
    <xf numFmtId="4" fontId="10" fillId="0" borderId="97" xfId="4" applyNumberFormat="1" applyFont="1" applyBorder="1" applyAlignment="1">
      <alignment horizontal="right"/>
    </xf>
    <xf numFmtId="0" fontId="10" fillId="0" borderId="97" xfId="2" applyFont="1" applyBorder="1" applyAlignment="1">
      <alignment vertical="center"/>
    </xf>
    <xf numFmtId="0" fontId="10" fillId="0" borderId="97" xfId="37" applyFont="1" applyBorder="1"/>
    <xf numFmtId="176" fontId="10" fillId="0" borderId="97" xfId="32" applyNumberFormat="1" applyFont="1" applyFill="1" applyBorder="1" applyAlignment="1">
      <alignment horizontal="right"/>
    </xf>
    <xf numFmtId="3" fontId="10" fillId="0" borderId="97" xfId="37" applyNumberFormat="1" applyFont="1" applyBorder="1"/>
    <xf numFmtId="0" fontId="10" fillId="0" borderId="100" xfId="32" applyFont="1" applyBorder="1" applyAlignment="1">
      <alignment horizontal="center"/>
    </xf>
    <xf numFmtId="0" fontId="10" fillId="0" borderId="99" xfId="4" applyFont="1" applyBorder="1"/>
    <xf numFmtId="0" fontId="10" fillId="0" borderId="76" xfId="4" applyFont="1" applyBorder="1"/>
    <xf numFmtId="0" fontId="10" fillId="0" borderId="96" xfId="4" applyFont="1" applyBorder="1"/>
    <xf numFmtId="0" fontId="10" fillId="0" borderId="102" xfId="4" applyFont="1" applyBorder="1"/>
    <xf numFmtId="0" fontId="10" fillId="0" borderId="79" xfId="4" applyFont="1" applyBorder="1"/>
    <xf numFmtId="0" fontId="10" fillId="0" borderId="90" xfId="4" applyFont="1" applyBorder="1"/>
    <xf numFmtId="0" fontId="10" fillId="0" borderId="78" xfId="4" applyFont="1" applyBorder="1" applyAlignment="1">
      <alignment horizontal="center"/>
    </xf>
    <xf numFmtId="3" fontId="10" fillId="0" borderId="102" xfId="4" applyNumberFormat="1" applyFont="1" applyBorder="1"/>
    <xf numFmtId="43" fontId="10" fillId="0" borderId="102" xfId="44" applyFont="1" applyBorder="1"/>
    <xf numFmtId="3" fontId="10" fillId="0" borderId="79" xfId="4" applyNumberFormat="1" applyFont="1" applyBorder="1"/>
    <xf numFmtId="3" fontId="10" fillId="0" borderId="90" xfId="4" applyNumberFormat="1" applyFont="1" applyBorder="1"/>
    <xf numFmtId="3" fontId="10" fillId="0" borderId="78" xfId="4" applyNumberFormat="1" applyFont="1" applyBorder="1"/>
    <xf numFmtId="0" fontId="10" fillId="0" borderId="78" xfId="4" applyFont="1" applyBorder="1" applyAlignment="1"/>
    <xf numFmtId="3" fontId="10" fillId="0" borderId="102" xfId="4" applyNumberFormat="1" applyFont="1" applyBorder="1" applyAlignment="1"/>
    <xf numFmtId="43" fontId="10" fillId="0" borderId="102" xfId="44" applyFont="1" applyBorder="1" applyAlignment="1"/>
    <xf numFmtId="0" fontId="10" fillId="0" borderId="75" xfId="4" applyFont="1" applyBorder="1" applyAlignment="1"/>
    <xf numFmtId="0" fontId="10" fillId="0" borderId="76" xfId="4" applyFont="1" applyBorder="1" applyAlignment="1"/>
    <xf numFmtId="0" fontId="10" fillId="0" borderId="99" xfId="4" applyFont="1" applyBorder="1" applyAlignment="1"/>
    <xf numFmtId="0" fontId="10" fillId="0" borderId="75" xfId="4" applyFont="1" applyBorder="1" applyAlignment="1">
      <alignment horizontal="center"/>
    </xf>
    <xf numFmtId="3" fontId="10" fillId="0" borderId="75" xfId="4" applyNumberFormat="1" applyFont="1" applyBorder="1"/>
    <xf numFmtId="0" fontId="10" fillId="0" borderId="79" xfId="2" applyFont="1" applyBorder="1" applyAlignment="1">
      <alignment horizontal="center" vertical="center"/>
    </xf>
    <xf numFmtId="3" fontId="10" fillId="0" borderId="89" xfId="4" applyNumberFormat="1" applyFont="1" applyBorder="1"/>
    <xf numFmtId="4" fontId="10" fillId="0" borderId="78" xfId="4" applyNumberFormat="1" applyFont="1" applyBorder="1"/>
    <xf numFmtId="4" fontId="10" fillId="0" borderId="102" xfId="4" applyNumberFormat="1" applyFont="1" applyBorder="1"/>
    <xf numFmtId="4" fontId="10" fillId="0" borderId="79" xfId="4" applyNumberFormat="1" applyFont="1" applyBorder="1"/>
    <xf numFmtId="0" fontId="10" fillId="0" borderId="89" xfId="2" applyFont="1" applyBorder="1" applyAlignment="1">
      <alignment horizontal="center" vertical="center"/>
    </xf>
    <xf numFmtId="4" fontId="10" fillId="0" borderId="79" xfId="4" applyNumberFormat="1" applyFont="1" applyBorder="1" applyAlignment="1">
      <alignment horizontal="center"/>
    </xf>
    <xf numFmtId="0" fontId="10" fillId="0" borderId="89" xfId="4" applyFont="1" applyBorder="1" applyAlignment="1">
      <alignment horizontal="center"/>
    </xf>
    <xf numFmtId="4" fontId="10" fillId="0" borderId="76" xfId="4" applyNumberFormat="1" applyFont="1" applyBorder="1" applyAlignment="1">
      <alignment horizontal="center"/>
    </xf>
    <xf numFmtId="3" fontId="10" fillId="0" borderId="103" xfId="4" applyNumberFormat="1" applyFont="1" applyBorder="1"/>
    <xf numFmtId="4" fontId="10" fillId="0" borderId="75" xfId="4" applyNumberFormat="1" applyFont="1" applyBorder="1"/>
    <xf numFmtId="4" fontId="10" fillId="0" borderId="99" xfId="4" applyNumberFormat="1" applyFont="1" applyBorder="1"/>
    <xf numFmtId="3" fontId="10" fillId="0" borderId="99" xfId="4" applyNumberFormat="1" applyFont="1" applyBorder="1"/>
    <xf numFmtId="3" fontId="10" fillId="0" borderId="76" xfId="4" applyNumberFormat="1" applyFont="1" applyBorder="1"/>
    <xf numFmtId="3" fontId="10" fillId="0" borderId="96" xfId="4" applyNumberFormat="1" applyFont="1" applyBorder="1"/>
    <xf numFmtId="4" fontId="10" fillId="0" borderId="76" xfId="4" applyNumberFormat="1" applyFont="1" applyBorder="1"/>
    <xf numFmtId="0" fontId="10" fillId="0" borderId="103" xfId="4" applyFont="1" applyBorder="1" applyAlignment="1">
      <alignment horizontal="center"/>
    </xf>
    <xf numFmtId="4" fontId="10" fillId="0" borderId="78" xfId="2" applyNumberFormat="1" applyFont="1" applyBorder="1" applyAlignment="1">
      <alignment vertical="center"/>
    </xf>
    <xf numFmtId="0" fontId="10" fillId="0" borderId="62" xfId="2" applyFont="1" applyFill="1" applyBorder="1" applyAlignment="1">
      <alignment horizontal="center" vertical="center"/>
    </xf>
    <xf numFmtId="175" fontId="10" fillId="5" borderId="62" xfId="4" applyNumberFormat="1" applyFont="1" applyFill="1" applyBorder="1" applyAlignment="1">
      <alignment horizontal="right" vertical="center" wrapText="1"/>
    </xf>
    <xf numFmtId="167" fontId="10" fillId="5" borderId="62" xfId="4" applyNumberFormat="1" applyFont="1" applyFill="1" applyBorder="1" applyAlignment="1">
      <alignment horizontal="center" vertical="center" wrapText="1"/>
    </xf>
    <xf numFmtId="0" fontId="10" fillId="0" borderId="62" xfId="2" applyFont="1" applyFill="1" applyBorder="1" applyAlignment="1">
      <alignment vertical="center" wrapText="1"/>
    </xf>
    <xf numFmtId="0" fontId="10" fillId="0" borderId="62" xfId="2" applyFont="1" applyFill="1" applyBorder="1" applyAlignment="1">
      <alignment horizontal="center" vertical="center" wrapText="1"/>
    </xf>
    <xf numFmtId="167" fontId="10" fillId="0" borderId="62" xfId="2" applyNumberFormat="1" applyFont="1" applyFill="1" applyBorder="1" applyAlignment="1">
      <alignment horizontal="center" vertical="center"/>
    </xf>
    <xf numFmtId="14" fontId="10" fillId="0" borderId="62" xfId="2" applyNumberFormat="1" applyFont="1" applyFill="1" applyBorder="1" applyAlignment="1">
      <alignment horizontal="center" vertical="center"/>
    </xf>
    <xf numFmtId="0" fontId="11" fillId="0" borderId="62" xfId="2" applyFont="1" applyFill="1" applyBorder="1" applyAlignment="1">
      <alignment vertical="center"/>
    </xf>
    <xf numFmtId="0" fontId="11" fillId="0" borderId="59" xfId="2" applyFont="1" applyFill="1" applyBorder="1" applyAlignment="1">
      <alignment vertical="center"/>
    </xf>
    <xf numFmtId="0" fontId="10" fillId="0" borderId="46" xfId="2" applyFont="1" applyFill="1" applyBorder="1" applyAlignment="1">
      <alignment horizontal="center" vertical="center"/>
    </xf>
    <xf numFmtId="0" fontId="10" fillId="0" borderId="46" xfId="2" applyFont="1" applyFill="1" applyBorder="1" applyAlignment="1">
      <alignment vertical="center"/>
    </xf>
    <xf numFmtId="175" fontId="10" fillId="5" borderId="46" xfId="4" applyNumberFormat="1" applyFont="1" applyFill="1" applyBorder="1" applyAlignment="1">
      <alignment horizontal="right" vertical="center" wrapText="1"/>
    </xf>
    <xf numFmtId="0" fontId="10" fillId="0" borderId="46" xfId="2" applyFont="1" applyFill="1" applyBorder="1" applyAlignment="1">
      <alignment vertical="center" wrapText="1"/>
    </xf>
    <xf numFmtId="0" fontId="10" fillId="0" borderId="46" xfId="2" applyFont="1" applyFill="1" applyBorder="1" applyAlignment="1">
      <alignment horizontal="center" vertical="center" wrapText="1"/>
    </xf>
    <xf numFmtId="167" fontId="10" fillId="0" borderId="46" xfId="2" applyNumberFormat="1" applyFont="1" applyFill="1" applyBorder="1" applyAlignment="1">
      <alignment horizontal="center" vertical="center"/>
    </xf>
    <xf numFmtId="0" fontId="11" fillId="0" borderId="46" xfId="2" applyFont="1" applyFill="1" applyBorder="1" applyAlignment="1">
      <alignment vertical="center"/>
    </xf>
    <xf numFmtId="175" fontId="10" fillId="5" borderId="46" xfId="4" applyNumberFormat="1" applyFont="1" applyFill="1" applyBorder="1" applyAlignment="1">
      <alignment vertical="center"/>
    </xf>
    <xf numFmtId="175" fontId="10" fillId="0" borderId="46" xfId="2" applyNumberFormat="1" applyFont="1" applyFill="1" applyBorder="1" applyAlignment="1">
      <alignment horizontal="right" vertical="center"/>
    </xf>
    <xf numFmtId="0" fontId="10" fillId="0" borderId="46" xfId="2" applyFont="1" applyFill="1" applyBorder="1" applyAlignment="1">
      <alignment horizontal="left" vertical="center" wrapText="1"/>
    </xf>
    <xf numFmtId="14" fontId="10" fillId="0" borderId="46" xfId="2" applyNumberFormat="1" applyFont="1" applyFill="1" applyBorder="1" applyAlignment="1">
      <alignment horizontal="center" vertical="center"/>
    </xf>
    <xf numFmtId="175" fontId="10" fillId="5" borderId="46" xfId="4" quotePrefix="1" applyNumberFormat="1" applyFont="1" applyFill="1" applyBorder="1" applyAlignment="1">
      <alignment horizontal="right" vertical="center" wrapText="1"/>
    </xf>
    <xf numFmtId="0" fontId="10" fillId="0" borderId="63" xfId="2" applyFont="1" applyFill="1" applyBorder="1" applyAlignment="1">
      <alignment vertical="center"/>
    </xf>
    <xf numFmtId="175" fontId="10" fillId="5" borderId="63" xfId="4" applyNumberFormat="1" applyFont="1" applyFill="1" applyBorder="1" applyAlignment="1">
      <alignment horizontal="right" vertical="center" wrapText="1"/>
    </xf>
    <xf numFmtId="167" fontId="10" fillId="5" borderId="63" xfId="4" applyNumberFormat="1" applyFont="1" applyFill="1" applyBorder="1" applyAlignment="1">
      <alignment horizontal="center" vertical="center" wrapText="1"/>
    </xf>
    <xf numFmtId="0" fontId="10" fillId="0" borderId="63" xfId="2" applyFont="1" applyFill="1" applyBorder="1" applyAlignment="1">
      <alignment vertical="center" wrapText="1"/>
    </xf>
    <xf numFmtId="0" fontId="10" fillId="0" borderId="63" xfId="2" applyFont="1" applyFill="1" applyBorder="1" applyAlignment="1">
      <alignment horizontal="center" vertical="center" wrapText="1"/>
    </xf>
    <xf numFmtId="167" fontId="10" fillId="0" borderId="63" xfId="2" applyNumberFormat="1" applyFont="1" applyFill="1" applyBorder="1" applyAlignment="1">
      <alignment horizontal="center" vertical="center"/>
    </xf>
    <xf numFmtId="0" fontId="11" fillId="0" borderId="63" xfId="2" applyFont="1" applyFill="1" applyBorder="1" applyAlignment="1">
      <alignment vertical="center"/>
    </xf>
    <xf numFmtId="0" fontId="11" fillId="0" borderId="83" xfId="2" applyFont="1" applyFill="1" applyBorder="1" applyAlignment="1">
      <alignment vertical="center"/>
    </xf>
    <xf numFmtId="14" fontId="10" fillId="0" borderId="62" xfId="4" applyNumberFormat="1" applyFont="1" applyBorder="1" applyAlignment="1">
      <alignment horizontal="center" vertical="center" wrapText="1"/>
    </xf>
    <xf numFmtId="0" fontId="11" fillId="0" borderId="0" xfId="2" applyFont="1" applyFill="1" applyBorder="1" applyAlignment="1">
      <alignment horizontal="center" vertical="center" wrapText="1"/>
    </xf>
    <xf numFmtId="0" fontId="11" fillId="0" borderId="0" xfId="2" applyFont="1" applyFill="1" applyBorder="1" applyAlignment="1">
      <alignment vertical="center" wrapText="1"/>
    </xf>
    <xf numFmtId="174" fontId="11" fillId="0" borderId="0" xfId="2" applyNumberFormat="1" applyFont="1" applyFill="1" applyBorder="1" applyAlignment="1">
      <alignment vertical="center"/>
    </xf>
    <xf numFmtId="0" fontId="10" fillId="0" borderId="0" xfId="2" applyFont="1" applyFill="1" applyBorder="1" applyAlignment="1">
      <alignment horizontal="center" vertical="center"/>
    </xf>
    <xf numFmtId="0" fontId="11" fillId="0" borderId="47" xfId="2" applyFont="1" applyFill="1" applyBorder="1" applyAlignment="1">
      <alignment horizontal="center" vertical="center" wrapText="1"/>
    </xf>
    <xf numFmtId="0" fontId="11" fillId="0" borderId="21" xfId="2" applyFont="1" applyFill="1" applyBorder="1" applyAlignment="1">
      <alignment horizontal="center" vertical="center" wrapText="1"/>
    </xf>
    <xf numFmtId="0" fontId="11" fillId="0" borderId="4" xfId="2" applyFont="1" applyFill="1" applyBorder="1" applyAlignment="1">
      <alignment horizontal="center" vertical="center" wrapText="1"/>
    </xf>
    <xf numFmtId="0" fontId="10" fillId="0" borderId="0" xfId="4" applyFont="1" applyFill="1" applyBorder="1" applyAlignment="1">
      <alignment vertical="center"/>
    </xf>
    <xf numFmtId="0" fontId="10" fillId="0" borderId="12" xfId="2" applyFont="1" applyFill="1" applyBorder="1" applyAlignment="1">
      <alignment horizontal="left" vertical="center" wrapText="1"/>
    </xf>
    <xf numFmtId="0" fontId="10" fillId="0" borderId="21" xfId="2" applyFont="1" applyFill="1" applyBorder="1" applyAlignment="1">
      <alignment horizontal="center" vertical="center"/>
    </xf>
    <xf numFmtId="0" fontId="10" fillId="0" borderId="21" xfId="2" applyFont="1" applyFill="1" applyBorder="1" applyAlignment="1">
      <alignment vertical="center" wrapText="1"/>
    </xf>
    <xf numFmtId="0" fontId="10" fillId="0" borderId="21" xfId="2" applyFont="1" applyFill="1" applyBorder="1" applyAlignment="1">
      <alignment vertical="center"/>
    </xf>
    <xf numFmtId="165" fontId="10" fillId="0" borderId="21" xfId="44" applyNumberFormat="1" applyFont="1" applyFill="1" applyBorder="1" applyAlignment="1">
      <alignment vertical="center"/>
    </xf>
    <xf numFmtId="14" fontId="10" fillId="0" borderId="21" xfId="2" applyNumberFormat="1" applyFont="1" applyFill="1" applyBorder="1" applyAlignment="1">
      <alignment horizontal="center" vertical="center"/>
    </xf>
    <xf numFmtId="14" fontId="10" fillId="0" borderId="21" xfId="2" applyNumberFormat="1" applyFont="1" applyFill="1" applyBorder="1" applyAlignment="1">
      <alignment vertical="center"/>
    </xf>
    <xf numFmtId="0" fontId="10" fillId="0" borderId="12" xfId="2" applyFont="1" applyFill="1" applyBorder="1" applyAlignment="1">
      <alignment horizontal="center" vertical="center"/>
    </xf>
    <xf numFmtId="14" fontId="10" fillId="0" borderId="12" xfId="2" applyNumberFormat="1" applyFont="1" applyFill="1" applyBorder="1" applyAlignment="1">
      <alignment vertical="center"/>
    </xf>
    <xf numFmtId="0" fontId="11" fillId="0" borderId="12" xfId="2" applyFont="1" applyFill="1" applyBorder="1" applyAlignment="1">
      <alignment horizontal="left" vertical="center"/>
    </xf>
    <xf numFmtId="0" fontId="11" fillId="0" borderId="21" xfId="2" applyFont="1" applyFill="1" applyBorder="1" applyAlignment="1">
      <alignment horizontal="left" vertical="center"/>
    </xf>
    <xf numFmtId="0" fontId="11" fillId="0" borderId="21" xfId="2" applyFont="1" applyFill="1" applyBorder="1" applyAlignment="1">
      <alignment vertical="center"/>
    </xf>
    <xf numFmtId="0" fontId="11" fillId="0" borderId="12" xfId="2" applyFont="1" applyFill="1" applyBorder="1" applyAlignment="1">
      <alignment vertical="center"/>
    </xf>
    <xf numFmtId="0" fontId="10" fillId="0" borderId="11" xfId="2" applyFont="1" applyBorder="1" applyAlignment="1">
      <alignment vertical="center"/>
    </xf>
    <xf numFmtId="0" fontId="11" fillId="0" borderId="3" xfId="4" applyFont="1" applyBorder="1" applyAlignment="1">
      <alignment vertical="center"/>
    </xf>
    <xf numFmtId="49" fontId="10" fillId="0" borderId="0" xfId="3" applyFont="1" applyBorder="1" applyAlignment="1">
      <alignment vertical="center"/>
    </xf>
    <xf numFmtId="0" fontId="11" fillId="3" borderId="6" xfId="2" applyFont="1" applyFill="1" applyBorder="1" applyAlignment="1">
      <alignment horizontal="center" vertical="center"/>
    </xf>
    <xf numFmtId="0" fontId="10" fillId="0" borderId="61" xfId="2" applyFont="1" applyFill="1" applyBorder="1" applyAlignment="1">
      <alignment horizontal="justify" vertical="center" wrapText="1"/>
    </xf>
    <xf numFmtId="0" fontId="11" fillId="0" borderId="3" xfId="2" applyFont="1" applyFill="1" applyBorder="1" applyAlignment="1">
      <alignment horizontal="center" vertical="center" wrapText="1"/>
    </xf>
    <xf numFmtId="0" fontId="11" fillId="2" borderId="3" xfId="2" applyFont="1" applyFill="1" applyBorder="1" applyAlignment="1">
      <alignment horizontal="center" vertical="center" wrapText="1"/>
    </xf>
    <xf numFmtId="0" fontId="10" fillId="0" borderId="2" xfId="2" applyFont="1" applyFill="1" applyBorder="1" applyAlignment="1">
      <alignment horizontal="justify" vertical="center" wrapText="1"/>
    </xf>
    <xf numFmtId="165" fontId="11" fillId="3" borderId="0" xfId="44" applyNumberFormat="1" applyFont="1" applyFill="1" applyBorder="1" applyAlignment="1">
      <alignment horizontal="center" vertical="center" wrapText="1"/>
    </xf>
    <xf numFmtId="165" fontId="11" fillId="0" borderId="3" xfId="44" applyNumberFormat="1" applyFont="1" applyFill="1" applyBorder="1" applyAlignment="1">
      <alignment horizontal="left" vertical="center"/>
    </xf>
    <xf numFmtId="165" fontId="11" fillId="2" borderId="19" xfId="44" applyNumberFormat="1" applyFont="1" applyFill="1" applyBorder="1" applyAlignment="1">
      <alignment horizontal="center" vertical="center"/>
    </xf>
    <xf numFmtId="43" fontId="11" fillId="0" borderId="0" xfId="44" applyFont="1" applyFill="1" applyBorder="1" applyAlignment="1">
      <alignment horizontal="left" vertical="center"/>
    </xf>
    <xf numFmtId="165" fontId="11" fillId="4" borderId="0" xfId="44" applyNumberFormat="1" applyFont="1" applyFill="1" applyBorder="1" applyAlignment="1">
      <alignment horizontal="right" vertical="center"/>
    </xf>
    <xf numFmtId="43" fontId="3" fillId="0" borderId="0" xfId="44" applyFont="1" applyFill="1" applyBorder="1" applyAlignment="1">
      <alignment horizontal="left" vertical="center"/>
    </xf>
    <xf numFmtId="0" fontId="11" fillId="0" borderId="14" xfId="2" applyFont="1" applyFill="1" applyBorder="1" applyAlignment="1">
      <alignment horizontal="justify" vertical="center"/>
    </xf>
    <xf numFmtId="0" fontId="11" fillId="3" borderId="3" xfId="2" applyFont="1" applyFill="1" applyBorder="1" applyAlignment="1">
      <alignment horizontal="justify" vertical="center"/>
    </xf>
    <xf numFmtId="0" fontId="11" fillId="2" borderId="5" xfId="2" applyFont="1" applyFill="1" applyBorder="1" applyAlignment="1">
      <alignment horizontal="justify" vertical="center"/>
    </xf>
    <xf numFmtId="0" fontId="11" fillId="0" borderId="0" xfId="2" applyFont="1" applyFill="1" applyBorder="1" applyAlignment="1">
      <alignment horizontal="justify" vertical="center"/>
    </xf>
    <xf numFmtId="0" fontId="4" fillId="0" borderId="0" xfId="4" applyFont="1" applyFill="1" applyBorder="1" applyAlignment="1">
      <alignment vertical="center"/>
    </xf>
    <xf numFmtId="0" fontId="4" fillId="0" borderId="47" xfId="2" applyFont="1" applyFill="1" applyBorder="1" applyAlignment="1">
      <alignment horizontal="center" vertical="center" wrapText="1"/>
    </xf>
    <xf numFmtId="0" fontId="4" fillId="0" borderId="4" xfId="2" applyFont="1" applyFill="1" applyBorder="1" applyAlignment="1">
      <alignment horizontal="center" vertical="center" wrapText="1"/>
    </xf>
    <xf numFmtId="0" fontId="11" fillId="3" borderId="2" xfId="2" applyFont="1" applyFill="1" applyBorder="1" applyAlignment="1">
      <alignment horizontal="justify" vertical="center"/>
    </xf>
    <xf numFmtId="0" fontId="11" fillId="3" borderId="73" xfId="2" applyFont="1" applyFill="1" applyBorder="1" applyAlignment="1">
      <alignment horizontal="center" vertical="center" wrapText="1"/>
    </xf>
    <xf numFmtId="165" fontId="11" fillId="3" borderId="73" xfId="44" applyNumberFormat="1" applyFont="1" applyFill="1" applyBorder="1" applyAlignment="1">
      <alignment horizontal="center" vertical="center" wrapText="1"/>
    </xf>
    <xf numFmtId="0" fontId="11" fillId="3" borderId="60" xfId="2" applyFont="1" applyFill="1" applyBorder="1" applyAlignment="1">
      <alignment horizontal="center" vertical="center" wrapText="1"/>
    </xf>
    <xf numFmtId="0" fontId="11" fillId="0" borderId="3" xfId="2" applyFont="1" applyFill="1" applyBorder="1" applyAlignment="1">
      <alignment horizontal="justify" vertical="center"/>
    </xf>
    <xf numFmtId="0" fontId="11" fillId="3" borderId="0" xfId="2" applyFont="1" applyFill="1" applyBorder="1" applyAlignment="1">
      <alignment horizontal="justify" vertical="center" wrapText="1"/>
    </xf>
    <xf numFmtId="0" fontId="11" fillId="2" borderId="19" xfId="2" applyFont="1" applyFill="1" applyBorder="1" applyAlignment="1">
      <alignment horizontal="justify" vertical="center"/>
    </xf>
    <xf numFmtId="0" fontId="11" fillId="0" borderId="81" xfId="2" applyFont="1" applyFill="1" applyBorder="1" applyAlignment="1">
      <alignment horizontal="justify" vertical="center"/>
    </xf>
    <xf numFmtId="0" fontId="11" fillId="3" borderId="47" xfId="2" applyFont="1" applyFill="1" applyBorder="1" applyAlignment="1">
      <alignment horizontal="justify" vertical="center" wrapText="1"/>
    </xf>
    <xf numFmtId="0" fontId="11" fillId="4" borderId="6" xfId="2" applyFont="1" applyFill="1" applyBorder="1" applyAlignment="1">
      <alignment horizontal="center" vertical="center"/>
    </xf>
    <xf numFmtId="0" fontId="11" fillId="4" borderId="12" xfId="2" applyFont="1" applyFill="1" applyBorder="1" applyAlignment="1">
      <alignment horizontal="left" vertical="center"/>
    </xf>
    <xf numFmtId="165" fontId="11" fillId="4" borderId="47" xfId="44" applyNumberFormat="1" applyFont="1" applyFill="1" applyBorder="1" applyAlignment="1">
      <alignment horizontal="left" vertical="center"/>
    </xf>
    <xf numFmtId="0" fontId="11" fillId="4" borderId="47" xfId="2" applyFont="1" applyFill="1" applyBorder="1" applyAlignment="1">
      <alignment vertical="center"/>
    </xf>
    <xf numFmtId="0" fontId="11" fillId="4" borderId="12" xfId="2" applyFont="1" applyFill="1" applyBorder="1" applyAlignment="1">
      <alignment vertical="center"/>
    </xf>
    <xf numFmtId="0" fontId="11" fillId="4" borderId="21" xfId="2" applyFont="1" applyFill="1" applyBorder="1" applyAlignment="1">
      <alignment vertical="center"/>
    </xf>
    <xf numFmtId="0" fontId="11" fillId="4" borderId="12" xfId="2" applyFont="1" applyFill="1" applyBorder="1" applyAlignment="1">
      <alignment horizontal="center" vertical="center"/>
    </xf>
    <xf numFmtId="0" fontId="4" fillId="0" borderId="0" xfId="4" applyFont="1" applyFill="1" applyAlignment="1">
      <alignment horizontal="left" vertical="center"/>
    </xf>
    <xf numFmtId="0" fontId="3" fillId="0" borderId="75" xfId="2" applyFont="1" applyFill="1" applyBorder="1" applyAlignment="1">
      <alignment horizontal="justify" vertical="center" wrapText="1"/>
    </xf>
    <xf numFmtId="0" fontId="3" fillId="0" borderId="77" xfId="2" applyFont="1" applyFill="1" applyBorder="1" applyAlignment="1">
      <alignment horizontal="center" vertical="center" wrapText="1"/>
    </xf>
    <xf numFmtId="0" fontId="3" fillId="0" borderId="75" xfId="2" applyFont="1" applyFill="1" applyBorder="1" applyAlignment="1">
      <alignment horizontal="center" vertical="center" wrapText="1"/>
    </xf>
    <xf numFmtId="0" fontId="3" fillId="0" borderId="76" xfId="2" applyFont="1" applyFill="1" applyBorder="1" applyAlignment="1">
      <alignment horizontal="center" vertical="center"/>
    </xf>
    <xf numFmtId="3" fontId="3" fillId="0" borderId="103" xfId="2" applyNumberFormat="1" applyFont="1" applyFill="1" applyBorder="1" applyAlignment="1">
      <alignment horizontal="right" vertical="center"/>
    </xf>
    <xf numFmtId="0" fontId="3" fillId="0" borderId="103" xfId="2" applyFont="1" applyFill="1" applyBorder="1" applyAlignment="1">
      <alignment horizontal="justify" vertical="center" wrapText="1"/>
    </xf>
    <xf numFmtId="0" fontId="3" fillId="0" borderId="75" xfId="2" applyFont="1" applyFill="1" applyBorder="1" applyAlignment="1">
      <alignment horizontal="center" vertical="center"/>
    </xf>
    <xf numFmtId="14" fontId="3" fillId="0" borderId="77" xfId="2" applyNumberFormat="1" applyFont="1" applyFill="1" applyBorder="1" applyAlignment="1">
      <alignment horizontal="center" vertical="center"/>
    </xf>
    <xf numFmtId="0" fontId="3" fillId="0" borderId="78" xfId="2" applyFont="1" applyFill="1" applyBorder="1" applyAlignment="1">
      <alignment horizontal="justify" vertical="center" wrapText="1"/>
    </xf>
    <xf numFmtId="0" fontId="3" fillId="0" borderId="80" xfId="2" applyFont="1" applyFill="1" applyBorder="1" applyAlignment="1">
      <alignment horizontal="center" vertical="center" wrapText="1"/>
    </xf>
    <xf numFmtId="0" fontId="3" fillId="0" borderId="78" xfId="2" applyFont="1" applyFill="1" applyBorder="1" applyAlignment="1">
      <alignment horizontal="center" vertical="center" wrapText="1"/>
    </xf>
    <xf numFmtId="0" fontId="3" fillId="0" borderId="79" xfId="2" applyFont="1" applyFill="1" applyBorder="1" applyAlignment="1">
      <alignment horizontal="center" vertical="center"/>
    </xf>
    <xf numFmtId="3" fontId="3" fillId="0" borderId="89" xfId="2" applyNumberFormat="1" applyFont="1" applyFill="1" applyBorder="1" applyAlignment="1">
      <alignment horizontal="right" vertical="center"/>
    </xf>
    <xf numFmtId="0" fontId="3" fillId="0" borderId="89" xfId="2" applyFont="1" applyFill="1" applyBorder="1" applyAlignment="1">
      <alignment horizontal="justify" vertical="center" wrapText="1"/>
    </xf>
    <xf numFmtId="0" fontId="3" fillId="0" borderId="78" xfId="2" applyFont="1" applyFill="1" applyBorder="1" applyAlignment="1">
      <alignment horizontal="center" vertical="center"/>
    </xf>
    <xf numFmtId="14" fontId="3" fillId="0" borderId="80" xfId="2" applyNumberFormat="1" applyFont="1" applyFill="1" applyBorder="1" applyAlignment="1">
      <alignment horizontal="center" vertical="center"/>
    </xf>
    <xf numFmtId="0" fontId="3" fillId="0" borderId="79" xfId="2" applyFont="1" applyFill="1" applyBorder="1" applyAlignment="1">
      <alignment horizontal="center" vertical="center" wrapText="1"/>
    </xf>
    <xf numFmtId="165" fontId="3" fillId="0" borderId="103" xfId="44" applyNumberFormat="1" applyFont="1" applyFill="1" applyBorder="1" applyAlignment="1">
      <alignment horizontal="right" vertical="center"/>
    </xf>
    <xf numFmtId="0" fontId="3" fillId="0" borderId="103" xfId="2" applyFont="1" applyFill="1" applyBorder="1" applyAlignment="1">
      <alignment horizontal="justify" vertical="center"/>
    </xf>
    <xf numFmtId="165" fontId="3" fillId="0" borderId="89" xfId="44" applyNumberFormat="1" applyFont="1" applyFill="1" applyBorder="1" applyAlignment="1">
      <alignment horizontal="right" vertical="center"/>
    </xf>
    <xf numFmtId="0" fontId="3" fillId="0" borderId="89" xfId="2" applyFont="1" applyFill="1" applyBorder="1" applyAlignment="1">
      <alignment horizontal="justify" vertical="center"/>
    </xf>
    <xf numFmtId="0" fontId="3" fillId="0" borderId="76" xfId="2" applyFont="1" applyFill="1" applyBorder="1" applyAlignment="1">
      <alignment horizontal="left" vertical="center"/>
    </xf>
    <xf numFmtId="0" fontId="11" fillId="0" borderId="103" xfId="2" applyFont="1" applyFill="1" applyBorder="1" applyAlignment="1">
      <alignment horizontal="justify" vertical="center"/>
    </xf>
    <xf numFmtId="0" fontId="11" fillId="0" borderId="75" xfId="2" applyFont="1" applyFill="1" applyBorder="1" applyAlignment="1">
      <alignment vertical="center"/>
    </xf>
    <xf numFmtId="0" fontId="11" fillId="0" borderId="77" xfId="2" applyFont="1" applyFill="1" applyBorder="1" applyAlignment="1">
      <alignment vertical="center"/>
    </xf>
    <xf numFmtId="0" fontId="3" fillId="0" borderId="79" xfId="2" applyFont="1" applyFill="1" applyBorder="1" applyAlignment="1">
      <alignment horizontal="left" vertical="center"/>
    </xf>
    <xf numFmtId="0" fontId="11" fillId="0" borderId="89" xfId="2" applyFont="1" applyFill="1" applyBorder="1" applyAlignment="1">
      <alignment horizontal="justify" vertical="center"/>
    </xf>
    <xf numFmtId="0" fontId="11" fillId="0" borderId="78" xfId="2" applyFont="1" applyFill="1" applyBorder="1" applyAlignment="1">
      <alignment vertical="center"/>
    </xf>
    <xf numFmtId="0" fontId="11" fillId="0" borderId="80" xfId="2" applyFont="1" applyFill="1" applyBorder="1" applyAlignment="1">
      <alignment vertical="center"/>
    </xf>
    <xf numFmtId="0" fontId="7" fillId="0" borderId="79" xfId="2" applyFont="1" applyFill="1" applyBorder="1" applyAlignment="1">
      <alignment horizontal="left" vertical="center"/>
    </xf>
    <xf numFmtId="0" fontId="3" fillId="0" borderId="91" xfId="2" applyFont="1" applyFill="1" applyBorder="1" applyAlignment="1">
      <alignment horizontal="justify" vertical="center" wrapText="1"/>
    </xf>
    <xf numFmtId="0" fontId="3" fillId="0" borderId="94" xfId="2" applyFont="1" applyFill="1" applyBorder="1" applyAlignment="1">
      <alignment horizontal="center" vertical="center" wrapText="1"/>
    </xf>
    <xf numFmtId="0" fontId="3" fillId="0" borderId="91" xfId="2" applyFont="1" applyFill="1" applyBorder="1" applyAlignment="1">
      <alignment horizontal="center" vertical="center" wrapText="1"/>
    </xf>
    <xf numFmtId="0" fontId="7" fillId="0" borderId="92" xfId="2" applyFont="1" applyFill="1" applyBorder="1" applyAlignment="1">
      <alignment horizontal="left" vertical="center"/>
    </xf>
    <xf numFmtId="3" fontId="3" fillId="0" borderId="93" xfId="2" applyNumberFormat="1" applyFont="1" applyFill="1" applyBorder="1" applyAlignment="1">
      <alignment horizontal="right" vertical="center"/>
    </xf>
    <xf numFmtId="0" fontId="11" fillId="0" borderId="93" xfId="2" applyFont="1" applyFill="1" applyBorder="1" applyAlignment="1">
      <alignment horizontal="justify" vertical="center"/>
    </xf>
    <xf numFmtId="0" fontId="11" fillId="0" borderId="91" xfId="2" applyFont="1" applyFill="1" applyBorder="1" applyAlignment="1">
      <alignment vertical="center"/>
    </xf>
    <xf numFmtId="0" fontId="11" fillId="0" borderId="94" xfId="2" applyFont="1" applyFill="1" applyBorder="1" applyAlignment="1">
      <alignment vertical="center"/>
    </xf>
    <xf numFmtId="0" fontId="3" fillId="0" borderId="109" xfId="2" applyFont="1" applyFill="1" applyBorder="1" applyAlignment="1">
      <alignment horizontal="justify" vertical="center" wrapText="1"/>
    </xf>
    <xf numFmtId="0" fontId="3" fillId="0" borderId="104" xfId="2" applyFont="1" applyFill="1" applyBorder="1" applyAlignment="1">
      <alignment horizontal="center" vertical="center"/>
    </xf>
    <xf numFmtId="0" fontId="3" fillId="0" borderId="104" xfId="2" applyFont="1" applyFill="1" applyBorder="1" applyAlignment="1">
      <alignment horizontal="left" vertical="center"/>
    </xf>
    <xf numFmtId="0" fontId="3" fillId="0" borderId="104" xfId="2" applyFont="1" applyFill="1" applyBorder="1" applyAlignment="1">
      <alignment horizontal="center" vertical="center" wrapText="1"/>
    </xf>
    <xf numFmtId="165" fontId="3" fillId="0" borderId="104" xfId="44" applyNumberFormat="1" applyFont="1" applyFill="1" applyBorder="1" applyAlignment="1">
      <alignment horizontal="center" vertical="center"/>
    </xf>
    <xf numFmtId="0" fontId="3" fillId="0" borderId="104" xfId="2" applyFont="1" applyFill="1" applyBorder="1" applyAlignment="1">
      <alignment horizontal="justify" vertical="center" wrapText="1"/>
    </xf>
    <xf numFmtId="167" fontId="3" fillId="5" borderId="104" xfId="4" applyNumberFormat="1" applyFont="1" applyFill="1" applyBorder="1" applyAlignment="1">
      <alignment horizontal="center" vertical="center" wrapText="1"/>
    </xf>
    <xf numFmtId="0" fontId="3" fillId="0" borderId="105" xfId="2" applyFont="1" applyFill="1" applyBorder="1" applyAlignment="1">
      <alignment vertical="center"/>
    </xf>
    <xf numFmtId="0" fontId="3" fillId="0" borderId="78" xfId="2" applyFont="1" applyFill="1" applyBorder="1" applyAlignment="1">
      <alignment horizontal="left" vertical="center"/>
    </xf>
    <xf numFmtId="165" fontId="3" fillId="0" borderId="78" xfId="44" applyNumberFormat="1" applyFont="1" applyFill="1" applyBorder="1" applyAlignment="1">
      <alignment horizontal="center" vertical="center"/>
    </xf>
    <xf numFmtId="167" fontId="3" fillId="5" borderId="78" xfId="4" applyNumberFormat="1" applyFont="1" applyFill="1" applyBorder="1" applyAlignment="1">
      <alignment horizontal="center" vertical="center" wrapText="1"/>
    </xf>
    <xf numFmtId="0" fontId="3" fillId="0" borderId="80" xfId="2" applyFont="1" applyFill="1" applyBorder="1" applyAlignment="1">
      <alignment vertical="center" wrapText="1"/>
    </xf>
    <xf numFmtId="0" fontId="3" fillId="0" borderId="112" xfId="2" applyFont="1" applyFill="1" applyBorder="1" applyAlignment="1">
      <alignment horizontal="justify" vertical="center" wrapText="1"/>
    </xf>
    <xf numFmtId="0" fontId="3" fillId="0" borderId="113" xfId="2" applyFont="1" applyFill="1" applyBorder="1" applyAlignment="1">
      <alignment horizontal="center" vertical="center"/>
    </xf>
    <xf numFmtId="0" fontId="3" fillId="0" borderId="113" xfId="2" applyFont="1" applyFill="1" applyBorder="1" applyAlignment="1">
      <alignment horizontal="left" vertical="center"/>
    </xf>
    <xf numFmtId="0" fontId="3" fillId="0" borderId="113" xfId="2" applyFont="1" applyFill="1" applyBorder="1" applyAlignment="1">
      <alignment horizontal="center" vertical="center" wrapText="1"/>
    </xf>
    <xf numFmtId="165" fontId="3" fillId="0" borderId="113" xfId="44" applyNumberFormat="1" applyFont="1" applyFill="1" applyBorder="1" applyAlignment="1">
      <alignment horizontal="center" vertical="center"/>
    </xf>
    <xf numFmtId="0" fontId="3" fillId="0" borderId="113" xfId="2" applyFont="1" applyFill="1" applyBorder="1" applyAlignment="1">
      <alignment horizontal="justify" vertical="center" wrapText="1"/>
    </xf>
    <xf numFmtId="167" fontId="3" fillId="5" borderId="113" xfId="4" applyNumberFormat="1" applyFont="1" applyFill="1" applyBorder="1" applyAlignment="1">
      <alignment horizontal="center" vertical="center" wrapText="1"/>
    </xf>
    <xf numFmtId="0" fontId="3" fillId="0" borderId="114" xfId="2" applyFont="1" applyFill="1" applyBorder="1" applyAlignment="1">
      <alignment vertical="center" wrapText="1"/>
    </xf>
    <xf numFmtId="167" fontId="3" fillId="0" borderId="104" xfId="2" applyNumberFormat="1" applyFont="1" applyFill="1" applyBorder="1" applyAlignment="1">
      <alignment horizontal="center" vertical="center"/>
    </xf>
    <xf numFmtId="0" fontId="7" fillId="0" borderId="105" xfId="2" applyFont="1" applyFill="1" applyBorder="1" applyAlignment="1">
      <alignment vertical="center"/>
    </xf>
    <xf numFmtId="0" fontId="3" fillId="0" borderId="93" xfId="2" applyFont="1" applyFill="1" applyBorder="1" applyAlignment="1">
      <alignment horizontal="justify" vertical="center" wrapText="1"/>
    </xf>
    <xf numFmtId="0" fontId="3" fillId="0" borderId="91" xfId="2" applyFont="1" applyFill="1" applyBorder="1" applyAlignment="1">
      <alignment horizontal="center" vertical="center"/>
    </xf>
    <xf numFmtId="0" fontId="3" fillId="0" borderId="91" xfId="2" applyFont="1" applyFill="1" applyBorder="1" applyAlignment="1">
      <alignment horizontal="left" vertical="center"/>
    </xf>
    <xf numFmtId="165" fontId="3" fillId="0" borderId="91" xfId="44" applyNumberFormat="1" applyFont="1" applyFill="1" applyBorder="1" applyAlignment="1">
      <alignment horizontal="center" vertical="center"/>
    </xf>
    <xf numFmtId="167" fontId="3" fillId="5" borderId="91" xfId="4" applyNumberFormat="1" applyFont="1" applyFill="1" applyBorder="1" applyAlignment="1">
      <alignment horizontal="center" vertical="center" wrapText="1"/>
    </xf>
    <xf numFmtId="167" fontId="3" fillId="0" borderId="91" xfId="2" applyNumberFormat="1" applyFont="1" applyFill="1" applyBorder="1" applyAlignment="1">
      <alignment horizontal="center" vertical="center"/>
    </xf>
    <xf numFmtId="0" fontId="3" fillId="0" borderId="94" xfId="2" applyFont="1" applyFill="1" applyBorder="1" applyAlignment="1">
      <alignment vertical="center"/>
    </xf>
    <xf numFmtId="0" fontId="3" fillId="0" borderId="75" xfId="2" applyFont="1" applyFill="1" applyBorder="1" applyAlignment="1">
      <alignment horizontal="left" vertical="center"/>
    </xf>
    <xf numFmtId="0" fontId="3" fillId="0" borderId="75" xfId="2" applyFont="1" applyBorder="1" applyAlignment="1">
      <alignment horizontal="center" vertical="center"/>
    </xf>
    <xf numFmtId="165" fontId="3" fillId="0" borderId="76" xfId="44" applyNumberFormat="1" applyFont="1" applyFill="1" applyBorder="1" applyAlignment="1">
      <alignment horizontal="left" vertical="center"/>
    </xf>
    <xf numFmtId="43" fontId="3" fillId="0" borderId="75" xfId="44" applyFont="1" applyFill="1" applyBorder="1" applyAlignment="1">
      <alignment horizontal="left" vertical="center"/>
    </xf>
    <xf numFmtId="4" fontId="3" fillId="0" borderId="76" xfId="44" applyNumberFormat="1" applyFont="1" applyBorder="1"/>
    <xf numFmtId="0" fontId="3" fillId="0" borderId="75" xfId="2" applyFont="1" applyFill="1" applyBorder="1" applyAlignment="1">
      <alignment vertical="center"/>
    </xf>
    <xf numFmtId="0" fontId="3" fillId="0" borderId="77" xfId="2" applyFont="1" applyFill="1" applyBorder="1" applyAlignment="1">
      <alignment vertical="center"/>
    </xf>
    <xf numFmtId="0" fontId="3" fillId="0" borderId="78" xfId="2" applyFont="1" applyBorder="1" applyAlignment="1">
      <alignment horizontal="center" vertical="center"/>
    </xf>
    <xf numFmtId="165" fontId="3" fillId="0" borderId="79" xfId="44" applyNumberFormat="1" applyFont="1" applyFill="1" applyBorder="1" applyAlignment="1">
      <alignment horizontal="left" vertical="center"/>
    </xf>
    <xf numFmtId="43" fontId="3" fillId="0" borderId="78" xfId="44" applyFont="1" applyFill="1" applyBorder="1" applyAlignment="1">
      <alignment horizontal="left" vertical="center"/>
    </xf>
    <xf numFmtId="4" fontId="3" fillId="0" borderId="79" xfId="44" applyNumberFormat="1" applyFont="1" applyBorder="1"/>
    <xf numFmtId="0" fontId="3" fillId="0" borderId="78" xfId="2" applyFont="1" applyFill="1" applyBorder="1" applyAlignment="1">
      <alignment vertical="center"/>
    </xf>
    <xf numFmtId="0" fontId="3" fillId="0" borderId="80" xfId="2" applyFont="1" applyFill="1" applyBorder="1" applyAlignment="1">
      <alignment vertical="center"/>
    </xf>
    <xf numFmtId="0" fontId="29" fillId="0" borderId="78" xfId="4" applyFont="1" applyBorder="1" applyAlignment="1">
      <alignment horizontal="center"/>
    </xf>
    <xf numFmtId="0" fontId="3" fillId="0" borderId="89" xfId="2" applyFont="1" applyFill="1" applyBorder="1" applyAlignment="1">
      <alignment horizontal="justify" vertical="justify" wrapText="1"/>
    </xf>
    <xf numFmtId="0" fontId="3" fillId="0" borderId="78" xfId="2" applyFont="1" applyFill="1" applyBorder="1" applyAlignment="1">
      <alignment horizontal="justify" vertical="justify" wrapText="1"/>
    </xf>
    <xf numFmtId="4" fontId="3" fillId="0" borderId="79" xfId="2" applyNumberFormat="1" applyFont="1" applyFill="1" applyBorder="1" applyAlignment="1">
      <alignment horizontal="left" vertical="center"/>
    </xf>
    <xf numFmtId="14" fontId="3" fillId="0" borderId="78" xfId="2" applyNumberFormat="1" applyFont="1" applyFill="1" applyBorder="1" applyAlignment="1">
      <alignment horizontal="center" vertical="center"/>
    </xf>
    <xf numFmtId="0" fontId="3" fillId="0" borderId="79" xfId="2" applyFont="1" applyFill="1" applyBorder="1" applyAlignment="1">
      <alignment vertical="center"/>
    </xf>
    <xf numFmtId="0" fontId="3" fillId="0" borderId="103" xfId="2" applyFont="1" applyFill="1" applyBorder="1" applyAlignment="1">
      <alignment horizontal="left" vertical="center"/>
    </xf>
    <xf numFmtId="165" fontId="3" fillId="0" borderId="76" xfId="44" applyNumberFormat="1" applyFont="1" applyFill="1" applyBorder="1" applyAlignment="1">
      <alignment vertical="center"/>
    </xf>
    <xf numFmtId="0" fontId="3" fillId="0" borderId="76" xfId="2" applyFont="1" applyFill="1" applyBorder="1" applyAlignment="1">
      <alignment vertical="center"/>
    </xf>
    <xf numFmtId="14" fontId="3" fillId="0" borderId="75" xfId="2" applyNumberFormat="1" applyFont="1" applyFill="1" applyBorder="1" applyAlignment="1">
      <alignment horizontal="center" vertical="center"/>
    </xf>
    <xf numFmtId="0" fontId="3" fillId="0" borderId="89" xfId="2" applyFont="1" applyFill="1" applyBorder="1" applyAlignment="1">
      <alignment horizontal="left" vertical="center"/>
    </xf>
    <xf numFmtId="165" fontId="3" fillId="0" borderId="79" xfId="44" applyNumberFormat="1" applyFont="1" applyFill="1" applyBorder="1" applyAlignment="1">
      <alignment vertical="center"/>
    </xf>
    <xf numFmtId="0" fontId="3" fillId="0" borderId="80" xfId="2" applyFont="1" applyFill="1" applyBorder="1" applyAlignment="1">
      <alignment horizontal="center" vertical="center"/>
    </xf>
    <xf numFmtId="0" fontId="3" fillId="0" borderId="80" xfId="2" applyFont="1" applyBorder="1" applyAlignment="1">
      <alignment horizontal="center" vertical="center"/>
    </xf>
    <xf numFmtId="0" fontId="3" fillId="0" borderId="75" xfId="2" applyFont="1" applyFill="1" applyBorder="1" applyAlignment="1">
      <alignment horizontal="left" vertical="center" wrapText="1"/>
    </xf>
    <xf numFmtId="0" fontId="3" fillId="0" borderId="78" xfId="2" applyFont="1" applyFill="1" applyBorder="1" applyAlignment="1">
      <alignment horizontal="left" vertical="center" wrapText="1"/>
    </xf>
    <xf numFmtId="0" fontId="3" fillId="0" borderId="84" xfId="4" applyFont="1" applyBorder="1" applyAlignment="1">
      <alignment wrapText="1"/>
    </xf>
    <xf numFmtId="0" fontId="3" fillId="0" borderId="88" xfId="2" applyFont="1" applyFill="1" applyBorder="1" applyAlignment="1">
      <alignment horizontal="center" vertical="center" wrapText="1"/>
    </xf>
    <xf numFmtId="0" fontId="3" fillId="0" borderId="84" xfId="2" applyFont="1" applyFill="1" applyBorder="1" applyAlignment="1">
      <alignment horizontal="left" vertical="center"/>
    </xf>
    <xf numFmtId="49" fontId="3" fillId="0" borderId="85" xfId="2" applyNumberFormat="1" applyFont="1" applyFill="1" applyBorder="1" applyAlignment="1">
      <alignment horizontal="left" vertical="center"/>
    </xf>
    <xf numFmtId="165" fontId="3" fillId="0" borderId="84" xfId="44" applyNumberFormat="1" applyFont="1" applyFill="1" applyBorder="1" applyAlignment="1">
      <alignment vertical="center"/>
    </xf>
    <xf numFmtId="0" fontId="3" fillId="0" borderId="86" xfId="2" applyFont="1" applyFill="1" applyBorder="1" applyAlignment="1">
      <alignment horizontal="left" vertical="center"/>
    </xf>
    <xf numFmtId="0" fontId="3" fillId="0" borderId="84" xfId="2" applyFont="1" applyFill="1" applyBorder="1" applyAlignment="1">
      <alignment vertical="center"/>
    </xf>
    <xf numFmtId="14" fontId="3" fillId="0" borderId="88" xfId="2" applyNumberFormat="1" applyFont="1" applyFill="1" applyBorder="1" applyAlignment="1">
      <alignment vertical="center"/>
    </xf>
    <xf numFmtId="0" fontId="3" fillId="0" borderId="78" xfId="4" applyFont="1" applyBorder="1" applyAlignment="1">
      <alignment vertical="center" wrapText="1"/>
    </xf>
    <xf numFmtId="49" fontId="3" fillId="0" borderId="79" xfId="2" applyNumberFormat="1" applyFont="1" applyFill="1" applyBorder="1" applyAlignment="1">
      <alignment horizontal="left" vertical="center"/>
    </xf>
    <xf numFmtId="165" fontId="3" fillId="0" borderId="78" xfId="44" applyNumberFormat="1" applyFont="1" applyFill="1" applyBorder="1" applyAlignment="1">
      <alignment vertical="center"/>
    </xf>
    <xf numFmtId="14" fontId="3" fillId="0" borderId="80" xfId="2" applyNumberFormat="1" applyFont="1" applyFill="1" applyBorder="1" applyAlignment="1">
      <alignment vertical="center"/>
    </xf>
    <xf numFmtId="0" fontId="3" fillId="0" borderId="89" xfId="2" applyFont="1" applyFill="1" applyBorder="1" applyAlignment="1">
      <alignment horizontal="left" vertical="center" wrapText="1"/>
    </xf>
    <xf numFmtId="0" fontId="3" fillId="0" borderId="78" xfId="4" applyFont="1" applyBorder="1" applyAlignment="1">
      <alignment wrapText="1"/>
    </xf>
    <xf numFmtId="0" fontId="3" fillId="0" borderId="78" xfId="2" applyFont="1" applyFill="1" applyBorder="1" applyAlignment="1">
      <alignment vertical="center" wrapText="1"/>
    </xf>
    <xf numFmtId="0" fontId="3" fillId="0" borderId="89" xfId="2" applyFont="1" applyFill="1" applyBorder="1" applyAlignment="1">
      <alignment vertical="center"/>
    </xf>
    <xf numFmtId="165" fontId="7" fillId="2" borderId="11" xfId="44" applyNumberFormat="1" applyFont="1" applyFill="1" applyBorder="1" applyAlignment="1">
      <alignment horizontal="center" vertical="center"/>
    </xf>
    <xf numFmtId="43" fontId="3" fillId="0" borderId="46" xfId="44" applyFont="1" applyFill="1" applyBorder="1" applyAlignment="1">
      <alignment vertical="center"/>
    </xf>
    <xf numFmtId="43" fontId="3" fillId="0" borderId="2" xfId="44" applyFont="1" applyFill="1" applyBorder="1" applyAlignment="1">
      <alignment horizontal="center" vertical="center"/>
    </xf>
    <xf numFmtId="43" fontId="3" fillId="0" borderId="2" xfId="44" applyFont="1" applyFill="1" applyBorder="1" applyAlignment="1">
      <alignment horizontal="right" vertical="center"/>
    </xf>
    <xf numFmtId="43" fontId="3" fillId="0" borderId="2" xfId="44" applyFont="1" applyFill="1" applyBorder="1" applyAlignment="1">
      <alignment vertical="center"/>
    </xf>
    <xf numFmtId="165" fontId="11" fillId="2" borderId="42" xfId="44" applyNumberFormat="1" applyFont="1" applyFill="1" applyBorder="1" applyAlignment="1">
      <alignment vertical="center"/>
    </xf>
    <xf numFmtId="165" fontId="11" fillId="2" borderId="5" xfId="44" applyNumberFormat="1" applyFont="1" applyFill="1" applyBorder="1" applyAlignment="1">
      <alignment horizontal="center" vertical="center"/>
    </xf>
    <xf numFmtId="0" fontId="28" fillId="0" borderId="46" xfId="4" applyFont="1" applyBorder="1" applyAlignment="1">
      <alignment horizontal="justify" vertical="center" wrapText="1"/>
    </xf>
    <xf numFmtId="49" fontId="3" fillId="0" borderId="75" xfId="2" applyNumberFormat="1" applyFont="1" applyFill="1" applyBorder="1" applyAlignment="1">
      <alignment horizontal="center" vertical="center"/>
    </xf>
    <xf numFmtId="165" fontId="3" fillId="0" borderId="75" xfId="44" applyNumberFormat="1" applyFont="1" applyFill="1" applyBorder="1" applyAlignment="1">
      <alignment vertical="center"/>
    </xf>
    <xf numFmtId="0" fontId="3" fillId="0" borderId="77" xfId="2" applyFont="1" applyFill="1" applyBorder="1" applyAlignment="1">
      <alignment horizontal="center" vertical="center"/>
    </xf>
    <xf numFmtId="0" fontId="3" fillId="0" borderId="98" xfId="2" applyFont="1" applyFill="1" applyBorder="1" applyAlignment="1">
      <alignment horizontal="center" vertical="center"/>
    </xf>
    <xf numFmtId="49" fontId="3" fillId="0" borderId="78" xfId="2" applyNumberFormat="1" applyFont="1" applyFill="1" applyBorder="1" applyAlignment="1">
      <alignment horizontal="center" vertical="center"/>
    </xf>
    <xf numFmtId="0" fontId="3" fillId="0" borderId="101" xfId="2" applyFont="1" applyFill="1" applyBorder="1" applyAlignment="1">
      <alignment horizontal="center" vertical="center"/>
    </xf>
    <xf numFmtId="0" fontId="11" fillId="3" borderId="100" xfId="2" applyFont="1" applyFill="1" applyBorder="1" applyAlignment="1">
      <alignment horizontal="justify" vertical="center"/>
    </xf>
    <xf numFmtId="0" fontId="11" fillId="3" borderId="100" xfId="2" applyFont="1" applyFill="1" applyBorder="1" applyAlignment="1">
      <alignment horizontal="center" vertical="center" wrapText="1"/>
    </xf>
    <xf numFmtId="165" fontId="11" fillId="3" borderId="100" xfId="44" applyNumberFormat="1" applyFont="1" applyFill="1" applyBorder="1" applyAlignment="1">
      <alignment horizontal="right" vertical="center"/>
    </xf>
    <xf numFmtId="0" fontId="11" fillId="3" borderId="100" xfId="2" applyFont="1" applyFill="1" applyBorder="1" applyAlignment="1">
      <alignment horizontal="center" vertical="center"/>
    </xf>
    <xf numFmtId="0" fontId="11" fillId="3" borderId="100" xfId="2" applyFont="1" applyFill="1" applyBorder="1" applyAlignment="1">
      <alignment horizontal="justify" vertical="center" wrapText="1"/>
    </xf>
    <xf numFmtId="0" fontId="10" fillId="3" borderId="100" xfId="2" applyFont="1" applyFill="1" applyBorder="1" applyAlignment="1">
      <alignment horizontal="left" vertical="center"/>
    </xf>
    <xf numFmtId="49" fontId="10" fillId="3" borderId="100" xfId="2" applyNumberFormat="1" applyFont="1" applyFill="1" applyBorder="1" applyAlignment="1">
      <alignment horizontal="center" vertical="center"/>
    </xf>
    <xf numFmtId="4" fontId="10" fillId="3" borderId="100" xfId="2" applyNumberFormat="1" applyFont="1" applyFill="1" applyBorder="1" applyAlignment="1">
      <alignment vertical="center"/>
    </xf>
    <xf numFmtId="165" fontId="11" fillId="3" borderId="100" xfId="44" applyNumberFormat="1" applyFont="1" applyFill="1" applyBorder="1" applyAlignment="1">
      <alignment vertical="center"/>
    </xf>
    <xf numFmtId="0" fontId="10" fillId="3" borderId="100" xfId="2" applyFont="1" applyFill="1" applyBorder="1" applyAlignment="1">
      <alignment vertical="center"/>
    </xf>
    <xf numFmtId="4" fontId="3" fillId="0" borderId="78" xfId="2" applyNumberFormat="1" applyFont="1" applyFill="1" applyBorder="1" applyAlignment="1">
      <alignment horizontal="center" vertical="center"/>
    </xf>
    <xf numFmtId="49" fontId="3" fillId="0" borderId="91" xfId="2" applyNumberFormat="1" applyFont="1" applyFill="1" applyBorder="1" applyAlignment="1">
      <alignment horizontal="center" vertical="center"/>
    </xf>
    <xf numFmtId="4" fontId="3" fillId="0" borderId="91" xfId="2" applyNumberFormat="1" applyFont="1" applyFill="1" applyBorder="1" applyAlignment="1">
      <alignment horizontal="center" vertical="center"/>
    </xf>
    <xf numFmtId="165" fontId="3" fillId="0" borderId="91" xfId="44" applyNumberFormat="1" applyFont="1" applyFill="1" applyBorder="1" applyAlignment="1">
      <alignment vertical="center"/>
    </xf>
    <xf numFmtId="0" fontId="3" fillId="0" borderId="108" xfId="2" applyFont="1" applyFill="1" applyBorder="1" applyAlignment="1">
      <alignment horizontal="center" vertical="center"/>
    </xf>
    <xf numFmtId="0" fontId="28" fillId="0" borderId="104" xfId="4" applyFont="1" applyBorder="1" applyAlignment="1">
      <alignment horizontal="justify" vertical="center" wrapText="1"/>
    </xf>
    <xf numFmtId="49" fontId="19" fillId="10" borderId="84" xfId="4" applyNumberFormat="1" applyFont="1" applyFill="1" applyBorder="1" applyAlignment="1">
      <alignment horizontal="center" vertical="center" wrapText="1"/>
    </xf>
    <xf numFmtId="165" fontId="19" fillId="10" borderId="84" xfId="44" applyNumberFormat="1" applyFont="1" applyFill="1" applyBorder="1" applyAlignment="1">
      <alignment horizontal="center" vertical="center"/>
    </xf>
    <xf numFmtId="165" fontId="7" fillId="0" borderId="84" xfId="44" applyNumberFormat="1" applyFont="1" applyFill="1" applyBorder="1" applyAlignment="1">
      <alignment horizontal="center" vertical="center"/>
    </xf>
    <xf numFmtId="0" fontId="3" fillId="0" borderId="84" xfId="2" applyFont="1" applyFill="1" applyBorder="1" applyAlignment="1">
      <alignment horizontal="center" vertical="center"/>
    </xf>
    <xf numFmtId="0" fontId="28" fillId="0" borderId="78" xfId="4" applyFont="1" applyBorder="1" applyAlignment="1">
      <alignment horizontal="justify" vertical="center" wrapText="1"/>
    </xf>
    <xf numFmtId="49" fontId="19" fillId="10" borderId="78" xfId="4" applyNumberFormat="1" applyFont="1" applyFill="1" applyBorder="1" applyAlignment="1">
      <alignment horizontal="center" vertical="center" wrapText="1"/>
    </xf>
    <xf numFmtId="165" fontId="19" fillId="10" borderId="78" xfId="44" applyNumberFormat="1" applyFont="1" applyFill="1" applyBorder="1" applyAlignment="1">
      <alignment horizontal="center" vertical="center"/>
    </xf>
    <xf numFmtId="165" fontId="19" fillId="10" borderId="78" xfId="44" applyNumberFormat="1" applyFont="1" applyFill="1" applyBorder="1" applyAlignment="1">
      <alignment horizontal="center" vertical="top"/>
    </xf>
    <xf numFmtId="49" fontId="19" fillId="10" borderId="78" xfId="4" applyNumberFormat="1" applyFont="1" applyFill="1" applyBorder="1" applyAlignment="1">
      <alignment horizontal="center" vertical="top" wrapText="1"/>
    </xf>
    <xf numFmtId="0" fontId="28" fillId="0" borderId="113" xfId="4" applyFont="1" applyBorder="1" applyAlignment="1">
      <alignment horizontal="justify" vertical="center" wrapText="1"/>
    </xf>
    <xf numFmtId="49" fontId="19" fillId="10" borderId="91" xfId="4" applyNumberFormat="1" applyFont="1" applyFill="1" applyBorder="1" applyAlignment="1">
      <alignment horizontal="center" vertical="center" wrapText="1"/>
    </xf>
    <xf numFmtId="165" fontId="19" fillId="10" borderId="91" xfId="44" applyNumberFormat="1" applyFont="1" applyFill="1" applyBorder="1" applyAlignment="1">
      <alignment horizontal="center" vertical="center"/>
    </xf>
    <xf numFmtId="165" fontId="19" fillId="10" borderId="91" xfId="44" applyNumberFormat="1" applyFont="1" applyFill="1" applyBorder="1" applyAlignment="1">
      <alignment horizontal="center" vertical="top"/>
    </xf>
    <xf numFmtId="0" fontId="3" fillId="0" borderId="105" xfId="2" applyFont="1" applyFill="1" applyBorder="1" applyAlignment="1">
      <alignment horizontal="center" vertical="center" wrapText="1"/>
    </xf>
    <xf numFmtId="0" fontId="3" fillId="0" borderId="115" xfId="2" applyFont="1" applyFill="1" applyBorder="1" applyAlignment="1">
      <alignment horizontal="center" vertical="center" wrapText="1"/>
    </xf>
    <xf numFmtId="0" fontId="3" fillId="0" borderId="87" xfId="2" applyFont="1" applyFill="1" applyBorder="1" applyAlignment="1">
      <alignment vertical="center"/>
    </xf>
    <xf numFmtId="3" fontId="3" fillId="0" borderId="85" xfId="2" applyNumberFormat="1" applyFont="1" applyFill="1" applyBorder="1" applyAlignment="1">
      <alignment vertical="center"/>
    </xf>
    <xf numFmtId="0" fontId="3" fillId="0" borderId="106" xfId="2" applyFont="1" applyFill="1" applyBorder="1" applyAlignment="1">
      <alignment vertical="center"/>
    </xf>
    <xf numFmtId="0" fontId="3" fillId="0" borderId="107" xfId="2" applyFont="1" applyFill="1" applyBorder="1" applyAlignment="1">
      <alignment vertical="center" wrapText="1"/>
    </xf>
    <xf numFmtId="0" fontId="3" fillId="0" borderId="107" xfId="2" applyFont="1" applyFill="1" applyBorder="1" applyAlignment="1">
      <alignment horizontal="center" vertical="center" wrapText="1"/>
    </xf>
    <xf numFmtId="0" fontId="3" fillId="0" borderId="90" xfId="2" applyFont="1" applyFill="1" applyBorder="1" applyAlignment="1">
      <alignment vertical="center"/>
    </xf>
    <xf numFmtId="3" fontId="3" fillId="0" borderId="79" xfId="2" applyNumberFormat="1" applyFont="1" applyFill="1" applyBorder="1" applyAlignment="1">
      <alignment vertical="center"/>
    </xf>
    <xf numFmtId="0" fontId="3" fillId="0" borderId="100" xfId="2" applyFont="1" applyFill="1" applyBorder="1" applyAlignment="1">
      <alignment vertical="center"/>
    </xf>
    <xf numFmtId="0" fontId="3" fillId="0" borderId="101" xfId="2" applyFont="1" applyFill="1" applyBorder="1" applyAlignment="1">
      <alignment vertical="center" wrapText="1"/>
    </xf>
    <xf numFmtId="0" fontId="3" fillId="0" borderId="101" xfId="2" applyFont="1" applyFill="1" applyBorder="1" applyAlignment="1">
      <alignment horizontal="center" vertical="center" wrapText="1"/>
    </xf>
    <xf numFmtId="0" fontId="11" fillId="0" borderId="4" xfId="2" applyFont="1" applyFill="1" applyBorder="1" applyAlignment="1">
      <alignment horizontal="center" vertical="center"/>
    </xf>
    <xf numFmtId="0" fontId="11" fillId="3" borderId="12" xfId="2" applyFont="1" applyFill="1" applyBorder="1" applyAlignment="1">
      <alignment horizontal="center" vertical="center" wrapText="1"/>
    </xf>
    <xf numFmtId="0" fontId="10" fillId="3" borderId="12" xfId="2" applyFont="1" applyFill="1" applyBorder="1" applyAlignment="1">
      <alignment horizontal="left" vertical="center"/>
    </xf>
    <xf numFmtId="49" fontId="10" fillId="3" borderId="12" xfId="2" applyNumberFormat="1" applyFont="1" applyFill="1" applyBorder="1" applyAlignment="1">
      <alignment horizontal="center" vertical="center"/>
    </xf>
    <xf numFmtId="3" fontId="11" fillId="3" borderId="12" xfId="2" applyNumberFormat="1" applyFont="1" applyFill="1" applyBorder="1" applyAlignment="1">
      <alignment vertical="center"/>
    </xf>
    <xf numFmtId="43" fontId="11" fillId="3" borderId="12" xfId="44" applyFont="1" applyFill="1" applyBorder="1" applyAlignment="1">
      <alignment vertical="center"/>
    </xf>
    <xf numFmtId="0" fontId="10" fillId="3" borderId="21" xfId="2" applyFont="1" applyFill="1" applyBorder="1" applyAlignment="1">
      <alignment vertical="center"/>
    </xf>
    <xf numFmtId="0" fontId="10" fillId="3" borderId="53" xfId="2" applyFont="1" applyFill="1" applyBorder="1" applyAlignment="1">
      <alignment vertical="center"/>
    </xf>
    <xf numFmtId="0" fontId="11" fillId="0" borderId="0" xfId="4" applyFont="1" applyFill="1" applyAlignment="1">
      <alignment horizontal="left" vertical="center"/>
    </xf>
    <xf numFmtId="43" fontId="10" fillId="0" borderId="4" xfId="44" applyFont="1" applyBorder="1"/>
    <xf numFmtId="165" fontId="11" fillId="0" borderId="5" xfId="44" applyNumberFormat="1" applyFont="1" applyBorder="1"/>
    <xf numFmtId="3" fontId="10" fillId="0" borderId="77" xfId="4" applyNumberFormat="1" applyFont="1" applyBorder="1" applyAlignment="1">
      <alignment horizontal="left"/>
    </xf>
    <xf numFmtId="3" fontId="10" fillId="0" borderId="75" xfId="4" applyNumberFormat="1" applyFont="1" applyBorder="1" applyAlignment="1"/>
    <xf numFmtId="3" fontId="10" fillId="0" borderId="77" xfId="4" applyNumberFormat="1" applyFont="1" applyBorder="1" applyAlignment="1"/>
    <xf numFmtId="3" fontId="10" fillId="0" borderId="77" xfId="4" applyNumberFormat="1" applyFont="1" applyFill="1" applyBorder="1"/>
    <xf numFmtId="172" fontId="10" fillId="0" borderId="78" xfId="4" applyNumberFormat="1" applyFont="1" applyBorder="1" applyAlignment="1">
      <alignment horizontal="center" vertical="center"/>
    </xf>
    <xf numFmtId="3" fontId="10" fillId="0" borderId="80" xfId="4" applyNumberFormat="1" applyFont="1" applyFill="1" applyBorder="1"/>
    <xf numFmtId="3" fontId="10" fillId="0" borderId="80" xfId="4" applyNumberFormat="1" applyFont="1" applyBorder="1" applyAlignment="1">
      <alignment horizontal="left"/>
    </xf>
    <xf numFmtId="3" fontId="10" fillId="0" borderId="78" xfId="4" applyNumberFormat="1" applyFont="1" applyBorder="1" applyAlignment="1"/>
    <xf numFmtId="3" fontId="10" fillId="0" borderId="80" xfId="4" applyNumberFormat="1" applyFont="1" applyBorder="1" applyAlignment="1"/>
    <xf numFmtId="43" fontId="10" fillId="0" borderId="80" xfId="44" applyFont="1" applyFill="1" applyBorder="1"/>
    <xf numFmtId="3" fontId="10" fillId="0" borderId="79" xfId="4" applyNumberFormat="1" applyFont="1" applyBorder="1" applyAlignment="1"/>
    <xf numFmtId="1" fontId="10" fillId="0" borderId="78" xfId="4" applyNumberFormat="1" applyFont="1" applyBorder="1" applyAlignment="1">
      <alignment horizontal="center"/>
    </xf>
    <xf numFmtId="43" fontId="10" fillId="0" borderId="80" xfId="44" applyFont="1" applyBorder="1"/>
    <xf numFmtId="3" fontId="10" fillId="5" borderId="80" xfId="4" applyNumberFormat="1" applyFont="1" applyFill="1" applyBorder="1" applyAlignment="1"/>
    <xf numFmtId="43" fontId="10" fillId="5" borderId="80" xfId="44" applyFont="1" applyFill="1" applyBorder="1"/>
    <xf numFmtId="3" fontId="10" fillId="5" borderId="77" xfId="4" applyNumberFormat="1" applyFont="1" applyFill="1" applyBorder="1"/>
    <xf numFmtId="0" fontId="10" fillId="0" borderId="78" xfId="4" applyFont="1" applyFill="1" applyBorder="1" applyAlignment="1">
      <alignment vertical="center"/>
    </xf>
    <xf numFmtId="49" fontId="10" fillId="0" borderId="75" xfId="4" applyNumberFormat="1" applyFont="1" applyBorder="1" applyAlignment="1">
      <alignment horizontal="center"/>
    </xf>
    <xf numFmtId="4" fontId="10" fillId="0" borderId="75" xfId="12" applyNumberFormat="1" applyFont="1" applyBorder="1"/>
    <xf numFmtId="49" fontId="10" fillId="0" borderId="78" xfId="4" applyNumberFormat="1" applyFont="1" applyBorder="1" applyAlignment="1">
      <alignment horizontal="center"/>
    </xf>
    <xf numFmtId="4" fontId="10" fillId="0" borderId="78" xfId="12" applyNumberFormat="1" applyFont="1" applyBorder="1"/>
    <xf numFmtId="4" fontId="10" fillId="0" borderId="77" xfId="4" applyNumberFormat="1" applyFont="1" applyBorder="1"/>
    <xf numFmtId="0" fontId="10" fillId="0" borderId="91" xfId="4" applyFont="1" applyBorder="1"/>
    <xf numFmtId="0" fontId="10" fillId="0" borderId="91" xfId="4" applyFont="1" applyBorder="1" applyAlignment="1">
      <alignment horizontal="center"/>
    </xf>
    <xf numFmtId="3" fontId="10" fillId="0" borderId="94" xfId="4" applyNumberFormat="1" applyFont="1" applyBorder="1" applyAlignment="1">
      <alignment horizontal="center"/>
    </xf>
    <xf numFmtId="3" fontId="10" fillId="0" borderId="92" xfId="4" applyNumberFormat="1" applyFont="1" applyBorder="1" applyAlignment="1">
      <alignment horizontal="center"/>
    </xf>
    <xf numFmtId="49" fontId="10" fillId="0" borderId="91" xfId="4" applyNumberFormat="1" applyFont="1" applyBorder="1" applyAlignment="1">
      <alignment horizontal="center"/>
    </xf>
    <xf numFmtId="4" fontId="10" fillId="0" borderId="94" xfId="4" applyNumberFormat="1" applyFont="1" applyBorder="1"/>
    <xf numFmtId="4" fontId="10" fillId="0" borderId="91" xfId="12" applyNumberFormat="1" applyFont="1" applyBorder="1"/>
    <xf numFmtId="43" fontId="10" fillId="0" borderId="77" xfId="44" applyFont="1" applyBorder="1"/>
    <xf numFmtId="168" fontId="10" fillId="0" borderId="80" xfId="4" applyNumberFormat="1" applyFont="1" applyFill="1" applyBorder="1"/>
    <xf numFmtId="168" fontId="10" fillId="0" borderId="77" xfId="4" applyNumberFormat="1" applyFont="1" applyFill="1" applyBorder="1"/>
    <xf numFmtId="165" fontId="10" fillId="5" borderId="60" xfId="46" applyNumberFormat="1" applyFont="1" applyFill="1" applyBorder="1" applyAlignment="1">
      <alignment vertical="center"/>
    </xf>
    <xf numFmtId="0" fontId="10" fillId="5" borderId="46" xfId="2" applyFont="1" applyFill="1" applyBorder="1" applyAlignment="1">
      <alignment vertical="center"/>
    </xf>
    <xf numFmtId="165" fontId="10" fillId="5" borderId="46" xfId="46" applyNumberFormat="1" applyFont="1" applyFill="1" applyBorder="1" applyAlignment="1">
      <alignment vertical="center"/>
    </xf>
    <xf numFmtId="165" fontId="10" fillId="0" borderId="46" xfId="2" applyNumberFormat="1" applyFont="1" applyFill="1" applyBorder="1" applyAlignment="1">
      <alignment vertical="center"/>
    </xf>
    <xf numFmtId="0" fontId="10" fillId="5" borderId="63" xfId="2" applyFont="1" applyFill="1" applyBorder="1" applyAlignment="1">
      <alignment vertical="center"/>
    </xf>
    <xf numFmtId="165" fontId="10" fillId="5" borderId="63" xfId="46" applyNumberFormat="1" applyFont="1" applyFill="1" applyBorder="1" applyAlignment="1">
      <alignment vertical="center"/>
    </xf>
    <xf numFmtId="165" fontId="11" fillId="2" borderId="18" xfId="46" applyNumberFormat="1" applyFont="1" applyFill="1" applyBorder="1" applyAlignment="1">
      <alignment vertical="center"/>
    </xf>
    <xf numFmtId="165" fontId="11" fillId="4" borderId="18" xfId="46" applyNumberFormat="1" applyFont="1" applyFill="1" applyBorder="1" applyAlignment="1">
      <alignment vertical="center"/>
    </xf>
    <xf numFmtId="165" fontId="10" fillId="0" borderId="29" xfId="45" applyNumberFormat="1" applyFont="1" applyFill="1" applyBorder="1" applyAlignment="1">
      <alignment horizontal="center" vertical="center"/>
    </xf>
    <xf numFmtId="165" fontId="11" fillId="2" borderId="18" xfId="5" applyNumberFormat="1" applyFont="1" applyFill="1" applyBorder="1" applyAlignment="1">
      <alignment vertical="center"/>
    </xf>
    <xf numFmtId="0" fontId="10" fillId="0" borderId="27" xfId="2" applyFont="1" applyFill="1" applyBorder="1" applyAlignment="1">
      <alignment vertical="center"/>
    </xf>
    <xf numFmtId="3" fontId="10" fillId="0" borderId="60" xfId="2" applyNumberFormat="1" applyFont="1" applyFill="1" applyBorder="1" applyAlignment="1">
      <alignment vertical="center"/>
    </xf>
    <xf numFmtId="0" fontId="3" fillId="0" borderId="116" xfId="4" quotePrefix="1" applyFont="1" applyFill="1" applyBorder="1" applyAlignment="1">
      <alignment horizontal="center" vertical="center"/>
    </xf>
    <xf numFmtId="0" fontId="3" fillId="0" borderId="28" xfId="14" applyFont="1" applyFill="1" applyBorder="1" applyAlignment="1">
      <alignment horizontal="center" vertical="center"/>
    </xf>
    <xf numFmtId="49" fontId="3" fillId="0" borderId="28" xfId="14" applyNumberFormat="1" applyFont="1" applyFill="1" applyBorder="1" applyAlignment="1">
      <alignment vertical="center" wrapText="1"/>
    </xf>
    <xf numFmtId="4" fontId="3" fillId="0" borderId="73" xfId="14" applyNumberFormat="1" applyFont="1" applyFill="1" applyBorder="1" applyAlignment="1">
      <alignment horizontal="center" vertical="center"/>
    </xf>
    <xf numFmtId="49" fontId="3" fillId="0" borderId="2" xfId="14" applyNumberFormat="1" applyFont="1" applyFill="1" applyBorder="1" applyAlignment="1">
      <alignment horizontal="center" vertical="center"/>
    </xf>
    <xf numFmtId="49" fontId="3" fillId="0" borderId="28" xfId="14" applyNumberFormat="1" applyFont="1" applyFill="1" applyBorder="1" applyAlignment="1">
      <alignment vertical="center"/>
    </xf>
    <xf numFmtId="49" fontId="3" fillId="0" borderId="60" xfId="14" applyNumberFormat="1" applyFont="1" applyFill="1" applyBorder="1" applyAlignment="1">
      <alignment vertical="center"/>
    </xf>
    <xf numFmtId="0" fontId="3" fillId="0" borderId="117" xfId="14" applyNumberFormat="1" applyFont="1" applyFill="1" applyBorder="1" applyAlignment="1">
      <alignment horizontal="center" vertical="center"/>
    </xf>
    <xf numFmtId="49" fontId="3" fillId="0" borderId="118" xfId="14" applyNumberFormat="1" applyFont="1" applyFill="1" applyBorder="1" applyAlignment="1">
      <alignment horizontal="center" vertical="center"/>
    </xf>
    <xf numFmtId="165" fontId="3" fillId="0" borderId="116" xfId="46" applyNumberFormat="1" applyFont="1" applyFill="1" applyBorder="1" applyAlignment="1">
      <alignment horizontal="center" vertical="center"/>
    </xf>
    <xf numFmtId="0" fontId="3" fillId="0" borderId="119" xfId="14" applyNumberFormat="1" applyFont="1" applyFill="1" applyBorder="1" applyAlignment="1">
      <alignment horizontal="center" vertical="center"/>
    </xf>
    <xf numFmtId="165" fontId="3" fillId="0" borderId="120" xfId="46" applyNumberFormat="1" applyFont="1" applyFill="1" applyBorder="1" applyAlignment="1">
      <alignment horizontal="center" vertical="center"/>
    </xf>
    <xf numFmtId="0" fontId="3" fillId="0" borderId="28" xfId="14" applyNumberFormat="1" applyFont="1" applyFill="1" applyBorder="1" applyAlignment="1">
      <alignment vertical="center" wrapText="1"/>
    </xf>
    <xf numFmtId="0" fontId="3" fillId="0" borderId="28" xfId="14" applyNumberFormat="1" applyFont="1" applyFill="1" applyBorder="1" applyAlignment="1">
      <alignment vertical="center"/>
    </xf>
    <xf numFmtId="0" fontId="3" fillId="0" borderId="60" xfId="14" applyNumberFormat="1" applyFont="1" applyFill="1" applyBorder="1" applyAlignment="1">
      <alignment vertical="center"/>
    </xf>
    <xf numFmtId="49" fontId="3" fillId="0" borderId="26" xfId="4" applyNumberFormat="1" applyFont="1" applyBorder="1" applyAlignment="1">
      <alignment horizontal="center" vertical="center"/>
    </xf>
    <xf numFmtId="173" fontId="3" fillId="0" borderId="28" xfId="14" applyNumberFormat="1" applyFont="1" applyFill="1" applyBorder="1" applyAlignment="1">
      <alignment horizontal="center" vertical="center"/>
    </xf>
    <xf numFmtId="0" fontId="3" fillId="0" borderId="27" xfId="4" applyFont="1" applyBorder="1" applyAlignment="1">
      <alignment horizontal="center" vertical="center"/>
    </xf>
    <xf numFmtId="3" fontId="3" fillId="0" borderId="60" xfId="4" applyNumberFormat="1" applyFont="1" applyBorder="1" applyAlignment="1">
      <alignment horizontal="center" vertical="center"/>
    </xf>
    <xf numFmtId="49" fontId="3" fillId="0" borderId="27" xfId="4" applyNumberFormat="1" applyFont="1" applyBorder="1" applyAlignment="1">
      <alignment horizontal="center" vertical="center"/>
    </xf>
    <xf numFmtId="0" fontId="3" fillId="0" borderId="28" xfId="2" applyFont="1" applyBorder="1" applyAlignment="1">
      <alignment horizontal="left" vertical="center"/>
    </xf>
    <xf numFmtId="0" fontId="3" fillId="0" borderId="28" xfId="2" applyFont="1" applyBorder="1" applyAlignment="1">
      <alignment horizontal="left" vertical="center" wrapText="1"/>
    </xf>
    <xf numFmtId="0" fontId="3" fillId="0" borderId="27" xfId="2" applyFont="1" applyBorder="1" applyAlignment="1">
      <alignment horizontal="center" vertical="center"/>
    </xf>
    <xf numFmtId="0" fontId="3" fillId="0" borderId="73" xfId="4" applyFont="1" applyBorder="1" applyAlignment="1">
      <alignment horizontal="center" vertical="center"/>
    </xf>
    <xf numFmtId="49" fontId="3" fillId="0" borderId="28" xfId="4" applyNumberFormat="1" applyFont="1" applyBorder="1" applyAlignment="1">
      <alignment horizontal="center" vertical="center"/>
    </xf>
    <xf numFmtId="3" fontId="3" fillId="0" borderId="60" xfId="4" applyNumberFormat="1" applyFont="1" applyBorder="1" applyAlignment="1">
      <alignment horizontal="right" vertical="center"/>
    </xf>
    <xf numFmtId="0" fontId="3" fillId="0" borderId="28" xfId="4" applyFont="1" applyBorder="1" applyAlignment="1">
      <alignment horizontal="left" vertical="center"/>
    </xf>
    <xf numFmtId="49" fontId="3" fillId="0" borderId="26" xfId="4" applyNumberFormat="1" applyFont="1" applyBorder="1" applyAlignment="1">
      <alignment horizontal="center" vertical="center" wrapText="1"/>
    </xf>
    <xf numFmtId="173" fontId="3" fillId="0" borderId="28" xfId="14" applyNumberFormat="1" applyFont="1" applyFill="1" applyBorder="1" applyAlignment="1">
      <alignment horizontal="left" vertical="center"/>
    </xf>
    <xf numFmtId="4" fontId="3" fillId="0" borderId="28" xfId="14" applyNumberFormat="1" applyFont="1" applyFill="1" applyBorder="1" applyAlignment="1">
      <alignment horizontal="center" vertical="center"/>
    </xf>
    <xf numFmtId="173" fontId="3" fillId="0" borderId="23" xfId="14" applyNumberFormat="1" applyFont="1" applyFill="1" applyBorder="1" applyAlignment="1">
      <alignment horizontal="left" vertical="center" wrapText="1"/>
    </xf>
    <xf numFmtId="2" fontId="3" fillId="0" borderId="28" xfId="14" applyNumberFormat="1" applyFont="1" applyFill="1" applyBorder="1" applyAlignment="1">
      <alignment horizontal="center" vertical="center"/>
    </xf>
    <xf numFmtId="3" fontId="3" fillId="0" borderId="28" xfId="14" applyNumberFormat="1" applyFont="1" applyFill="1" applyBorder="1" applyAlignment="1">
      <alignment horizontal="center" vertical="center"/>
    </xf>
    <xf numFmtId="173" fontId="3" fillId="0" borderId="28" xfId="14" applyNumberFormat="1" applyFont="1" applyFill="1" applyBorder="1" applyAlignment="1">
      <alignment horizontal="left" vertical="center" wrapText="1"/>
    </xf>
    <xf numFmtId="173" fontId="3" fillId="0" borderId="28" xfId="14" applyNumberFormat="1" applyFont="1" applyFill="1" applyBorder="1" applyAlignment="1">
      <alignment horizontal="center" vertical="center" wrapText="1"/>
    </xf>
    <xf numFmtId="4" fontId="3" fillId="0" borderId="28" xfId="14" applyNumberFormat="1" applyFont="1" applyFill="1" applyBorder="1" applyAlignment="1">
      <alignment horizontal="center" vertical="center" wrapText="1"/>
    </xf>
    <xf numFmtId="2" fontId="3" fillId="0" borderId="28" xfId="14" applyNumberFormat="1" applyFont="1" applyFill="1" applyBorder="1" applyAlignment="1">
      <alignment horizontal="center" vertical="center" wrapText="1"/>
    </xf>
    <xf numFmtId="3" fontId="3" fillId="0" borderId="28" xfId="14" applyNumberFormat="1" applyFont="1" applyFill="1" applyBorder="1" applyAlignment="1">
      <alignment horizontal="center" vertical="center" wrapText="1"/>
    </xf>
    <xf numFmtId="0" fontId="22" fillId="0" borderId="19" xfId="4" applyFont="1" applyBorder="1"/>
    <xf numFmtId="0" fontId="10" fillId="0" borderId="20" xfId="2" applyFont="1" applyBorder="1" applyAlignment="1">
      <alignment horizontal="left" vertical="center"/>
    </xf>
    <xf numFmtId="164" fontId="10" fillId="0" borderId="20" xfId="4" applyNumberFormat="1" applyFont="1" applyBorder="1"/>
    <xf numFmtId="49" fontId="3" fillId="0" borderId="26" xfId="4" quotePrefix="1" applyNumberFormat="1" applyFont="1" applyBorder="1" applyAlignment="1">
      <alignment horizontal="center" vertical="center"/>
    </xf>
    <xf numFmtId="173" fontId="3" fillId="0" borderId="23" xfId="14" applyNumberFormat="1" applyFont="1" applyFill="1" applyBorder="1" applyAlignment="1">
      <alignment horizontal="center" vertical="center"/>
    </xf>
    <xf numFmtId="173" fontId="3" fillId="0" borderId="23" xfId="14" applyNumberFormat="1" applyFont="1" applyFill="1" applyBorder="1" applyAlignment="1">
      <alignment horizontal="left" vertical="center"/>
    </xf>
    <xf numFmtId="4" fontId="3" fillId="0" borderId="23" xfId="14" applyNumberFormat="1" applyFont="1" applyFill="1" applyBorder="1" applyAlignment="1">
      <alignment horizontal="center" vertical="center"/>
    </xf>
    <xf numFmtId="2" fontId="3" fillId="0" borderId="23" xfId="14" applyNumberFormat="1" applyFont="1" applyFill="1" applyBorder="1" applyAlignment="1">
      <alignment horizontal="center" vertical="center"/>
    </xf>
    <xf numFmtId="3" fontId="3" fillId="0" borderId="23" xfId="14" applyNumberFormat="1" applyFont="1" applyFill="1" applyBorder="1" applyAlignment="1">
      <alignment horizontal="center" vertical="center"/>
    </xf>
    <xf numFmtId="0" fontId="4" fillId="0" borderId="19" xfId="37" applyFont="1" applyFill="1" applyBorder="1" applyAlignment="1">
      <alignment horizontal="left" vertical="center"/>
    </xf>
    <xf numFmtId="0" fontId="10" fillId="0" borderId="20" xfId="37" applyFont="1" applyBorder="1" applyAlignment="1">
      <alignment vertical="center"/>
    </xf>
    <xf numFmtId="4" fontId="10" fillId="0" borderId="20" xfId="37" applyNumberFormat="1" applyFont="1" applyBorder="1" applyAlignment="1">
      <alignment vertical="center"/>
    </xf>
    <xf numFmtId="2" fontId="10" fillId="0" borderId="20" xfId="37" applyNumberFormat="1" applyFont="1" applyBorder="1" applyAlignment="1">
      <alignment vertical="center"/>
    </xf>
    <xf numFmtId="4" fontId="10" fillId="0" borderId="18" xfId="37" applyNumberFormat="1" applyFont="1" applyBorder="1" applyAlignment="1">
      <alignment vertical="center"/>
    </xf>
    <xf numFmtId="0" fontId="2" fillId="0" borderId="28" xfId="0" applyFont="1" applyFill="1" applyBorder="1" applyAlignment="1">
      <alignment vertical="center" wrapText="1"/>
    </xf>
    <xf numFmtId="0" fontId="11" fillId="0" borderId="81" xfId="4" applyFont="1" applyBorder="1"/>
    <xf numFmtId="49" fontId="10" fillId="0" borderId="81" xfId="3" applyFont="1" applyBorder="1" applyAlignment="1">
      <alignment vertical="center"/>
    </xf>
    <xf numFmtId="165" fontId="11" fillId="2" borderId="19" xfId="2" applyNumberFormat="1" applyFont="1" applyFill="1" applyBorder="1" applyAlignment="1">
      <alignment vertical="center"/>
    </xf>
    <xf numFmtId="165" fontId="10" fillId="0" borderId="0" xfId="4" applyNumberFormat="1" applyFont="1"/>
    <xf numFmtId="9" fontId="11" fillId="2" borderId="5" xfId="12" applyFont="1" applyFill="1" applyBorder="1" applyAlignment="1">
      <alignment vertical="center"/>
    </xf>
    <xf numFmtId="0" fontId="10" fillId="0" borderId="89" xfId="2" applyFont="1" applyFill="1" applyBorder="1" applyAlignment="1">
      <alignment horizontal="left" vertical="center"/>
    </xf>
    <xf numFmtId="165" fontId="10" fillId="0" borderId="87" xfId="5" applyNumberFormat="1" applyFont="1" applyFill="1" applyBorder="1" applyAlignment="1">
      <alignment vertical="center"/>
    </xf>
    <xf numFmtId="165" fontId="10" fillId="0" borderId="107" xfId="5" applyNumberFormat="1" applyFont="1" applyFill="1" applyBorder="1" applyAlignment="1">
      <alignment vertical="center"/>
    </xf>
    <xf numFmtId="165" fontId="10" fillId="0" borderId="101" xfId="5" applyNumberFormat="1" applyFont="1" applyFill="1" applyBorder="1" applyAlignment="1">
      <alignment vertical="center"/>
    </xf>
    <xf numFmtId="165" fontId="10" fillId="0" borderId="101" xfId="5" applyNumberFormat="1" applyFont="1" applyBorder="1" applyAlignment="1">
      <alignment vertical="center"/>
    </xf>
    <xf numFmtId="165" fontId="10" fillId="0" borderId="89" xfId="5" applyNumberFormat="1" applyFont="1" applyBorder="1" applyAlignment="1">
      <alignment vertical="center"/>
    </xf>
    <xf numFmtId="165" fontId="11" fillId="0" borderId="87" xfId="5" applyNumberFormat="1" applyFont="1" applyFill="1" applyBorder="1" applyAlignment="1">
      <alignment vertical="center"/>
    </xf>
    <xf numFmtId="165" fontId="11" fillId="0" borderId="90" xfId="5" applyNumberFormat="1" applyFont="1" applyFill="1" applyBorder="1" applyAlignment="1">
      <alignment vertical="center"/>
    </xf>
    <xf numFmtId="165" fontId="10" fillId="0" borderId="90" xfId="5" applyNumberFormat="1" applyFont="1" applyBorder="1" applyAlignment="1">
      <alignment vertical="center"/>
    </xf>
    <xf numFmtId="9" fontId="11" fillId="0" borderId="88" xfId="47" applyFont="1" applyFill="1" applyBorder="1" applyAlignment="1">
      <alignment horizontal="center" vertical="center"/>
    </xf>
    <xf numFmtId="9" fontId="11" fillId="0" borderId="80" xfId="47" applyFont="1" applyFill="1" applyBorder="1" applyAlignment="1">
      <alignment horizontal="center" vertical="center"/>
    </xf>
    <xf numFmtId="9" fontId="10" fillId="0" borderId="80" xfId="47" applyFont="1" applyBorder="1" applyAlignment="1">
      <alignment horizontal="center" vertical="center"/>
    </xf>
    <xf numFmtId="0" fontId="10" fillId="0" borderId="86" xfId="2" applyFont="1" applyFill="1" applyBorder="1" applyAlignment="1">
      <alignment horizontal="left" vertical="center"/>
    </xf>
    <xf numFmtId="165" fontId="10" fillId="0" borderId="106" xfId="5" applyNumberFormat="1" applyFont="1" applyFill="1" applyBorder="1" applyAlignment="1">
      <alignment vertical="center"/>
    </xf>
    <xf numFmtId="165" fontId="10" fillId="0" borderId="90" xfId="5" applyNumberFormat="1" applyFont="1" applyFill="1" applyBorder="1" applyAlignment="1">
      <alignment vertical="center"/>
    </xf>
    <xf numFmtId="165" fontId="10" fillId="0" borderId="100" xfId="5" applyNumberFormat="1" applyFont="1" applyFill="1" applyBorder="1" applyAlignment="1">
      <alignment vertical="center"/>
    </xf>
    <xf numFmtId="165" fontId="11" fillId="0" borderId="100" xfId="5" applyNumberFormat="1" applyFont="1" applyFill="1" applyBorder="1" applyAlignment="1">
      <alignment vertical="center"/>
    </xf>
    <xf numFmtId="165" fontId="10" fillId="0" borderId="100" xfId="5" applyNumberFormat="1" applyFont="1" applyBorder="1" applyAlignment="1">
      <alignment vertical="center"/>
    </xf>
    <xf numFmtId="165" fontId="11" fillId="2" borderId="16" xfId="2" applyNumberFormat="1" applyFont="1" applyFill="1" applyBorder="1" applyAlignment="1">
      <alignment vertical="center"/>
    </xf>
    <xf numFmtId="9" fontId="11" fillId="0" borderId="107" xfId="47" applyFont="1" applyFill="1" applyBorder="1" applyAlignment="1">
      <alignment horizontal="center" vertical="center"/>
    </xf>
    <xf numFmtId="9" fontId="11" fillId="0" borderId="101" xfId="47" applyFont="1" applyFill="1" applyBorder="1" applyAlignment="1">
      <alignment horizontal="center" vertical="center"/>
    </xf>
    <xf numFmtId="9" fontId="10" fillId="0" borderId="101" xfId="47" applyFont="1" applyBorder="1" applyAlignment="1">
      <alignment horizontal="center" vertical="center"/>
    </xf>
    <xf numFmtId="9" fontId="11" fillId="2" borderId="43" xfId="12" applyFont="1" applyFill="1" applyBorder="1" applyAlignment="1">
      <alignment vertical="center"/>
    </xf>
    <xf numFmtId="0" fontId="2" fillId="5" borderId="1" xfId="0" applyFont="1" applyFill="1" applyBorder="1" applyAlignment="1">
      <alignment horizontal="left" vertical="center" wrapText="1"/>
    </xf>
    <xf numFmtId="0" fontId="2" fillId="5" borderId="73"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7" fillId="7" borderId="32" xfId="0" applyFont="1" applyFill="1" applyBorder="1" applyAlignment="1">
      <alignment horizontal="center" vertical="center" wrapText="1"/>
    </xf>
    <xf numFmtId="0" fontId="7" fillId="7" borderId="28" xfId="0" applyFont="1" applyFill="1" applyBorder="1" applyAlignment="1">
      <alignment horizontal="center" vertical="center" wrapText="1"/>
    </xf>
    <xf numFmtId="0" fontId="7" fillId="7" borderId="31" xfId="0" applyFont="1" applyFill="1" applyBorder="1" applyAlignment="1">
      <alignment horizontal="center" vertical="center" wrapText="1"/>
    </xf>
    <xf numFmtId="166" fontId="10" fillId="5" borderId="28" xfId="0" applyNumberFormat="1" applyFont="1" applyFill="1" applyBorder="1" applyAlignment="1">
      <alignment horizontal="center" vertical="center" wrapText="1"/>
    </xf>
    <xf numFmtId="166" fontId="10" fillId="5" borderId="36" xfId="0" applyNumberFormat="1" applyFont="1" applyFill="1" applyBorder="1" applyAlignment="1">
      <alignment horizontal="center" vertical="center" wrapText="1"/>
    </xf>
    <xf numFmtId="166" fontId="10" fillId="5" borderId="23" xfId="0" applyNumberFormat="1" applyFont="1" applyFill="1" applyBorder="1" applyAlignment="1">
      <alignment horizontal="center" vertical="center" wrapText="1"/>
    </xf>
    <xf numFmtId="9" fontId="10" fillId="5" borderId="28" xfId="0" applyNumberFormat="1" applyFont="1" applyFill="1" applyBorder="1" applyAlignment="1">
      <alignment horizontal="center" vertical="center" wrapText="1"/>
    </xf>
    <xf numFmtId="0" fontId="10" fillId="5" borderId="28" xfId="0" applyFont="1" applyFill="1" applyBorder="1" applyAlignment="1">
      <alignment horizontal="center" vertical="center" wrapText="1"/>
    </xf>
    <xf numFmtId="166" fontId="10" fillId="5" borderId="29" xfId="0" applyNumberFormat="1" applyFont="1" applyFill="1" applyBorder="1" applyAlignment="1">
      <alignment horizontal="center" vertical="center" wrapText="1"/>
    </xf>
    <xf numFmtId="0" fontId="11" fillId="0" borderId="34"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9" xfId="0" applyFont="1" applyBorder="1" applyAlignment="1">
      <alignment horizontal="center" vertical="center" wrapText="1"/>
    </xf>
    <xf numFmtId="49" fontId="10" fillId="5" borderId="28" xfId="0" applyNumberFormat="1" applyFont="1" applyFill="1" applyBorder="1" applyAlignment="1">
      <alignment horizontal="left" vertical="center" wrapText="1"/>
    </xf>
    <xf numFmtId="0" fontId="10" fillId="5" borderId="36" xfId="0" applyFont="1" applyFill="1" applyBorder="1" applyAlignment="1">
      <alignment horizontal="center" vertical="center" wrapText="1"/>
    </xf>
    <xf numFmtId="0" fontId="10" fillId="5" borderId="23" xfId="0" applyFont="1" applyFill="1" applyBorder="1" applyAlignment="1">
      <alignment horizontal="center" vertical="center" wrapText="1"/>
    </xf>
    <xf numFmtId="0" fontId="11" fillId="7" borderId="33" xfId="0" applyFont="1" applyFill="1" applyBorder="1" applyAlignment="1">
      <alignment horizontal="center" vertical="center" wrapText="1"/>
    </xf>
    <xf numFmtId="0" fontId="11" fillId="7" borderId="64" xfId="0" applyFont="1" applyFill="1" applyBorder="1" applyAlignment="1">
      <alignment horizontal="center" vertical="center" wrapText="1"/>
    </xf>
    <xf numFmtId="166" fontId="10" fillId="5" borderId="28" xfId="0" applyNumberFormat="1" applyFont="1" applyFill="1" applyBorder="1" applyAlignment="1">
      <alignment horizontal="center" vertical="center"/>
    </xf>
    <xf numFmtId="0" fontId="11" fillId="5" borderId="30" xfId="0" applyFont="1" applyFill="1" applyBorder="1" applyAlignment="1">
      <alignment horizontal="center" vertical="center" wrapText="1"/>
    </xf>
    <xf numFmtId="0" fontId="11" fillId="5" borderId="26" xfId="0" applyFont="1" applyFill="1" applyBorder="1" applyAlignment="1">
      <alignment horizontal="center" vertical="center"/>
    </xf>
    <xf numFmtId="0" fontId="11" fillId="5" borderId="39" xfId="0" applyFont="1" applyFill="1" applyBorder="1" applyAlignment="1">
      <alignment horizontal="center" vertical="center"/>
    </xf>
    <xf numFmtId="0" fontId="10" fillId="5" borderId="32" xfId="0" applyFont="1" applyFill="1" applyBorder="1" applyAlignment="1">
      <alignment horizontal="center" vertical="center" wrapText="1"/>
    </xf>
    <xf numFmtId="0" fontId="10" fillId="5" borderId="28" xfId="0" applyFont="1" applyFill="1" applyBorder="1" applyAlignment="1">
      <alignment vertical="center" wrapText="1"/>
    </xf>
    <xf numFmtId="0" fontId="11" fillId="7" borderId="58" xfId="0" applyFont="1" applyFill="1" applyBorder="1" applyAlignment="1">
      <alignment horizontal="center" vertical="center" wrapText="1"/>
    </xf>
    <xf numFmtId="0" fontId="11" fillId="7" borderId="22" xfId="0" applyFont="1" applyFill="1" applyBorder="1" applyAlignment="1">
      <alignment horizontal="center" vertical="center" wrapText="1"/>
    </xf>
    <xf numFmtId="0" fontId="11" fillId="7" borderId="48" xfId="0" applyFont="1" applyFill="1" applyBorder="1" applyAlignment="1">
      <alignment horizontal="center" vertical="center" wrapText="1"/>
    </xf>
    <xf numFmtId="0" fontId="11" fillId="7" borderId="23" xfId="0" applyFont="1" applyFill="1" applyBorder="1" applyAlignment="1">
      <alignment horizontal="center" vertical="center" wrapText="1"/>
    </xf>
    <xf numFmtId="0" fontId="10" fillId="0" borderId="28" xfId="0" applyFont="1" applyBorder="1" applyAlignment="1">
      <alignment horizontal="center" vertical="center" wrapText="1"/>
    </xf>
    <xf numFmtId="0" fontId="10" fillId="0" borderId="28" xfId="0" applyFont="1" applyBorder="1" applyAlignment="1">
      <alignment horizontal="center" vertical="center"/>
    </xf>
    <xf numFmtId="0" fontId="10" fillId="0" borderId="41" xfId="0" applyFont="1" applyBorder="1" applyAlignment="1">
      <alignment horizontal="center" vertical="center"/>
    </xf>
    <xf numFmtId="0" fontId="10" fillId="0" borderId="28" xfId="0" applyFont="1" applyBorder="1" applyAlignment="1">
      <alignment horizontal="justify" vertical="center" wrapText="1"/>
    </xf>
    <xf numFmtId="0" fontId="10" fillId="0" borderId="41" xfId="0" applyFont="1" applyBorder="1" applyAlignment="1">
      <alignment horizontal="justify" vertical="center" wrapText="1"/>
    </xf>
    <xf numFmtId="0" fontId="7" fillId="7" borderId="30" xfId="0" applyFont="1" applyFill="1" applyBorder="1" applyAlignment="1">
      <alignment horizontal="center" vertical="center" wrapText="1"/>
    </xf>
    <xf numFmtId="0" fontId="7" fillId="7" borderId="26" xfId="0" applyFont="1" applyFill="1" applyBorder="1" applyAlignment="1">
      <alignment horizontal="center" vertical="center" wrapText="1"/>
    </xf>
    <xf numFmtId="0" fontId="11" fillId="7" borderId="32" xfId="4" applyFont="1" applyFill="1" applyBorder="1" applyAlignment="1">
      <alignment horizontal="center" vertical="center" wrapText="1"/>
    </xf>
    <xf numFmtId="0" fontId="10" fillId="0" borderId="110" xfId="4" applyFont="1" applyFill="1" applyBorder="1" applyAlignment="1">
      <alignment horizontal="center" vertical="center" wrapText="1"/>
    </xf>
    <xf numFmtId="0" fontId="10" fillId="0" borderId="3" xfId="4" applyFont="1" applyFill="1" applyBorder="1" applyAlignment="1">
      <alignment horizontal="center" vertical="center" wrapText="1"/>
    </xf>
    <xf numFmtId="0" fontId="10" fillId="0" borderId="7" xfId="4" applyFont="1" applyFill="1" applyBorder="1" applyAlignment="1">
      <alignment horizontal="center" vertical="center" wrapText="1"/>
    </xf>
    <xf numFmtId="0" fontId="10" fillId="0" borderId="110" xfId="4" applyFont="1" applyBorder="1" applyAlignment="1">
      <alignment horizontal="center" vertical="center" wrapText="1"/>
    </xf>
    <xf numFmtId="0" fontId="10" fillId="0" borderId="3" xfId="4" applyFont="1" applyBorder="1" applyAlignment="1">
      <alignment horizontal="center" vertical="center" wrapText="1"/>
    </xf>
    <xf numFmtId="0" fontId="10" fillId="0" borderId="95" xfId="4" applyFont="1" applyBorder="1" applyAlignment="1">
      <alignment horizontal="center" vertical="center" wrapText="1"/>
    </xf>
    <xf numFmtId="0" fontId="11" fillId="7" borderId="28" xfId="4" applyFont="1" applyFill="1" applyBorder="1" applyAlignment="1">
      <alignment horizontal="center" vertical="center" wrapText="1"/>
    </xf>
    <xf numFmtId="0" fontId="10" fillId="0" borderId="26" xfId="4" applyFont="1" applyBorder="1" applyAlignment="1">
      <alignment horizontal="justify" vertical="center" wrapText="1"/>
    </xf>
    <xf numFmtId="0" fontId="11" fillId="7" borderId="58" xfId="4" applyFont="1" applyFill="1" applyBorder="1" applyAlignment="1">
      <alignment horizontal="center" vertical="center" wrapText="1"/>
    </xf>
    <xf numFmtId="0" fontId="11" fillId="7" borderId="22" xfId="4" applyFont="1" applyFill="1" applyBorder="1" applyAlignment="1">
      <alignment horizontal="center" vertical="center" wrapText="1"/>
    </xf>
    <xf numFmtId="0" fontId="11" fillId="7" borderId="30" xfId="4" applyFont="1" applyFill="1" applyBorder="1" applyAlignment="1">
      <alignment horizontal="center" vertical="center" wrapText="1"/>
    </xf>
    <xf numFmtId="0" fontId="11" fillId="7" borderId="26" xfId="4" applyFont="1" applyFill="1" applyBorder="1" applyAlignment="1">
      <alignment horizontal="center" vertical="center" wrapText="1"/>
    </xf>
    <xf numFmtId="0" fontId="11" fillId="7" borderId="6" xfId="4" applyFont="1" applyFill="1" applyBorder="1" applyAlignment="1">
      <alignment horizontal="center" vertical="center" wrapText="1"/>
    </xf>
    <xf numFmtId="0" fontId="11" fillId="7" borderId="95" xfId="4" applyFont="1" applyFill="1" applyBorder="1" applyAlignment="1">
      <alignment horizontal="center" vertical="center" wrapText="1"/>
    </xf>
    <xf numFmtId="0" fontId="11" fillId="0" borderId="82" xfId="4" quotePrefix="1" applyFont="1" applyBorder="1" applyAlignment="1">
      <alignment horizontal="center" vertical="center" wrapText="1"/>
    </xf>
    <xf numFmtId="0" fontId="11" fillId="0" borderId="14" xfId="4" quotePrefix="1" applyFont="1" applyBorder="1" applyAlignment="1">
      <alignment horizontal="center" vertical="center" wrapText="1"/>
    </xf>
    <xf numFmtId="0" fontId="11" fillId="0" borderId="11" xfId="4" quotePrefix="1" applyFont="1" applyBorder="1" applyAlignment="1">
      <alignment horizontal="center" vertical="center" wrapText="1"/>
    </xf>
    <xf numFmtId="49" fontId="11" fillId="7" borderId="12" xfId="3" applyNumberFormat="1" applyFont="1" applyFill="1" applyBorder="1" applyAlignment="1" applyProtection="1">
      <alignment horizontal="center" vertical="center" wrapText="1"/>
    </xf>
    <xf numFmtId="49" fontId="11" fillId="7" borderId="11" xfId="3" applyNumberFormat="1" applyFont="1" applyFill="1" applyBorder="1" applyAlignment="1" applyProtection="1">
      <alignment horizontal="center" vertical="center" wrapText="1"/>
    </xf>
    <xf numFmtId="49" fontId="11" fillId="7" borderId="6" xfId="3" applyFont="1" applyFill="1" applyBorder="1" applyAlignment="1">
      <alignment horizontal="center" vertical="center" wrapText="1"/>
    </xf>
    <xf numFmtId="49" fontId="11" fillId="7" borderId="21" xfId="3" applyFont="1" applyFill="1" applyBorder="1" applyAlignment="1">
      <alignment horizontal="center" vertical="center" wrapText="1"/>
    </xf>
    <xf numFmtId="49" fontId="10" fillId="0" borderId="12" xfId="3" applyFont="1" applyFill="1" applyBorder="1" applyAlignment="1">
      <alignment horizontal="left" vertical="center"/>
    </xf>
    <xf numFmtId="49" fontId="10" fillId="0" borderId="66" xfId="3" applyFont="1" applyFill="1" applyBorder="1" applyAlignment="1">
      <alignment horizontal="left" vertical="center"/>
    </xf>
    <xf numFmtId="49" fontId="11" fillId="7" borderId="47" xfId="3" applyFont="1" applyFill="1" applyBorder="1" applyAlignment="1">
      <alignment horizontal="center" vertical="center" wrapText="1"/>
    </xf>
    <xf numFmtId="0" fontId="7" fillId="7" borderId="19" xfId="0" applyFont="1" applyFill="1" applyBorder="1" applyAlignment="1">
      <alignment horizontal="center" wrapText="1"/>
    </xf>
    <xf numFmtId="0" fontId="7" fillId="7" borderId="20" xfId="0" applyFont="1" applyFill="1" applyBorder="1" applyAlignment="1">
      <alignment horizontal="center" wrapText="1"/>
    </xf>
    <xf numFmtId="0" fontId="7" fillId="7" borderId="18" xfId="0" applyFont="1" applyFill="1" applyBorder="1" applyAlignment="1">
      <alignment horizontal="center" wrapText="1"/>
    </xf>
    <xf numFmtId="0" fontId="7" fillId="7" borderId="6" xfId="0" applyFont="1" applyFill="1" applyBorder="1" applyAlignment="1">
      <alignment horizontal="center" wrapText="1"/>
    </xf>
    <xf numFmtId="0" fontId="7" fillId="7" borderId="47" xfId="0" applyFont="1" applyFill="1" applyBorder="1" applyAlignment="1">
      <alignment horizontal="center" wrapText="1"/>
    </xf>
    <xf numFmtId="0" fontId="7" fillId="7" borderId="12" xfId="0" applyFont="1" applyFill="1" applyBorder="1" applyAlignment="1">
      <alignment horizontal="center" vertical="center"/>
    </xf>
    <xf numFmtId="0" fontId="7" fillId="7" borderId="11" xfId="0" applyFont="1" applyFill="1" applyBorder="1" applyAlignment="1">
      <alignment horizontal="center" vertical="center"/>
    </xf>
    <xf numFmtId="0" fontId="33" fillId="7" borderId="19" xfId="0" applyFont="1" applyFill="1" applyBorder="1" applyAlignment="1">
      <alignment horizontal="center" vertical="center"/>
    </xf>
    <xf numFmtId="0" fontId="33" fillId="7" borderId="18" xfId="0" applyFont="1" applyFill="1" applyBorder="1" applyAlignment="1">
      <alignment horizontal="center" vertical="center"/>
    </xf>
    <xf numFmtId="0" fontId="33" fillId="7" borderId="5" xfId="0" applyFont="1" applyFill="1" applyBorder="1" applyAlignment="1">
      <alignment horizontal="center" vertical="center"/>
    </xf>
    <xf numFmtId="0" fontId="33" fillId="7" borderId="20" xfId="0" applyFont="1" applyFill="1" applyBorder="1" applyAlignment="1">
      <alignment horizontal="center" vertical="center"/>
    </xf>
    <xf numFmtId="0" fontId="33" fillId="7" borderId="11" xfId="0" applyFont="1" applyFill="1" applyBorder="1" applyAlignment="1">
      <alignment horizontal="center" vertical="center"/>
    </xf>
    <xf numFmtId="0" fontId="33" fillId="7" borderId="19" xfId="0" applyFont="1" applyFill="1" applyBorder="1" applyAlignment="1">
      <alignment horizontal="center" vertical="center" wrapText="1"/>
    </xf>
    <xf numFmtId="0" fontId="33" fillId="7" borderId="18" xfId="0" applyFont="1" applyFill="1" applyBorder="1" applyAlignment="1">
      <alignment horizontal="center" vertical="center" wrapText="1"/>
    </xf>
    <xf numFmtId="49" fontId="11" fillId="7" borderId="32" xfId="3" applyFont="1" applyFill="1" applyBorder="1" applyAlignment="1">
      <alignment horizontal="center" vertical="center" wrapText="1"/>
    </xf>
    <xf numFmtId="49" fontId="11" fillId="7" borderId="31" xfId="3" applyFont="1" applyFill="1" applyBorder="1" applyAlignment="1">
      <alignment horizontal="center" vertical="center" wrapText="1"/>
    </xf>
    <xf numFmtId="0" fontId="11" fillId="7" borderId="12" xfId="4" applyFont="1" applyFill="1" applyBorder="1" applyAlignment="1">
      <alignment horizontal="center" vertical="center"/>
    </xf>
    <xf numFmtId="0" fontId="11" fillId="7" borderId="11" xfId="4" applyFont="1" applyFill="1" applyBorder="1" applyAlignment="1">
      <alignment horizontal="center" vertical="center"/>
    </xf>
    <xf numFmtId="0" fontId="11" fillId="7" borderId="12" xfId="4" applyFont="1" applyFill="1" applyBorder="1" applyAlignment="1">
      <alignment horizontal="center" vertical="center" wrapText="1"/>
    </xf>
    <xf numFmtId="0" fontId="11" fillId="7" borderId="11" xfId="4" applyFont="1" applyFill="1" applyBorder="1" applyAlignment="1">
      <alignment horizontal="center" vertical="center" wrapText="1"/>
    </xf>
    <xf numFmtId="49" fontId="11" fillId="7" borderId="30" xfId="3" applyFont="1" applyFill="1" applyBorder="1" applyAlignment="1">
      <alignment horizontal="center" vertical="center"/>
    </xf>
    <xf numFmtId="49" fontId="11" fillId="7" borderId="32" xfId="3" applyFont="1" applyFill="1" applyBorder="1" applyAlignment="1">
      <alignment horizontal="center" vertical="center"/>
    </xf>
    <xf numFmtId="49" fontId="11" fillId="7" borderId="31" xfId="3" applyFont="1" applyFill="1" applyBorder="1" applyAlignment="1">
      <alignment horizontal="center" vertical="center"/>
    </xf>
    <xf numFmtId="49" fontId="11" fillId="7" borderId="30" xfId="3" applyFont="1" applyFill="1" applyBorder="1" applyAlignment="1">
      <alignment horizontal="center" vertical="center" wrapText="1"/>
    </xf>
    <xf numFmtId="49" fontId="11" fillId="7" borderId="64" xfId="3" applyFont="1" applyFill="1" applyBorder="1" applyAlignment="1">
      <alignment horizontal="center" vertical="center" wrapText="1"/>
    </xf>
    <xf numFmtId="0" fontId="7" fillId="7" borderId="61" xfId="2" applyFont="1" applyFill="1" applyBorder="1" applyAlignment="1">
      <alignment horizontal="center" vertical="center"/>
    </xf>
    <xf numFmtId="0" fontId="7" fillId="7" borderId="65" xfId="2" applyFont="1" applyFill="1" applyBorder="1" applyAlignment="1">
      <alignment horizontal="center" vertical="center"/>
    </xf>
    <xf numFmtId="0" fontId="7" fillId="7" borderId="59" xfId="2" applyFont="1" applyFill="1" applyBorder="1" applyAlignment="1">
      <alignment horizontal="center" vertical="center"/>
    </xf>
    <xf numFmtId="0" fontId="11" fillId="7" borderId="47" xfId="2" applyFont="1" applyFill="1" applyBorder="1" applyAlignment="1">
      <alignment horizontal="center" vertical="center"/>
    </xf>
    <xf numFmtId="0" fontId="11" fillId="7" borderId="19" xfId="2" applyFont="1" applyFill="1" applyBorder="1" applyAlignment="1">
      <alignment horizontal="center" vertical="center"/>
    </xf>
    <xf numFmtId="0" fontId="11" fillId="7" borderId="20" xfId="2" applyFont="1" applyFill="1" applyBorder="1" applyAlignment="1">
      <alignment horizontal="center" vertical="center"/>
    </xf>
    <xf numFmtId="0" fontId="11" fillId="7" borderId="18" xfId="2" applyFont="1" applyFill="1" applyBorder="1" applyAlignment="1">
      <alignment horizontal="center" vertical="center"/>
    </xf>
    <xf numFmtId="0" fontId="11" fillId="7" borderId="12" xfId="37" applyFont="1" applyFill="1" applyBorder="1" applyAlignment="1">
      <alignment horizontal="center" vertical="center" wrapText="1"/>
    </xf>
    <xf numFmtId="0" fontId="11" fillId="7" borderId="14" xfId="37" applyFont="1" applyFill="1" applyBorder="1" applyAlignment="1">
      <alignment horizontal="center" vertical="center" wrapText="1"/>
    </xf>
    <xf numFmtId="0" fontId="10" fillId="7" borderId="11" xfId="37" applyFont="1" applyFill="1" applyBorder="1" applyAlignment="1">
      <alignment horizontal="center" vertical="center" wrapText="1"/>
    </xf>
    <xf numFmtId="0" fontId="11" fillId="7" borderId="20" xfId="37" applyFont="1" applyFill="1" applyBorder="1" applyAlignment="1">
      <alignment horizontal="center"/>
    </xf>
    <xf numFmtId="0" fontId="11" fillId="7" borderId="19" xfId="37" applyFont="1" applyFill="1" applyBorder="1" applyAlignment="1">
      <alignment horizontal="center"/>
    </xf>
    <xf numFmtId="0" fontId="11" fillId="7" borderId="18" xfId="37" applyFont="1" applyFill="1" applyBorder="1" applyAlignment="1">
      <alignment horizontal="center"/>
    </xf>
    <xf numFmtId="0" fontId="11" fillId="7" borderId="19" xfId="37" applyFont="1" applyFill="1" applyBorder="1" applyAlignment="1">
      <alignment horizontal="center" wrapText="1"/>
    </xf>
    <xf numFmtId="0" fontId="11" fillId="7" borderId="18" xfId="37" applyFont="1" applyFill="1" applyBorder="1" applyAlignment="1">
      <alignment horizontal="center" wrapText="1"/>
    </xf>
    <xf numFmtId="0" fontId="11" fillId="7" borderId="14" xfId="4" applyFont="1" applyFill="1" applyBorder="1" applyAlignment="1">
      <alignment horizontal="center" vertical="center" wrapText="1"/>
    </xf>
    <xf numFmtId="0" fontId="10" fillId="7" borderId="11" xfId="4" applyFont="1" applyFill="1" applyBorder="1" applyAlignment="1">
      <alignment horizontal="center" vertical="center" wrapText="1"/>
    </xf>
    <xf numFmtId="0" fontId="11" fillId="7" borderId="20" xfId="4" applyFont="1" applyFill="1" applyBorder="1" applyAlignment="1">
      <alignment horizontal="center"/>
    </xf>
    <xf numFmtId="0" fontId="11" fillId="7" borderId="19" xfId="4" applyFont="1" applyFill="1" applyBorder="1" applyAlignment="1">
      <alignment horizontal="center"/>
    </xf>
    <xf numFmtId="0" fontId="11" fillId="7" borderId="18" xfId="4" applyFont="1" applyFill="1" applyBorder="1" applyAlignment="1">
      <alignment horizontal="center"/>
    </xf>
    <xf numFmtId="0" fontId="11" fillId="7" borderId="19" xfId="4" applyFont="1" applyFill="1" applyBorder="1" applyAlignment="1">
      <alignment horizontal="center" wrapText="1"/>
    </xf>
    <xf numFmtId="0" fontId="11" fillId="7" borderId="18" xfId="4" applyFont="1" applyFill="1" applyBorder="1" applyAlignment="1">
      <alignment horizontal="center" wrapText="1"/>
    </xf>
    <xf numFmtId="0" fontId="11" fillId="7" borderId="3" xfId="4" applyFont="1" applyFill="1" applyBorder="1" applyAlignment="1">
      <alignment horizontal="center" vertical="center" wrapText="1"/>
    </xf>
    <xf numFmtId="0" fontId="10" fillId="7" borderId="7" xfId="4" applyFont="1" applyFill="1" applyBorder="1" applyAlignment="1">
      <alignment horizontal="center" vertical="center" wrapText="1"/>
    </xf>
    <xf numFmtId="0" fontId="11" fillId="7" borderId="20" xfId="4" applyFont="1" applyFill="1" applyBorder="1" applyAlignment="1">
      <alignment horizontal="center" wrapText="1"/>
    </xf>
    <xf numFmtId="0" fontId="11" fillId="7" borderId="30" xfId="2" applyFont="1" applyFill="1" applyBorder="1" applyAlignment="1">
      <alignment horizontal="center" vertical="center" wrapText="1"/>
    </xf>
    <xf numFmtId="0" fontId="11" fillId="7" borderId="39" xfId="2" applyFont="1" applyFill="1" applyBorder="1" applyAlignment="1">
      <alignment horizontal="center" vertical="center" wrapText="1"/>
    </xf>
    <xf numFmtId="0" fontId="11" fillId="7" borderId="31" xfId="2" applyFont="1" applyFill="1" applyBorder="1" applyAlignment="1">
      <alignment horizontal="center" vertical="center" wrapText="1"/>
    </xf>
    <xf numFmtId="0" fontId="11" fillId="7" borderId="40" xfId="2" applyFont="1" applyFill="1" applyBorder="1" applyAlignment="1">
      <alignment horizontal="center" vertical="center" wrapText="1"/>
    </xf>
    <xf numFmtId="0" fontId="11" fillId="7" borderId="6" xfId="2" applyFont="1" applyFill="1" applyBorder="1" applyAlignment="1">
      <alignment horizontal="center" vertical="center" wrapText="1"/>
    </xf>
    <xf numFmtId="0" fontId="11" fillId="7" borderId="19" xfId="2" applyFont="1" applyFill="1" applyBorder="1" applyAlignment="1">
      <alignment horizontal="center" vertical="center" wrapText="1"/>
    </xf>
    <xf numFmtId="0" fontId="11" fillId="7" borderId="42" xfId="2" applyFont="1" applyFill="1" applyBorder="1" applyAlignment="1">
      <alignment horizontal="center" vertical="center" wrapText="1"/>
    </xf>
    <xf numFmtId="0" fontId="11" fillId="7" borderId="32" xfId="2" applyFont="1" applyFill="1" applyBorder="1" applyAlignment="1">
      <alignment horizontal="center" vertical="center" wrapText="1"/>
    </xf>
    <xf numFmtId="0" fontId="11" fillId="7" borderId="41" xfId="2" applyFont="1" applyFill="1" applyBorder="1" applyAlignment="1">
      <alignment horizontal="center" vertical="center" wrapText="1"/>
    </xf>
    <xf numFmtId="0" fontId="10" fillId="0" borderId="46" xfId="2" applyFont="1" applyFill="1" applyBorder="1" applyAlignment="1">
      <alignment horizontal="center" vertical="center" wrapText="1"/>
    </xf>
    <xf numFmtId="0" fontId="10" fillId="0" borderId="63" xfId="2" applyFont="1" applyFill="1" applyBorder="1" applyAlignment="1">
      <alignment horizontal="center" vertical="center" wrapText="1"/>
    </xf>
    <xf numFmtId="0" fontId="11" fillId="3" borderId="6" xfId="2" applyFont="1" applyFill="1" applyBorder="1" applyAlignment="1">
      <alignment horizontal="left" vertical="center"/>
    </xf>
    <xf numFmtId="0" fontId="11" fillId="3" borderId="47" xfId="2" applyFont="1" applyFill="1" applyBorder="1" applyAlignment="1">
      <alignment horizontal="left" vertical="center"/>
    </xf>
    <xf numFmtId="0" fontId="11" fillId="7" borderId="12" xfId="2" applyFont="1" applyFill="1" applyBorder="1" applyAlignment="1">
      <alignment horizontal="center" vertical="center"/>
    </xf>
    <xf numFmtId="0" fontId="11" fillId="7" borderId="5" xfId="2" applyFont="1" applyFill="1" applyBorder="1" applyAlignment="1">
      <alignment horizontal="center" vertical="center"/>
    </xf>
    <xf numFmtId="0" fontId="11" fillId="7" borderId="12" xfId="2" applyFont="1" applyFill="1" applyBorder="1" applyAlignment="1">
      <alignment horizontal="center" vertical="center" wrapText="1"/>
    </xf>
    <xf numFmtId="0" fontId="11" fillId="7" borderId="5" xfId="2" applyFont="1" applyFill="1" applyBorder="1" applyAlignment="1">
      <alignment horizontal="center" vertical="center" wrapText="1"/>
    </xf>
    <xf numFmtId="0" fontId="11" fillId="7" borderId="11" xfId="2" applyFont="1" applyFill="1" applyBorder="1" applyAlignment="1">
      <alignment horizontal="center" vertical="center" wrapText="1"/>
    </xf>
    <xf numFmtId="0" fontId="11" fillId="7" borderId="11" xfId="2" applyFont="1" applyFill="1" applyBorder="1" applyAlignment="1">
      <alignment horizontal="center" vertical="center"/>
    </xf>
    <xf numFmtId="0" fontId="11" fillId="0" borderId="19" xfId="4" applyFont="1" applyBorder="1" applyAlignment="1">
      <alignment horizontal="center"/>
    </xf>
    <xf numFmtId="0" fontId="11" fillId="0" borderId="20" xfId="4" applyFont="1" applyBorder="1" applyAlignment="1">
      <alignment horizontal="center"/>
    </xf>
    <xf numFmtId="0" fontId="11" fillId="0" borderId="18" xfId="4" applyFont="1" applyBorder="1" applyAlignment="1">
      <alignment horizontal="center"/>
    </xf>
    <xf numFmtId="0" fontId="11" fillId="8" borderId="5" xfId="4" applyFont="1" applyFill="1" applyBorder="1" applyAlignment="1">
      <alignment horizontal="center" vertical="center"/>
    </xf>
    <xf numFmtId="0" fontId="11" fillId="8" borderId="14" xfId="4" applyFont="1" applyFill="1" applyBorder="1" applyAlignment="1">
      <alignment horizontal="center" vertical="center"/>
    </xf>
    <xf numFmtId="0" fontId="11" fillId="8" borderId="19" xfId="4" applyFont="1" applyFill="1" applyBorder="1" applyAlignment="1">
      <alignment horizontal="center"/>
    </xf>
    <xf numFmtId="0" fontId="11" fillId="8" borderId="20" xfId="4" applyFont="1" applyFill="1" applyBorder="1" applyAlignment="1">
      <alignment horizontal="center"/>
    </xf>
    <xf numFmtId="0" fontId="11" fillId="8" borderId="18" xfId="4" applyFont="1" applyFill="1" applyBorder="1" applyAlignment="1">
      <alignment horizontal="center"/>
    </xf>
    <xf numFmtId="0" fontId="11" fillId="8" borderId="19" xfId="4" applyFont="1" applyFill="1" applyBorder="1" applyAlignment="1">
      <alignment horizontal="center" vertical="center"/>
    </xf>
    <xf numFmtId="0" fontId="11" fillId="8" borderId="20" xfId="4" applyFont="1" applyFill="1" applyBorder="1" applyAlignment="1">
      <alignment horizontal="center" vertical="center"/>
    </xf>
    <xf numFmtId="0" fontId="11" fillId="8" borderId="18" xfId="4" applyFont="1" applyFill="1" applyBorder="1" applyAlignment="1">
      <alignment horizontal="center" vertical="center"/>
    </xf>
    <xf numFmtId="0" fontId="11" fillId="7" borderId="19" xfId="4" applyFont="1" applyFill="1" applyBorder="1" applyAlignment="1">
      <alignment horizontal="center" vertical="center" wrapText="1"/>
    </xf>
    <xf numFmtId="0" fontId="11" fillId="7" borderId="20" xfId="4" applyFont="1" applyFill="1" applyBorder="1" applyAlignment="1">
      <alignment horizontal="center" vertical="center" wrapText="1"/>
    </xf>
    <xf numFmtId="0" fontId="11" fillId="7" borderId="18" xfId="4" applyFont="1" applyFill="1" applyBorder="1" applyAlignment="1">
      <alignment horizontal="center" vertical="center" wrapText="1"/>
    </xf>
    <xf numFmtId="0" fontId="11" fillId="7" borderId="42" xfId="4" applyFont="1" applyFill="1" applyBorder="1" applyAlignment="1">
      <alignment horizontal="center" vertical="center" wrapText="1"/>
    </xf>
    <xf numFmtId="0" fontId="11" fillId="7" borderId="16" xfId="4" applyFont="1" applyFill="1" applyBorder="1" applyAlignment="1">
      <alignment horizontal="center" vertical="center" wrapText="1"/>
    </xf>
    <xf numFmtId="0" fontId="11" fillId="7" borderId="17" xfId="4" applyFont="1" applyFill="1" applyBorder="1" applyAlignment="1">
      <alignment horizontal="center" vertical="center" wrapText="1"/>
    </xf>
    <xf numFmtId="0" fontId="11" fillId="7" borderId="43" xfId="4" applyFont="1" applyFill="1" applyBorder="1" applyAlignment="1">
      <alignment horizontal="center" vertical="center" wrapText="1"/>
    </xf>
    <xf numFmtId="164" fontId="11" fillId="7" borderId="19" xfId="4" applyNumberFormat="1" applyFont="1" applyFill="1" applyBorder="1" applyAlignment="1">
      <alignment horizontal="center" vertical="center" wrapText="1"/>
    </xf>
    <xf numFmtId="164" fontId="11" fillId="7" borderId="20" xfId="4" applyNumberFormat="1" applyFont="1" applyFill="1" applyBorder="1" applyAlignment="1">
      <alignment horizontal="center" vertical="center" wrapText="1"/>
    </xf>
    <xf numFmtId="164" fontId="11" fillId="7" borderId="18" xfId="4" applyNumberFormat="1" applyFont="1" applyFill="1" applyBorder="1" applyAlignment="1">
      <alignment horizontal="center" vertical="center" wrapText="1"/>
    </xf>
    <xf numFmtId="0" fontId="11" fillId="7" borderId="21" xfId="4" applyFont="1" applyFill="1" applyBorder="1" applyAlignment="1">
      <alignment horizontal="center" vertical="center" wrapText="1"/>
    </xf>
    <xf numFmtId="0" fontId="11" fillId="7" borderId="8" xfId="4" applyFont="1" applyFill="1" applyBorder="1" applyAlignment="1">
      <alignment horizontal="center" vertical="center" wrapText="1"/>
    </xf>
  </cellXfs>
  <cellStyles count="48">
    <cellStyle name="Millares" xfId="5" builtinId="3"/>
    <cellStyle name="Millares 10" xfId="6" xr:uid="{00000000-0005-0000-0000-000001000000}"/>
    <cellStyle name="Millares 11" xfId="44" xr:uid="{00000000-0005-0000-0000-000002000000}"/>
    <cellStyle name="Millares 2" xfId="8" xr:uid="{00000000-0005-0000-0000-000003000000}"/>
    <cellStyle name="Millares 2 2" xfId="13" xr:uid="{00000000-0005-0000-0000-000004000000}"/>
    <cellStyle name="Millares 2 2 2" xfId="18" xr:uid="{00000000-0005-0000-0000-000005000000}"/>
    <cellStyle name="Millares 2 3" xfId="19" xr:uid="{00000000-0005-0000-0000-000006000000}"/>
    <cellStyle name="Millares 2 3 2" xfId="46" xr:uid="{00000000-0005-0000-0000-000007000000}"/>
    <cellStyle name="Millares 2 4" xfId="20" xr:uid="{00000000-0005-0000-0000-000008000000}"/>
    <cellStyle name="Millares 2 5" xfId="17" xr:uid="{00000000-0005-0000-0000-000009000000}"/>
    <cellStyle name="Millares 2 6" xfId="43" xr:uid="{00000000-0005-0000-0000-00000A000000}"/>
    <cellStyle name="Millares 2 6 2" xfId="45" xr:uid="{00000000-0005-0000-0000-00000B000000}"/>
    <cellStyle name="Millares 3" xfId="9" xr:uid="{00000000-0005-0000-0000-00000C000000}"/>
    <cellStyle name="Millares 3 2" xfId="22" xr:uid="{00000000-0005-0000-0000-00000D000000}"/>
    <cellStyle name="Millares 3 3" xfId="21" xr:uid="{00000000-0005-0000-0000-00000E000000}"/>
    <cellStyle name="Millares 3 4" xfId="40" xr:uid="{00000000-0005-0000-0000-00000F000000}"/>
    <cellStyle name="Millares 4" xfId="11" xr:uid="{00000000-0005-0000-0000-000010000000}"/>
    <cellStyle name="Millares 4 2" xfId="24" xr:uid="{00000000-0005-0000-0000-000011000000}"/>
    <cellStyle name="Millares 4 3" xfId="25" xr:uid="{00000000-0005-0000-0000-000012000000}"/>
    <cellStyle name="Millares 4 4" xfId="23" xr:uid="{00000000-0005-0000-0000-000013000000}"/>
    <cellStyle name="Millares 5" xfId="26" xr:uid="{00000000-0005-0000-0000-000014000000}"/>
    <cellStyle name="Millares 5 2" xfId="27" xr:uid="{00000000-0005-0000-0000-000015000000}"/>
    <cellStyle name="Millares 6" xfId="28" xr:uid="{00000000-0005-0000-0000-000016000000}"/>
    <cellStyle name="Millares 7" xfId="29" xr:uid="{00000000-0005-0000-0000-000017000000}"/>
    <cellStyle name="Millares 8" xfId="30" xr:uid="{00000000-0005-0000-0000-000018000000}"/>
    <cellStyle name="Millares 9" xfId="16" xr:uid="{00000000-0005-0000-0000-000019000000}"/>
    <cellStyle name="Normal" xfId="0" builtinId="0"/>
    <cellStyle name="Normal 2" xfId="4" xr:uid="{00000000-0005-0000-0000-00001B000000}"/>
    <cellStyle name="Normal 2 2" xfId="14" xr:uid="{00000000-0005-0000-0000-00001C000000}"/>
    <cellStyle name="Normal 2 2 2" xfId="31" xr:uid="{00000000-0005-0000-0000-00001D000000}"/>
    <cellStyle name="Normal 2 2 3" xfId="39" xr:uid="{00000000-0005-0000-0000-00001E000000}"/>
    <cellStyle name="Normal 2 2 4" xfId="41" xr:uid="{00000000-0005-0000-0000-00001F000000}"/>
    <cellStyle name="Normal 3" xfId="10" xr:uid="{00000000-0005-0000-0000-000020000000}"/>
    <cellStyle name="Normal 3 2" xfId="15" xr:uid="{00000000-0005-0000-0000-000021000000}"/>
    <cellStyle name="Normal 3 2 2" xfId="32" xr:uid="{00000000-0005-0000-0000-000022000000}"/>
    <cellStyle name="Normal 3 2 3" xfId="42" xr:uid="{00000000-0005-0000-0000-000023000000}"/>
    <cellStyle name="Normal 3 3" xfId="33" xr:uid="{00000000-0005-0000-0000-000024000000}"/>
    <cellStyle name="Normal 3 4" xfId="34" xr:uid="{00000000-0005-0000-0000-000025000000}"/>
    <cellStyle name="Normal 3 5" xfId="35" xr:uid="{00000000-0005-0000-0000-000026000000}"/>
    <cellStyle name="Normal 35" xfId="36" xr:uid="{00000000-0005-0000-0000-000027000000}"/>
    <cellStyle name="Normal 4" xfId="37" xr:uid="{00000000-0005-0000-0000-000028000000}"/>
    <cellStyle name="Normal_ESTR98" xfId="1" xr:uid="{00000000-0005-0000-0000-000029000000}"/>
    <cellStyle name="Normal_PLAZAS98" xfId="2" xr:uid="{00000000-0005-0000-0000-00002A000000}"/>
    <cellStyle name="Normal_SPGG98" xfId="3" xr:uid="{00000000-0005-0000-0000-00002B000000}"/>
    <cellStyle name="Porcentaje" xfId="47" builtinId="5"/>
    <cellStyle name="Porcentaje 2" xfId="12" xr:uid="{00000000-0005-0000-0000-00002D000000}"/>
    <cellStyle name="Porcentaje 3" xfId="38" xr:uid="{00000000-0005-0000-0000-00002E000000}"/>
    <cellStyle name="Porcentaje 4" xfId="7" xr:uid="{00000000-0005-0000-0000-00002F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238125</xdr:colOff>
      <xdr:row>17</xdr:row>
      <xdr:rowOff>26194</xdr:rowOff>
    </xdr:from>
    <xdr:ext cx="5686425" cy="1031629"/>
    <xdr:sp macro="" textlink="">
      <xdr:nvSpPr>
        <xdr:cNvPr id="2" name="Rectángulo 1">
          <a:extLst>
            <a:ext uri="{FF2B5EF4-FFF2-40B4-BE49-F238E27FC236}">
              <a16:creationId xmlns:a16="http://schemas.microsoft.com/office/drawing/2014/main" id="{49189ECF-31E8-4529-B32C-B006AB48F0AE}"/>
            </a:ext>
          </a:extLst>
        </xdr:cNvPr>
        <xdr:cNvSpPr/>
      </xdr:nvSpPr>
      <xdr:spPr>
        <a:xfrm>
          <a:off x="3607594" y="3026569"/>
          <a:ext cx="5686425" cy="1031629"/>
        </a:xfrm>
        <a:prstGeom prst="rect">
          <a:avLst/>
        </a:prstGeom>
        <a:noFill/>
      </xdr:spPr>
      <xdr:txBody>
        <a:bodyPr wrap="square" lIns="91440" tIns="45720" rIns="91440" bIns="45720">
          <a:spAutoFit/>
        </a:bodyPr>
        <a:lstStyle/>
        <a:p>
          <a:pPr algn="ctr"/>
          <a:r>
            <a:rPr lang="es-ES" sz="6000" b="1" cap="none" spc="50">
              <a:ln w="9525" cmpd="sng">
                <a:solidFill>
                  <a:schemeClr val="accent1"/>
                </a:solidFill>
                <a:prstDash val="solid"/>
              </a:ln>
              <a:solidFill>
                <a:srgbClr val="70AD47">
                  <a:tint val="1000"/>
                </a:srgbClr>
              </a:solidFill>
              <a:effectLst>
                <a:glow rad="38100">
                  <a:schemeClr val="accent1">
                    <a:alpha val="40000"/>
                  </a:schemeClr>
                </a:glo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1010134</xdr:colOff>
      <xdr:row>94</xdr:row>
      <xdr:rowOff>36010</xdr:rowOff>
    </xdr:from>
    <xdr:ext cx="2932726" cy="937629"/>
    <xdr:sp macro="" textlink="">
      <xdr:nvSpPr>
        <xdr:cNvPr id="2" name="2 Rectángulo">
          <a:extLst>
            <a:ext uri="{FF2B5EF4-FFF2-40B4-BE49-F238E27FC236}">
              <a16:creationId xmlns:a16="http://schemas.microsoft.com/office/drawing/2014/main" id="{1EBF3EB4-57F7-4BC7-9339-068CD127E663}"/>
            </a:ext>
          </a:extLst>
        </xdr:cNvPr>
        <xdr:cNvSpPr/>
      </xdr:nvSpPr>
      <xdr:spPr>
        <a:xfrm>
          <a:off x="6058384" y="79626910"/>
          <a:ext cx="2932726" cy="937629"/>
        </a:xfrm>
        <a:prstGeom prst="rect">
          <a:avLst/>
        </a:prstGeom>
        <a:noFill/>
      </xdr:spPr>
      <xdr:txBody>
        <a:bodyPr wrap="none" lIns="91440" tIns="45720" rIns="91440" bIns="45720">
          <a:spAutoFit/>
        </a:bodyPr>
        <a:lstStyle/>
        <a:p>
          <a:pPr algn="ctr"/>
          <a:r>
            <a:rPr lang="es-ES" sz="54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No Aplica</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704850</xdr:colOff>
      <xdr:row>26</xdr:row>
      <xdr:rowOff>104774</xdr:rowOff>
    </xdr:from>
    <xdr:ext cx="3543300" cy="1295401"/>
    <xdr:sp macro="" textlink="">
      <xdr:nvSpPr>
        <xdr:cNvPr id="2" name="1 Rectángulo">
          <a:extLst>
            <a:ext uri="{FF2B5EF4-FFF2-40B4-BE49-F238E27FC236}">
              <a16:creationId xmlns:a16="http://schemas.microsoft.com/office/drawing/2014/main" id="{2DEC59E2-8553-4997-88FB-29AD1673AB64}"/>
            </a:ext>
          </a:extLst>
        </xdr:cNvPr>
        <xdr:cNvSpPr/>
      </xdr:nvSpPr>
      <xdr:spPr>
        <a:xfrm>
          <a:off x="5695950" y="5810249"/>
          <a:ext cx="3543300" cy="1295401"/>
        </a:xfrm>
        <a:prstGeom prst="rect">
          <a:avLst/>
        </a:prstGeom>
        <a:noFill/>
      </xdr:spPr>
      <xdr:txBody>
        <a:bodyPr wrap="square" lIns="91440" tIns="45720" rIns="91440" bIns="45720">
          <a:noAutofit/>
        </a:bodyPr>
        <a:lstStyle/>
        <a:p>
          <a:pPr algn="ctr"/>
          <a:r>
            <a:rPr lang="es-ES" sz="54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No</a:t>
          </a:r>
          <a:r>
            <a:rPr lang="es-ES" sz="5400" b="1" cap="none" spc="0" baseline="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 Aplica</a:t>
          </a:r>
        </a:p>
        <a:p>
          <a:pPr algn="ctr"/>
          <a:endParaRPr lang="es-ES" sz="54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oneCellAnchor>
  <xdr:oneCellAnchor>
    <xdr:from>
      <xdr:col>3</xdr:col>
      <xdr:colOff>285749</xdr:colOff>
      <xdr:row>7</xdr:row>
      <xdr:rowOff>95250</xdr:rowOff>
    </xdr:from>
    <xdr:ext cx="6572383" cy="990599"/>
    <xdr:sp macro="" textlink="">
      <xdr:nvSpPr>
        <xdr:cNvPr id="3" name="3 Rectángulo">
          <a:extLst>
            <a:ext uri="{FF2B5EF4-FFF2-40B4-BE49-F238E27FC236}">
              <a16:creationId xmlns:a16="http://schemas.microsoft.com/office/drawing/2014/main" id="{9FB354C6-4D04-4B9B-B0F6-F549E3909EAF}"/>
            </a:ext>
          </a:extLst>
        </xdr:cNvPr>
        <xdr:cNvSpPr/>
      </xdr:nvSpPr>
      <xdr:spPr>
        <a:xfrm>
          <a:off x="4029074" y="2047875"/>
          <a:ext cx="6572383" cy="990599"/>
        </a:xfrm>
        <a:prstGeom prst="rect">
          <a:avLst/>
        </a:prstGeom>
        <a:noFill/>
      </xdr:spPr>
      <xdr:txBody>
        <a:bodyPr wrap="none" lIns="91440" tIns="45720" rIns="91440" bIns="45720">
          <a:noAutofit/>
        </a:bodyPr>
        <a:lstStyle/>
        <a:p>
          <a:pPr algn="ctr"/>
          <a:r>
            <a:rPr lang="es-ES" sz="54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No</a:t>
          </a:r>
          <a:r>
            <a:rPr lang="es-ES" sz="5400" b="1" cap="none" spc="0" baseline="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 Aplica</a:t>
          </a:r>
          <a:endParaRPr lang="es-ES" sz="54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FFFF00"/>
  </sheetPr>
  <dimension ref="A1:SR34"/>
  <sheetViews>
    <sheetView topLeftCell="A17" zoomScaleNormal="100" zoomScaleSheetLayoutView="100" zoomScalePageLayoutView="85" workbookViewId="0">
      <selection activeCell="A20" sqref="A20"/>
    </sheetView>
  </sheetViews>
  <sheetFormatPr baseColWidth="10" defaultColWidth="11.42578125" defaultRowHeight="12.75" x14ac:dyDescent="0.2"/>
  <cols>
    <col min="1" max="1" width="19.85546875" style="6" customWidth="1"/>
    <col min="2" max="2" width="69.85546875" style="7" customWidth="1"/>
    <col min="3" max="5" width="8.7109375" style="6" customWidth="1"/>
    <col min="6" max="16384" width="11.42578125" style="6"/>
  </cols>
  <sheetData>
    <row r="1" spans="1:512" s="5" customFormat="1" ht="15.75" x14ac:dyDescent="0.2">
      <c r="A1" s="3" t="s">
        <v>355</v>
      </c>
      <c r="B1" s="4"/>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c r="IS1" s="10"/>
      <c r="IT1" s="10"/>
      <c r="IU1" s="10"/>
      <c r="IV1" s="10"/>
      <c r="IW1" s="10"/>
      <c r="IX1" s="10"/>
      <c r="IY1" s="10"/>
      <c r="IZ1" s="10"/>
      <c r="JA1" s="10"/>
      <c r="JB1" s="10"/>
      <c r="JC1" s="10"/>
      <c r="JD1" s="10"/>
      <c r="JE1" s="10"/>
      <c r="JF1" s="10"/>
      <c r="JG1" s="10"/>
      <c r="JH1" s="10"/>
      <c r="JI1" s="10"/>
      <c r="JJ1" s="10"/>
      <c r="JK1" s="10"/>
      <c r="JL1" s="10"/>
      <c r="JM1" s="10"/>
      <c r="JN1" s="10"/>
      <c r="JO1" s="10"/>
      <c r="JP1" s="10"/>
      <c r="JQ1" s="10"/>
      <c r="JR1" s="10"/>
      <c r="JS1" s="10"/>
      <c r="JT1" s="10"/>
      <c r="JU1" s="10"/>
      <c r="JV1" s="10"/>
      <c r="JW1" s="10"/>
      <c r="JX1" s="10"/>
      <c r="JY1" s="10"/>
      <c r="JZ1" s="10"/>
      <c r="KA1" s="10"/>
      <c r="KB1" s="10"/>
      <c r="KC1" s="10"/>
      <c r="KD1" s="10"/>
      <c r="KE1" s="10"/>
      <c r="KF1" s="10"/>
      <c r="KG1" s="10"/>
      <c r="KH1" s="10"/>
      <c r="KI1" s="10"/>
      <c r="KJ1" s="10"/>
      <c r="KK1" s="10"/>
      <c r="KL1" s="10"/>
      <c r="KM1" s="10"/>
      <c r="KN1" s="10"/>
      <c r="KO1" s="10"/>
      <c r="KP1" s="10"/>
      <c r="KQ1" s="10"/>
      <c r="KR1" s="10"/>
      <c r="KS1" s="10"/>
      <c r="KT1" s="10"/>
      <c r="KU1" s="10"/>
      <c r="KV1" s="10"/>
      <c r="KW1" s="10"/>
      <c r="KX1" s="10"/>
      <c r="KY1" s="10"/>
      <c r="KZ1" s="10"/>
      <c r="LA1" s="10"/>
      <c r="LB1" s="10"/>
      <c r="LC1" s="10"/>
      <c r="LD1" s="10"/>
      <c r="LE1" s="10"/>
      <c r="LF1" s="10"/>
      <c r="LG1" s="10"/>
      <c r="LH1" s="10"/>
      <c r="LI1" s="10"/>
      <c r="LJ1" s="10"/>
      <c r="LK1" s="10"/>
      <c r="LL1" s="10"/>
      <c r="LM1" s="10"/>
      <c r="LN1" s="10"/>
      <c r="LO1" s="10"/>
      <c r="LP1" s="10"/>
      <c r="LQ1" s="10"/>
      <c r="LR1" s="10"/>
      <c r="LS1" s="10"/>
      <c r="LT1" s="10"/>
      <c r="LU1" s="10"/>
      <c r="LV1" s="10"/>
      <c r="LW1" s="10"/>
      <c r="LX1" s="10"/>
      <c r="LY1" s="10"/>
      <c r="LZ1" s="10"/>
      <c r="MA1" s="10"/>
      <c r="MB1" s="10"/>
      <c r="MC1" s="10"/>
      <c r="MD1" s="10"/>
      <c r="ME1" s="10"/>
      <c r="MF1" s="10"/>
      <c r="MG1" s="10"/>
      <c r="MH1" s="10"/>
      <c r="MI1" s="10"/>
      <c r="MJ1" s="10"/>
      <c r="MK1" s="10"/>
      <c r="ML1" s="10"/>
      <c r="MM1" s="10"/>
      <c r="MN1" s="10"/>
      <c r="MO1" s="10"/>
      <c r="MP1" s="10"/>
      <c r="MQ1" s="10"/>
      <c r="MR1" s="10"/>
      <c r="MS1" s="10"/>
      <c r="MT1" s="10"/>
      <c r="MU1" s="10"/>
      <c r="MV1" s="10"/>
      <c r="MW1" s="10"/>
      <c r="MX1" s="10"/>
      <c r="MY1" s="10"/>
      <c r="MZ1" s="10"/>
      <c r="NA1" s="10"/>
      <c r="NB1" s="10"/>
      <c r="NC1" s="10"/>
      <c r="ND1" s="10"/>
      <c r="NE1" s="10"/>
      <c r="NF1" s="10"/>
      <c r="NG1" s="10"/>
      <c r="NH1" s="10"/>
      <c r="NI1" s="10"/>
      <c r="NJ1" s="10"/>
      <c r="NK1" s="10"/>
      <c r="NL1" s="10"/>
      <c r="NM1" s="10"/>
      <c r="NN1" s="10"/>
      <c r="NO1" s="10"/>
      <c r="NP1" s="10"/>
      <c r="NQ1" s="10"/>
      <c r="NR1" s="10"/>
      <c r="NS1" s="10"/>
      <c r="NT1" s="10"/>
      <c r="NU1" s="10"/>
      <c r="NV1" s="10"/>
      <c r="NW1" s="10"/>
      <c r="NX1" s="10"/>
      <c r="NY1" s="10"/>
      <c r="NZ1" s="10"/>
      <c r="OA1" s="10"/>
      <c r="OB1" s="10"/>
      <c r="OC1" s="10"/>
      <c r="OD1" s="10"/>
      <c r="OE1" s="10"/>
      <c r="OF1" s="10"/>
      <c r="OG1" s="10"/>
      <c r="OH1" s="10"/>
      <c r="OI1" s="10"/>
      <c r="OJ1" s="10"/>
      <c r="OK1" s="10"/>
      <c r="OL1" s="10"/>
      <c r="OM1" s="10"/>
      <c r="ON1" s="10"/>
      <c r="OO1" s="10"/>
      <c r="OP1" s="10"/>
      <c r="OQ1" s="10"/>
      <c r="OR1" s="10"/>
      <c r="OS1" s="10"/>
      <c r="OT1" s="10"/>
      <c r="OU1" s="10"/>
      <c r="OV1" s="10"/>
      <c r="OW1" s="10"/>
      <c r="OX1" s="10"/>
      <c r="OY1" s="10"/>
      <c r="OZ1" s="10"/>
      <c r="PA1" s="10"/>
      <c r="PB1" s="10"/>
      <c r="PC1" s="10"/>
      <c r="PD1" s="10"/>
      <c r="PE1" s="10"/>
      <c r="PF1" s="10"/>
      <c r="PG1" s="10"/>
      <c r="PH1" s="10"/>
      <c r="PI1" s="10"/>
      <c r="PJ1" s="10"/>
      <c r="PK1" s="10"/>
      <c r="PL1" s="10"/>
      <c r="PM1" s="10"/>
      <c r="PN1" s="10"/>
      <c r="PO1" s="10"/>
      <c r="PP1" s="10"/>
      <c r="PQ1" s="10"/>
      <c r="PR1" s="10"/>
      <c r="PS1" s="10"/>
      <c r="PT1" s="10"/>
      <c r="PU1" s="10"/>
      <c r="PV1" s="10"/>
      <c r="PW1" s="10"/>
      <c r="PX1" s="10"/>
      <c r="PY1" s="10"/>
      <c r="PZ1" s="10"/>
      <c r="QA1" s="10"/>
      <c r="QB1" s="10"/>
      <c r="QC1" s="10"/>
      <c r="QD1" s="10"/>
      <c r="QE1" s="10"/>
      <c r="QF1" s="10"/>
      <c r="QG1" s="10"/>
      <c r="QH1" s="10"/>
      <c r="QI1" s="10"/>
      <c r="QJ1" s="10"/>
      <c r="QK1" s="10"/>
      <c r="QL1" s="10"/>
      <c r="QM1" s="10"/>
      <c r="QN1" s="10"/>
      <c r="QO1" s="10"/>
      <c r="QP1" s="10"/>
      <c r="QQ1" s="10"/>
      <c r="QR1" s="10"/>
      <c r="QS1" s="10"/>
      <c r="QT1" s="10"/>
      <c r="QU1" s="10"/>
      <c r="QV1" s="10"/>
      <c r="QW1" s="10"/>
      <c r="QX1" s="10"/>
      <c r="QY1" s="10"/>
      <c r="QZ1" s="10"/>
      <c r="RA1" s="10"/>
      <c r="RB1" s="10"/>
      <c r="RC1" s="10"/>
      <c r="RD1" s="10"/>
      <c r="RE1" s="10"/>
      <c r="RF1" s="10"/>
      <c r="RG1" s="10"/>
      <c r="RH1" s="10"/>
      <c r="RI1" s="10"/>
      <c r="RJ1" s="10"/>
      <c r="RK1" s="10"/>
      <c r="RL1" s="10"/>
      <c r="RM1" s="10"/>
      <c r="RN1" s="10"/>
      <c r="RO1" s="10"/>
      <c r="RP1" s="10"/>
      <c r="RQ1" s="10"/>
      <c r="RR1" s="10"/>
      <c r="RS1" s="10"/>
      <c r="RT1" s="10"/>
      <c r="RU1" s="10"/>
      <c r="RV1" s="10"/>
      <c r="RW1" s="10"/>
      <c r="RX1" s="10"/>
      <c r="RY1" s="10"/>
      <c r="RZ1" s="10"/>
      <c r="SA1" s="10"/>
      <c r="SB1" s="10"/>
      <c r="SC1" s="10"/>
      <c r="SD1" s="10"/>
      <c r="SE1" s="10"/>
      <c r="SF1" s="10"/>
      <c r="SG1" s="10"/>
      <c r="SH1" s="10"/>
      <c r="SI1" s="10"/>
      <c r="SJ1" s="10"/>
      <c r="SK1" s="10"/>
      <c r="SL1" s="10"/>
      <c r="SM1" s="10"/>
      <c r="SN1" s="10"/>
      <c r="SO1" s="10"/>
      <c r="SP1" s="10"/>
      <c r="SQ1" s="10"/>
      <c r="SR1" s="10"/>
    </row>
    <row r="2" spans="1:512" x14ac:dyDescent="0.2">
      <c r="C2" s="8"/>
      <c r="D2" s="8"/>
      <c r="E2" s="12"/>
      <c r="F2" s="11"/>
    </row>
    <row r="3" spans="1:512" x14ac:dyDescent="0.2">
      <c r="A3" s="9" t="s">
        <v>374</v>
      </c>
      <c r="E3" s="11"/>
      <c r="F3" s="11"/>
    </row>
    <row r="4" spans="1:512" x14ac:dyDescent="0.2">
      <c r="E4" s="11"/>
      <c r="F4" s="11"/>
    </row>
    <row r="5" spans="1:512" s="78" customFormat="1" ht="27" customHeight="1" x14ac:dyDescent="0.2">
      <c r="A5" s="83" t="s">
        <v>356</v>
      </c>
      <c r="B5" s="1383" t="s">
        <v>425</v>
      </c>
      <c r="C5" s="1384"/>
      <c r="D5" s="1384"/>
      <c r="E5" s="1385"/>
      <c r="F5" s="79"/>
    </row>
    <row r="6" spans="1:512" x14ac:dyDescent="0.2">
      <c r="A6" s="9"/>
      <c r="B6" s="77"/>
      <c r="C6" s="78"/>
      <c r="D6" s="78"/>
      <c r="E6" s="79"/>
      <c r="F6" s="11"/>
    </row>
    <row r="7" spans="1:512" x14ac:dyDescent="0.2">
      <c r="A7" s="9" t="s">
        <v>375</v>
      </c>
      <c r="B7" s="77"/>
      <c r="C7" s="78"/>
      <c r="D7" s="78"/>
      <c r="E7" s="79"/>
      <c r="F7" s="11"/>
    </row>
    <row r="8" spans="1:512" x14ac:dyDescent="0.2">
      <c r="A8" s="9"/>
      <c r="B8" s="77"/>
      <c r="C8" s="78"/>
      <c r="D8" s="78"/>
      <c r="E8" s="79"/>
      <c r="F8" s="11"/>
    </row>
    <row r="9" spans="1:512" s="78" customFormat="1" ht="27" customHeight="1" x14ac:dyDescent="0.2">
      <c r="A9" s="83" t="s">
        <v>357</v>
      </c>
      <c r="B9" s="1383" t="s">
        <v>426</v>
      </c>
      <c r="C9" s="1384"/>
      <c r="D9" s="1384"/>
      <c r="E9" s="1385"/>
      <c r="F9" s="79"/>
    </row>
    <row r="10" spans="1:512" s="78" customFormat="1" ht="27" customHeight="1" x14ac:dyDescent="0.2">
      <c r="A10" s="83" t="s">
        <v>358</v>
      </c>
      <c r="B10" s="1383" t="s">
        <v>427</v>
      </c>
      <c r="C10" s="1384"/>
      <c r="D10" s="1384"/>
      <c r="E10" s="1385"/>
      <c r="F10" s="79"/>
    </row>
    <row r="11" spans="1:512" s="78" customFormat="1" ht="27" customHeight="1" x14ac:dyDescent="0.2">
      <c r="A11" s="83" t="s">
        <v>359</v>
      </c>
      <c r="B11" s="1383" t="s">
        <v>428</v>
      </c>
      <c r="C11" s="1384"/>
      <c r="D11" s="1384"/>
      <c r="E11" s="1385"/>
      <c r="F11" s="79"/>
    </row>
    <row r="12" spans="1:512" s="78" customFormat="1" ht="27" customHeight="1" x14ac:dyDescent="0.2">
      <c r="A12" s="83" t="s">
        <v>360</v>
      </c>
      <c r="B12" s="1383" t="s">
        <v>429</v>
      </c>
      <c r="C12" s="1384"/>
      <c r="D12" s="1384"/>
      <c r="E12" s="1385"/>
      <c r="F12" s="79"/>
    </row>
    <row r="13" spans="1:512" s="78" customFormat="1" ht="27" customHeight="1" x14ac:dyDescent="0.2">
      <c r="A13" s="83" t="s">
        <v>361</v>
      </c>
      <c r="B13" s="1383" t="s">
        <v>430</v>
      </c>
      <c r="C13" s="1384"/>
      <c r="D13" s="1384"/>
      <c r="E13" s="1385"/>
      <c r="F13" s="79"/>
    </row>
    <row r="14" spans="1:512" s="78" customFormat="1" ht="27" customHeight="1" x14ac:dyDescent="0.2">
      <c r="A14" s="83" t="s">
        <v>362</v>
      </c>
      <c r="B14" s="1383" t="s">
        <v>431</v>
      </c>
      <c r="C14" s="1384"/>
      <c r="D14" s="1384"/>
      <c r="E14" s="1385"/>
      <c r="F14" s="79"/>
    </row>
    <row r="15" spans="1:512" s="78" customFormat="1" ht="27" customHeight="1" x14ac:dyDescent="0.2">
      <c r="A15" s="83" t="s">
        <v>363</v>
      </c>
      <c r="B15" s="1383" t="s">
        <v>432</v>
      </c>
      <c r="C15" s="1384"/>
      <c r="D15" s="1384"/>
      <c r="E15" s="1385"/>
      <c r="F15" s="79"/>
    </row>
    <row r="16" spans="1:512" x14ac:dyDescent="0.2">
      <c r="A16" s="9"/>
      <c r="B16" s="77"/>
      <c r="C16" s="78"/>
      <c r="D16" s="78"/>
      <c r="E16" s="79"/>
      <c r="F16" s="11"/>
    </row>
    <row r="17" spans="1:6" x14ac:dyDescent="0.2">
      <c r="A17" s="9" t="s">
        <v>376</v>
      </c>
      <c r="B17" s="77"/>
      <c r="C17" s="78"/>
      <c r="D17" s="78"/>
      <c r="E17" s="79"/>
      <c r="F17" s="11"/>
    </row>
    <row r="18" spans="1:6" x14ac:dyDescent="0.2">
      <c r="A18" s="9"/>
      <c r="B18" s="77"/>
      <c r="C18" s="78"/>
      <c r="D18" s="78"/>
      <c r="E18" s="79"/>
      <c r="F18" s="11"/>
    </row>
    <row r="19" spans="1:6" s="78" customFormat="1" ht="27" customHeight="1" x14ac:dyDescent="0.2">
      <c r="A19" s="83" t="s">
        <v>364</v>
      </c>
      <c r="B19" s="1383" t="s">
        <v>433</v>
      </c>
      <c r="C19" s="1384"/>
      <c r="D19" s="1384"/>
      <c r="E19" s="1385"/>
      <c r="F19" s="79"/>
    </row>
    <row r="20" spans="1:6" s="78" customFormat="1" ht="27" customHeight="1" x14ac:dyDescent="0.2">
      <c r="A20" s="83" t="s">
        <v>365</v>
      </c>
      <c r="B20" s="1383" t="s">
        <v>434</v>
      </c>
      <c r="C20" s="1384"/>
      <c r="D20" s="1384"/>
      <c r="E20" s="1385"/>
      <c r="F20" s="79"/>
    </row>
    <row r="21" spans="1:6" s="78" customFormat="1" ht="27" customHeight="1" x14ac:dyDescent="0.2">
      <c r="A21" s="83" t="s">
        <v>366</v>
      </c>
      <c r="B21" s="1383" t="s">
        <v>435</v>
      </c>
      <c r="C21" s="1384"/>
      <c r="D21" s="1384"/>
      <c r="E21" s="1385"/>
      <c r="F21" s="79"/>
    </row>
    <row r="22" spans="1:6" x14ac:dyDescent="0.2">
      <c r="A22" s="9"/>
      <c r="B22" s="77"/>
      <c r="C22" s="78"/>
      <c r="D22" s="78"/>
      <c r="E22" s="79"/>
      <c r="F22" s="11"/>
    </row>
    <row r="23" spans="1:6" x14ac:dyDescent="0.2">
      <c r="A23" s="9" t="s">
        <v>377</v>
      </c>
      <c r="B23" s="77"/>
      <c r="C23" s="78"/>
      <c r="D23" s="78"/>
      <c r="E23" s="79"/>
      <c r="F23" s="11"/>
    </row>
    <row r="24" spans="1:6" x14ac:dyDescent="0.2">
      <c r="A24" s="9"/>
      <c r="B24" s="77"/>
      <c r="C24" s="78"/>
      <c r="D24" s="78"/>
      <c r="E24" s="79"/>
      <c r="F24" s="11"/>
    </row>
    <row r="25" spans="1:6" s="78" customFormat="1" ht="27" customHeight="1" x14ac:dyDescent="0.2">
      <c r="A25" s="83" t="s">
        <v>367</v>
      </c>
      <c r="B25" s="1383" t="s">
        <v>436</v>
      </c>
      <c r="C25" s="1384"/>
      <c r="D25" s="1384"/>
      <c r="E25" s="1385"/>
      <c r="F25" s="79"/>
    </row>
    <row r="26" spans="1:6" s="78" customFormat="1" ht="27" customHeight="1" x14ac:dyDescent="0.2">
      <c r="A26" s="83" t="s">
        <v>368</v>
      </c>
      <c r="B26" s="1383" t="s">
        <v>437</v>
      </c>
      <c r="C26" s="1384"/>
      <c r="D26" s="1384"/>
      <c r="E26" s="1385"/>
      <c r="F26" s="79"/>
    </row>
    <row r="27" spans="1:6" s="78" customFormat="1" ht="27" customHeight="1" x14ac:dyDescent="0.2">
      <c r="A27" s="83" t="s">
        <v>369</v>
      </c>
      <c r="B27" s="1383" t="s">
        <v>438</v>
      </c>
      <c r="C27" s="1384"/>
      <c r="D27" s="1384"/>
      <c r="E27" s="1385"/>
      <c r="F27" s="79"/>
    </row>
    <row r="28" spans="1:6" s="78" customFormat="1" ht="27" customHeight="1" x14ac:dyDescent="0.2">
      <c r="A28" s="83" t="s">
        <v>370</v>
      </c>
      <c r="B28" s="1383" t="s">
        <v>439</v>
      </c>
      <c r="C28" s="1384"/>
      <c r="D28" s="1384"/>
      <c r="E28" s="1385"/>
      <c r="F28" s="79"/>
    </row>
    <row r="29" spans="1:6" s="78" customFormat="1" ht="27" customHeight="1" x14ac:dyDescent="0.2">
      <c r="A29" s="83" t="s">
        <v>371</v>
      </c>
      <c r="B29" s="1383" t="s">
        <v>440</v>
      </c>
      <c r="C29" s="1384"/>
      <c r="D29" s="1384"/>
      <c r="E29" s="1385"/>
      <c r="F29" s="79"/>
    </row>
    <row r="30" spans="1:6" x14ac:dyDescent="0.2">
      <c r="A30" s="9"/>
      <c r="B30" s="77"/>
      <c r="C30" s="78"/>
      <c r="D30" s="78"/>
      <c r="E30" s="79"/>
      <c r="F30" s="11"/>
    </row>
    <row r="31" spans="1:6" x14ac:dyDescent="0.2">
      <c r="A31" s="9" t="s">
        <v>24</v>
      </c>
      <c r="B31" s="77"/>
      <c r="C31" s="78"/>
      <c r="D31" s="78"/>
      <c r="E31" s="79"/>
      <c r="F31" s="11"/>
    </row>
    <row r="32" spans="1:6" x14ac:dyDescent="0.2">
      <c r="A32" s="9"/>
      <c r="B32" s="77"/>
      <c r="C32" s="78"/>
      <c r="D32" s="78"/>
      <c r="E32" s="79"/>
      <c r="F32" s="11"/>
    </row>
    <row r="33" spans="1:6" s="78" customFormat="1" ht="27" customHeight="1" x14ac:dyDescent="0.2">
      <c r="A33" s="83" t="s">
        <v>372</v>
      </c>
      <c r="B33" s="1383" t="s">
        <v>441</v>
      </c>
      <c r="C33" s="1384"/>
      <c r="D33" s="1384"/>
      <c r="E33" s="1385"/>
      <c r="F33" s="79"/>
    </row>
    <row r="34" spans="1:6" s="78" customFormat="1" ht="27" customHeight="1" x14ac:dyDescent="0.2">
      <c r="A34" s="83" t="s">
        <v>373</v>
      </c>
      <c r="B34" s="1383" t="s">
        <v>442</v>
      </c>
      <c r="C34" s="1384"/>
      <c r="D34" s="1384"/>
      <c r="E34" s="1385"/>
      <c r="F34" s="79"/>
    </row>
  </sheetData>
  <mergeCells count="18">
    <mergeCell ref="B33:E33"/>
    <mergeCell ref="B34:E34"/>
    <mergeCell ref="B9:E9"/>
    <mergeCell ref="B10:E10"/>
    <mergeCell ref="B11:E11"/>
    <mergeCell ref="B15:E15"/>
    <mergeCell ref="B21:E21"/>
    <mergeCell ref="B25:E25"/>
    <mergeCell ref="B26:E26"/>
    <mergeCell ref="B27:E27"/>
    <mergeCell ref="B28:E28"/>
    <mergeCell ref="B29:E29"/>
    <mergeCell ref="B20:E20"/>
    <mergeCell ref="B5:E5"/>
    <mergeCell ref="B12:E12"/>
    <mergeCell ref="B13:E13"/>
    <mergeCell ref="B14:E14"/>
    <mergeCell ref="B19:E19"/>
  </mergeCells>
  <pageMargins left="0.8203125" right="0.70866141732283472" top="0.74803149606299213" bottom="0.74803149606299213" header="0.31496062992125984" footer="0.31496062992125984"/>
  <pageSetup paperSize="9" scale="75" orientation="portrait" r:id="rId1"/>
  <headerFooter>
    <oddHeader xml:space="preserve">&amp;C&amp;"Arial,Negrita"&amp;18FORMATOS DEL PROYECTO DE PRESUPUESTO 2022
</oddHeader>
    <oddFooter>&amp;L&amp;"Arial,Negrita"&amp;8PROYECTO DE PRESUPUESTO PARA EL AÑO FISCAL 2020
INFORMACIÓN PARA LA COMISIÓN DE PRESUPUESTO Y CUENTA GENERAL DE LA REPÚBLICA DEL CONGRESO DE LA REPÚBLICA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30A0"/>
  </sheetPr>
  <dimension ref="A1:AB175"/>
  <sheetViews>
    <sheetView showGridLines="0" view="pageBreakPreview" zoomScale="70" zoomScaleNormal="100" zoomScaleSheetLayoutView="70" zoomScalePageLayoutView="85" workbookViewId="0">
      <selection sqref="A1:A2"/>
    </sheetView>
  </sheetViews>
  <sheetFormatPr baseColWidth="10" defaultColWidth="11.42578125" defaultRowHeight="12.75" x14ac:dyDescent="0.2"/>
  <cols>
    <col min="1" max="1" width="41.28515625" style="317" customWidth="1"/>
    <col min="2" max="11" width="7" style="317" customWidth="1"/>
    <col min="12" max="12" width="13.42578125" style="317" bestFit="1" customWidth="1"/>
    <col min="13" max="22" width="7" style="317" customWidth="1"/>
    <col min="23" max="23" width="13.42578125" style="317" bestFit="1" customWidth="1"/>
    <col min="24" max="24" width="1.7109375" style="388" customWidth="1"/>
    <col min="25" max="28" width="10.7109375" style="301" customWidth="1"/>
    <col min="29" max="16384" width="11.42578125" style="462"/>
  </cols>
  <sheetData>
    <row r="1" spans="1:24" s="481" customFormat="1" ht="15.75" x14ac:dyDescent="0.25">
      <c r="A1" s="89" t="s">
        <v>402</v>
      </c>
      <c r="B1" s="397"/>
      <c r="C1" s="397"/>
      <c r="D1" s="397"/>
      <c r="E1" s="397"/>
      <c r="F1" s="397"/>
      <c r="G1" s="397"/>
      <c r="H1" s="397"/>
      <c r="I1" s="397"/>
      <c r="J1" s="397"/>
      <c r="K1" s="397"/>
      <c r="L1" s="397"/>
      <c r="M1" s="397"/>
      <c r="N1" s="397"/>
      <c r="O1" s="397"/>
      <c r="P1" s="397"/>
      <c r="Q1" s="397"/>
      <c r="R1" s="397"/>
      <c r="S1" s="397"/>
      <c r="T1" s="397"/>
      <c r="U1" s="397"/>
      <c r="V1" s="397"/>
      <c r="W1" s="397"/>
      <c r="X1" s="398"/>
    </row>
    <row r="2" spans="1:24" s="481" customFormat="1" ht="15.75" x14ac:dyDescent="0.2">
      <c r="A2" s="460" t="s">
        <v>608</v>
      </c>
      <c r="B2" s="397"/>
      <c r="C2" s="397"/>
      <c r="D2" s="397"/>
      <c r="E2" s="397"/>
      <c r="F2" s="397"/>
      <c r="G2" s="397"/>
      <c r="H2" s="397"/>
      <c r="I2" s="397"/>
      <c r="J2" s="397"/>
      <c r="K2" s="397"/>
      <c r="L2" s="397"/>
      <c r="M2" s="397"/>
      <c r="N2" s="397"/>
      <c r="O2" s="397"/>
      <c r="P2" s="397"/>
      <c r="Q2" s="397"/>
      <c r="R2" s="397"/>
      <c r="S2" s="397"/>
      <c r="T2" s="397"/>
      <c r="U2" s="397"/>
      <c r="V2" s="397"/>
      <c r="W2" s="397"/>
      <c r="X2" s="398"/>
    </row>
    <row r="3" spans="1:24" s="389" customFormat="1" ht="15.75" x14ac:dyDescent="0.25">
      <c r="A3" s="391" t="s">
        <v>609</v>
      </c>
      <c r="X3" s="387"/>
    </row>
    <row r="4" spans="1:24" x14ac:dyDescent="0.2">
      <c r="A4" s="581" t="s">
        <v>610</v>
      </c>
      <c r="L4" s="318"/>
      <c r="W4" s="318"/>
    </row>
    <row r="5" spans="1:24" ht="13.5" thickBot="1" x14ac:dyDescent="0.25"/>
    <row r="6" spans="1:24" ht="23.25" customHeight="1" x14ac:dyDescent="0.2">
      <c r="A6" s="414" t="s">
        <v>10</v>
      </c>
      <c r="B6" s="1470" t="s">
        <v>446</v>
      </c>
      <c r="C6" s="1471"/>
      <c r="D6" s="1471"/>
      <c r="E6" s="1471"/>
      <c r="F6" s="1471"/>
      <c r="G6" s="1471"/>
      <c r="H6" s="1471"/>
      <c r="I6" s="1471"/>
      <c r="J6" s="1471"/>
      <c r="K6" s="1471"/>
      <c r="L6" s="1472"/>
      <c r="M6" s="1470" t="s">
        <v>447</v>
      </c>
      <c r="N6" s="1471"/>
      <c r="O6" s="1471"/>
      <c r="P6" s="1471"/>
      <c r="Q6" s="1471"/>
      <c r="R6" s="1471"/>
      <c r="S6" s="1471"/>
      <c r="T6" s="1471"/>
      <c r="U6" s="1471"/>
      <c r="V6" s="1471"/>
      <c r="W6" s="1472"/>
    </row>
    <row r="7" spans="1:24" ht="135.75" x14ac:dyDescent="0.2">
      <c r="A7" s="415" t="s">
        <v>9</v>
      </c>
      <c r="B7" s="416" t="s">
        <v>340</v>
      </c>
      <c r="C7" s="416" t="s">
        <v>128</v>
      </c>
      <c r="D7" s="417" t="s">
        <v>299</v>
      </c>
      <c r="E7" s="417" t="s">
        <v>291</v>
      </c>
      <c r="F7" s="417" t="s">
        <v>301</v>
      </c>
      <c r="G7" s="417" t="s">
        <v>302</v>
      </c>
      <c r="H7" s="417" t="s">
        <v>303</v>
      </c>
      <c r="I7" s="417" t="s">
        <v>310</v>
      </c>
      <c r="J7" s="418" t="s">
        <v>305</v>
      </c>
      <c r="K7" s="419" t="s">
        <v>307</v>
      </c>
      <c r="L7" s="420" t="s">
        <v>309</v>
      </c>
      <c r="M7" s="416" t="s">
        <v>340</v>
      </c>
      <c r="N7" s="416" t="s">
        <v>128</v>
      </c>
      <c r="O7" s="417" t="s">
        <v>299</v>
      </c>
      <c r="P7" s="417" t="s">
        <v>291</v>
      </c>
      <c r="Q7" s="417" t="s">
        <v>301</v>
      </c>
      <c r="R7" s="417" t="s">
        <v>302</v>
      </c>
      <c r="S7" s="417" t="s">
        <v>303</v>
      </c>
      <c r="T7" s="417" t="s">
        <v>310</v>
      </c>
      <c r="U7" s="418" t="s">
        <v>305</v>
      </c>
      <c r="V7" s="419" t="s">
        <v>307</v>
      </c>
      <c r="W7" s="420" t="s">
        <v>308</v>
      </c>
    </row>
    <row r="8" spans="1:24" x14ac:dyDescent="0.2">
      <c r="A8" s="322"/>
      <c r="B8" s="319"/>
      <c r="C8" s="319"/>
      <c r="D8" s="319"/>
      <c r="E8" s="319"/>
      <c r="F8" s="319"/>
      <c r="G8" s="319"/>
      <c r="H8" s="319"/>
      <c r="I8" s="319"/>
      <c r="J8" s="319"/>
      <c r="K8" s="319"/>
      <c r="L8" s="327"/>
      <c r="M8" s="319"/>
      <c r="N8" s="319"/>
      <c r="O8" s="319"/>
      <c r="P8" s="319"/>
      <c r="Q8" s="319"/>
      <c r="R8" s="319"/>
      <c r="S8" s="319"/>
      <c r="T8" s="319"/>
      <c r="U8" s="319"/>
      <c r="V8" s="319"/>
      <c r="W8" s="327"/>
    </row>
    <row r="9" spans="1:24" x14ac:dyDescent="0.2">
      <c r="A9" s="323" t="s">
        <v>7</v>
      </c>
      <c r="B9" s="324">
        <f>SUM(B10:B18)</f>
        <v>15</v>
      </c>
      <c r="C9" s="324">
        <f t="shared" ref="C9:J9" si="0">SUM(C10:C18)</f>
        <v>0</v>
      </c>
      <c r="D9" s="324">
        <f t="shared" si="0"/>
        <v>0</v>
      </c>
      <c r="E9" s="324">
        <f t="shared" si="0"/>
        <v>5</v>
      </c>
      <c r="F9" s="324">
        <f t="shared" si="0"/>
        <v>0</v>
      </c>
      <c r="G9" s="324">
        <f t="shared" si="0"/>
        <v>0</v>
      </c>
      <c r="H9" s="324">
        <f t="shared" si="0"/>
        <v>0</v>
      </c>
      <c r="I9" s="324">
        <f t="shared" si="0"/>
        <v>0</v>
      </c>
      <c r="J9" s="324">
        <f t="shared" si="0"/>
        <v>5</v>
      </c>
      <c r="K9" s="324">
        <f>SUM(B9:J9)</f>
        <v>25</v>
      </c>
      <c r="L9" s="817">
        <f>SUM(L10:L18)</f>
        <v>4005418</v>
      </c>
      <c r="M9" s="324">
        <f>SUM(M10:M18)</f>
        <v>13</v>
      </c>
      <c r="N9" s="324"/>
      <c r="O9" s="324"/>
      <c r="P9" s="324">
        <f>SUM(P10:P18)</f>
        <v>5</v>
      </c>
      <c r="Q9" s="324"/>
      <c r="R9" s="324"/>
      <c r="S9" s="324"/>
      <c r="T9" s="324"/>
      <c r="U9" s="324"/>
      <c r="V9" s="324">
        <f>SUM(M9:U9)</f>
        <v>18</v>
      </c>
      <c r="W9" s="817">
        <f>SUM(W10:W18)</f>
        <v>3776093</v>
      </c>
    </row>
    <row r="10" spans="1:24" x14ac:dyDescent="0.2">
      <c r="A10" s="822" t="s">
        <v>3</v>
      </c>
      <c r="B10" s="823"/>
      <c r="C10" s="823"/>
      <c r="D10" s="823"/>
      <c r="E10" s="823">
        <v>1</v>
      </c>
      <c r="F10" s="823"/>
      <c r="G10" s="823"/>
      <c r="H10" s="823"/>
      <c r="I10" s="823"/>
      <c r="J10" s="823"/>
      <c r="K10" s="823"/>
      <c r="L10" s="824">
        <v>420000</v>
      </c>
      <c r="M10" s="823"/>
      <c r="N10" s="823"/>
      <c r="O10" s="823"/>
      <c r="P10" s="823">
        <v>1</v>
      </c>
      <c r="Q10" s="823"/>
      <c r="R10" s="823"/>
      <c r="S10" s="823"/>
      <c r="T10" s="823"/>
      <c r="U10" s="823"/>
      <c r="V10" s="823"/>
      <c r="W10" s="824">
        <v>420000</v>
      </c>
    </row>
    <row r="11" spans="1:24" x14ac:dyDescent="0.2">
      <c r="A11" s="825" t="s">
        <v>611</v>
      </c>
      <c r="B11" s="826"/>
      <c r="C11" s="826"/>
      <c r="D11" s="826"/>
      <c r="E11" s="826">
        <v>3</v>
      </c>
      <c r="F11" s="826"/>
      <c r="G11" s="826"/>
      <c r="H11" s="826"/>
      <c r="I11" s="826"/>
      <c r="J11" s="826"/>
      <c r="K11" s="826"/>
      <c r="L11" s="827">
        <v>1176000</v>
      </c>
      <c r="M11" s="826"/>
      <c r="N11" s="826"/>
      <c r="O11" s="826"/>
      <c r="P11" s="826">
        <v>3</v>
      </c>
      <c r="Q11" s="826"/>
      <c r="R11" s="826"/>
      <c r="S11" s="826"/>
      <c r="T11" s="826"/>
      <c r="U11" s="826"/>
      <c r="V11" s="826"/>
      <c r="W11" s="827">
        <v>1176000</v>
      </c>
    </row>
    <row r="12" spans="1:24" x14ac:dyDescent="0.2">
      <c r="A12" s="825" t="s">
        <v>612</v>
      </c>
      <c r="B12" s="826">
        <v>5</v>
      </c>
      <c r="C12" s="826"/>
      <c r="D12" s="826"/>
      <c r="E12" s="826"/>
      <c r="F12" s="826"/>
      <c r="G12" s="826"/>
      <c r="H12" s="826"/>
      <c r="I12" s="826"/>
      <c r="J12" s="826">
        <v>5</v>
      </c>
      <c r="K12" s="826"/>
      <c r="L12" s="827">
        <v>941300</v>
      </c>
      <c r="M12" s="826">
        <v>5</v>
      </c>
      <c r="N12" s="826"/>
      <c r="O12" s="826"/>
      <c r="P12" s="826"/>
      <c r="Q12" s="826"/>
      <c r="R12" s="826"/>
      <c r="S12" s="826"/>
      <c r="T12" s="826"/>
      <c r="U12" s="826"/>
      <c r="V12" s="826">
        <v>5</v>
      </c>
      <c r="W12" s="827">
        <v>941003</v>
      </c>
    </row>
    <row r="13" spans="1:24" x14ac:dyDescent="0.2">
      <c r="A13" s="825" t="s">
        <v>613</v>
      </c>
      <c r="B13" s="826"/>
      <c r="C13" s="826"/>
      <c r="D13" s="826"/>
      <c r="E13" s="826">
        <v>1</v>
      </c>
      <c r="F13" s="826"/>
      <c r="G13" s="826"/>
      <c r="H13" s="826"/>
      <c r="I13" s="826"/>
      <c r="J13" s="826"/>
      <c r="K13" s="826"/>
      <c r="L13" s="827">
        <v>350000</v>
      </c>
      <c r="M13" s="826"/>
      <c r="N13" s="826"/>
      <c r="O13" s="826"/>
      <c r="P13" s="826">
        <v>1</v>
      </c>
      <c r="Q13" s="826"/>
      <c r="R13" s="826"/>
      <c r="S13" s="826"/>
      <c r="T13" s="826"/>
      <c r="U13" s="826"/>
      <c r="V13" s="826"/>
      <c r="W13" s="827">
        <v>350000</v>
      </c>
    </row>
    <row r="14" spans="1:24" x14ac:dyDescent="0.2">
      <c r="A14" s="825" t="s">
        <v>614</v>
      </c>
      <c r="B14" s="826"/>
      <c r="C14" s="826"/>
      <c r="D14" s="826"/>
      <c r="E14" s="826"/>
      <c r="F14" s="826"/>
      <c r="G14" s="826"/>
      <c r="H14" s="826"/>
      <c r="I14" s="826"/>
      <c r="J14" s="826"/>
      <c r="K14" s="826"/>
      <c r="L14" s="827"/>
      <c r="M14" s="826"/>
      <c r="N14" s="826"/>
      <c r="O14" s="826"/>
      <c r="P14" s="826"/>
      <c r="Q14" s="826"/>
      <c r="R14" s="826"/>
      <c r="S14" s="826"/>
      <c r="T14" s="826"/>
      <c r="U14" s="826"/>
      <c r="V14" s="826"/>
      <c r="W14" s="827"/>
    </row>
    <row r="15" spans="1:24" x14ac:dyDescent="0.2">
      <c r="A15" s="825" t="s">
        <v>615</v>
      </c>
      <c r="B15" s="826"/>
      <c r="C15" s="826"/>
      <c r="D15" s="826"/>
      <c r="E15" s="826"/>
      <c r="F15" s="826"/>
      <c r="G15" s="826"/>
      <c r="H15" s="826"/>
      <c r="I15" s="826"/>
      <c r="J15" s="826"/>
      <c r="K15" s="826"/>
      <c r="L15" s="827"/>
      <c r="M15" s="826"/>
      <c r="N15" s="826"/>
      <c r="O15" s="826"/>
      <c r="P15" s="826"/>
      <c r="Q15" s="826"/>
      <c r="R15" s="826"/>
      <c r="S15" s="826"/>
      <c r="T15" s="826"/>
      <c r="U15" s="826"/>
      <c r="V15" s="826"/>
      <c r="W15" s="827"/>
    </row>
    <row r="16" spans="1:24" x14ac:dyDescent="0.2">
      <c r="A16" s="825" t="s">
        <v>616</v>
      </c>
      <c r="B16" s="826">
        <v>7</v>
      </c>
      <c r="C16" s="826"/>
      <c r="D16" s="826"/>
      <c r="E16" s="826"/>
      <c r="F16" s="826"/>
      <c r="G16" s="826"/>
      <c r="H16" s="826"/>
      <c r="I16" s="826"/>
      <c r="J16" s="826"/>
      <c r="K16" s="826"/>
      <c r="L16" s="827">
        <v>799208</v>
      </c>
      <c r="M16" s="826">
        <v>5</v>
      </c>
      <c r="N16" s="826"/>
      <c r="O16" s="826"/>
      <c r="P16" s="826"/>
      <c r="Q16" s="826"/>
      <c r="R16" s="826"/>
      <c r="S16" s="826"/>
      <c r="T16" s="826"/>
      <c r="U16" s="826"/>
      <c r="V16" s="826"/>
      <c r="W16" s="827">
        <v>570180</v>
      </c>
    </row>
    <row r="17" spans="1:23" x14ac:dyDescent="0.2">
      <c r="A17" s="825" t="s">
        <v>617</v>
      </c>
      <c r="B17" s="826">
        <v>3</v>
      </c>
      <c r="C17" s="826"/>
      <c r="D17" s="826"/>
      <c r="E17" s="826"/>
      <c r="F17" s="826"/>
      <c r="G17" s="826"/>
      <c r="H17" s="826"/>
      <c r="I17" s="826"/>
      <c r="J17" s="826"/>
      <c r="K17" s="826"/>
      <c r="L17" s="827">
        <v>318910</v>
      </c>
      <c r="M17" s="826">
        <v>3</v>
      </c>
      <c r="N17" s="826"/>
      <c r="O17" s="826"/>
      <c r="P17" s="826"/>
      <c r="Q17" s="826"/>
      <c r="R17" s="826"/>
      <c r="S17" s="826"/>
      <c r="T17" s="826"/>
      <c r="U17" s="826"/>
      <c r="V17" s="826"/>
      <c r="W17" s="827">
        <v>318910</v>
      </c>
    </row>
    <row r="18" spans="1:23" x14ac:dyDescent="0.2">
      <c r="A18" s="825" t="s">
        <v>13</v>
      </c>
      <c r="B18" s="826"/>
      <c r="C18" s="826"/>
      <c r="D18" s="826"/>
      <c r="E18" s="826"/>
      <c r="F18" s="826"/>
      <c r="G18" s="826"/>
      <c r="H18" s="826"/>
      <c r="I18" s="826"/>
      <c r="J18" s="826"/>
      <c r="K18" s="826"/>
      <c r="L18" s="828"/>
      <c r="M18" s="826"/>
      <c r="N18" s="826"/>
      <c r="O18" s="826"/>
      <c r="P18" s="826"/>
      <c r="Q18" s="826"/>
      <c r="R18" s="826"/>
      <c r="S18" s="826"/>
      <c r="T18" s="826"/>
      <c r="U18" s="826"/>
      <c r="V18" s="826"/>
      <c r="W18" s="827"/>
    </row>
    <row r="19" spans="1:23" x14ac:dyDescent="0.2">
      <c r="A19" s="829"/>
      <c r="B19" s="826"/>
      <c r="C19" s="826"/>
      <c r="D19" s="826"/>
      <c r="E19" s="826"/>
      <c r="F19" s="826"/>
      <c r="G19" s="826"/>
      <c r="H19" s="826"/>
      <c r="I19" s="826"/>
      <c r="J19" s="826"/>
      <c r="K19" s="826"/>
      <c r="L19" s="828"/>
      <c r="M19" s="826"/>
      <c r="N19" s="826"/>
      <c r="O19" s="826"/>
      <c r="P19" s="826"/>
      <c r="Q19" s="826"/>
      <c r="R19" s="826"/>
      <c r="S19" s="826"/>
      <c r="T19" s="826"/>
      <c r="U19" s="826"/>
      <c r="V19" s="826"/>
      <c r="W19" s="827"/>
    </row>
    <row r="20" spans="1:23" x14ac:dyDescent="0.2">
      <c r="A20" s="830" t="s">
        <v>4</v>
      </c>
      <c r="B20" s="831">
        <f>SUM(B21:B28)</f>
        <v>44</v>
      </c>
      <c r="C20" s="831">
        <f t="shared" ref="C20:J20" si="1">SUM(C21:C28)</f>
        <v>0</v>
      </c>
      <c r="D20" s="831">
        <f t="shared" si="1"/>
        <v>559</v>
      </c>
      <c r="E20" s="831">
        <f t="shared" si="1"/>
        <v>0</v>
      </c>
      <c r="F20" s="831">
        <f t="shared" si="1"/>
        <v>0</v>
      </c>
      <c r="G20" s="831">
        <f t="shared" si="1"/>
        <v>0</v>
      </c>
      <c r="H20" s="831">
        <f t="shared" si="1"/>
        <v>0</v>
      </c>
      <c r="I20" s="831">
        <f t="shared" si="1"/>
        <v>60</v>
      </c>
      <c r="J20" s="831">
        <f t="shared" si="1"/>
        <v>0</v>
      </c>
      <c r="K20" s="831">
        <f>SUM(B20:J20)</f>
        <v>663</v>
      </c>
      <c r="L20" s="832">
        <f>SUM(L21:L28)</f>
        <v>59606599</v>
      </c>
      <c r="M20" s="831">
        <f>SUM(M21:M28)</f>
        <v>42</v>
      </c>
      <c r="N20" s="831">
        <f t="shared" ref="N20:U20" si="2">SUM(N21:N28)</f>
        <v>0</v>
      </c>
      <c r="O20" s="831">
        <f t="shared" si="2"/>
        <v>534</v>
      </c>
      <c r="P20" s="831">
        <f t="shared" si="2"/>
        <v>0</v>
      </c>
      <c r="Q20" s="831">
        <f t="shared" si="2"/>
        <v>0</v>
      </c>
      <c r="R20" s="831">
        <f t="shared" si="2"/>
        <v>0</v>
      </c>
      <c r="S20" s="831">
        <f t="shared" si="2"/>
        <v>0</v>
      </c>
      <c r="T20" s="831">
        <f t="shared" si="2"/>
        <v>60</v>
      </c>
      <c r="U20" s="831">
        <f t="shared" si="2"/>
        <v>0</v>
      </c>
      <c r="V20" s="831">
        <f>SUM(M20:U20)</f>
        <v>636</v>
      </c>
      <c r="W20" s="832">
        <f>SUM(W21:W28)</f>
        <v>53631597</v>
      </c>
    </row>
    <row r="21" spans="1:23" x14ac:dyDescent="0.2">
      <c r="A21" s="825" t="s">
        <v>618</v>
      </c>
      <c r="B21" s="826">
        <v>17</v>
      </c>
      <c r="C21" s="826"/>
      <c r="D21" s="826"/>
      <c r="E21" s="826"/>
      <c r="F21" s="826"/>
      <c r="G21" s="826"/>
      <c r="H21" s="826"/>
      <c r="I21" s="826"/>
      <c r="J21" s="826"/>
      <c r="K21" s="826"/>
      <c r="L21" s="827">
        <v>1402421</v>
      </c>
      <c r="M21" s="826">
        <v>17</v>
      </c>
      <c r="N21" s="826"/>
      <c r="O21" s="826"/>
      <c r="P21" s="826"/>
      <c r="Q21" s="826"/>
      <c r="R21" s="826"/>
      <c r="S21" s="826"/>
      <c r="T21" s="826"/>
      <c r="U21" s="826"/>
      <c r="V21" s="826"/>
      <c r="W21" s="827">
        <v>1437689</v>
      </c>
    </row>
    <row r="22" spans="1:23" x14ac:dyDescent="0.2">
      <c r="A22" s="825" t="s">
        <v>619</v>
      </c>
      <c r="B22" s="826">
        <v>20</v>
      </c>
      <c r="C22" s="826"/>
      <c r="D22" s="826"/>
      <c r="E22" s="826"/>
      <c r="F22" s="826"/>
      <c r="G22" s="826"/>
      <c r="H22" s="826"/>
      <c r="I22" s="826"/>
      <c r="J22" s="826"/>
      <c r="K22" s="826"/>
      <c r="L22" s="827">
        <v>1520964</v>
      </c>
      <c r="M22" s="826">
        <v>19</v>
      </c>
      <c r="N22" s="826"/>
      <c r="O22" s="826"/>
      <c r="P22" s="826"/>
      <c r="Q22" s="826"/>
      <c r="R22" s="826"/>
      <c r="S22" s="826"/>
      <c r="T22" s="826"/>
      <c r="U22" s="826"/>
      <c r="V22" s="826"/>
      <c r="W22" s="827">
        <v>1445160</v>
      </c>
    </row>
    <row r="23" spans="1:23" x14ac:dyDescent="0.2">
      <c r="A23" s="825" t="s">
        <v>620</v>
      </c>
      <c r="B23" s="826">
        <v>4</v>
      </c>
      <c r="C23" s="826"/>
      <c r="D23" s="826"/>
      <c r="E23" s="826"/>
      <c r="F23" s="826"/>
      <c r="G23" s="826"/>
      <c r="H23" s="826"/>
      <c r="I23" s="826"/>
      <c r="J23" s="826"/>
      <c r="K23" s="826"/>
      <c r="L23" s="827">
        <v>292421</v>
      </c>
      <c r="M23" s="826">
        <v>3</v>
      </c>
      <c r="N23" s="826"/>
      <c r="O23" s="826"/>
      <c r="P23" s="826"/>
      <c r="Q23" s="826"/>
      <c r="R23" s="826"/>
      <c r="S23" s="826"/>
      <c r="T23" s="826"/>
      <c r="U23" s="826"/>
      <c r="V23" s="826"/>
      <c r="W23" s="827">
        <v>219316</v>
      </c>
    </row>
    <row r="24" spans="1:23" x14ac:dyDescent="0.2">
      <c r="A24" s="825" t="s">
        <v>621</v>
      </c>
      <c r="B24" s="826">
        <v>2</v>
      </c>
      <c r="C24" s="826"/>
      <c r="D24" s="826"/>
      <c r="E24" s="826"/>
      <c r="F24" s="826"/>
      <c r="G24" s="826"/>
      <c r="H24" s="826"/>
      <c r="I24" s="826"/>
      <c r="J24" s="826"/>
      <c r="K24" s="826"/>
      <c r="L24" s="827">
        <v>140983</v>
      </c>
      <c r="M24" s="826">
        <v>2</v>
      </c>
      <c r="N24" s="826"/>
      <c r="O24" s="826"/>
      <c r="P24" s="826"/>
      <c r="Q24" s="826"/>
      <c r="R24" s="826"/>
      <c r="S24" s="826"/>
      <c r="T24" s="826"/>
      <c r="U24" s="826"/>
      <c r="V24" s="826"/>
      <c r="W24" s="827">
        <v>140983</v>
      </c>
    </row>
    <row r="25" spans="1:23" x14ac:dyDescent="0.2">
      <c r="A25" s="825" t="s">
        <v>622</v>
      </c>
      <c r="B25" s="826">
        <v>1</v>
      </c>
      <c r="C25" s="826"/>
      <c r="D25" s="826"/>
      <c r="E25" s="826"/>
      <c r="F25" s="826"/>
      <c r="G25" s="826"/>
      <c r="H25" s="826"/>
      <c r="I25" s="826"/>
      <c r="J25" s="826"/>
      <c r="K25" s="826"/>
      <c r="L25" s="827">
        <v>65310</v>
      </c>
      <c r="M25" s="826">
        <v>1</v>
      </c>
      <c r="N25" s="826"/>
      <c r="O25" s="826"/>
      <c r="P25" s="826"/>
      <c r="Q25" s="826"/>
      <c r="R25" s="826"/>
      <c r="S25" s="826"/>
      <c r="T25" s="826"/>
      <c r="U25" s="826"/>
      <c r="V25" s="826"/>
      <c r="W25" s="827">
        <v>65310</v>
      </c>
    </row>
    <row r="26" spans="1:23" x14ac:dyDescent="0.2">
      <c r="A26" s="825" t="s">
        <v>623</v>
      </c>
      <c r="B26" s="826"/>
      <c r="C26" s="826"/>
      <c r="D26" s="826"/>
      <c r="E26" s="826"/>
      <c r="F26" s="826"/>
      <c r="G26" s="826"/>
      <c r="H26" s="826"/>
      <c r="I26" s="826"/>
      <c r="J26" s="826"/>
      <c r="K26" s="826"/>
      <c r="L26" s="827"/>
      <c r="M26" s="826"/>
      <c r="N26" s="826"/>
      <c r="O26" s="826"/>
      <c r="P26" s="826"/>
      <c r="Q26" s="826"/>
      <c r="R26" s="826"/>
      <c r="S26" s="826"/>
      <c r="T26" s="826"/>
      <c r="U26" s="826"/>
      <c r="V26" s="826"/>
      <c r="W26" s="827"/>
    </row>
    <row r="27" spans="1:23" x14ac:dyDescent="0.2">
      <c r="A27" s="825" t="s">
        <v>624</v>
      </c>
      <c r="B27" s="826"/>
      <c r="C27" s="826"/>
      <c r="D27" s="826"/>
      <c r="E27" s="826"/>
      <c r="F27" s="826"/>
      <c r="G27" s="826"/>
      <c r="H27" s="826"/>
      <c r="I27" s="826">
        <v>60</v>
      </c>
      <c r="J27" s="826"/>
      <c r="K27" s="826"/>
      <c r="L27" s="827">
        <v>1339200</v>
      </c>
      <c r="M27" s="826"/>
      <c r="N27" s="826"/>
      <c r="O27" s="826"/>
      <c r="P27" s="826"/>
      <c r="Q27" s="826"/>
      <c r="R27" s="826"/>
      <c r="S27" s="826"/>
      <c r="T27" s="826">
        <v>60</v>
      </c>
      <c r="U27" s="826"/>
      <c r="V27" s="826"/>
      <c r="W27" s="827">
        <v>450450</v>
      </c>
    </row>
    <row r="28" spans="1:23" x14ac:dyDescent="0.2">
      <c r="A28" s="825" t="s">
        <v>98</v>
      </c>
      <c r="B28" s="826"/>
      <c r="C28" s="826"/>
      <c r="D28" s="826">
        <v>559</v>
      </c>
      <c r="E28" s="826"/>
      <c r="F28" s="826"/>
      <c r="G28" s="826"/>
      <c r="H28" s="826"/>
      <c r="I28" s="826"/>
      <c r="J28" s="826"/>
      <c r="K28" s="826"/>
      <c r="L28" s="827">
        <v>54845300</v>
      </c>
      <c r="M28" s="826"/>
      <c r="N28" s="826"/>
      <c r="O28" s="826">
        <v>534</v>
      </c>
      <c r="P28" s="826"/>
      <c r="Q28" s="826"/>
      <c r="R28" s="826"/>
      <c r="S28" s="826"/>
      <c r="T28" s="826"/>
      <c r="U28" s="826"/>
      <c r="V28" s="826"/>
      <c r="W28" s="827">
        <v>49872689</v>
      </c>
    </row>
    <row r="29" spans="1:23" x14ac:dyDescent="0.2">
      <c r="A29" s="825"/>
      <c r="B29" s="826"/>
      <c r="C29" s="826"/>
      <c r="D29" s="826"/>
      <c r="E29" s="826"/>
      <c r="F29" s="826"/>
      <c r="G29" s="826"/>
      <c r="H29" s="826"/>
      <c r="I29" s="826"/>
      <c r="J29" s="826"/>
      <c r="K29" s="826"/>
      <c r="L29" s="828"/>
      <c r="M29" s="826"/>
      <c r="N29" s="826"/>
      <c r="O29" s="826"/>
      <c r="P29" s="826"/>
      <c r="Q29" s="826"/>
      <c r="R29" s="826"/>
      <c r="S29" s="826"/>
      <c r="T29" s="826"/>
      <c r="U29" s="826"/>
      <c r="V29" s="826"/>
      <c r="W29" s="827"/>
    </row>
    <row r="30" spans="1:23" x14ac:dyDescent="0.2">
      <c r="A30" s="830" t="s">
        <v>5</v>
      </c>
      <c r="B30" s="831">
        <f>SUM(B31:B36)</f>
        <v>46</v>
      </c>
      <c r="C30" s="831">
        <f t="shared" ref="C30:J30" si="3">SUM(C31:C36)</f>
        <v>0</v>
      </c>
      <c r="D30" s="831">
        <f t="shared" si="3"/>
        <v>0</v>
      </c>
      <c r="E30" s="831">
        <f t="shared" si="3"/>
        <v>0</v>
      </c>
      <c r="F30" s="831">
        <f t="shared" si="3"/>
        <v>0</v>
      </c>
      <c r="G30" s="831">
        <f t="shared" si="3"/>
        <v>0</v>
      </c>
      <c r="H30" s="831">
        <f t="shared" si="3"/>
        <v>0</v>
      </c>
      <c r="I30" s="831">
        <f t="shared" si="3"/>
        <v>0</v>
      </c>
      <c r="J30" s="831">
        <f t="shared" si="3"/>
        <v>0</v>
      </c>
      <c r="K30" s="831">
        <f>SUM(B30:J30)</f>
        <v>46</v>
      </c>
      <c r="L30" s="832">
        <f>SUM(L31:L36)</f>
        <v>2168478</v>
      </c>
      <c r="M30" s="831">
        <f>SUM(M31:M36)</f>
        <v>44</v>
      </c>
      <c r="N30" s="831">
        <f t="shared" ref="N30:T30" si="4">SUM(N31:N36)</f>
        <v>0</v>
      </c>
      <c r="O30" s="831">
        <f t="shared" si="4"/>
        <v>0</v>
      </c>
      <c r="P30" s="831">
        <f t="shared" si="4"/>
        <v>0</v>
      </c>
      <c r="Q30" s="831">
        <f t="shared" si="4"/>
        <v>0</v>
      </c>
      <c r="R30" s="831">
        <f t="shared" si="4"/>
        <v>0</v>
      </c>
      <c r="S30" s="831">
        <f t="shared" si="4"/>
        <v>0</v>
      </c>
      <c r="T30" s="831">
        <f t="shared" si="4"/>
        <v>0</v>
      </c>
      <c r="U30" s="831">
        <f>SUM(U31:U36)</f>
        <v>0</v>
      </c>
      <c r="V30" s="831">
        <f>SUM(M30:U30)</f>
        <v>44</v>
      </c>
      <c r="W30" s="832">
        <f>SUM(W31:W36)</f>
        <v>2072319</v>
      </c>
    </row>
    <row r="31" spans="1:23" x14ac:dyDescent="0.2">
      <c r="A31" s="825" t="s">
        <v>625</v>
      </c>
      <c r="B31" s="826">
        <v>2</v>
      </c>
      <c r="C31" s="826"/>
      <c r="D31" s="826"/>
      <c r="E31" s="826"/>
      <c r="F31" s="826"/>
      <c r="G31" s="826"/>
      <c r="H31" s="826"/>
      <c r="I31" s="826"/>
      <c r="J31" s="826"/>
      <c r="K31" s="826"/>
      <c r="L31" s="827">
        <v>103639</v>
      </c>
      <c r="M31" s="826">
        <v>1</v>
      </c>
      <c r="N31" s="826"/>
      <c r="O31" s="826"/>
      <c r="P31" s="826"/>
      <c r="Q31" s="826"/>
      <c r="R31" s="826"/>
      <c r="S31" s="826"/>
      <c r="T31" s="826"/>
      <c r="U31" s="826"/>
      <c r="V31" s="826"/>
      <c r="W31" s="827">
        <v>51820</v>
      </c>
    </row>
    <row r="32" spans="1:23" x14ac:dyDescent="0.2">
      <c r="A32" s="825" t="s">
        <v>626</v>
      </c>
      <c r="B32" s="826">
        <v>12</v>
      </c>
      <c r="C32" s="826"/>
      <c r="D32" s="826"/>
      <c r="E32" s="826"/>
      <c r="F32" s="826"/>
      <c r="G32" s="826"/>
      <c r="H32" s="826"/>
      <c r="I32" s="826"/>
      <c r="J32" s="826"/>
      <c r="K32" s="826"/>
      <c r="L32" s="827">
        <v>592599</v>
      </c>
      <c r="M32" s="826">
        <v>12</v>
      </c>
      <c r="N32" s="826"/>
      <c r="O32" s="826"/>
      <c r="P32" s="826"/>
      <c r="Q32" s="826"/>
      <c r="R32" s="826"/>
      <c r="S32" s="826"/>
      <c r="T32" s="826"/>
      <c r="U32" s="826"/>
      <c r="V32" s="826"/>
      <c r="W32" s="827">
        <v>592599</v>
      </c>
    </row>
    <row r="33" spans="1:23" x14ac:dyDescent="0.2">
      <c r="A33" s="825" t="s">
        <v>627</v>
      </c>
      <c r="B33" s="826">
        <v>26</v>
      </c>
      <c r="C33" s="826"/>
      <c r="D33" s="826"/>
      <c r="E33" s="826"/>
      <c r="F33" s="826"/>
      <c r="G33" s="826"/>
      <c r="H33" s="826"/>
      <c r="I33" s="826"/>
      <c r="J33" s="826"/>
      <c r="K33" s="826"/>
      <c r="L33" s="827">
        <v>1208590</v>
      </c>
      <c r="M33" s="826">
        <v>26</v>
      </c>
      <c r="N33" s="826"/>
      <c r="O33" s="826"/>
      <c r="P33" s="826"/>
      <c r="Q33" s="826"/>
      <c r="R33" s="826"/>
      <c r="S33" s="826"/>
      <c r="T33" s="826"/>
      <c r="U33" s="826"/>
      <c r="V33" s="826"/>
      <c r="W33" s="827">
        <v>1208590</v>
      </c>
    </row>
    <row r="34" spans="1:23" x14ac:dyDescent="0.2">
      <c r="A34" s="825" t="s">
        <v>628</v>
      </c>
      <c r="B34" s="826">
        <v>5</v>
      </c>
      <c r="C34" s="826"/>
      <c r="D34" s="826"/>
      <c r="E34" s="826"/>
      <c r="F34" s="826"/>
      <c r="G34" s="826"/>
      <c r="H34" s="826"/>
      <c r="I34" s="826"/>
      <c r="J34" s="826"/>
      <c r="K34" s="826"/>
      <c r="L34" s="827">
        <v>221701</v>
      </c>
      <c r="M34" s="826">
        <v>4</v>
      </c>
      <c r="N34" s="826"/>
      <c r="O34" s="826"/>
      <c r="P34" s="826"/>
      <c r="Q34" s="826"/>
      <c r="R34" s="826"/>
      <c r="S34" s="826"/>
      <c r="T34" s="826"/>
      <c r="U34" s="826"/>
      <c r="V34" s="826"/>
      <c r="W34" s="827">
        <v>177361</v>
      </c>
    </row>
    <row r="35" spans="1:23" x14ac:dyDescent="0.2">
      <c r="A35" s="825" t="s">
        <v>629</v>
      </c>
      <c r="B35" s="826">
        <v>1</v>
      </c>
      <c r="C35" s="826"/>
      <c r="D35" s="826"/>
      <c r="E35" s="826"/>
      <c r="F35" s="826"/>
      <c r="G35" s="826"/>
      <c r="H35" s="826"/>
      <c r="I35" s="826"/>
      <c r="J35" s="826"/>
      <c r="K35" s="826"/>
      <c r="L35" s="827">
        <v>41949</v>
      </c>
      <c r="M35" s="826">
        <v>1</v>
      </c>
      <c r="N35" s="826"/>
      <c r="O35" s="826"/>
      <c r="P35" s="826"/>
      <c r="Q35" s="826"/>
      <c r="R35" s="826"/>
      <c r="S35" s="826"/>
      <c r="T35" s="826"/>
      <c r="U35" s="826"/>
      <c r="V35" s="826"/>
      <c r="W35" s="827">
        <v>41949</v>
      </c>
    </row>
    <row r="36" spans="1:23" x14ac:dyDescent="0.2">
      <c r="A36" s="825" t="s">
        <v>630</v>
      </c>
      <c r="B36" s="826"/>
      <c r="C36" s="826"/>
      <c r="D36" s="826"/>
      <c r="E36" s="826"/>
      <c r="F36" s="826"/>
      <c r="G36" s="826"/>
      <c r="H36" s="826"/>
      <c r="I36" s="826"/>
      <c r="J36" s="826"/>
      <c r="K36" s="826"/>
      <c r="L36" s="828"/>
      <c r="M36" s="826"/>
      <c r="N36" s="826"/>
      <c r="O36" s="826"/>
      <c r="P36" s="826"/>
      <c r="Q36" s="826"/>
      <c r="R36" s="826"/>
      <c r="S36" s="826"/>
      <c r="T36" s="826"/>
      <c r="U36" s="826"/>
      <c r="V36" s="826"/>
      <c r="W36" s="827"/>
    </row>
    <row r="37" spans="1:23" x14ac:dyDescent="0.2">
      <c r="A37" s="825"/>
      <c r="B37" s="826"/>
      <c r="C37" s="826"/>
      <c r="D37" s="826"/>
      <c r="E37" s="826"/>
      <c r="F37" s="826"/>
      <c r="G37" s="826"/>
      <c r="H37" s="826"/>
      <c r="I37" s="826"/>
      <c r="J37" s="826"/>
      <c r="K37" s="826"/>
      <c r="L37" s="828"/>
      <c r="M37" s="826"/>
      <c r="N37" s="826"/>
      <c r="O37" s="826"/>
      <c r="P37" s="826"/>
      <c r="Q37" s="826"/>
      <c r="R37" s="826"/>
      <c r="S37" s="826"/>
      <c r="T37" s="826"/>
      <c r="U37" s="826"/>
      <c r="V37" s="826"/>
      <c r="W37" s="827"/>
    </row>
    <row r="38" spans="1:23" x14ac:dyDescent="0.2">
      <c r="A38" s="830" t="s">
        <v>6</v>
      </c>
      <c r="B38" s="831">
        <f>SUM(B39:B44)</f>
        <v>3</v>
      </c>
      <c r="C38" s="831">
        <f t="shared" ref="C38:J38" si="5">SUM(C39:C44)</f>
        <v>0</v>
      </c>
      <c r="D38" s="831">
        <f t="shared" si="5"/>
        <v>0</v>
      </c>
      <c r="E38" s="831">
        <f t="shared" si="5"/>
        <v>0</v>
      </c>
      <c r="F38" s="831">
        <f t="shared" si="5"/>
        <v>0</v>
      </c>
      <c r="G38" s="831">
        <f t="shared" si="5"/>
        <v>0</v>
      </c>
      <c r="H38" s="831">
        <f t="shared" si="5"/>
        <v>0</v>
      </c>
      <c r="I38" s="831">
        <f t="shared" si="5"/>
        <v>0</v>
      </c>
      <c r="J38" s="831">
        <f t="shared" si="5"/>
        <v>0</v>
      </c>
      <c r="K38" s="831">
        <f>SUM(B38:J38)</f>
        <v>3</v>
      </c>
      <c r="L38" s="832">
        <f>SUM(L39:L44)</f>
        <v>108665</v>
      </c>
      <c r="M38" s="831">
        <f>SUM(M39:M44)</f>
        <v>3</v>
      </c>
      <c r="N38" s="831">
        <f t="shared" ref="N38:T38" si="6">SUM(N39:N44)</f>
        <v>0</v>
      </c>
      <c r="O38" s="831">
        <f t="shared" si="6"/>
        <v>0</v>
      </c>
      <c r="P38" s="831">
        <f t="shared" si="6"/>
        <v>0</v>
      </c>
      <c r="Q38" s="831">
        <f t="shared" si="6"/>
        <v>0</v>
      </c>
      <c r="R38" s="831">
        <f t="shared" si="6"/>
        <v>0</v>
      </c>
      <c r="S38" s="831">
        <f t="shared" si="6"/>
        <v>0</v>
      </c>
      <c r="T38" s="831">
        <f t="shared" si="6"/>
        <v>0</v>
      </c>
      <c r="U38" s="831">
        <f>SUM(U39:U44)</f>
        <v>0</v>
      </c>
      <c r="V38" s="831">
        <f>SUM(M38:U38)</f>
        <v>3</v>
      </c>
      <c r="W38" s="832">
        <f>SUM(W39:W44)</f>
        <v>108665</v>
      </c>
    </row>
    <row r="39" spans="1:23" x14ac:dyDescent="0.2">
      <c r="A39" s="825" t="s">
        <v>631</v>
      </c>
      <c r="B39" s="826">
        <v>2</v>
      </c>
      <c r="C39" s="826"/>
      <c r="D39" s="826"/>
      <c r="E39" s="826"/>
      <c r="F39" s="826"/>
      <c r="G39" s="826"/>
      <c r="H39" s="826"/>
      <c r="I39" s="826"/>
      <c r="J39" s="826"/>
      <c r="K39" s="826"/>
      <c r="L39" s="827">
        <v>74292</v>
      </c>
      <c r="M39" s="826">
        <v>2</v>
      </c>
      <c r="N39" s="826"/>
      <c r="O39" s="826"/>
      <c r="P39" s="826"/>
      <c r="Q39" s="826"/>
      <c r="R39" s="826"/>
      <c r="S39" s="826"/>
      <c r="T39" s="826"/>
      <c r="U39" s="826"/>
      <c r="V39" s="826"/>
      <c r="W39" s="827">
        <v>74292</v>
      </c>
    </row>
    <row r="40" spans="1:23" x14ac:dyDescent="0.2">
      <c r="A40" s="825" t="s">
        <v>632</v>
      </c>
      <c r="B40" s="826"/>
      <c r="C40" s="826"/>
      <c r="D40" s="826"/>
      <c r="E40" s="826"/>
      <c r="F40" s="826"/>
      <c r="G40" s="826"/>
      <c r="H40" s="826"/>
      <c r="I40" s="826"/>
      <c r="J40" s="826"/>
      <c r="K40" s="826"/>
      <c r="L40" s="827"/>
      <c r="M40" s="826"/>
      <c r="N40" s="826"/>
      <c r="O40" s="826"/>
      <c r="P40" s="826"/>
      <c r="Q40" s="826"/>
      <c r="R40" s="826"/>
      <c r="S40" s="826"/>
      <c r="T40" s="826"/>
      <c r="U40" s="826"/>
      <c r="V40" s="826"/>
      <c r="W40" s="827"/>
    </row>
    <row r="41" spans="1:23" x14ac:dyDescent="0.2">
      <c r="A41" s="825" t="s">
        <v>633</v>
      </c>
      <c r="B41" s="826"/>
      <c r="C41" s="826"/>
      <c r="D41" s="826"/>
      <c r="E41" s="826"/>
      <c r="F41" s="826"/>
      <c r="G41" s="826"/>
      <c r="H41" s="826"/>
      <c r="I41" s="826"/>
      <c r="J41" s="826"/>
      <c r="K41" s="826"/>
      <c r="L41" s="827"/>
      <c r="M41" s="826"/>
      <c r="N41" s="826"/>
      <c r="O41" s="826"/>
      <c r="P41" s="826"/>
      <c r="Q41" s="826"/>
      <c r="R41" s="826"/>
      <c r="S41" s="826"/>
      <c r="T41" s="826"/>
      <c r="U41" s="826"/>
      <c r="V41" s="826"/>
      <c r="W41" s="827"/>
    </row>
    <row r="42" spans="1:23" x14ac:dyDescent="0.2">
      <c r="A42" s="825" t="s">
        <v>634</v>
      </c>
      <c r="B42" s="826"/>
      <c r="C42" s="826"/>
      <c r="D42" s="826"/>
      <c r="E42" s="826"/>
      <c r="F42" s="826"/>
      <c r="G42" s="826"/>
      <c r="H42" s="826"/>
      <c r="I42" s="826"/>
      <c r="J42" s="826"/>
      <c r="K42" s="826"/>
      <c r="L42" s="827"/>
      <c r="M42" s="826"/>
      <c r="N42" s="826"/>
      <c r="O42" s="826"/>
      <c r="P42" s="826"/>
      <c r="Q42" s="826"/>
      <c r="R42" s="826"/>
      <c r="S42" s="826"/>
      <c r="T42" s="826"/>
      <c r="U42" s="826"/>
      <c r="V42" s="826"/>
      <c r="W42" s="827"/>
    </row>
    <row r="43" spans="1:23" x14ac:dyDescent="0.2">
      <c r="A43" s="825" t="s">
        <v>635</v>
      </c>
      <c r="B43" s="826">
        <v>1</v>
      </c>
      <c r="C43" s="826"/>
      <c r="D43" s="826"/>
      <c r="E43" s="826"/>
      <c r="F43" s="826"/>
      <c r="G43" s="826"/>
      <c r="H43" s="826"/>
      <c r="I43" s="826"/>
      <c r="J43" s="826"/>
      <c r="K43" s="826"/>
      <c r="L43" s="827">
        <v>34373</v>
      </c>
      <c r="M43" s="826">
        <v>1</v>
      </c>
      <c r="N43" s="826"/>
      <c r="O43" s="826"/>
      <c r="P43" s="826"/>
      <c r="Q43" s="826"/>
      <c r="R43" s="826"/>
      <c r="S43" s="826"/>
      <c r="T43" s="826"/>
      <c r="U43" s="826"/>
      <c r="V43" s="826"/>
      <c r="W43" s="827">
        <v>34373</v>
      </c>
    </row>
    <row r="44" spans="1:23" x14ac:dyDescent="0.2">
      <c r="A44" s="825" t="s">
        <v>636</v>
      </c>
      <c r="B44" s="826"/>
      <c r="C44" s="826"/>
      <c r="D44" s="826"/>
      <c r="E44" s="826"/>
      <c r="F44" s="826"/>
      <c r="G44" s="826"/>
      <c r="H44" s="826"/>
      <c r="I44" s="826"/>
      <c r="J44" s="826"/>
      <c r="K44" s="826"/>
      <c r="L44" s="828"/>
      <c r="M44" s="826"/>
      <c r="N44" s="826"/>
      <c r="O44" s="826"/>
      <c r="P44" s="826"/>
      <c r="Q44" s="826"/>
      <c r="R44" s="826"/>
      <c r="S44" s="826"/>
      <c r="T44" s="826"/>
      <c r="U44" s="826"/>
      <c r="V44" s="826"/>
      <c r="W44" s="827"/>
    </row>
    <row r="45" spans="1:23" ht="3.75" customHeight="1" thickBot="1" x14ac:dyDescent="0.25">
      <c r="A45" s="322"/>
      <c r="B45" s="319"/>
      <c r="C45" s="319"/>
      <c r="D45" s="319"/>
      <c r="E45" s="319"/>
      <c r="F45" s="319"/>
      <c r="G45" s="319"/>
      <c r="H45" s="319"/>
      <c r="I45" s="319"/>
      <c r="J45" s="319"/>
      <c r="K45" s="319"/>
      <c r="L45" s="327"/>
      <c r="M45" s="319"/>
      <c r="N45" s="319"/>
      <c r="O45" s="319"/>
      <c r="P45" s="319"/>
      <c r="Q45" s="319"/>
      <c r="R45" s="319"/>
      <c r="S45" s="319"/>
      <c r="T45" s="319"/>
      <c r="U45" s="319"/>
      <c r="V45" s="319"/>
      <c r="W45" s="818"/>
    </row>
    <row r="46" spans="1:23" ht="13.5" thickBot="1" x14ac:dyDescent="0.25">
      <c r="A46" s="329" t="s">
        <v>23</v>
      </c>
      <c r="B46" s="332">
        <f>SUM(B38,B30,B20,B9)</f>
        <v>108</v>
      </c>
      <c r="C46" s="332">
        <f t="shared" ref="C46:J46" si="7">SUM(C38,C30,C20,C9)</f>
        <v>0</v>
      </c>
      <c r="D46" s="332">
        <f t="shared" si="7"/>
        <v>559</v>
      </c>
      <c r="E46" s="332">
        <f t="shared" si="7"/>
        <v>5</v>
      </c>
      <c r="F46" s="819">
        <f t="shared" si="7"/>
        <v>0</v>
      </c>
      <c r="G46" s="819">
        <f t="shared" si="7"/>
        <v>0</v>
      </c>
      <c r="H46" s="819">
        <f t="shared" si="7"/>
        <v>0</v>
      </c>
      <c r="I46" s="332">
        <f t="shared" si="7"/>
        <v>60</v>
      </c>
      <c r="J46" s="332">
        <f t="shared" si="7"/>
        <v>5</v>
      </c>
      <c r="K46" s="332">
        <f>SUM(B46:J46)</f>
        <v>737</v>
      </c>
      <c r="L46" s="820">
        <f>SUM(L38,L30,L20,L9)</f>
        <v>65889160</v>
      </c>
      <c r="M46" s="331">
        <f>SUM(M38,M30,M20,M9)</f>
        <v>102</v>
      </c>
      <c r="N46" s="332">
        <f t="shared" ref="N46:W46" si="8">SUM(N38,N30,N20,N9)</f>
        <v>0</v>
      </c>
      <c r="O46" s="332">
        <f t="shared" si="8"/>
        <v>534</v>
      </c>
      <c r="P46" s="332">
        <f t="shared" si="8"/>
        <v>5</v>
      </c>
      <c r="Q46" s="819">
        <f t="shared" si="8"/>
        <v>0</v>
      </c>
      <c r="R46" s="819">
        <f t="shared" si="8"/>
        <v>0</v>
      </c>
      <c r="S46" s="819">
        <f t="shared" si="8"/>
        <v>0</v>
      </c>
      <c r="T46" s="332">
        <f t="shared" si="8"/>
        <v>60</v>
      </c>
      <c r="U46" s="819">
        <f t="shared" si="8"/>
        <v>0</v>
      </c>
      <c r="V46" s="332">
        <f>SUM(M46:U46)</f>
        <v>701</v>
      </c>
      <c r="W46" s="821">
        <f t="shared" si="8"/>
        <v>59588674</v>
      </c>
    </row>
    <row r="47" spans="1:23" x14ac:dyDescent="0.2">
      <c r="A47" s="302" t="s">
        <v>306</v>
      </c>
      <c r="B47" s="303"/>
      <c r="C47" s="303"/>
      <c r="D47" s="303"/>
      <c r="E47" s="303"/>
      <c r="F47" s="303"/>
      <c r="G47" s="303"/>
      <c r="H47" s="303"/>
      <c r="I47" s="303"/>
      <c r="J47" s="303"/>
      <c r="K47" s="303"/>
      <c r="L47" s="303"/>
      <c r="M47" s="303"/>
      <c r="N47" s="303"/>
      <c r="O47" s="303"/>
      <c r="P47" s="304"/>
      <c r="Q47" s="388"/>
      <c r="R47" s="301"/>
      <c r="S47" s="301"/>
      <c r="T47" s="462"/>
      <c r="U47" s="462"/>
      <c r="V47" s="462"/>
      <c r="W47" s="462"/>
    </row>
    <row r="48" spans="1:23" x14ac:dyDescent="0.2">
      <c r="A48" s="317" t="s">
        <v>300</v>
      </c>
      <c r="P48" s="462"/>
      <c r="Q48" s="388"/>
      <c r="R48" s="301"/>
      <c r="S48" s="301"/>
      <c r="T48" s="301"/>
      <c r="U48" s="301"/>
      <c r="V48" s="462"/>
      <c r="W48" s="462"/>
    </row>
    <row r="49" spans="1:28" x14ac:dyDescent="0.2">
      <c r="A49" s="317" t="s">
        <v>304</v>
      </c>
      <c r="P49" s="462"/>
      <c r="Q49" s="388"/>
      <c r="R49" s="301"/>
      <c r="S49" s="301"/>
      <c r="T49" s="301"/>
      <c r="U49" s="301"/>
      <c r="V49" s="462"/>
      <c r="W49" s="462"/>
    </row>
    <row r="50" spans="1:28" x14ac:dyDescent="0.2">
      <c r="A50" s="317" t="s">
        <v>311</v>
      </c>
    </row>
    <row r="52" spans="1:28" s="388" customFormat="1" ht="15.75" x14ac:dyDescent="0.25">
      <c r="A52" s="391" t="s">
        <v>609</v>
      </c>
      <c r="B52" s="389"/>
      <c r="C52" s="389"/>
      <c r="D52" s="389"/>
      <c r="E52" s="389"/>
      <c r="F52" s="389"/>
      <c r="G52" s="389"/>
      <c r="H52" s="389"/>
      <c r="I52" s="389"/>
      <c r="J52" s="389"/>
      <c r="K52" s="389"/>
      <c r="L52" s="389"/>
      <c r="M52" s="389"/>
      <c r="N52" s="389"/>
      <c r="O52" s="389"/>
      <c r="P52" s="389"/>
      <c r="Q52" s="389"/>
      <c r="R52" s="389"/>
      <c r="S52" s="389"/>
      <c r="T52" s="389"/>
      <c r="U52" s="389"/>
      <c r="V52" s="389"/>
      <c r="W52" s="389"/>
      <c r="Y52" s="301"/>
      <c r="Z52" s="301"/>
      <c r="AA52" s="301"/>
      <c r="AB52" s="301"/>
    </row>
    <row r="53" spans="1:28" s="388" customFormat="1" ht="13.5" thickBot="1" x14ac:dyDescent="0.25">
      <c r="A53" s="581" t="s">
        <v>637</v>
      </c>
      <c r="B53" s="317"/>
      <c r="C53" s="317"/>
      <c r="D53" s="317"/>
      <c r="E53" s="317"/>
      <c r="F53" s="317"/>
      <c r="G53" s="317"/>
      <c r="H53" s="317"/>
      <c r="I53" s="317"/>
      <c r="J53" s="317"/>
      <c r="K53" s="317"/>
      <c r="L53" s="318"/>
      <c r="M53" s="317"/>
      <c r="N53" s="317"/>
      <c r="O53" s="317"/>
      <c r="P53" s="317"/>
      <c r="Q53" s="317"/>
      <c r="R53" s="317"/>
      <c r="S53" s="317"/>
      <c r="T53" s="317"/>
      <c r="U53" s="317"/>
      <c r="V53" s="317"/>
      <c r="W53" s="318"/>
      <c r="Y53" s="301"/>
      <c r="Z53" s="301"/>
      <c r="AA53" s="301"/>
      <c r="AB53" s="301"/>
    </row>
    <row r="54" spans="1:28" s="388" customFormat="1" ht="16.5" customHeight="1" x14ac:dyDescent="0.2">
      <c r="A54" s="414" t="s">
        <v>10</v>
      </c>
      <c r="B54" s="1470" t="s">
        <v>446</v>
      </c>
      <c r="C54" s="1471"/>
      <c r="D54" s="1471"/>
      <c r="E54" s="1471"/>
      <c r="F54" s="1471"/>
      <c r="G54" s="1471"/>
      <c r="H54" s="1471"/>
      <c r="I54" s="1471"/>
      <c r="J54" s="1471"/>
      <c r="K54" s="1471"/>
      <c r="L54" s="1472"/>
      <c r="M54" s="1470" t="s">
        <v>447</v>
      </c>
      <c r="N54" s="1471"/>
      <c r="O54" s="1471"/>
      <c r="P54" s="1471"/>
      <c r="Q54" s="1471"/>
      <c r="R54" s="1471"/>
      <c r="S54" s="1471"/>
      <c r="T54" s="1471"/>
      <c r="U54" s="1471"/>
      <c r="V54" s="1471"/>
      <c r="W54" s="1472"/>
      <c r="Y54" s="301"/>
      <c r="Z54" s="301"/>
      <c r="AA54" s="301"/>
      <c r="AB54" s="301"/>
    </row>
    <row r="55" spans="1:28" s="388" customFormat="1" ht="134.25" x14ac:dyDescent="0.2">
      <c r="A55" s="415" t="s">
        <v>9</v>
      </c>
      <c r="B55" s="416" t="s">
        <v>340</v>
      </c>
      <c r="C55" s="416" t="s">
        <v>128</v>
      </c>
      <c r="D55" s="417" t="s">
        <v>299</v>
      </c>
      <c r="E55" s="417" t="s">
        <v>291</v>
      </c>
      <c r="F55" s="417" t="s">
        <v>301</v>
      </c>
      <c r="G55" s="417" t="s">
        <v>302</v>
      </c>
      <c r="H55" s="417" t="s">
        <v>303</v>
      </c>
      <c r="I55" s="417" t="s">
        <v>310</v>
      </c>
      <c r="J55" s="418" t="s">
        <v>305</v>
      </c>
      <c r="K55" s="419" t="s">
        <v>307</v>
      </c>
      <c r="L55" s="420" t="s">
        <v>309</v>
      </c>
      <c r="M55" s="416" t="s">
        <v>340</v>
      </c>
      <c r="N55" s="416" t="s">
        <v>128</v>
      </c>
      <c r="O55" s="417" t="s">
        <v>299</v>
      </c>
      <c r="P55" s="417" t="s">
        <v>291</v>
      </c>
      <c r="Q55" s="417" t="s">
        <v>301</v>
      </c>
      <c r="R55" s="417" t="s">
        <v>302</v>
      </c>
      <c r="S55" s="417" t="s">
        <v>303</v>
      </c>
      <c r="T55" s="417" t="s">
        <v>310</v>
      </c>
      <c r="U55" s="418" t="s">
        <v>305</v>
      </c>
      <c r="V55" s="419" t="s">
        <v>307</v>
      </c>
      <c r="W55" s="420" t="s">
        <v>308</v>
      </c>
      <c r="Y55" s="301"/>
      <c r="Z55" s="301"/>
      <c r="AA55" s="301"/>
      <c r="AB55" s="301"/>
    </row>
    <row r="56" spans="1:28" s="388" customFormat="1" x14ac:dyDescent="0.2">
      <c r="A56" s="322"/>
      <c r="B56" s="319"/>
      <c r="C56" s="319"/>
      <c r="D56" s="319"/>
      <c r="E56" s="319"/>
      <c r="F56" s="319"/>
      <c r="G56" s="319"/>
      <c r="H56" s="319"/>
      <c r="I56" s="319"/>
      <c r="J56" s="319"/>
      <c r="K56" s="319"/>
      <c r="L56" s="327"/>
      <c r="M56" s="319"/>
      <c r="N56" s="319"/>
      <c r="O56" s="319"/>
      <c r="P56" s="319"/>
      <c r="Q56" s="319"/>
      <c r="R56" s="319"/>
      <c r="S56" s="319"/>
      <c r="T56" s="319"/>
      <c r="U56" s="319"/>
      <c r="V56" s="319"/>
      <c r="W56" s="327"/>
      <c r="Y56" s="301"/>
      <c r="Z56" s="301"/>
      <c r="AA56" s="301"/>
      <c r="AB56" s="301"/>
    </row>
    <row r="57" spans="1:28" s="388" customFormat="1" x14ac:dyDescent="0.2">
      <c r="A57" s="833" t="s">
        <v>7</v>
      </c>
      <c r="B57" s="834"/>
      <c r="C57" s="834"/>
      <c r="D57" s="834"/>
      <c r="E57" s="834"/>
      <c r="F57" s="834"/>
      <c r="G57" s="834"/>
      <c r="H57" s="834"/>
      <c r="I57" s="834"/>
      <c r="J57" s="834"/>
      <c r="K57" s="834"/>
      <c r="L57" s="835"/>
      <c r="M57" s="834"/>
      <c r="N57" s="834"/>
      <c r="O57" s="834"/>
      <c r="P57" s="834"/>
      <c r="Q57" s="834"/>
      <c r="R57" s="834"/>
      <c r="S57" s="834"/>
      <c r="T57" s="834"/>
      <c r="U57" s="834"/>
      <c r="V57" s="834"/>
      <c r="W57" s="835"/>
      <c r="Y57" s="301"/>
      <c r="Z57" s="301"/>
      <c r="AA57" s="301"/>
      <c r="AB57" s="301"/>
    </row>
    <row r="58" spans="1:28" s="388" customFormat="1" x14ac:dyDescent="0.2">
      <c r="A58" s="825" t="s">
        <v>614</v>
      </c>
      <c r="B58" s="836"/>
      <c r="C58" s="836">
        <v>2</v>
      </c>
      <c r="D58" s="836">
        <v>1</v>
      </c>
      <c r="E58" s="836"/>
      <c r="F58" s="836"/>
      <c r="G58" s="836"/>
      <c r="H58" s="836"/>
      <c r="I58" s="836"/>
      <c r="J58" s="836"/>
      <c r="K58" s="836">
        <f>SUM(C58:J58)</f>
        <v>3</v>
      </c>
      <c r="L58" s="837">
        <v>370974</v>
      </c>
      <c r="M58" s="836"/>
      <c r="N58" s="836">
        <v>2</v>
      </c>
      <c r="O58" s="836">
        <v>1</v>
      </c>
      <c r="P58" s="836"/>
      <c r="Q58" s="836"/>
      <c r="R58" s="836"/>
      <c r="S58" s="836"/>
      <c r="T58" s="836"/>
      <c r="U58" s="836"/>
      <c r="V58" s="836">
        <f>SUM(N58:U58)</f>
        <v>3</v>
      </c>
      <c r="W58" s="837">
        <v>222310</v>
      </c>
      <c r="Y58" s="301"/>
      <c r="Z58" s="301"/>
      <c r="AA58" s="301"/>
      <c r="AB58" s="301"/>
    </row>
    <row r="59" spans="1:28" s="388" customFormat="1" x14ac:dyDescent="0.2">
      <c r="A59" s="825" t="s">
        <v>615</v>
      </c>
      <c r="B59" s="836"/>
      <c r="C59" s="836">
        <v>8</v>
      </c>
      <c r="D59" s="836">
        <v>0</v>
      </c>
      <c r="E59" s="836"/>
      <c r="F59" s="836"/>
      <c r="G59" s="836"/>
      <c r="H59" s="836"/>
      <c r="I59" s="836"/>
      <c r="J59" s="836"/>
      <c r="K59" s="836">
        <f>SUM(C59:J59)</f>
        <v>8</v>
      </c>
      <c r="L59" s="837">
        <v>695722</v>
      </c>
      <c r="M59" s="836"/>
      <c r="N59" s="836">
        <v>8</v>
      </c>
      <c r="O59" s="836">
        <v>0</v>
      </c>
      <c r="P59" s="836"/>
      <c r="Q59" s="836"/>
      <c r="R59" s="836"/>
      <c r="S59" s="836"/>
      <c r="T59" s="836"/>
      <c r="U59" s="836"/>
      <c r="V59" s="836">
        <f>SUM(N59:U59)</f>
        <v>8</v>
      </c>
      <c r="W59" s="837">
        <f>630051</f>
        <v>630051</v>
      </c>
      <c r="Y59" s="301"/>
      <c r="Z59" s="301"/>
      <c r="AA59" s="301"/>
      <c r="AB59" s="301"/>
    </row>
    <row r="60" spans="1:28" s="388" customFormat="1" x14ac:dyDescent="0.2">
      <c r="A60" s="825" t="s">
        <v>616</v>
      </c>
      <c r="B60" s="836"/>
      <c r="C60" s="836"/>
      <c r="D60" s="836"/>
      <c r="E60" s="836"/>
      <c r="F60" s="836"/>
      <c r="G60" s="836"/>
      <c r="H60" s="836"/>
      <c r="I60" s="836"/>
      <c r="J60" s="836"/>
      <c r="K60" s="836"/>
      <c r="L60" s="837"/>
      <c r="M60" s="836"/>
      <c r="N60" s="836"/>
      <c r="O60" s="836"/>
      <c r="P60" s="836"/>
      <c r="Q60" s="836"/>
      <c r="R60" s="836"/>
      <c r="S60" s="836"/>
      <c r="T60" s="836"/>
      <c r="U60" s="836"/>
      <c r="V60" s="836"/>
      <c r="W60" s="837"/>
      <c r="Y60" s="301"/>
      <c r="Z60" s="301"/>
      <c r="AA60" s="301"/>
      <c r="AB60" s="301"/>
    </row>
    <row r="61" spans="1:28" s="388" customFormat="1" x14ac:dyDescent="0.2">
      <c r="A61" s="825" t="s">
        <v>617</v>
      </c>
      <c r="B61" s="836"/>
      <c r="C61" s="836"/>
      <c r="D61" s="836"/>
      <c r="E61" s="836"/>
      <c r="F61" s="836"/>
      <c r="G61" s="836"/>
      <c r="H61" s="836"/>
      <c r="I61" s="836"/>
      <c r="J61" s="836"/>
      <c r="K61" s="836"/>
      <c r="L61" s="837"/>
      <c r="M61" s="836"/>
      <c r="N61" s="836"/>
      <c r="O61" s="836"/>
      <c r="P61" s="836"/>
      <c r="Q61" s="836"/>
      <c r="R61" s="836"/>
      <c r="S61" s="836"/>
      <c r="T61" s="836"/>
      <c r="U61" s="836"/>
      <c r="V61" s="836"/>
      <c r="W61" s="837"/>
      <c r="Y61" s="301"/>
      <c r="Z61" s="301"/>
      <c r="AA61" s="301"/>
      <c r="AB61" s="301"/>
    </row>
    <row r="62" spans="1:28" s="388" customFormat="1" x14ac:dyDescent="0.2">
      <c r="A62" s="825" t="s">
        <v>13</v>
      </c>
      <c r="B62" s="836"/>
      <c r="C62" s="836"/>
      <c r="D62" s="836"/>
      <c r="E62" s="836"/>
      <c r="F62" s="836"/>
      <c r="G62" s="836"/>
      <c r="H62" s="836"/>
      <c r="I62" s="836"/>
      <c r="J62" s="836"/>
      <c r="K62" s="836"/>
      <c r="L62" s="837"/>
      <c r="M62" s="836"/>
      <c r="N62" s="836"/>
      <c r="O62" s="836"/>
      <c r="P62" s="836"/>
      <c r="Q62" s="836"/>
      <c r="R62" s="836"/>
      <c r="S62" s="836"/>
      <c r="T62" s="836"/>
      <c r="U62" s="836"/>
      <c r="V62" s="836"/>
      <c r="W62" s="837"/>
      <c r="Y62" s="301"/>
      <c r="Z62" s="301"/>
      <c r="AA62" s="301"/>
      <c r="AB62" s="301"/>
    </row>
    <row r="63" spans="1:28" s="388" customFormat="1" x14ac:dyDescent="0.2">
      <c r="A63" s="825"/>
      <c r="B63" s="836"/>
      <c r="C63" s="836"/>
      <c r="D63" s="836"/>
      <c r="E63" s="836"/>
      <c r="F63" s="836"/>
      <c r="G63" s="836"/>
      <c r="H63" s="836"/>
      <c r="I63" s="836"/>
      <c r="J63" s="836"/>
      <c r="K63" s="836"/>
      <c r="L63" s="837"/>
      <c r="M63" s="836"/>
      <c r="N63" s="836"/>
      <c r="O63" s="836"/>
      <c r="P63" s="836"/>
      <c r="Q63" s="836"/>
      <c r="R63" s="836"/>
      <c r="S63" s="836"/>
      <c r="T63" s="836"/>
      <c r="U63" s="836"/>
      <c r="V63" s="836"/>
      <c r="W63" s="837"/>
      <c r="Y63" s="301"/>
      <c r="Z63" s="301"/>
      <c r="AA63" s="301"/>
      <c r="AB63" s="301"/>
    </row>
    <row r="64" spans="1:28" s="388" customFormat="1" x14ac:dyDescent="0.2">
      <c r="A64" s="829"/>
      <c r="B64" s="836"/>
      <c r="C64" s="836"/>
      <c r="D64" s="836"/>
      <c r="E64" s="836"/>
      <c r="F64" s="836"/>
      <c r="G64" s="836"/>
      <c r="H64" s="836"/>
      <c r="I64" s="836"/>
      <c r="J64" s="836"/>
      <c r="K64" s="836"/>
      <c r="L64" s="837"/>
      <c r="M64" s="836"/>
      <c r="N64" s="836"/>
      <c r="O64" s="836"/>
      <c r="P64" s="836"/>
      <c r="Q64" s="836"/>
      <c r="R64" s="836"/>
      <c r="S64" s="836"/>
      <c r="T64" s="836"/>
      <c r="U64" s="836"/>
      <c r="V64" s="836"/>
      <c r="W64" s="837"/>
      <c r="Y64" s="301"/>
      <c r="Z64" s="301"/>
      <c r="AA64" s="301"/>
      <c r="AB64" s="301"/>
    </row>
    <row r="65" spans="1:28" s="388" customFormat="1" x14ac:dyDescent="0.2">
      <c r="A65" s="830" t="s">
        <v>4</v>
      </c>
      <c r="B65" s="838"/>
      <c r="C65" s="838"/>
      <c r="D65" s="838"/>
      <c r="E65" s="838"/>
      <c r="F65" s="838"/>
      <c r="G65" s="838"/>
      <c r="H65" s="838"/>
      <c r="I65" s="838"/>
      <c r="J65" s="838"/>
      <c r="K65" s="838"/>
      <c r="L65" s="839"/>
      <c r="M65" s="838"/>
      <c r="N65" s="838"/>
      <c r="O65" s="838"/>
      <c r="P65" s="838"/>
      <c r="Q65" s="838"/>
      <c r="R65" s="838"/>
      <c r="S65" s="838"/>
      <c r="T65" s="838"/>
      <c r="U65" s="838"/>
      <c r="V65" s="838"/>
      <c r="W65" s="839"/>
      <c r="Y65" s="301"/>
      <c r="Z65" s="301"/>
      <c r="AA65" s="301"/>
      <c r="AB65" s="301"/>
    </row>
    <row r="66" spans="1:28" s="388" customFormat="1" x14ac:dyDescent="0.2">
      <c r="A66" s="825" t="s">
        <v>14</v>
      </c>
      <c r="B66" s="836"/>
      <c r="C66" s="836">
        <v>12</v>
      </c>
      <c r="D66" s="836">
        <v>25</v>
      </c>
      <c r="E66" s="836"/>
      <c r="F66" s="836"/>
      <c r="G66" s="836"/>
      <c r="H66" s="836"/>
      <c r="I66" s="836"/>
      <c r="J66" s="836"/>
      <c r="K66" s="836">
        <f>SUM(C66:J66)</f>
        <v>37</v>
      </c>
      <c r="L66" s="837">
        <v>1719863</v>
      </c>
      <c r="M66" s="836"/>
      <c r="N66" s="836">
        <v>12</v>
      </c>
      <c r="O66" s="836">
        <v>25</v>
      </c>
      <c r="P66" s="836"/>
      <c r="Q66" s="836"/>
      <c r="R66" s="836"/>
      <c r="S66" s="836"/>
      <c r="T66" s="836"/>
      <c r="U66" s="836"/>
      <c r="V66" s="836">
        <f>SUM(N66:U66)</f>
        <v>37</v>
      </c>
      <c r="W66" s="837">
        <v>1954090</v>
      </c>
      <c r="Y66" s="301"/>
      <c r="Z66" s="301"/>
      <c r="AA66" s="301"/>
      <c r="AB66" s="301"/>
    </row>
    <row r="67" spans="1:28" s="388" customFormat="1" x14ac:dyDescent="0.2">
      <c r="A67" s="825" t="s">
        <v>638</v>
      </c>
      <c r="B67" s="836"/>
      <c r="C67" s="836">
        <v>13</v>
      </c>
      <c r="D67" s="836">
        <v>0</v>
      </c>
      <c r="E67" s="836"/>
      <c r="F67" s="836"/>
      <c r="G67" s="836"/>
      <c r="H67" s="836"/>
      <c r="I67" s="836"/>
      <c r="J67" s="836"/>
      <c r="K67" s="836">
        <f>SUM(C67:J67)</f>
        <v>13</v>
      </c>
      <c r="L67" s="837">
        <v>672184</v>
      </c>
      <c r="M67" s="836"/>
      <c r="N67" s="836">
        <v>13</v>
      </c>
      <c r="O67" s="836">
        <v>0</v>
      </c>
      <c r="P67" s="836"/>
      <c r="Q67" s="836"/>
      <c r="R67" s="836"/>
      <c r="S67" s="836"/>
      <c r="T67" s="836"/>
      <c r="U67" s="836"/>
      <c r="V67" s="836">
        <f>SUM(N67:U67)</f>
        <v>13</v>
      </c>
      <c r="W67" s="837">
        <v>685549</v>
      </c>
      <c r="Y67" s="301"/>
      <c r="Z67" s="301"/>
      <c r="AA67" s="301"/>
      <c r="AB67" s="301"/>
    </row>
    <row r="68" spans="1:28" s="388" customFormat="1" x14ac:dyDescent="0.2">
      <c r="A68" s="825" t="s">
        <v>639</v>
      </c>
      <c r="B68" s="836"/>
      <c r="C68" s="836">
        <v>2</v>
      </c>
      <c r="D68" s="836">
        <v>0</v>
      </c>
      <c r="E68" s="836"/>
      <c r="F68" s="836"/>
      <c r="G68" s="836"/>
      <c r="H68" s="836"/>
      <c r="I68" s="836"/>
      <c r="J68" s="836"/>
      <c r="K68" s="836">
        <f>SUM(C68:J68)</f>
        <v>2</v>
      </c>
      <c r="L68" s="837">
        <v>102225</v>
      </c>
      <c r="M68" s="836"/>
      <c r="N68" s="836">
        <v>2</v>
      </c>
      <c r="O68" s="836">
        <v>0</v>
      </c>
      <c r="P68" s="836"/>
      <c r="Q68" s="836"/>
      <c r="R68" s="836"/>
      <c r="S68" s="836"/>
      <c r="T68" s="836"/>
      <c r="U68" s="836"/>
      <c r="V68" s="836">
        <f>SUM(N68:U68)</f>
        <v>2</v>
      </c>
      <c r="W68" s="837">
        <v>100885</v>
      </c>
      <c r="Y68" s="301"/>
      <c r="Z68" s="301"/>
      <c r="AA68" s="301"/>
      <c r="AB68" s="301"/>
    </row>
    <row r="69" spans="1:28" s="388" customFormat="1" x14ac:dyDescent="0.2">
      <c r="A69" s="825" t="s">
        <v>640</v>
      </c>
      <c r="B69" s="836"/>
      <c r="C69" s="836">
        <v>2</v>
      </c>
      <c r="D69" s="836">
        <v>2</v>
      </c>
      <c r="E69" s="836"/>
      <c r="F69" s="836"/>
      <c r="G69" s="836"/>
      <c r="H69" s="836"/>
      <c r="I69" s="836"/>
      <c r="J69" s="836"/>
      <c r="K69" s="836">
        <f>SUM(C69:J69)</f>
        <v>4</v>
      </c>
      <c r="L69" s="837">
        <v>180345</v>
      </c>
      <c r="M69" s="836"/>
      <c r="N69" s="836">
        <v>2</v>
      </c>
      <c r="O69" s="836">
        <v>2</v>
      </c>
      <c r="P69" s="836"/>
      <c r="Q69" s="836"/>
      <c r="R69" s="836"/>
      <c r="S69" s="836"/>
      <c r="T69" s="836"/>
      <c r="U69" s="836"/>
      <c r="V69" s="836">
        <f>SUM(N69:U69)</f>
        <v>4</v>
      </c>
      <c r="W69" s="837">
        <v>127460</v>
      </c>
      <c r="Y69" s="301"/>
      <c r="Z69" s="301"/>
      <c r="AA69" s="301"/>
      <c r="AB69" s="301"/>
    </row>
    <row r="70" spans="1:28" s="388" customFormat="1" x14ac:dyDescent="0.2">
      <c r="A70" s="830" t="s">
        <v>5</v>
      </c>
      <c r="B70" s="838"/>
      <c r="C70" s="838"/>
      <c r="D70" s="838"/>
      <c r="E70" s="838"/>
      <c r="F70" s="838"/>
      <c r="G70" s="838"/>
      <c r="H70" s="838"/>
      <c r="I70" s="838"/>
      <c r="J70" s="838"/>
      <c r="K70" s="838"/>
      <c r="L70" s="839"/>
      <c r="M70" s="838"/>
      <c r="N70" s="838"/>
      <c r="O70" s="838"/>
      <c r="P70" s="838"/>
      <c r="Q70" s="838"/>
      <c r="R70" s="838"/>
      <c r="S70" s="838"/>
      <c r="T70" s="838"/>
      <c r="U70" s="838"/>
      <c r="V70" s="838"/>
      <c r="W70" s="839"/>
      <c r="Y70" s="301"/>
      <c r="Z70" s="301"/>
      <c r="AA70" s="301"/>
      <c r="AB70" s="301"/>
    </row>
    <row r="71" spans="1:28" s="388" customFormat="1" x14ac:dyDescent="0.2">
      <c r="A71" s="825" t="s">
        <v>15</v>
      </c>
      <c r="B71" s="836"/>
      <c r="C71" s="836">
        <v>7</v>
      </c>
      <c r="D71" s="836">
        <v>6</v>
      </c>
      <c r="E71" s="836"/>
      <c r="F71" s="836"/>
      <c r="G71" s="836"/>
      <c r="H71" s="836"/>
      <c r="I71" s="836"/>
      <c r="J71" s="836"/>
      <c r="K71" s="836">
        <f>SUM(C71:J71)</f>
        <v>13</v>
      </c>
      <c r="L71" s="837">
        <v>367849</v>
      </c>
      <c r="M71" s="836"/>
      <c r="N71" s="836">
        <v>7</v>
      </c>
      <c r="O71" s="836">
        <v>6</v>
      </c>
      <c r="P71" s="836"/>
      <c r="Q71" s="836"/>
      <c r="R71" s="836"/>
      <c r="S71" s="836"/>
      <c r="T71" s="836"/>
      <c r="U71" s="836"/>
      <c r="V71" s="836">
        <f>SUM(N71:U71)</f>
        <v>13</v>
      </c>
      <c r="W71" s="837">
        <v>285043</v>
      </c>
      <c r="Y71" s="301"/>
      <c r="Z71" s="301"/>
      <c r="AA71" s="301"/>
      <c r="AB71" s="301"/>
    </row>
    <row r="72" spans="1:28" s="388" customFormat="1" x14ac:dyDescent="0.2">
      <c r="A72" s="825" t="s">
        <v>12</v>
      </c>
      <c r="B72" s="836"/>
      <c r="C72" s="836"/>
      <c r="D72" s="836"/>
      <c r="E72" s="836"/>
      <c r="F72" s="836"/>
      <c r="G72" s="836"/>
      <c r="H72" s="836"/>
      <c r="I72" s="836"/>
      <c r="J72" s="836"/>
      <c r="K72" s="836"/>
      <c r="L72" s="837"/>
      <c r="M72" s="836"/>
      <c r="N72" s="836"/>
      <c r="O72" s="836"/>
      <c r="P72" s="836"/>
      <c r="Q72" s="836"/>
      <c r="R72" s="836"/>
      <c r="S72" s="836"/>
      <c r="T72" s="836"/>
      <c r="U72" s="836"/>
      <c r="V72" s="836"/>
      <c r="W72" s="837"/>
      <c r="Y72" s="301"/>
      <c r="Z72" s="301"/>
      <c r="AA72" s="301"/>
      <c r="AB72" s="301"/>
    </row>
    <row r="73" spans="1:28" s="388" customFormat="1" x14ac:dyDescent="0.2">
      <c r="A73" s="825" t="s">
        <v>16</v>
      </c>
      <c r="B73" s="836"/>
      <c r="C73" s="836"/>
      <c r="D73" s="836"/>
      <c r="E73" s="836"/>
      <c r="F73" s="836"/>
      <c r="G73" s="836"/>
      <c r="H73" s="836"/>
      <c r="I73" s="836"/>
      <c r="J73" s="836"/>
      <c r="K73" s="836"/>
      <c r="L73" s="837"/>
      <c r="M73" s="836"/>
      <c r="N73" s="836"/>
      <c r="O73" s="836"/>
      <c r="P73" s="836"/>
      <c r="Q73" s="836"/>
      <c r="R73" s="836"/>
      <c r="S73" s="836"/>
      <c r="T73" s="836"/>
      <c r="U73" s="836"/>
      <c r="V73" s="836"/>
      <c r="W73" s="837"/>
      <c r="Y73" s="301"/>
      <c r="Z73" s="301"/>
      <c r="AA73" s="301"/>
      <c r="AB73" s="301"/>
    </row>
    <row r="74" spans="1:28" s="388" customFormat="1" x14ac:dyDescent="0.2">
      <c r="A74" s="825"/>
      <c r="B74" s="836"/>
      <c r="C74" s="836"/>
      <c r="D74" s="836"/>
      <c r="E74" s="836"/>
      <c r="F74" s="836"/>
      <c r="G74" s="836"/>
      <c r="H74" s="836"/>
      <c r="I74" s="836"/>
      <c r="J74" s="836"/>
      <c r="K74" s="836"/>
      <c r="L74" s="837"/>
      <c r="M74" s="836"/>
      <c r="N74" s="836"/>
      <c r="O74" s="836"/>
      <c r="P74" s="836"/>
      <c r="Q74" s="836"/>
      <c r="R74" s="836"/>
      <c r="S74" s="836"/>
      <c r="T74" s="836"/>
      <c r="U74" s="836"/>
      <c r="V74" s="836"/>
      <c r="W74" s="837"/>
      <c r="Y74" s="301"/>
      <c r="Z74" s="301"/>
      <c r="AA74" s="301"/>
      <c r="AB74" s="301"/>
    </row>
    <row r="75" spans="1:28" s="388" customFormat="1" x14ac:dyDescent="0.2">
      <c r="A75" s="830" t="s">
        <v>6</v>
      </c>
      <c r="B75" s="838"/>
      <c r="C75" s="838"/>
      <c r="D75" s="838"/>
      <c r="E75" s="838"/>
      <c r="F75" s="838"/>
      <c r="G75" s="838"/>
      <c r="H75" s="838"/>
      <c r="I75" s="838"/>
      <c r="J75" s="838"/>
      <c r="K75" s="838"/>
      <c r="L75" s="839"/>
      <c r="M75" s="838"/>
      <c r="N75" s="838"/>
      <c r="O75" s="838"/>
      <c r="P75" s="838"/>
      <c r="Q75" s="838"/>
      <c r="R75" s="838"/>
      <c r="S75" s="838"/>
      <c r="T75" s="838"/>
      <c r="U75" s="838"/>
      <c r="V75" s="838"/>
      <c r="W75" s="839"/>
      <c r="Y75" s="301"/>
      <c r="Z75" s="301"/>
      <c r="AA75" s="301"/>
      <c r="AB75" s="301"/>
    </row>
    <row r="76" spans="1:28" s="388" customFormat="1" x14ac:dyDescent="0.2">
      <c r="A76" s="825" t="s">
        <v>17</v>
      </c>
      <c r="B76" s="836"/>
      <c r="C76" s="836">
        <v>2</v>
      </c>
      <c r="D76" s="836">
        <v>4</v>
      </c>
      <c r="E76" s="836"/>
      <c r="F76" s="836"/>
      <c r="G76" s="836"/>
      <c r="H76" s="836"/>
      <c r="I76" s="836"/>
      <c r="J76" s="836"/>
      <c r="K76" s="836">
        <f>SUM(C76:J76)</f>
        <v>6</v>
      </c>
      <c r="L76" s="837">
        <v>127816</v>
      </c>
      <c r="M76" s="836"/>
      <c r="N76" s="836">
        <v>2</v>
      </c>
      <c r="O76" s="836">
        <v>4</v>
      </c>
      <c r="P76" s="836"/>
      <c r="Q76" s="836"/>
      <c r="R76" s="836"/>
      <c r="S76" s="836"/>
      <c r="T76" s="836"/>
      <c r="U76" s="836"/>
      <c r="V76" s="836">
        <f>SUM(N76:U76)</f>
        <v>6</v>
      </c>
      <c r="W76" s="837">
        <v>94833</v>
      </c>
      <c r="Y76" s="301"/>
      <c r="Z76" s="301"/>
      <c r="AA76" s="301"/>
      <c r="AB76" s="301"/>
    </row>
    <row r="77" spans="1:28" s="388" customFormat="1" x14ac:dyDescent="0.2">
      <c r="A77" s="825" t="s">
        <v>12</v>
      </c>
      <c r="B77" s="836"/>
      <c r="C77" s="836"/>
      <c r="D77" s="836"/>
      <c r="E77" s="836"/>
      <c r="F77" s="836"/>
      <c r="G77" s="836"/>
      <c r="H77" s="836"/>
      <c r="I77" s="836"/>
      <c r="J77" s="836"/>
      <c r="K77" s="836"/>
      <c r="L77" s="837"/>
      <c r="M77" s="836"/>
      <c r="N77" s="836"/>
      <c r="O77" s="836"/>
      <c r="P77" s="836"/>
      <c r="Q77" s="836"/>
      <c r="R77" s="836"/>
      <c r="S77" s="836"/>
      <c r="T77" s="836"/>
      <c r="U77" s="836"/>
      <c r="V77" s="836"/>
      <c r="W77" s="837"/>
      <c r="Y77" s="301"/>
      <c r="Z77" s="301"/>
      <c r="AA77" s="301"/>
      <c r="AB77" s="301"/>
    </row>
    <row r="78" spans="1:28" s="388" customFormat="1" x14ac:dyDescent="0.2">
      <c r="A78" s="825" t="s">
        <v>18</v>
      </c>
      <c r="B78" s="836"/>
      <c r="C78" s="836"/>
      <c r="D78" s="836"/>
      <c r="E78" s="836"/>
      <c r="F78" s="836"/>
      <c r="G78" s="836"/>
      <c r="H78" s="836"/>
      <c r="I78" s="836"/>
      <c r="J78" s="836"/>
      <c r="K78" s="836"/>
      <c r="L78" s="837"/>
      <c r="M78" s="836"/>
      <c r="N78" s="836"/>
      <c r="O78" s="836"/>
      <c r="P78" s="836"/>
      <c r="Q78" s="836"/>
      <c r="R78" s="836"/>
      <c r="S78" s="836"/>
      <c r="T78" s="836"/>
      <c r="U78" s="836"/>
      <c r="V78" s="836"/>
      <c r="W78" s="837"/>
      <c r="Y78" s="301"/>
      <c r="Z78" s="301"/>
      <c r="AA78" s="301"/>
      <c r="AB78" s="301"/>
    </row>
    <row r="79" spans="1:28" s="388" customFormat="1" ht="13.5" thickBot="1" x14ac:dyDescent="0.25">
      <c r="A79" s="322"/>
      <c r="B79" s="579"/>
      <c r="C79" s="579"/>
      <c r="D79" s="579"/>
      <c r="E79" s="579"/>
      <c r="F79" s="579"/>
      <c r="G79" s="579"/>
      <c r="H79" s="579"/>
      <c r="I79" s="579"/>
      <c r="J79" s="579"/>
      <c r="K79" s="579"/>
      <c r="L79" s="580"/>
      <c r="M79" s="579"/>
      <c r="N79" s="579"/>
      <c r="O79" s="579"/>
      <c r="P79" s="579"/>
      <c r="Q79" s="579"/>
      <c r="R79" s="579"/>
      <c r="S79" s="579"/>
      <c r="T79" s="579"/>
      <c r="U79" s="579"/>
      <c r="V79" s="579"/>
      <c r="W79" s="580"/>
      <c r="Y79" s="301"/>
      <c r="Z79" s="301"/>
      <c r="AA79" s="301"/>
      <c r="AB79" s="301"/>
    </row>
    <row r="80" spans="1:28" s="388" customFormat="1" ht="13.5" thickBot="1" x14ac:dyDescent="0.25">
      <c r="A80" s="329" t="s">
        <v>23</v>
      </c>
      <c r="B80" s="332"/>
      <c r="C80" s="332">
        <f>SUM(C58:C79)</f>
        <v>48</v>
      </c>
      <c r="D80" s="332">
        <f>SUM(D58:D79)</f>
        <v>38</v>
      </c>
      <c r="E80" s="332"/>
      <c r="F80" s="332"/>
      <c r="G80" s="332"/>
      <c r="H80" s="332"/>
      <c r="I80" s="332"/>
      <c r="J80" s="332"/>
      <c r="K80" s="332">
        <f>SUM(C80:J80)</f>
        <v>86</v>
      </c>
      <c r="L80" s="577">
        <f>SUM(L58:L64,L66:L69,L71:L74,L76:L79)</f>
        <v>4236978</v>
      </c>
      <c r="M80" s="332"/>
      <c r="N80" s="332">
        <f>SUM(N58:N64,N66:N69,N71:N74,N76:N79)</f>
        <v>48</v>
      </c>
      <c r="O80" s="332">
        <f>SUM(O58:O64,O66:O69,O71:O74,O76:O79)</f>
        <v>38</v>
      </c>
      <c r="P80" s="332"/>
      <c r="Q80" s="332"/>
      <c r="R80" s="332"/>
      <c r="S80" s="332"/>
      <c r="T80" s="332"/>
      <c r="U80" s="332"/>
      <c r="V80" s="332">
        <f>SUM(N80:U80)</f>
        <v>86</v>
      </c>
      <c r="W80" s="577">
        <f>SUM(W58:W64,W66:W69,W71:W74,W76:W79)</f>
        <v>4100221</v>
      </c>
      <c r="Y80" s="301"/>
      <c r="Z80" s="301"/>
      <c r="AA80" s="301"/>
      <c r="AB80" s="301"/>
    </row>
    <row r="81" spans="1:28" s="388" customFormat="1" x14ac:dyDescent="0.2">
      <c r="A81" s="302" t="s">
        <v>306</v>
      </c>
      <c r="B81" s="303"/>
      <c r="C81" s="303"/>
      <c r="D81" s="303"/>
      <c r="E81" s="303"/>
      <c r="F81" s="303"/>
      <c r="G81" s="303"/>
      <c r="H81" s="303"/>
      <c r="I81" s="303"/>
      <c r="J81" s="303"/>
      <c r="K81" s="303"/>
      <c r="L81" s="303"/>
      <c r="M81" s="303"/>
      <c r="N81" s="303"/>
      <c r="O81" s="303"/>
      <c r="P81" s="304"/>
      <c r="R81" s="301"/>
      <c r="S81" s="301"/>
      <c r="T81" s="462"/>
      <c r="U81" s="462"/>
      <c r="V81" s="462"/>
      <c r="W81" s="462"/>
      <c r="Y81" s="301"/>
      <c r="Z81" s="301"/>
      <c r="AA81" s="301"/>
      <c r="AB81" s="301"/>
    </row>
    <row r="82" spans="1:28" s="388" customFormat="1" x14ac:dyDescent="0.2">
      <c r="A82" s="317" t="s">
        <v>300</v>
      </c>
      <c r="B82" s="317"/>
      <c r="C82" s="317"/>
      <c r="D82" s="317"/>
      <c r="E82" s="317"/>
      <c r="F82" s="317"/>
      <c r="G82" s="317"/>
      <c r="H82" s="317"/>
      <c r="I82" s="317"/>
      <c r="J82" s="317"/>
      <c r="K82" s="317"/>
      <c r="L82" s="317"/>
      <c r="M82" s="317"/>
      <c r="N82" s="317"/>
      <c r="O82" s="317"/>
      <c r="P82" s="462"/>
      <c r="R82" s="301"/>
      <c r="S82" s="301"/>
      <c r="T82" s="301"/>
      <c r="U82" s="301"/>
      <c r="V82" s="462"/>
      <c r="W82" s="462"/>
      <c r="Y82" s="301"/>
      <c r="Z82" s="301"/>
      <c r="AA82" s="301"/>
      <c r="AB82" s="301"/>
    </row>
    <row r="83" spans="1:28" s="388" customFormat="1" x14ac:dyDescent="0.2">
      <c r="A83" s="317" t="s">
        <v>304</v>
      </c>
      <c r="B83" s="317"/>
      <c r="C83" s="317"/>
      <c r="D83" s="317"/>
      <c r="E83" s="317"/>
      <c r="F83" s="317"/>
      <c r="G83" s="317"/>
      <c r="H83" s="317"/>
      <c r="I83" s="317"/>
      <c r="J83" s="317"/>
      <c r="K83" s="317"/>
      <c r="L83" s="317"/>
      <c r="M83" s="317"/>
      <c r="N83" s="317"/>
      <c r="O83" s="317"/>
      <c r="P83" s="462"/>
      <c r="R83" s="301"/>
      <c r="S83" s="301"/>
      <c r="T83" s="301"/>
      <c r="U83" s="301"/>
      <c r="V83" s="462"/>
      <c r="W83" s="462"/>
      <c r="Y83" s="301"/>
      <c r="Z83" s="301"/>
      <c r="AA83" s="301"/>
      <c r="AB83" s="301"/>
    </row>
    <row r="84" spans="1:28" s="388" customFormat="1" x14ac:dyDescent="0.2">
      <c r="A84" s="317" t="s">
        <v>311</v>
      </c>
      <c r="B84" s="317"/>
      <c r="C84" s="317"/>
      <c r="D84" s="317"/>
      <c r="E84" s="317"/>
      <c r="F84" s="317"/>
      <c r="G84" s="317"/>
      <c r="H84" s="317"/>
      <c r="I84" s="317"/>
      <c r="J84" s="317"/>
      <c r="K84" s="317"/>
      <c r="L84" s="317"/>
      <c r="M84" s="317"/>
      <c r="N84" s="317"/>
      <c r="O84" s="317"/>
      <c r="P84" s="317"/>
      <c r="Q84" s="317"/>
      <c r="R84" s="317"/>
      <c r="S84" s="317"/>
      <c r="T84" s="317"/>
      <c r="U84" s="317"/>
      <c r="V84" s="317"/>
      <c r="W84" s="317"/>
      <c r="Y84" s="301"/>
      <c r="Z84" s="301"/>
      <c r="AA84" s="301"/>
      <c r="AB84" s="301"/>
    </row>
    <row r="88" spans="1:28" s="388" customFormat="1" ht="16.5" thickBot="1" x14ac:dyDescent="0.3">
      <c r="A88" s="621" t="s">
        <v>641</v>
      </c>
      <c r="B88" s="631"/>
      <c r="C88" s="631"/>
      <c r="D88" s="631"/>
      <c r="E88" s="631"/>
      <c r="F88" s="631"/>
      <c r="G88" s="631"/>
      <c r="H88" s="631"/>
      <c r="I88" s="631"/>
      <c r="J88" s="631"/>
      <c r="K88" s="631"/>
      <c r="L88" s="632"/>
      <c r="M88" s="631"/>
      <c r="N88" s="631"/>
      <c r="O88" s="631"/>
      <c r="P88" s="631"/>
      <c r="Q88" s="631"/>
      <c r="R88" s="631"/>
      <c r="S88" s="631"/>
      <c r="T88" s="631"/>
      <c r="U88" s="631"/>
      <c r="V88" s="631"/>
      <c r="W88" s="631"/>
      <c r="Y88" s="301"/>
      <c r="Z88" s="301"/>
      <c r="AA88" s="301"/>
      <c r="AB88" s="301"/>
    </row>
    <row r="89" spans="1:28" s="388" customFormat="1" ht="15.75" customHeight="1" x14ac:dyDescent="0.2">
      <c r="A89" s="414" t="s">
        <v>10</v>
      </c>
      <c r="B89" s="1470" t="s">
        <v>446</v>
      </c>
      <c r="C89" s="1471"/>
      <c r="D89" s="1471"/>
      <c r="E89" s="1471"/>
      <c r="F89" s="1471"/>
      <c r="G89" s="1471"/>
      <c r="H89" s="1471"/>
      <c r="I89" s="1471"/>
      <c r="J89" s="1471"/>
      <c r="K89" s="1471"/>
      <c r="L89" s="1472"/>
      <c r="M89" s="1470" t="s">
        <v>447</v>
      </c>
      <c r="N89" s="1471"/>
      <c r="O89" s="1471"/>
      <c r="P89" s="1471"/>
      <c r="Q89" s="1471"/>
      <c r="R89" s="1471"/>
      <c r="S89" s="1471"/>
      <c r="T89" s="1471"/>
      <c r="U89" s="1471"/>
      <c r="V89" s="1471"/>
      <c r="W89" s="1472"/>
      <c r="Y89" s="301"/>
      <c r="Z89" s="301"/>
      <c r="AA89" s="301"/>
      <c r="AB89" s="301"/>
    </row>
    <row r="90" spans="1:28" s="388" customFormat="1" ht="134.25" x14ac:dyDescent="0.2">
      <c r="A90" s="415" t="s">
        <v>9</v>
      </c>
      <c r="B90" s="416" t="s">
        <v>340</v>
      </c>
      <c r="C90" s="416" t="s">
        <v>128</v>
      </c>
      <c r="D90" s="417" t="s">
        <v>299</v>
      </c>
      <c r="E90" s="417" t="s">
        <v>291</v>
      </c>
      <c r="F90" s="417" t="s">
        <v>301</v>
      </c>
      <c r="G90" s="417" t="s">
        <v>302</v>
      </c>
      <c r="H90" s="417" t="s">
        <v>303</v>
      </c>
      <c r="I90" s="417" t="s">
        <v>310</v>
      </c>
      <c r="J90" s="418" t="s">
        <v>305</v>
      </c>
      <c r="K90" s="419" t="s">
        <v>307</v>
      </c>
      <c r="L90" s="633" t="s">
        <v>309</v>
      </c>
      <c r="M90" s="416" t="s">
        <v>340</v>
      </c>
      <c r="N90" s="416" t="s">
        <v>128</v>
      </c>
      <c r="O90" s="417" t="s">
        <v>299</v>
      </c>
      <c r="P90" s="417" t="s">
        <v>291</v>
      </c>
      <c r="Q90" s="417" t="s">
        <v>301</v>
      </c>
      <c r="R90" s="417" t="s">
        <v>302</v>
      </c>
      <c r="S90" s="417" t="s">
        <v>303</v>
      </c>
      <c r="T90" s="417" t="s">
        <v>310</v>
      </c>
      <c r="U90" s="418" t="s">
        <v>305</v>
      </c>
      <c r="V90" s="419" t="s">
        <v>307</v>
      </c>
      <c r="W90" s="420" t="s">
        <v>308</v>
      </c>
      <c r="Y90" s="301"/>
      <c r="Z90" s="301"/>
      <c r="AA90" s="301"/>
      <c r="AB90" s="301"/>
    </row>
    <row r="91" spans="1:28" s="388" customFormat="1" x14ac:dyDescent="0.2">
      <c r="A91" s="322"/>
      <c r="B91" s="319"/>
      <c r="C91" s="319"/>
      <c r="D91" s="319"/>
      <c r="E91" s="319"/>
      <c r="F91" s="319"/>
      <c r="G91" s="319"/>
      <c r="H91" s="319"/>
      <c r="I91" s="319"/>
      <c r="J91" s="319"/>
      <c r="K91" s="319"/>
      <c r="L91" s="634"/>
      <c r="M91" s="319"/>
      <c r="N91" s="319"/>
      <c r="O91" s="319"/>
      <c r="P91" s="319"/>
      <c r="Q91" s="319"/>
      <c r="R91" s="319"/>
      <c r="S91" s="319"/>
      <c r="T91" s="319"/>
      <c r="U91" s="319"/>
      <c r="V91" s="319"/>
      <c r="W91" s="327"/>
      <c r="Y91" s="301"/>
      <c r="Z91" s="301"/>
      <c r="AA91" s="301"/>
      <c r="AB91" s="301"/>
    </row>
    <row r="92" spans="1:28" s="388" customFormat="1" x14ac:dyDescent="0.2">
      <c r="A92" s="833" t="s">
        <v>7</v>
      </c>
      <c r="B92" s="834"/>
      <c r="C92" s="834">
        <f>SUM(C93:C97)</f>
        <v>18</v>
      </c>
      <c r="D92" s="834"/>
      <c r="E92" s="834"/>
      <c r="F92" s="834"/>
      <c r="G92" s="834"/>
      <c r="H92" s="834"/>
      <c r="I92" s="834"/>
      <c r="J92" s="834"/>
      <c r="K92" s="834">
        <f>SUM(K93:K97)</f>
        <v>18</v>
      </c>
      <c r="L92" s="840">
        <f>SUM(L93:L97)</f>
        <v>3547878.1300000004</v>
      </c>
      <c r="M92" s="834"/>
      <c r="N92" s="834">
        <f>SUM(N93:N97)</f>
        <v>18</v>
      </c>
      <c r="O92" s="834"/>
      <c r="P92" s="834"/>
      <c r="Q92" s="834"/>
      <c r="R92" s="834"/>
      <c r="S92" s="834"/>
      <c r="T92" s="834"/>
      <c r="U92" s="834"/>
      <c r="V92" s="834">
        <f>SUM(V93:V97)</f>
        <v>18</v>
      </c>
      <c r="W92" s="840">
        <f>SUM(W93:W97)</f>
        <v>3547878.1300000004</v>
      </c>
      <c r="Y92" s="301"/>
      <c r="Z92" s="301"/>
      <c r="AA92" s="301"/>
      <c r="AB92" s="301"/>
    </row>
    <row r="93" spans="1:28" s="388" customFormat="1" x14ac:dyDescent="0.2">
      <c r="A93" s="825" t="s">
        <v>642</v>
      </c>
      <c r="B93" s="826"/>
      <c r="C93" s="826">
        <v>5</v>
      </c>
      <c r="D93" s="826"/>
      <c r="E93" s="826"/>
      <c r="F93" s="826"/>
      <c r="G93" s="826"/>
      <c r="H93" s="826"/>
      <c r="I93" s="826"/>
      <c r="J93" s="826"/>
      <c r="K93" s="826">
        <v>5</v>
      </c>
      <c r="L93" s="841">
        <v>812810.04</v>
      </c>
      <c r="M93" s="826"/>
      <c r="N93" s="826">
        <v>5</v>
      </c>
      <c r="O93" s="826"/>
      <c r="P93" s="826"/>
      <c r="Q93" s="826"/>
      <c r="R93" s="826"/>
      <c r="S93" s="826"/>
      <c r="T93" s="826"/>
      <c r="U93" s="826"/>
      <c r="V93" s="826">
        <v>5</v>
      </c>
      <c r="W93" s="841">
        <v>812810.04</v>
      </c>
      <c r="Y93" s="301"/>
      <c r="Z93" s="301"/>
      <c r="AA93" s="301"/>
      <c r="AB93" s="301"/>
    </row>
    <row r="94" spans="1:28" s="388" customFormat="1" x14ac:dyDescent="0.2">
      <c r="A94" s="825" t="s">
        <v>643</v>
      </c>
      <c r="B94" s="826"/>
      <c r="C94" s="826">
        <v>1</v>
      </c>
      <c r="D94" s="826"/>
      <c r="E94" s="826"/>
      <c r="F94" s="826"/>
      <c r="G94" s="826"/>
      <c r="H94" s="826"/>
      <c r="I94" s="826"/>
      <c r="J94" s="826"/>
      <c r="K94" s="826">
        <v>1</v>
      </c>
      <c r="L94" s="841">
        <v>179435.7</v>
      </c>
      <c r="M94" s="826"/>
      <c r="N94" s="826">
        <v>1</v>
      </c>
      <c r="O94" s="826"/>
      <c r="P94" s="826"/>
      <c r="Q94" s="826"/>
      <c r="R94" s="826"/>
      <c r="S94" s="826"/>
      <c r="T94" s="826"/>
      <c r="U94" s="826"/>
      <c r="V94" s="826">
        <v>1</v>
      </c>
      <c r="W94" s="841">
        <v>179435.7</v>
      </c>
      <c r="Y94" s="301"/>
      <c r="Z94" s="301"/>
      <c r="AA94" s="301"/>
      <c r="AB94" s="301"/>
    </row>
    <row r="95" spans="1:28" s="388" customFormat="1" x14ac:dyDescent="0.2">
      <c r="A95" s="825" t="s">
        <v>644</v>
      </c>
      <c r="B95" s="826"/>
      <c r="C95" s="826">
        <v>10</v>
      </c>
      <c r="D95" s="826"/>
      <c r="E95" s="826"/>
      <c r="F95" s="826"/>
      <c r="G95" s="826"/>
      <c r="H95" s="826"/>
      <c r="I95" s="826"/>
      <c r="J95" s="826"/>
      <c r="K95" s="826">
        <v>10</v>
      </c>
      <c r="L95" s="841">
        <v>2050122.24</v>
      </c>
      <c r="M95" s="826"/>
      <c r="N95" s="826">
        <v>10</v>
      </c>
      <c r="O95" s="826"/>
      <c r="P95" s="826"/>
      <c r="Q95" s="826"/>
      <c r="R95" s="826"/>
      <c r="S95" s="826"/>
      <c r="T95" s="826"/>
      <c r="U95" s="826"/>
      <c r="V95" s="826">
        <v>10</v>
      </c>
      <c r="W95" s="841">
        <v>2050122.24</v>
      </c>
      <c r="Y95" s="301"/>
      <c r="Z95" s="301"/>
      <c r="AA95" s="301"/>
      <c r="AB95" s="301"/>
    </row>
    <row r="96" spans="1:28" s="388" customFormat="1" x14ac:dyDescent="0.2">
      <c r="A96" s="825" t="s">
        <v>645</v>
      </c>
      <c r="B96" s="826"/>
      <c r="C96" s="826">
        <v>1</v>
      </c>
      <c r="D96" s="826"/>
      <c r="E96" s="826"/>
      <c r="F96" s="826"/>
      <c r="G96" s="826"/>
      <c r="H96" s="826"/>
      <c r="I96" s="826"/>
      <c r="J96" s="826"/>
      <c r="K96" s="826">
        <v>1</v>
      </c>
      <c r="L96" s="841">
        <v>239114.26</v>
      </c>
      <c r="M96" s="826"/>
      <c r="N96" s="826">
        <v>1</v>
      </c>
      <c r="O96" s="826"/>
      <c r="P96" s="826"/>
      <c r="Q96" s="826"/>
      <c r="R96" s="826"/>
      <c r="S96" s="826"/>
      <c r="T96" s="826"/>
      <c r="U96" s="826"/>
      <c r="V96" s="826">
        <v>1</v>
      </c>
      <c r="W96" s="841">
        <v>239114.26</v>
      </c>
      <c r="Y96" s="301"/>
      <c r="Z96" s="301"/>
      <c r="AA96" s="301"/>
      <c r="AB96" s="301"/>
    </row>
    <row r="97" spans="1:28" s="388" customFormat="1" x14ac:dyDescent="0.2">
      <c r="A97" s="825" t="s">
        <v>646</v>
      </c>
      <c r="B97" s="826"/>
      <c r="C97" s="826">
        <v>1</v>
      </c>
      <c r="D97" s="826"/>
      <c r="E97" s="826"/>
      <c r="F97" s="826"/>
      <c r="G97" s="826"/>
      <c r="H97" s="826"/>
      <c r="I97" s="826"/>
      <c r="J97" s="826"/>
      <c r="K97" s="826">
        <v>1</v>
      </c>
      <c r="L97" s="841">
        <v>266395.89</v>
      </c>
      <c r="M97" s="826"/>
      <c r="N97" s="826">
        <v>1</v>
      </c>
      <c r="O97" s="826"/>
      <c r="P97" s="826"/>
      <c r="Q97" s="826"/>
      <c r="R97" s="826"/>
      <c r="S97" s="826"/>
      <c r="T97" s="826"/>
      <c r="U97" s="826"/>
      <c r="V97" s="826">
        <v>1</v>
      </c>
      <c r="W97" s="841">
        <v>266395.89</v>
      </c>
      <c r="Y97" s="301"/>
      <c r="Z97" s="301"/>
      <c r="AA97" s="301"/>
      <c r="AB97" s="301"/>
    </row>
    <row r="98" spans="1:28" s="388" customFormat="1" x14ac:dyDescent="0.2">
      <c r="A98" s="830" t="s">
        <v>4</v>
      </c>
      <c r="B98" s="831"/>
      <c r="C98" s="831">
        <f>SUM(C99:C107)</f>
        <v>139</v>
      </c>
      <c r="D98" s="831"/>
      <c r="E98" s="831"/>
      <c r="F98" s="831"/>
      <c r="G98" s="831"/>
      <c r="H98" s="831"/>
      <c r="I98" s="831"/>
      <c r="J98" s="831"/>
      <c r="K98" s="831">
        <f>SUM(K99:K107)</f>
        <v>139</v>
      </c>
      <c r="L98" s="842">
        <f>SUM(L99:L107)</f>
        <v>14417475.866618659</v>
      </c>
      <c r="M98" s="831"/>
      <c r="N98" s="831">
        <f>SUM(N99:N107)</f>
        <v>139</v>
      </c>
      <c r="O98" s="831"/>
      <c r="P98" s="831"/>
      <c r="Q98" s="831"/>
      <c r="R98" s="831"/>
      <c r="S98" s="831"/>
      <c r="T98" s="831"/>
      <c r="U98" s="831"/>
      <c r="V98" s="831">
        <f>SUM(V99:V107)</f>
        <v>139</v>
      </c>
      <c r="W98" s="842">
        <f>SUM(W99:W107)</f>
        <v>14812648.436618667</v>
      </c>
      <c r="Y98" s="301"/>
      <c r="Z98" s="301"/>
      <c r="AA98" s="301"/>
      <c r="AB98" s="301"/>
    </row>
    <row r="99" spans="1:28" s="388" customFormat="1" x14ac:dyDescent="0.2">
      <c r="A99" s="825" t="s">
        <v>647</v>
      </c>
      <c r="B99" s="826"/>
      <c r="C99" s="826">
        <v>10</v>
      </c>
      <c r="D99" s="826"/>
      <c r="E99" s="826"/>
      <c r="F99" s="826"/>
      <c r="G99" s="826"/>
      <c r="H99" s="826"/>
      <c r="I99" s="826"/>
      <c r="J99" s="826"/>
      <c r="K99" s="826">
        <v>10</v>
      </c>
      <c r="L99" s="841">
        <v>825995.50788266654</v>
      </c>
      <c r="M99" s="826"/>
      <c r="N99" s="826">
        <v>10</v>
      </c>
      <c r="O99" s="826"/>
      <c r="P99" s="826"/>
      <c r="Q99" s="826"/>
      <c r="R99" s="826"/>
      <c r="S99" s="826"/>
      <c r="T99" s="826"/>
      <c r="U99" s="826"/>
      <c r="V99" s="826">
        <v>10</v>
      </c>
      <c r="W99" s="841">
        <v>825995.50788266654</v>
      </c>
      <c r="Y99" s="301"/>
      <c r="Z99" s="301"/>
      <c r="AA99" s="301"/>
      <c r="AB99" s="301"/>
    </row>
    <row r="100" spans="1:28" s="388" customFormat="1" x14ac:dyDescent="0.2">
      <c r="A100" s="825" t="s">
        <v>648</v>
      </c>
      <c r="B100" s="826"/>
      <c r="C100" s="826">
        <v>1</v>
      </c>
      <c r="D100" s="826"/>
      <c r="E100" s="826"/>
      <c r="F100" s="826"/>
      <c r="G100" s="826"/>
      <c r="H100" s="826"/>
      <c r="I100" s="826"/>
      <c r="J100" s="826"/>
      <c r="K100" s="826">
        <v>1</v>
      </c>
      <c r="L100" s="841">
        <v>138513.2512</v>
      </c>
      <c r="M100" s="826"/>
      <c r="N100" s="826">
        <v>1</v>
      </c>
      <c r="O100" s="826"/>
      <c r="P100" s="826"/>
      <c r="Q100" s="826"/>
      <c r="R100" s="826"/>
      <c r="S100" s="826"/>
      <c r="T100" s="826"/>
      <c r="U100" s="826"/>
      <c r="V100" s="826">
        <v>1</v>
      </c>
      <c r="W100" s="841">
        <v>138513.2512</v>
      </c>
      <c r="Y100" s="301"/>
      <c r="Z100" s="301"/>
      <c r="AA100" s="301"/>
      <c r="AB100" s="301"/>
    </row>
    <row r="101" spans="1:28" s="388" customFormat="1" x14ac:dyDescent="0.2">
      <c r="A101" s="825" t="s">
        <v>649</v>
      </c>
      <c r="B101" s="826"/>
      <c r="C101" s="826">
        <v>14</v>
      </c>
      <c r="D101" s="826"/>
      <c r="E101" s="826"/>
      <c r="F101" s="826"/>
      <c r="G101" s="826"/>
      <c r="H101" s="826"/>
      <c r="I101" s="826"/>
      <c r="J101" s="826"/>
      <c r="K101" s="826">
        <v>14</v>
      </c>
      <c r="L101" s="841">
        <v>1263283.1368533333</v>
      </c>
      <c r="M101" s="826"/>
      <c r="N101" s="826">
        <v>14</v>
      </c>
      <c r="O101" s="826"/>
      <c r="P101" s="826"/>
      <c r="Q101" s="826"/>
      <c r="R101" s="826"/>
      <c r="S101" s="826"/>
      <c r="T101" s="826"/>
      <c r="U101" s="826"/>
      <c r="V101" s="826">
        <v>14</v>
      </c>
      <c r="W101" s="841">
        <v>1263283.1368533333</v>
      </c>
      <c r="Y101" s="301"/>
      <c r="Z101" s="301"/>
      <c r="AA101" s="301"/>
      <c r="AB101" s="301"/>
    </row>
    <row r="102" spans="1:28" s="388" customFormat="1" x14ac:dyDescent="0.2">
      <c r="A102" s="825" t="s">
        <v>650</v>
      </c>
      <c r="B102" s="826"/>
      <c r="C102" s="826">
        <v>16</v>
      </c>
      <c r="D102" s="826"/>
      <c r="E102" s="826"/>
      <c r="F102" s="826"/>
      <c r="G102" s="826"/>
      <c r="H102" s="826"/>
      <c r="I102" s="826"/>
      <c r="J102" s="826"/>
      <c r="K102" s="826">
        <v>16</v>
      </c>
      <c r="L102" s="841">
        <v>1525850.3754239997</v>
      </c>
      <c r="M102" s="826"/>
      <c r="N102" s="826">
        <v>16</v>
      </c>
      <c r="O102" s="826"/>
      <c r="P102" s="826"/>
      <c r="Q102" s="826"/>
      <c r="R102" s="826"/>
      <c r="S102" s="826"/>
      <c r="T102" s="826"/>
      <c r="U102" s="826"/>
      <c r="V102" s="826">
        <v>16</v>
      </c>
      <c r="W102" s="841">
        <v>1525850.3754239997</v>
      </c>
      <c r="Y102" s="301"/>
      <c r="Z102" s="301"/>
      <c r="AA102" s="301"/>
      <c r="AB102" s="301"/>
    </row>
    <row r="103" spans="1:28" s="388" customFormat="1" x14ac:dyDescent="0.2">
      <c r="A103" s="825" t="s">
        <v>651</v>
      </c>
      <c r="B103" s="826"/>
      <c r="C103" s="826">
        <v>25</v>
      </c>
      <c r="D103" s="826"/>
      <c r="E103" s="826"/>
      <c r="F103" s="826"/>
      <c r="G103" s="826"/>
      <c r="H103" s="826"/>
      <c r="I103" s="826"/>
      <c r="J103" s="826"/>
      <c r="K103" s="826">
        <v>25</v>
      </c>
      <c r="L103" s="841">
        <f>2538325.04789333-10017.83</f>
        <v>2528307.2178933299</v>
      </c>
      <c r="M103" s="826"/>
      <c r="N103" s="826">
        <v>25</v>
      </c>
      <c r="O103" s="826"/>
      <c r="P103" s="826"/>
      <c r="Q103" s="826"/>
      <c r="R103" s="826"/>
      <c r="S103" s="826"/>
      <c r="T103" s="826"/>
      <c r="U103" s="826"/>
      <c r="V103" s="826">
        <v>25</v>
      </c>
      <c r="W103" s="841">
        <v>2538325.0478933337</v>
      </c>
      <c r="Y103" s="301"/>
      <c r="Z103" s="301"/>
      <c r="AA103" s="301"/>
      <c r="AB103" s="301"/>
    </row>
    <row r="104" spans="1:28" s="388" customFormat="1" x14ac:dyDescent="0.2">
      <c r="A104" s="825" t="s">
        <v>652</v>
      </c>
      <c r="B104" s="826"/>
      <c r="C104" s="826">
        <v>28</v>
      </c>
      <c r="D104" s="826"/>
      <c r="E104" s="826"/>
      <c r="F104" s="826"/>
      <c r="G104" s="826"/>
      <c r="H104" s="826"/>
      <c r="I104" s="826"/>
      <c r="J104" s="826"/>
      <c r="K104" s="826">
        <v>28</v>
      </c>
      <c r="L104" s="841">
        <f>2984369.073888-10017.83</f>
        <v>2974351.243888</v>
      </c>
      <c r="M104" s="826"/>
      <c r="N104" s="826">
        <v>28</v>
      </c>
      <c r="O104" s="826"/>
      <c r="P104" s="826"/>
      <c r="Q104" s="826"/>
      <c r="R104" s="826"/>
      <c r="S104" s="826"/>
      <c r="T104" s="826"/>
      <c r="U104" s="826"/>
      <c r="V104" s="826">
        <v>28</v>
      </c>
      <c r="W104" s="841">
        <f>2984369.073888+365119.08</f>
        <v>3349488.1538880002</v>
      </c>
      <c r="Y104" s="301"/>
      <c r="Z104" s="301"/>
      <c r="AA104" s="301"/>
      <c r="AB104" s="301"/>
    </row>
    <row r="105" spans="1:28" s="388" customFormat="1" x14ac:dyDescent="0.2">
      <c r="A105" s="825" t="s">
        <v>653</v>
      </c>
      <c r="B105" s="826"/>
      <c r="C105" s="826">
        <v>26</v>
      </c>
      <c r="D105" s="826"/>
      <c r="E105" s="826"/>
      <c r="F105" s="826"/>
      <c r="G105" s="826"/>
      <c r="H105" s="826"/>
      <c r="I105" s="826"/>
      <c r="J105" s="826"/>
      <c r="K105" s="826">
        <v>26</v>
      </c>
      <c r="L105" s="841">
        <f>2899047.17435733-10017.83</f>
        <v>2889029.3443573299</v>
      </c>
      <c r="M105" s="826"/>
      <c r="N105" s="826">
        <v>26</v>
      </c>
      <c r="O105" s="826"/>
      <c r="P105" s="826"/>
      <c r="Q105" s="826"/>
      <c r="R105" s="826"/>
      <c r="S105" s="826"/>
      <c r="T105" s="826"/>
      <c r="U105" s="826"/>
      <c r="V105" s="826">
        <v>26</v>
      </c>
      <c r="W105" s="841">
        <v>2899047.1743573337</v>
      </c>
      <c r="Y105" s="301"/>
      <c r="Z105" s="301"/>
      <c r="AA105" s="301"/>
      <c r="AB105" s="301"/>
    </row>
    <row r="106" spans="1:28" s="388" customFormat="1" x14ac:dyDescent="0.2">
      <c r="A106" s="825" t="s">
        <v>654</v>
      </c>
      <c r="B106" s="826"/>
      <c r="C106" s="826">
        <v>11</v>
      </c>
      <c r="D106" s="826"/>
      <c r="E106" s="826"/>
      <c r="F106" s="826"/>
      <c r="G106" s="826"/>
      <c r="H106" s="826"/>
      <c r="I106" s="826"/>
      <c r="J106" s="826"/>
      <c r="K106" s="826">
        <v>11</v>
      </c>
      <c r="L106" s="841">
        <v>1292740.8684159999</v>
      </c>
      <c r="M106" s="826"/>
      <c r="N106" s="826">
        <v>11</v>
      </c>
      <c r="O106" s="826"/>
      <c r="P106" s="826"/>
      <c r="Q106" s="826"/>
      <c r="R106" s="826"/>
      <c r="S106" s="826"/>
      <c r="T106" s="826"/>
      <c r="U106" s="826"/>
      <c r="V106" s="826">
        <v>11</v>
      </c>
      <c r="W106" s="841">
        <v>1292740.8684159999</v>
      </c>
      <c r="Y106" s="301"/>
      <c r="Z106" s="301"/>
      <c r="AA106" s="301"/>
      <c r="AB106" s="301"/>
    </row>
    <row r="107" spans="1:28" s="388" customFormat="1" x14ac:dyDescent="0.2">
      <c r="A107" s="825" t="s">
        <v>655</v>
      </c>
      <c r="B107" s="826"/>
      <c r="C107" s="826">
        <v>8</v>
      </c>
      <c r="D107" s="826"/>
      <c r="E107" s="826"/>
      <c r="F107" s="826"/>
      <c r="G107" s="826"/>
      <c r="H107" s="826"/>
      <c r="I107" s="826"/>
      <c r="J107" s="826"/>
      <c r="K107" s="826">
        <v>8</v>
      </c>
      <c r="L107" s="841">
        <v>979404.92070400016</v>
      </c>
      <c r="M107" s="826"/>
      <c r="N107" s="826">
        <v>8</v>
      </c>
      <c r="O107" s="826"/>
      <c r="P107" s="826"/>
      <c r="Q107" s="826"/>
      <c r="R107" s="826"/>
      <c r="S107" s="826"/>
      <c r="T107" s="826"/>
      <c r="U107" s="826"/>
      <c r="V107" s="826">
        <v>8</v>
      </c>
      <c r="W107" s="841">
        <v>979404.92070400016</v>
      </c>
      <c r="Y107" s="301"/>
      <c r="Z107" s="301"/>
      <c r="AA107" s="301"/>
      <c r="AB107" s="301"/>
    </row>
    <row r="108" spans="1:28" s="388" customFormat="1" x14ac:dyDescent="0.2">
      <c r="A108" s="830" t="s">
        <v>5</v>
      </c>
      <c r="B108" s="831"/>
      <c r="C108" s="831">
        <f>SUM(C109:C116)</f>
        <v>51</v>
      </c>
      <c r="D108" s="831"/>
      <c r="E108" s="831"/>
      <c r="F108" s="831"/>
      <c r="G108" s="831"/>
      <c r="H108" s="831"/>
      <c r="I108" s="831"/>
      <c r="J108" s="831"/>
      <c r="K108" s="831">
        <f>SUM(K109:K116)</f>
        <v>51</v>
      </c>
      <c r="L108" s="843">
        <f>SUM(L109:L116)</f>
        <v>3124231.0299306666</v>
      </c>
      <c r="M108" s="844"/>
      <c r="N108" s="831">
        <f>SUM(N109:N116)</f>
        <v>53</v>
      </c>
      <c r="O108" s="831"/>
      <c r="P108" s="831"/>
      <c r="Q108" s="831"/>
      <c r="R108" s="831"/>
      <c r="S108" s="831"/>
      <c r="T108" s="831"/>
      <c r="U108" s="831"/>
      <c r="V108" s="831">
        <f>SUM(V109:V116)</f>
        <v>53</v>
      </c>
      <c r="W108" s="842">
        <f>SUM(W109:W116)</f>
        <v>3249503.4596106657</v>
      </c>
      <c r="Y108" s="301"/>
      <c r="Z108" s="301"/>
      <c r="AA108" s="301"/>
      <c r="AB108" s="301"/>
    </row>
    <row r="109" spans="1:28" s="388" customFormat="1" x14ac:dyDescent="0.2">
      <c r="A109" s="825" t="s">
        <v>656</v>
      </c>
      <c r="B109" s="826"/>
      <c r="C109" s="826">
        <v>2</v>
      </c>
      <c r="D109" s="826"/>
      <c r="E109" s="826"/>
      <c r="F109" s="826"/>
      <c r="G109" s="826"/>
      <c r="H109" s="826"/>
      <c r="I109" s="826"/>
      <c r="J109" s="826"/>
      <c r="K109" s="826">
        <v>2</v>
      </c>
      <c r="L109" s="845">
        <v>99695.908266666665</v>
      </c>
      <c r="M109" s="846"/>
      <c r="N109" s="826">
        <v>2</v>
      </c>
      <c r="O109" s="826"/>
      <c r="P109" s="826"/>
      <c r="Q109" s="826"/>
      <c r="R109" s="826"/>
      <c r="S109" s="826"/>
      <c r="T109" s="826"/>
      <c r="U109" s="826"/>
      <c r="V109" s="826">
        <v>2</v>
      </c>
      <c r="W109" s="841">
        <v>99696</v>
      </c>
      <c r="Y109" s="301"/>
      <c r="Z109" s="301"/>
      <c r="AA109" s="301"/>
      <c r="AB109" s="301"/>
    </row>
    <row r="110" spans="1:28" s="388" customFormat="1" x14ac:dyDescent="0.2">
      <c r="A110" s="825" t="s">
        <v>657</v>
      </c>
      <c r="B110" s="826"/>
      <c r="C110" s="826">
        <v>1</v>
      </c>
      <c r="D110" s="826"/>
      <c r="E110" s="826"/>
      <c r="F110" s="826"/>
      <c r="G110" s="826"/>
      <c r="H110" s="826"/>
      <c r="I110" s="826"/>
      <c r="J110" s="826"/>
      <c r="K110" s="826">
        <v>1</v>
      </c>
      <c r="L110" s="847">
        <v>76652.155477333348</v>
      </c>
      <c r="M110" s="846"/>
      <c r="N110" s="826">
        <v>1</v>
      </c>
      <c r="O110" s="826"/>
      <c r="P110" s="826"/>
      <c r="Q110" s="826"/>
      <c r="R110" s="826"/>
      <c r="S110" s="826"/>
      <c r="T110" s="826"/>
      <c r="U110" s="826"/>
      <c r="V110" s="826">
        <v>1</v>
      </c>
      <c r="W110" s="841">
        <v>76652.155477333348</v>
      </c>
      <c r="Y110" s="301"/>
      <c r="Z110" s="301"/>
      <c r="AA110" s="301"/>
      <c r="AB110" s="301"/>
    </row>
    <row r="111" spans="1:28" s="388" customFormat="1" x14ac:dyDescent="0.2">
      <c r="A111" s="825" t="s">
        <v>658</v>
      </c>
      <c r="B111" s="826"/>
      <c r="C111" s="826">
        <v>7</v>
      </c>
      <c r="D111" s="826"/>
      <c r="E111" s="826"/>
      <c r="F111" s="826"/>
      <c r="G111" s="826"/>
      <c r="H111" s="826"/>
      <c r="I111" s="826"/>
      <c r="J111" s="826"/>
      <c r="K111" s="826">
        <v>7</v>
      </c>
      <c r="L111" s="847">
        <v>394257.28654933342</v>
      </c>
      <c r="M111" s="846"/>
      <c r="N111" s="826">
        <v>8</v>
      </c>
      <c r="O111" s="826"/>
      <c r="P111" s="826"/>
      <c r="Q111" s="826"/>
      <c r="R111" s="826"/>
      <c r="S111" s="826"/>
      <c r="T111" s="826"/>
      <c r="U111" s="826"/>
      <c r="V111" s="826">
        <v>8</v>
      </c>
      <c r="W111" s="841">
        <v>450073</v>
      </c>
      <c r="Y111" s="301"/>
      <c r="Z111" s="301"/>
      <c r="AA111" s="301"/>
      <c r="AB111" s="301"/>
    </row>
    <row r="112" spans="1:28" s="388" customFormat="1" x14ac:dyDescent="0.2">
      <c r="A112" s="825" t="s">
        <v>659</v>
      </c>
      <c r="B112" s="826"/>
      <c r="C112" s="826">
        <v>16</v>
      </c>
      <c r="D112" s="826"/>
      <c r="E112" s="826"/>
      <c r="F112" s="826"/>
      <c r="G112" s="826"/>
      <c r="H112" s="826"/>
      <c r="I112" s="826"/>
      <c r="J112" s="826"/>
      <c r="K112" s="826">
        <v>16</v>
      </c>
      <c r="L112" s="847">
        <v>939295.33329066646</v>
      </c>
      <c r="M112" s="846"/>
      <c r="N112" s="826">
        <v>16</v>
      </c>
      <c r="O112" s="826"/>
      <c r="P112" s="826"/>
      <c r="Q112" s="826"/>
      <c r="R112" s="826"/>
      <c r="S112" s="826"/>
      <c r="T112" s="826"/>
      <c r="U112" s="826"/>
      <c r="V112" s="826">
        <v>16</v>
      </c>
      <c r="W112" s="841">
        <v>939295.33329066646</v>
      </c>
      <c r="Y112" s="301"/>
      <c r="Z112" s="301"/>
      <c r="AA112" s="301"/>
      <c r="AB112" s="301"/>
    </row>
    <row r="113" spans="1:28" s="388" customFormat="1" x14ac:dyDescent="0.2">
      <c r="A113" s="825" t="s">
        <v>660</v>
      </c>
      <c r="B113" s="826"/>
      <c r="C113" s="826">
        <v>19</v>
      </c>
      <c r="D113" s="826"/>
      <c r="E113" s="826"/>
      <c r="F113" s="826"/>
      <c r="G113" s="826"/>
      <c r="H113" s="826"/>
      <c r="I113" s="826"/>
      <c r="J113" s="826"/>
      <c r="K113" s="826">
        <v>19</v>
      </c>
      <c r="L113" s="847">
        <v>1230464.956736</v>
      </c>
      <c r="M113" s="846"/>
      <c r="N113" s="826">
        <v>19</v>
      </c>
      <c r="O113" s="826"/>
      <c r="P113" s="826"/>
      <c r="Q113" s="826"/>
      <c r="R113" s="826"/>
      <c r="S113" s="826"/>
      <c r="T113" s="826"/>
      <c r="U113" s="826"/>
      <c r="V113" s="826">
        <v>19</v>
      </c>
      <c r="W113" s="841">
        <v>1230464.956736</v>
      </c>
      <c r="Y113" s="301"/>
      <c r="Z113" s="301"/>
      <c r="AA113" s="301"/>
      <c r="AB113" s="301"/>
    </row>
    <row r="114" spans="1:28" s="388" customFormat="1" x14ac:dyDescent="0.2">
      <c r="A114" s="825" t="s">
        <v>661</v>
      </c>
      <c r="B114" s="826"/>
      <c r="C114" s="826">
        <v>1</v>
      </c>
      <c r="D114" s="826"/>
      <c r="E114" s="826"/>
      <c r="F114" s="826"/>
      <c r="G114" s="826"/>
      <c r="H114" s="826"/>
      <c r="I114" s="826"/>
      <c r="J114" s="826"/>
      <c r="K114" s="826">
        <v>1</v>
      </c>
      <c r="L114" s="847">
        <v>68092.544106666654</v>
      </c>
      <c r="M114" s="846"/>
      <c r="N114" s="826">
        <v>1</v>
      </c>
      <c r="O114" s="826"/>
      <c r="P114" s="826"/>
      <c r="Q114" s="826"/>
      <c r="R114" s="826"/>
      <c r="S114" s="826"/>
      <c r="T114" s="826"/>
      <c r="U114" s="826"/>
      <c r="V114" s="826">
        <v>1</v>
      </c>
      <c r="W114" s="841">
        <v>68092.544106666654</v>
      </c>
      <c r="Y114" s="301"/>
      <c r="Z114" s="301"/>
      <c r="AA114" s="301"/>
      <c r="AB114" s="301"/>
    </row>
    <row r="115" spans="1:28" s="388" customFormat="1" x14ac:dyDescent="0.2">
      <c r="A115" s="825" t="s">
        <v>662</v>
      </c>
      <c r="B115" s="826"/>
      <c r="C115" s="826">
        <v>4</v>
      </c>
      <c r="D115" s="826"/>
      <c r="E115" s="826"/>
      <c r="F115" s="826"/>
      <c r="G115" s="826"/>
      <c r="H115" s="826"/>
      <c r="I115" s="826"/>
      <c r="J115" s="826"/>
      <c r="K115" s="826">
        <v>4</v>
      </c>
      <c r="L115" s="847">
        <v>278713.15537066665</v>
      </c>
      <c r="M115" s="846"/>
      <c r="N115" s="826">
        <v>5</v>
      </c>
      <c r="O115" s="826"/>
      <c r="P115" s="826"/>
      <c r="Q115" s="826"/>
      <c r="R115" s="826"/>
      <c r="S115" s="826"/>
      <c r="T115" s="826"/>
      <c r="U115" s="826"/>
      <c r="V115" s="826">
        <v>5</v>
      </c>
      <c r="W115" s="841">
        <v>348169.78</v>
      </c>
      <c r="Y115" s="301"/>
      <c r="Z115" s="301"/>
      <c r="AA115" s="301"/>
      <c r="AB115" s="301"/>
    </row>
    <row r="116" spans="1:28" s="388" customFormat="1" x14ac:dyDescent="0.2">
      <c r="A116" s="825" t="s">
        <v>663</v>
      </c>
      <c r="B116" s="826"/>
      <c r="C116" s="826">
        <v>1</v>
      </c>
      <c r="D116" s="826"/>
      <c r="E116" s="826"/>
      <c r="F116" s="826"/>
      <c r="G116" s="826"/>
      <c r="H116" s="826"/>
      <c r="I116" s="826"/>
      <c r="J116" s="826"/>
      <c r="K116" s="826">
        <v>1</v>
      </c>
      <c r="L116" s="845">
        <v>37059.69013333333</v>
      </c>
      <c r="M116" s="846"/>
      <c r="N116" s="826">
        <v>1</v>
      </c>
      <c r="O116" s="826"/>
      <c r="P116" s="826"/>
      <c r="Q116" s="826"/>
      <c r="R116" s="826"/>
      <c r="S116" s="826"/>
      <c r="T116" s="826"/>
      <c r="U116" s="826"/>
      <c r="V116" s="826">
        <v>1</v>
      </c>
      <c r="W116" s="841">
        <v>37059.69</v>
      </c>
      <c r="Y116" s="301"/>
      <c r="Z116" s="301"/>
      <c r="AA116" s="301"/>
      <c r="AB116" s="301"/>
    </row>
    <row r="117" spans="1:28" s="388" customFormat="1" x14ac:dyDescent="0.2">
      <c r="A117" s="830" t="s">
        <v>6</v>
      </c>
      <c r="B117" s="831"/>
      <c r="C117" s="831">
        <f>SUM(C118:C120)</f>
        <v>30</v>
      </c>
      <c r="D117" s="831"/>
      <c r="E117" s="831"/>
      <c r="F117" s="831"/>
      <c r="G117" s="831"/>
      <c r="H117" s="831"/>
      <c r="I117" s="831"/>
      <c r="J117" s="831"/>
      <c r="K117" s="831">
        <f>SUM(K118:K120)</f>
        <v>30</v>
      </c>
      <c r="L117" s="843">
        <f>SUM(L118:L120)</f>
        <v>1236876.9769386663</v>
      </c>
      <c r="M117" s="844"/>
      <c r="N117" s="831">
        <f>SUM(N118:N120)</f>
        <v>30</v>
      </c>
      <c r="O117" s="831"/>
      <c r="P117" s="831"/>
      <c r="Q117" s="831"/>
      <c r="R117" s="831"/>
      <c r="S117" s="831"/>
      <c r="T117" s="831"/>
      <c r="U117" s="831"/>
      <c r="V117" s="831">
        <f>SUM(V118:V120)</f>
        <v>30</v>
      </c>
      <c r="W117" s="842">
        <f>SUM(W118:W120)</f>
        <v>1236876.9769386663</v>
      </c>
      <c r="Y117" s="301"/>
      <c r="Z117" s="301"/>
      <c r="AA117" s="301"/>
      <c r="AB117" s="301"/>
    </row>
    <row r="118" spans="1:28" s="388" customFormat="1" x14ac:dyDescent="0.2">
      <c r="A118" s="825" t="s">
        <v>664</v>
      </c>
      <c r="B118" s="826"/>
      <c r="C118" s="826">
        <v>20</v>
      </c>
      <c r="D118" s="826"/>
      <c r="E118" s="826"/>
      <c r="F118" s="826"/>
      <c r="G118" s="826"/>
      <c r="H118" s="826"/>
      <c r="I118" s="826"/>
      <c r="J118" s="826"/>
      <c r="K118" s="826">
        <v>20</v>
      </c>
      <c r="L118" s="841">
        <v>751833.63831466634</v>
      </c>
      <c r="M118" s="826"/>
      <c r="N118" s="826">
        <v>20</v>
      </c>
      <c r="O118" s="826"/>
      <c r="P118" s="826"/>
      <c r="Q118" s="826"/>
      <c r="R118" s="826"/>
      <c r="S118" s="826"/>
      <c r="T118" s="826"/>
      <c r="U118" s="826"/>
      <c r="V118" s="826">
        <v>20</v>
      </c>
      <c r="W118" s="841">
        <v>751833.63831466634</v>
      </c>
      <c r="Y118" s="301"/>
      <c r="Z118" s="301"/>
      <c r="AA118" s="301"/>
      <c r="AB118" s="301"/>
    </row>
    <row r="119" spans="1:28" s="388" customFormat="1" x14ac:dyDescent="0.2">
      <c r="A119" s="825" t="s">
        <v>665</v>
      </c>
      <c r="B119" s="826"/>
      <c r="C119" s="826">
        <v>1</v>
      </c>
      <c r="D119" s="826"/>
      <c r="E119" s="826"/>
      <c r="F119" s="826"/>
      <c r="G119" s="826"/>
      <c r="H119" s="826"/>
      <c r="I119" s="826"/>
      <c r="J119" s="826"/>
      <c r="K119" s="826">
        <v>1</v>
      </c>
      <c r="L119" s="841">
        <v>39651.444970666664</v>
      </c>
      <c r="M119" s="826"/>
      <c r="N119" s="826">
        <v>1</v>
      </c>
      <c r="O119" s="826"/>
      <c r="P119" s="826"/>
      <c r="Q119" s="826"/>
      <c r="R119" s="826"/>
      <c r="S119" s="826"/>
      <c r="T119" s="826"/>
      <c r="U119" s="826"/>
      <c r="V119" s="826">
        <v>1</v>
      </c>
      <c r="W119" s="841">
        <v>39651.444970666664</v>
      </c>
      <c r="Y119" s="301"/>
      <c r="Z119" s="301"/>
      <c r="AA119" s="301"/>
      <c r="AB119" s="301"/>
    </row>
    <row r="120" spans="1:28" s="388" customFormat="1" x14ac:dyDescent="0.2">
      <c r="A120" s="825" t="s">
        <v>666</v>
      </c>
      <c r="B120" s="826"/>
      <c r="C120" s="826">
        <v>9</v>
      </c>
      <c r="D120" s="826"/>
      <c r="E120" s="826"/>
      <c r="F120" s="826"/>
      <c r="G120" s="826"/>
      <c r="H120" s="826"/>
      <c r="I120" s="826"/>
      <c r="J120" s="826"/>
      <c r="K120" s="826">
        <v>9</v>
      </c>
      <c r="L120" s="841">
        <v>445391.89365333342</v>
      </c>
      <c r="M120" s="826"/>
      <c r="N120" s="826">
        <v>9</v>
      </c>
      <c r="O120" s="826"/>
      <c r="P120" s="826"/>
      <c r="Q120" s="826"/>
      <c r="R120" s="826"/>
      <c r="S120" s="826"/>
      <c r="T120" s="826"/>
      <c r="U120" s="826"/>
      <c r="V120" s="826">
        <v>9</v>
      </c>
      <c r="W120" s="841">
        <v>445391.89365333342</v>
      </c>
      <c r="Y120" s="301"/>
      <c r="Z120" s="301"/>
      <c r="AA120" s="301"/>
      <c r="AB120" s="301"/>
    </row>
    <row r="121" spans="1:28" s="388" customFormat="1" x14ac:dyDescent="0.2">
      <c r="A121" s="848" t="s">
        <v>667</v>
      </c>
      <c r="B121" s="826"/>
      <c r="C121" s="826"/>
      <c r="D121" s="826"/>
      <c r="E121" s="826"/>
      <c r="F121" s="826"/>
      <c r="G121" s="826"/>
      <c r="H121" s="826"/>
      <c r="I121" s="826"/>
      <c r="J121" s="826"/>
      <c r="K121" s="826"/>
      <c r="L121" s="841"/>
      <c r="M121" s="826"/>
      <c r="N121" s="826"/>
      <c r="O121" s="826"/>
      <c r="P121" s="826"/>
      <c r="Q121" s="826"/>
      <c r="R121" s="826"/>
      <c r="S121" s="826"/>
      <c r="T121" s="826"/>
      <c r="U121" s="826"/>
      <c r="V121" s="826"/>
      <c r="W121" s="841"/>
      <c r="Y121" s="301"/>
      <c r="Z121" s="301"/>
      <c r="AA121" s="301"/>
      <c r="AB121" s="301"/>
    </row>
    <row r="122" spans="1:28" s="388" customFormat="1" x14ac:dyDescent="0.2">
      <c r="A122" s="825"/>
      <c r="B122" s="826"/>
      <c r="C122" s="826"/>
      <c r="D122" s="826"/>
      <c r="E122" s="826"/>
      <c r="F122" s="826"/>
      <c r="G122" s="826"/>
      <c r="H122" s="826"/>
      <c r="I122" s="826"/>
      <c r="J122" s="826"/>
      <c r="K122" s="826"/>
      <c r="L122" s="841"/>
      <c r="M122" s="826"/>
      <c r="N122" s="826"/>
      <c r="O122" s="826"/>
      <c r="P122" s="826"/>
      <c r="Q122" s="826"/>
      <c r="R122" s="826"/>
      <c r="S122" s="826"/>
      <c r="T122" s="826"/>
      <c r="U122" s="826"/>
      <c r="V122" s="826"/>
      <c r="W122" s="841"/>
      <c r="Y122" s="301"/>
      <c r="Z122" s="301"/>
      <c r="AA122" s="301"/>
      <c r="AB122" s="301"/>
    </row>
    <row r="123" spans="1:28" s="388" customFormat="1" x14ac:dyDescent="0.2">
      <c r="A123" s="830" t="s">
        <v>98</v>
      </c>
      <c r="B123" s="831"/>
      <c r="C123" s="831"/>
      <c r="D123" s="831">
        <v>77</v>
      </c>
      <c r="E123" s="831"/>
      <c r="F123" s="831"/>
      <c r="G123" s="831"/>
      <c r="H123" s="831"/>
      <c r="I123" s="831"/>
      <c r="J123" s="831"/>
      <c r="K123" s="831">
        <v>77</v>
      </c>
      <c r="L123" s="842">
        <v>3335656</v>
      </c>
      <c r="M123" s="831"/>
      <c r="N123" s="831"/>
      <c r="O123" s="831">
        <v>77</v>
      </c>
      <c r="P123" s="831"/>
      <c r="Q123" s="831"/>
      <c r="R123" s="831"/>
      <c r="S123" s="831"/>
      <c r="T123" s="831"/>
      <c r="U123" s="831"/>
      <c r="V123" s="831">
        <v>77</v>
      </c>
      <c r="W123" s="842">
        <v>3079340</v>
      </c>
      <c r="Y123" s="301"/>
      <c r="Z123" s="301"/>
      <c r="AA123" s="301"/>
      <c r="AB123" s="301"/>
    </row>
    <row r="124" spans="1:28" s="388" customFormat="1" x14ac:dyDescent="0.2">
      <c r="A124" s="825"/>
      <c r="B124" s="826"/>
      <c r="C124" s="826"/>
      <c r="D124" s="826"/>
      <c r="E124" s="826"/>
      <c r="F124" s="826"/>
      <c r="G124" s="826"/>
      <c r="H124" s="826"/>
      <c r="I124" s="826"/>
      <c r="J124" s="826"/>
      <c r="K124" s="826"/>
      <c r="L124" s="841"/>
      <c r="M124" s="826"/>
      <c r="N124" s="826"/>
      <c r="O124" s="826"/>
      <c r="P124" s="826"/>
      <c r="Q124" s="826"/>
      <c r="R124" s="826"/>
      <c r="S124" s="826"/>
      <c r="T124" s="826"/>
      <c r="U124" s="826"/>
      <c r="V124" s="826"/>
      <c r="W124" s="849"/>
      <c r="Y124" s="301"/>
      <c r="Z124" s="301"/>
      <c r="AA124" s="301"/>
      <c r="AB124" s="301"/>
    </row>
    <row r="125" spans="1:28" s="388" customFormat="1" x14ac:dyDescent="0.2">
      <c r="A125" s="848" t="s">
        <v>624</v>
      </c>
      <c r="B125" s="826"/>
      <c r="C125" s="826"/>
      <c r="D125" s="826"/>
      <c r="E125" s="826"/>
      <c r="F125" s="826"/>
      <c r="G125" s="826"/>
      <c r="H125" s="826"/>
      <c r="I125" s="826"/>
      <c r="J125" s="826"/>
      <c r="K125" s="826"/>
      <c r="L125" s="841"/>
      <c r="M125" s="826"/>
      <c r="N125" s="826"/>
      <c r="O125" s="826"/>
      <c r="P125" s="826"/>
      <c r="Q125" s="826"/>
      <c r="R125" s="826"/>
      <c r="S125" s="826"/>
      <c r="T125" s="826"/>
      <c r="U125" s="826"/>
      <c r="V125" s="826"/>
      <c r="W125" s="849"/>
      <c r="Y125" s="301"/>
      <c r="Z125" s="301"/>
      <c r="AA125" s="301"/>
      <c r="AB125" s="301"/>
    </row>
    <row r="126" spans="1:28" s="388" customFormat="1" x14ac:dyDescent="0.2">
      <c r="A126" s="850"/>
      <c r="B126" s="826"/>
      <c r="C126" s="826"/>
      <c r="D126" s="826"/>
      <c r="E126" s="826"/>
      <c r="F126" s="826"/>
      <c r="G126" s="826"/>
      <c r="H126" s="826"/>
      <c r="I126" s="826"/>
      <c r="J126" s="826"/>
      <c r="K126" s="826"/>
      <c r="L126" s="841"/>
      <c r="M126" s="826"/>
      <c r="N126" s="826"/>
      <c r="O126" s="826"/>
      <c r="P126" s="826"/>
      <c r="Q126" s="826"/>
      <c r="R126" s="826"/>
      <c r="S126" s="826"/>
      <c r="T126" s="826"/>
      <c r="U126" s="826"/>
      <c r="V126" s="826"/>
      <c r="W126" s="849"/>
      <c r="Y126" s="301"/>
      <c r="Z126" s="301"/>
      <c r="AA126" s="301"/>
      <c r="AB126" s="301"/>
    </row>
    <row r="127" spans="1:28" s="388" customFormat="1" x14ac:dyDescent="0.2">
      <c r="A127" s="830" t="s">
        <v>668</v>
      </c>
      <c r="B127" s="831"/>
      <c r="C127" s="831"/>
      <c r="D127" s="831"/>
      <c r="E127" s="831"/>
      <c r="F127" s="831"/>
      <c r="G127" s="831"/>
      <c r="H127" s="831"/>
      <c r="I127" s="831">
        <v>11</v>
      </c>
      <c r="J127" s="831"/>
      <c r="K127" s="831">
        <v>11</v>
      </c>
      <c r="L127" s="842">
        <v>116452</v>
      </c>
      <c r="M127" s="831"/>
      <c r="N127" s="831"/>
      <c r="O127" s="831"/>
      <c r="P127" s="831"/>
      <c r="Q127" s="831"/>
      <c r="R127" s="831"/>
      <c r="S127" s="831"/>
      <c r="T127" s="831">
        <v>20</v>
      </c>
      <c r="U127" s="831"/>
      <c r="V127" s="831">
        <v>20</v>
      </c>
      <c r="W127" s="851">
        <v>121007</v>
      </c>
      <c r="Y127" s="301"/>
      <c r="Z127" s="301"/>
      <c r="AA127" s="301"/>
      <c r="AB127" s="301"/>
    </row>
    <row r="128" spans="1:28" s="388" customFormat="1" ht="13.5" thickBot="1" x14ac:dyDescent="0.25">
      <c r="A128" s="322"/>
      <c r="B128" s="319"/>
      <c r="C128" s="319"/>
      <c r="D128" s="319"/>
      <c r="E128" s="319"/>
      <c r="F128" s="319"/>
      <c r="G128" s="319"/>
      <c r="H128" s="319"/>
      <c r="I128" s="319"/>
      <c r="J128" s="319"/>
      <c r="K128" s="319"/>
      <c r="L128" s="638"/>
      <c r="M128" s="319"/>
      <c r="N128" s="319"/>
      <c r="O128" s="319"/>
      <c r="P128" s="319"/>
      <c r="Q128" s="319"/>
      <c r="R128" s="319"/>
      <c r="S128" s="319"/>
      <c r="T128" s="319"/>
      <c r="U128" s="319"/>
      <c r="V128" s="319"/>
      <c r="W128" s="327"/>
      <c r="Y128" s="301"/>
      <c r="Z128" s="301"/>
      <c r="AA128" s="301"/>
      <c r="AB128" s="301"/>
    </row>
    <row r="129" spans="1:28" s="388" customFormat="1" ht="13.5" thickBot="1" x14ac:dyDescent="0.25">
      <c r="A129" s="329" t="s">
        <v>23</v>
      </c>
      <c r="B129" s="332"/>
      <c r="C129" s="332">
        <f>+C117+C108+C98+C92</f>
        <v>238</v>
      </c>
      <c r="D129" s="332"/>
      <c r="E129" s="332"/>
      <c r="F129" s="332"/>
      <c r="G129" s="332"/>
      <c r="H129" s="332"/>
      <c r="I129" s="332"/>
      <c r="J129" s="332"/>
      <c r="K129" s="332"/>
      <c r="L129" s="577">
        <f>SUM(L92+L98+L108+L117+L123+L127)</f>
        <v>25778570.003487989</v>
      </c>
      <c r="M129" s="332"/>
      <c r="N129" s="332">
        <f>+N117+N108+N98+N92</f>
        <v>240</v>
      </c>
      <c r="O129" s="332"/>
      <c r="P129" s="332"/>
      <c r="Q129" s="332"/>
      <c r="R129" s="332"/>
      <c r="S129" s="332"/>
      <c r="T129" s="332"/>
      <c r="U129" s="332"/>
      <c r="V129" s="332"/>
      <c r="W129" s="577">
        <f>SUM(W92+W98+W108+W117+W123+W127)</f>
        <v>26047254.003167998</v>
      </c>
      <c r="Y129" s="301"/>
      <c r="Z129" s="301"/>
      <c r="AA129" s="301"/>
      <c r="AB129" s="301"/>
    </row>
    <row r="130" spans="1:28" s="388" customFormat="1" x14ac:dyDescent="0.2">
      <c r="A130" s="302" t="s">
        <v>306</v>
      </c>
      <c r="B130" s="303"/>
      <c r="C130" s="303"/>
      <c r="D130" s="303"/>
      <c r="E130" s="303"/>
      <c r="F130" s="303"/>
      <c r="G130" s="303"/>
      <c r="H130" s="303"/>
      <c r="I130" s="303"/>
      <c r="J130" s="303"/>
      <c r="K130" s="303"/>
      <c r="L130" s="635"/>
      <c r="M130" s="303"/>
      <c r="N130" s="303"/>
      <c r="O130" s="303"/>
      <c r="P130" s="636"/>
      <c r="Q130" s="602"/>
      <c r="R130" s="505"/>
      <c r="S130" s="505"/>
      <c r="T130" s="502"/>
      <c r="U130" s="502"/>
      <c r="V130" s="502"/>
      <c r="W130" s="502"/>
      <c r="Y130" s="301"/>
      <c r="Z130" s="301"/>
      <c r="AA130" s="301"/>
      <c r="AB130" s="301"/>
    </row>
    <row r="131" spans="1:28" s="388" customFormat="1" x14ac:dyDescent="0.2">
      <c r="A131" s="317" t="s">
        <v>300</v>
      </c>
      <c r="B131" s="317"/>
      <c r="C131" s="317"/>
      <c r="D131" s="317"/>
      <c r="E131" s="317"/>
      <c r="F131" s="317"/>
      <c r="G131" s="317"/>
      <c r="H131" s="317"/>
      <c r="I131" s="317"/>
      <c r="J131" s="317"/>
      <c r="K131" s="317"/>
      <c r="L131" s="637"/>
      <c r="M131" s="317"/>
      <c r="N131" s="317"/>
      <c r="O131" s="317"/>
      <c r="P131" s="502"/>
      <c r="Q131" s="602"/>
      <c r="R131" s="505"/>
      <c r="S131" s="505"/>
      <c r="T131" s="505"/>
      <c r="U131" s="505"/>
      <c r="V131" s="502"/>
      <c r="W131" s="503"/>
      <c r="Y131" s="301"/>
      <c r="Z131" s="301"/>
      <c r="AA131" s="301"/>
      <c r="AB131" s="301"/>
    </row>
    <row r="132" spans="1:28" s="388" customFormat="1" x14ac:dyDescent="0.2">
      <c r="A132" s="317" t="s">
        <v>304</v>
      </c>
      <c r="B132" s="317"/>
      <c r="C132" s="317"/>
      <c r="D132" s="317"/>
      <c r="E132" s="317"/>
      <c r="F132" s="317"/>
      <c r="G132" s="317"/>
      <c r="H132" s="317"/>
      <c r="I132" s="317"/>
      <c r="J132" s="317"/>
      <c r="K132" s="317"/>
      <c r="L132" s="637"/>
      <c r="M132" s="317"/>
      <c r="N132" s="317"/>
      <c r="O132" s="317"/>
      <c r="P132" s="502"/>
      <c r="Q132" s="602"/>
      <c r="R132" s="505"/>
      <c r="S132" s="505"/>
      <c r="T132" s="505"/>
      <c r="U132" s="505"/>
      <c r="V132" s="502"/>
      <c r="W132" s="502"/>
      <c r="Y132" s="301"/>
      <c r="Z132" s="301"/>
      <c r="AA132" s="301"/>
      <c r="AB132" s="301"/>
    </row>
    <row r="133" spans="1:28" s="388" customFormat="1" x14ac:dyDescent="0.2">
      <c r="A133" s="317" t="s">
        <v>311</v>
      </c>
      <c r="B133" s="317"/>
      <c r="C133" s="317"/>
      <c r="D133" s="317"/>
      <c r="E133" s="317"/>
      <c r="F133" s="317"/>
      <c r="G133" s="317"/>
      <c r="H133" s="317"/>
      <c r="I133" s="317"/>
      <c r="J133" s="317"/>
      <c r="K133" s="317"/>
      <c r="L133" s="637"/>
      <c r="M133" s="317"/>
      <c r="N133" s="317"/>
      <c r="O133" s="317"/>
      <c r="P133" s="317"/>
      <c r="Q133" s="317"/>
      <c r="R133" s="317"/>
      <c r="S133" s="317"/>
      <c r="T133" s="317"/>
      <c r="U133" s="317"/>
      <c r="V133" s="317"/>
      <c r="W133" s="317"/>
      <c r="Y133" s="301"/>
      <c r="Z133" s="301"/>
      <c r="AA133" s="301"/>
      <c r="AB133" s="301"/>
    </row>
    <row r="136" spans="1:28" s="388" customFormat="1" ht="16.5" thickBot="1" x14ac:dyDescent="0.3">
      <c r="A136" s="396" t="s">
        <v>669</v>
      </c>
      <c r="B136" s="389"/>
      <c r="C136" s="389"/>
      <c r="D136" s="389"/>
      <c r="E136" s="389"/>
      <c r="F136" s="389"/>
      <c r="G136" s="389"/>
      <c r="H136" s="389"/>
      <c r="I136" s="389"/>
      <c r="J136" s="389"/>
      <c r="K136" s="389"/>
      <c r="L136" s="389"/>
      <c r="M136" s="389"/>
      <c r="N136" s="389"/>
      <c r="O136" s="389"/>
      <c r="P136" s="389"/>
      <c r="Q136" s="389"/>
      <c r="R136" s="389"/>
      <c r="S136" s="389"/>
      <c r="T136" s="389"/>
      <c r="U136" s="389"/>
      <c r="V136" s="389"/>
      <c r="W136" s="389"/>
      <c r="Y136" s="301"/>
      <c r="Z136" s="301"/>
      <c r="AA136" s="301"/>
      <c r="AB136" s="301"/>
    </row>
    <row r="137" spans="1:28" s="388" customFormat="1" ht="18" customHeight="1" x14ac:dyDescent="0.2">
      <c r="A137" s="414" t="s">
        <v>10</v>
      </c>
      <c r="B137" s="1470" t="s">
        <v>446</v>
      </c>
      <c r="C137" s="1471"/>
      <c r="D137" s="1471"/>
      <c r="E137" s="1471"/>
      <c r="F137" s="1471"/>
      <c r="G137" s="1471"/>
      <c r="H137" s="1471"/>
      <c r="I137" s="1471"/>
      <c r="J137" s="1471"/>
      <c r="K137" s="1471"/>
      <c r="L137" s="1472"/>
      <c r="M137" s="1470" t="s">
        <v>447</v>
      </c>
      <c r="N137" s="1471"/>
      <c r="O137" s="1471"/>
      <c r="P137" s="1471"/>
      <c r="Q137" s="1471"/>
      <c r="R137" s="1471"/>
      <c r="S137" s="1471"/>
      <c r="T137" s="1471"/>
      <c r="U137" s="1471"/>
      <c r="V137" s="1471"/>
      <c r="W137" s="1472"/>
      <c r="Y137" s="301"/>
      <c r="Z137" s="301"/>
      <c r="AA137" s="301"/>
      <c r="AB137" s="301"/>
    </row>
    <row r="138" spans="1:28" s="388" customFormat="1" ht="135" thickBot="1" x14ac:dyDescent="0.25">
      <c r="A138" s="415" t="s">
        <v>9</v>
      </c>
      <c r="B138" s="416" t="s">
        <v>340</v>
      </c>
      <c r="C138" s="416" t="s">
        <v>128</v>
      </c>
      <c r="D138" s="417" t="s">
        <v>299</v>
      </c>
      <c r="E138" s="417" t="s">
        <v>291</v>
      </c>
      <c r="F138" s="417" t="s">
        <v>301</v>
      </c>
      <c r="G138" s="417" t="s">
        <v>302</v>
      </c>
      <c r="H138" s="417" t="s">
        <v>303</v>
      </c>
      <c r="I138" s="417" t="s">
        <v>310</v>
      </c>
      <c r="J138" s="418" t="s">
        <v>305</v>
      </c>
      <c r="K138" s="419" t="s">
        <v>307</v>
      </c>
      <c r="L138" s="420" t="s">
        <v>309</v>
      </c>
      <c r="M138" s="665" t="s">
        <v>340</v>
      </c>
      <c r="N138" s="665" t="s">
        <v>128</v>
      </c>
      <c r="O138" s="666" t="s">
        <v>299</v>
      </c>
      <c r="P138" s="666" t="s">
        <v>291</v>
      </c>
      <c r="Q138" s="666" t="s">
        <v>301</v>
      </c>
      <c r="R138" s="666" t="s">
        <v>302</v>
      </c>
      <c r="S138" s="666" t="s">
        <v>303</v>
      </c>
      <c r="T138" s="666" t="s">
        <v>310</v>
      </c>
      <c r="U138" s="667" t="s">
        <v>305</v>
      </c>
      <c r="V138" s="668" t="s">
        <v>307</v>
      </c>
      <c r="W138" s="669" t="s">
        <v>308</v>
      </c>
      <c r="Y138" s="301"/>
      <c r="Z138" s="301"/>
      <c r="AA138" s="301"/>
      <c r="AB138" s="301"/>
    </row>
    <row r="139" spans="1:28" s="388" customFormat="1" x14ac:dyDescent="0.2">
      <c r="A139" s="833" t="s">
        <v>7</v>
      </c>
      <c r="B139" s="834"/>
      <c r="C139" s="834"/>
      <c r="D139" s="834"/>
      <c r="E139" s="834"/>
      <c r="F139" s="834"/>
      <c r="G139" s="834"/>
      <c r="H139" s="834"/>
      <c r="I139" s="834"/>
      <c r="J139" s="834"/>
      <c r="K139" s="834"/>
      <c r="L139" s="835"/>
      <c r="M139" s="852"/>
      <c r="N139" s="853"/>
      <c r="O139" s="853"/>
      <c r="P139" s="853"/>
      <c r="Q139" s="853"/>
      <c r="R139" s="853"/>
      <c r="S139" s="853"/>
      <c r="T139" s="853"/>
      <c r="U139" s="853"/>
      <c r="V139" s="853"/>
      <c r="W139" s="854"/>
      <c r="Y139" s="301"/>
      <c r="Z139" s="301"/>
      <c r="AA139" s="301"/>
      <c r="AB139" s="301"/>
    </row>
    <row r="140" spans="1:28" s="388" customFormat="1" x14ac:dyDescent="0.2">
      <c r="A140" s="825"/>
      <c r="B140" s="826"/>
      <c r="C140" s="826"/>
      <c r="D140" s="826"/>
      <c r="E140" s="826"/>
      <c r="F140" s="826"/>
      <c r="G140" s="826"/>
      <c r="H140" s="826"/>
      <c r="I140" s="826"/>
      <c r="J140" s="826"/>
      <c r="K140" s="826"/>
      <c r="L140" s="828"/>
      <c r="M140" s="846"/>
      <c r="N140" s="826"/>
      <c r="O140" s="826"/>
      <c r="P140" s="826"/>
      <c r="Q140" s="826"/>
      <c r="R140" s="826"/>
      <c r="S140" s="826"/>
      <c r="T140" s="826"/>
      <c r="U140" s="826"/>
      <c r="V140" s="826"/>
      <c r="W140" s="828"/>
      <c r="Y140" s="301"/>
      <c r="Z140" s="301"/>
      <c r="AA140" s="301"/>
      <c r="AB140" s="301"/>
    </row>
    <row r="141" spans="1:28" s="388" customFormat="1" x14ac:dyDescent="0.2">
      <c r="A141" s="825" t="s">
        <v>646</v>
      </c>
      <c r="B141" s="846"/>
      <c r="C141" s="826">
        <v>1</v>
      </c>
      <c r="D141" s="855"/>
      <c r="E141" s="855"/>
      <c r="F141" s="855"/>
      <c r="G141" s="855"/>
      <c r="H141" s="855"/>
      <c r="I141" s="855"/>
      <c r="J141" s="855"/>
      <c r="K141" s="855">
        <f>SUM(C141:J141)</f>
        <v>1</v>
      </c>
      <c r="L141" s="856">
        <v>238503.39</v>
      </c>
      <c r="M141" s="846"/>
      <c r="N141" s="826">
        <v>1</v>
      </c>
      <c r="O141" s="855"/>
      <c r="P141" s="855"/>
      <c r="Q141" s="855"/>
      <c r="R141" s="855"/>
      <c r="S141" s="855"/>
      <c r="T141" s="855"/>
      <c r="U141" s="855"/>
      <c r="V141" s="855">
        <f>SUM(N141:U141)</f>
        <v>1</v>
      </c>
      <c r="W141" s="856">
        <f>238503.39+15600</f>
        <v>254103.39</v>
      </c>
      <c r="Y141" s="301"/>
      <c r="Z141" s="301"/>
      <c r="AA141" s="301"/>
      <c r="AB141" s="301"/>
    </row>
    <row r="142" spans="1:28" s="388" customFormat="1" x14ac:dyDescent="0.2">
      <c r="A142" s="825" t="s">
        <v>645</v>
      </c>
      <c r="B142" s="846"/>
      <c r="C142" s="826">
        <v>1</v>
      </c>
      <c r="D142" s="826"/>
      <c r="E142" s="826"/>
      <c r="F142" s="826"/>
      <c r="G142" s="826"/>
      <c r="H142" s="826"/>
      <c r="I142" s="826"/>
      <c r="J142" s="826"/>
      <c r="K142" s="855">
        <f t="shared" ref="K142:K147" si="9">SUM(C142:J142)</f>
        <v>1</v>
      </c>
      <c r="L142" s="849">
        <v>215501.98499999999</v>
      </c>
      <c r="M142" s="846"/>
      <c r="N142" s="826">
        <v>1</v>
      </c>
      <c r="O142" s="826"/>
      <c r="P142" s="826"/>
      <c r="Q142" s="826"/>
      <c r="R142" s="826"/>
      <c r="S142" s="826"/>
      <c r="T142" s="826"/>
      <c r="U142" s="826"/>
      <c r="V142" s="855">
        <f t="shared" ref="V142:V146" si="10">SUM(N142:U142)</f>
        <v>1</v>
      </c>
      <c r="W142" s="849">
        <f>215501.985+14000</f>
        <v>229501.98499999999</v>
      </c>
      <c r="Y142" s="301"/>
      <c r="Z142" s="301"/>
      <c r="AA142" s="301"/>
      <c r="AB142" s="301"/>
    </row>
    <row r="143" spans="1:28" s="388" customFormat="1" x14ac:dyDescent="0.2">
      <c r="A143" s="825" t="s">
        <v>644</v>
      </c>
      <c r="B143" s="846"/>
      <c r="C143" s="826">
        <v>14</v>
      </c>
      <c r="D143" s="826"/>
      <c r="E143" s="826"/>
      <c r="F143" s="826"/>
      <c r="G143" s="826"/>
      <c r="H143" s="826"/>
      <c r="I143" s="826"/>
      <c r="J143" s="826"/>
      <c r="K143" s="855">
        <f t="shared" si="9"/>
        <v>14</v>
      </c>
      <c r="L143" s="849">
        <v>2404686.895</v>
      </c>
      <c r="M143" s="846"/>
      <c r="N143" s="826">
        <f>9+2</f>
        <v>11</v>
      </c>
      <c r="O143" s="826"/>
      <c r="P143" s="826"/>
      <c r="Q143" s="826"/>
      <c r="R143" s="826"/>
      <c r="S143" s="826"/>
      <c r="T143" s="826"/>
      <c r="U143" s="826"/>
      <c r="V143" s="855">
        <f t="shared" si="10"/>
        <v>11</v>
      </c>
      <c r="W143" s="849">
        <f>1664783+40658+40658+108000</f>
        <v>1854099</v>
      </c>
      <c r="Y143" s="301"/>
      <c r="Z143" s="301"/>
      <c r="AA143" s="301"/>
      <c r="AB143" s="301"/>
    </row>
    <row r="144" spans="1:28" s="388" customFormat="1" x14ac:dyDescent="0.2">
      <c r="A144" s="825" t="s">
        <v>643</v>
      </c>
      <c r="B144" s="846"/>
      <c r="C144" s="826">
        <v>6</v>
      </c>
      <c r="D144" s="826"/>
      <c r="E144" s="826"/>
      <c r="F144" s="826"/>
      <c r="G144" s="826"/>
      <c r="H144" s="826"/>
      <c r="I144" s="826"/>
      <c r="J144" s="826"/>
      <c r="K144" s="855">
        <f t="shared" si="9"/>
        <v>6</v>
      </c>
      <c r="L144" s="849">
        <v>972488.12999999989</v>
      </c>
      <c r="M144" s="846"/>
      <c r="N144" s="826">
        <f>4+1</f>
        <v>5</v>
      </c>
      <c r="O144" s="826"/>
      <c r="P144" s="826"/>
      <c r="Q144" s="826"/>
      <c r="R144" s="826"/>
      <c r="S144" s="826"/>
      <c r="T144" s="826"/>
      <c r="U144" s="826"/>
      <c r="V144" s="855">
        <f t="shared" si="10"/>
        <v>5</v>
      </c>
      <c r="W144" s="849">
        <f>648325+16263+42000</f>
        <v>706588</v>
      </c>
      <c r="Y144" s="301"/>
      <c r="Z144" s="301"/>
      <c r="AA144" s="301"/>
      <c r="AB144" s="301"/>
    </row>
    <row r="145" spans="1:28" s="388" customFormat="1" x14ac:dyDescent="0.2">
      <c r="A145" s="825" t="s">
        <v>642</v>
      </c>
      <c r="B145" s="846"/>
      <c r="C145" s="826">
        <v>14</v>
      </c>
      <c r="D145" s="826"/>
      <c r="E145" s="826"/>
      <c r="F145" s="826"/>
      <c r="G145" s="826"/>
      <c r="H145" s="826"/>
      <c r="I145" s="826"/>
      <c r="J145" s="826"/>
      <c r="K145" s="855">
        <f t="shared" si="9"/>
        <v>14</v>
      </c>
      <c r="L145" s="849">
        <v>2054036.9549999996</v>
      </c>
      <c r="M145" s="846"/>
      <c r="N145" s="826">
        <v>14</v>
      </c>
      <c r="O145" s="826"/>
      <c r="P145" s="826"/>
      <c r="Q145" s="826"/>
      <c r="R145" s="826"/>
      <c r="S145" s="826"/>
      <c r="T145" s="826"/>
      <c r="U145" s="826"/>
      <c r="V145" s="855">
        <f t="shared" si="10"/>
        <v>14</v>
      </c>
      <c r="W145" s="849">
        <f>2054036.955+13300</f>
        <v>2067336.9550000001</v>
      </c>
      <c r="Y145" s="301"/>
      <c r="Z145" s="301"/>
      <c r="AA145" s="301"/>
      <c r="AB145" s="301"/>
    </row>
    <row r="146" spans="1:28" s="388" customFormat="1" x14ac:dyDescent="0.2">
      <c r="A146" s="825" t="s">
        <v>670</v>
      </c>
      <c r="B146" s="846"/>
      <c r="C146" s="826"/>
      <c r="D146" s="826"/>
      <c r="E146" s="826"/>
      <c r="F146" s="826"/>
      <c r="G146" s="826"/>
      <c r="H146" s="826"/>
      <c r="I146" s="826"/>
      <c r="J146" s="826">
        <v>3</v>
      </c>
      <c r="K146" s="855">
        <f t="shared" si="9"/>
        <v>3</v>
      </c>
      <c r="L146" s="849">
        <v>39240</v>
      </c>
      <c r="M146" s="846"/>
      <c r="N146" s="826"/>
      <c r="O146" s="826"/>
      <c r="P146" s="826"/>
      <c r="Q146" s="826"/>
      <c r="R146" s="826"/>
      <c r="S146" s="826"/>
      <c r="T146" s="826"/>
      <c r="U146" s="826">
        <v>3</v>
      </c>
      <c r="V146" s="855">
        <f t="shared" si="10"/>
        <v>3</v>
      </c>
      <c r="W146" s="849">
        <v>40000</v>
      </c>
      <c r="Y146" s="301"/>
      <c r="Z146" s="301"/>
      <c r="AA146" s="301"/>
      <c r="AB146" s="301"/>
    </row>
    <row r="147" spans="1:28" s="388" customFormat="1" x14ac:dyDescent="0.2">
      <c r="A147" s="825" t="s">
        <v>98</v>
      </c>
      <c r="B147" s="846"/>
      <c r="C147" s="826"/>
      <c r="D147" s="826">
        <v>2</v>
      </c>
      <c r="E147" s="826"/>
      <c r="F147" s="826"/>
      <c r="G147" s="826"/>
      <c r="H147" s="826"/>
      <c r="I147" s="826"/>
      <c r="J147" s="826"/>
      <c r="K147" s="855">
        <f t="shared" si="9"/>
        <v>2</v>
      </c>
      <c r="L147" s="849">
        <v>374400</v>
      </c>
      <c r="M147" s="846"/>
      <c r="N147" s="826"/>
      <c r="O147" s="826"/>
      <c r="P147" s="826"/>
      <c r="Q147" s="826"/>
      <c r="R147" s="826"/>
      <c r="S147" s="826"/>
      <c r="T147" s="826"/>
      <c r="U147" s="826"/>
      <c r="V147" s="855"/>
      <c r="W147" s="849"/>
      <c r="Y147" s="301"/>
      <c r="Z147" s="301"/>
      <c r="AA147" s="301"/>
      <c r="AB147" s="301"/>
    </row>
    <row r="148" spans="1:28" s="388" customFormat="1" x14ac:dyDescent="0.2">
      <c r="A148" s="825"/>
      <c r="B148" s="826"/>
      <c r="C148" s="826"/>
      <c r="D148" s="826"/>
      <c r="E148" s="826"/>
      <c r="F148" s="826"/>
      <c r="G148" s="826"/>
      <c r="H148" s="826"/>
      <c r="I148" s="826"/>
      <c r="J148" s="826"/>
      <c r="K148" s="826"/>
      <c r="L148" s="828"/>
      <c r="M148" s="846"/>
      <c r="N148" s="826"/>
      <c r="O148" s="826"/>
      <c r="P148" s="826"/>
      <c r="Q148" s="826"/>
      <c r="R148" s="826"/>
      <c r="S148" s="826"/>
      <c r="T148" s="826"/>
      <c r="U148" s="826"/>
      <c r="V148" s="826"/>
      <c r="W148" s="828"/>
      <c r="Y148" s="301"/>
      <c r="Z148" s="301"/>
      <c r="AA148" s="301"/>
      <c r="AB148" s="301"/>
    </row>
    <row r="149" spans="1:28" s="388" customFormat="1" x14ac:dyDescent="0.2">
      <c r="A149" s="830" t="s">
        <v>4</v>
      </c>
      <c r="B149" s="831"/>
      <c r="C149" s="831"/>
      <c r="D149" s="831"/>
      <c r="E149" s="831"/>
      <c r="F149" s="831"/>
      <c r="G149" s="831"/>
      <c r="H149" s="831"/>
      <c r="I149" s="831"/>
      <c r="J149" s="831"/>
      <c r="K149" s="831"/>
      <c r="L149" s="857"/>
      <c r="M149" s="844"/>
      <c r="N149" s="831"/>
      <c r="O149" s="831"/>
      <c r="P149" s="831"/>
      <c r="Q149" s="831"/>
      <c r="R149" s="831"/>
      <c r="S149" s="831"/>
      <c r="T149" s="831"/>
      <c r="U149" s="831"/>
      <c r="V149" s="831"/>
      <c r="W149" s="857"/>
      <c r="Y149" s="301"/>
      <c r="Z149" s="301"/>
      <c r="AA149" s="301"/>
      <c r="AB149" s="301"/>
    </row>
    <row r="150" spans="1:28" s="388" customFormat="1" x14ac:dyDescent="0.2">
      <c r="A150" s="825"/>
      <c r="B150" s="826"/>
      <c r="C150" s="826"/>
      <c r="D150" s="826"/>
      <c r="E150" s="826"/>
      <c r="F150" s="826"/>
      <c r="G150" s="826"/>
      <c r="H150" s="826"/>
      <c r="I150" s="826"/>
      <c r="J150" s="826"/>
      <c r="K150" s="826"/>
      <c r="L150" s="828"/>
      <c r="M150" s="846"/>
      <c r="N150" s="826"/>
      <c r="O150" s="826"/>
      <c r="P150" s="826"/>
      <c r="Q150" s="826"/>
      <c r="R150" s="826"/>
      <c r="S150" s="826"/>
      <c r="T150" s="826"/>
      <c r="U150" s="826"/>
      <c r="V150" s="826"/>
      <c r="W150" s="828"/>
      <c r="Y150" s="301"/>
      <c r="Z150" s="301"/>
      <c r="AA150" s="301"/>
      <c r="AB150" s="301"/>
    </row>
    <row r="151" spans="1:28" s="388" customFormat="1" x14ac:dyDescent="0.2">
      <c r="A151" s="825" t="s">
        <v>651</v>
      </c>
      <c r="B151" s="846"/>
      <c r="C151" s="826">
        <v>18</v>
      </c>
      <c r="D151" s="826"/>
      <c r="E151" s="826"/>
      <c r="F151" s="826"/>
      <c r="G151" s="826"/>
      <c r="H151" s="826"/>
      <c r="I151" s="826"/>
      <c r="J151" s="826"/>
      <c r="K151" s="855">
        <f t="shared" ref="K151:K155" si="11">SUM(C151:J151)</f>
        <v>18</v>
      </c>
      <c r="L151" s="849">
        <f>1793540.1-221286.95-15</f>
        <v>1572238.1500000001</v>
      </c>
      <c r="M151" s="846"/>
      <c r="N151" s="826">
        <f>10+1</f>
        <v>11</v>
      </c>
      <c r="O151" s="826"/>
      <c r="P151" s="826"/>
      <c r="Q151" s="826"/>
      <c r="R151" s="826"/>
      <c r="S151" s="826"/>
      <c r="T151" s="826"/>
      <c r="U151" s="826"/>
      <c r="V151" s="847">
        <f>SUM(M151:U151)</f>
        <v>11</v>
      </c>
      <c r="W151" s="849">
        <f>1007242.5+108052.05+56500</f>
        <v>1171794.55</v>
      </c>
      <c r="Y151" s="301"/>
      <c r="Z151" s="301"/>
      <c r="AA151" s="301"/>
      <c r="AB151" s="301"/>
    </row>
    <row r="152" spans="1:28" s="388" customFormat="1" x14ac:dyDescent="0.2">
      <c r="A152" s="825" t="s">
        <v>650</v>
      </c>
      <c r="B152" s="846"/>
      <c r="C152" s="826">
        <v>19</v>
      </c>
      <c r="D152" s="826"/>
      <c r="E152" s="826"/>
      <c r="F152" s="826"/>
      <c r="G152" s="826"/>
      <c r="H152" s="826"/>
      <c r="I152" s="826"/>
      <c r="J152" s="826"/>
      <c r="K152" s="855">
        <f t="shared" si="11"/>
        <v>19</v>
      </c>
      <c r="L152" s="849">
        <v>1829373.35</v>
      </c>
      <c r="M152" s="846"/>
      <c r="N152" s="826">
        <f>12+3</f>
        <v>15</v>
      </c>
      <c r="O152" s="826"/>
      <c r="P152" s="826"/>
      <c r="Q152" s="826"/>
      <c r="R152" s="826"/>
      <c r="S152" s="826"/>
      <c r="T152" s="826"/>
      <c r="U152" s="826"/>
      <c r="V152" s="847">
        <f t="shared" ref="V152:V155" si="12">SUM(M152:U152)</f>
        <v>15</v>
      </c>
      <c r="W152" s="849">
        <f>1166932.7+98199.34+188786.34+66000</f>
        <v>1519918.3800000001</v>
      </c>
      <c r="Y152" s="301"/>
      <c r="Z152" s="301"/>
      <c r="AA152" s="301"/>
      <c r="AB152" s="301"/>
    </row>
    <row r="153" spans="1:28" s="388" customFormat="1" x14ac:dyDescent="0.2">
      <c r="A153" s="825" t="s">
        <v>649</v>
      </c>
      <c r="B153" s="846"/>
      <c r="C153" s="826">
        <v>9</v>
      </c>
      <c r="D153" s="826"/>
      <c r="E153" s="826"/>
      <c r="F153" s="826"/>
      <c r="G153" s="826"/>
      <c r="H153" s="826"/>
      <c r="I153" s="826"/>
      <c r="J153" s="826"/>
      <c r="K153" s="855">
        <f t="shared" si="11"/>
        <v>9</v>
      </c>
      <c r="L153" s="849">
        <f>819085.1-172506.89</f>
        <v>646578.21</v>
      </c>
      <c r="M153" s="846"/>
      <c r="N153" s="826">
        <f>5+1</f>
        <v>6</v>
      </c>
      <c r="O153" s="826"/>
      <c r="P153" s="826"/>
      <c r="Q153" s="826"/>
      <c r="R153" s="826"/>
      <c r="S153" s="826"/>
      <c r="T153" s="826"/>
      <c r="U153" s="826"/>
      <c r="V153" s="847">
        <f t="shared" si="12"/>
        <v>6</v>
      </c>
      <c r="W153" s="849">
        <f>464962.67+86253.45+26250</f>
        <v>577466.12</v>
      </c>
      <c r="Y153" s="301"/>
      <c r="Z153" s="301"/>
      <c r="AA153" s="301"/>
      <c r="AB153" s="301"/>
    </row>
    <row r="154" spans="1:28" s="388" customFormat="1" x14ac:dyDescent="0.2">
      <c r="A154" s="825" t="s">
        <v>647</v>
      </c>
      <c r="B154" s="846"/>
      <c r="C154" s="826">
        <v>4</v>
      </c>
      <c r="D154" s="826"/>
      <c r="E154" s="826"/>
      <c r="F154" s="826"/>
      <c r="G154" s="826"/>
      <c r="H154" s="826"/>
      <c r="I154" s="826"/>
      <c r="J154" s="826"/>
      <c r="K154" s="855">
        <f t="shared" si="11"/>
        <v>4</v>
      </c>
      <c r="L154" s="849">
        <v>327622.33</v>
      </c>
      <c r="M154" s="846"/>
      <c r="N154" s="826">
        <v>2</v>
      </c>
      <c r="O154" s="826"/>
      <c r="P154" s="826"/>
      <c r="Q154" s="826"/>
      <c r="R154" s="826"/>
      <c r="S154" s="826"/>
      <c r="T154" s="826"/>
      <c r="U154" s="826"/>
      <c r="V154" s="847">
        <f t="shared" si="12"/>
        <v>2</v>
      </c>
      <c r="W154" s="849">
        <f>170152.06+9600</f>
        <v>179752.06</v>
      </c>
      <c r="Y154" s="301"/>
      <c r="Z154" s="301"/>
      <c r="AA154" s="301"/>
      <c r="AB154" s="301"/>
    </row>
    <row r="155" spans="1:28" s="388" customFormat="1" x14ac:dyDescent="0.2">
      <c r="A155" s="825" t="s">
        <v>98</v>
      </c>
      <c r="B155" s="846"/>
      <c r="C155" s="826"/>
      <c r="D155" s="826">
        <v>275</v>
      </c>
      <c r="E155" s="826"/>
      <c r="F155" s="826"/>
      <c r="G155" s="826"/>
      <c r="H155" s="826"/>
      <c r="I155" s="826"/>
      <c r="J155" s="826"/>
      <c r="K155" s="855">
        <f t="shared" si="11"/>
        <v>275</v>
      </c>
      <c r="L155" s="849">
        <v>17808365</v>
      </c>
      <c r="M155" s="846"/>
      <c r="N155" s="826"/>
      <c r="O155" s="826">
        <v>247</v>
      </c>
      <c r="P155" s="826"/>
      <c r="Q155" s="826"/>
      <c r="R155" s="826"/>
      <c r="S155" s="826"/>
      <c r="T155" s="826"/>
      <c r="U155" s="826"/>
      <c r="V155" s="847">
        <f t="shared" si="12"/>
        <v>247</v>
      </c>
      <c r="W155" s="849">
        <v>17905516</v>
      </c>
      <c r="Y155" s="301"/>
      <c r="Z155" s="301"/>
      <c r="AA155" s="301"/>
      <c r="AB155" s="301"/>
    </row>
    <row r="156" spans="1:28" s="388" customFormat="1" x14ac:dyDescent="0.2">
      <c r="A156" s="825" t="s">
        <v>671</v>
      </c>
      <c r="B156" s="846"/>
      <c r="C156" s="826"/>
      <c r="D156" s="826"/>
      <c r="E156" s="826"/>
      <c r="F156" s="826"/>
      <c r="G156" s="826"/>
      <c r="H156" s="826"/>
      <c r="I156" s="826"/>
      <c r="J156" s="826"/>
      <c r="K156" s="826"/>
      <c r="L156" s="849"/>
      <c r="M156" s="846"/>
      <c r="N156" s="826"/>
      <c r="O156" s="826"/>
      <c r="P156" s="826"/>
      <c r="Q156" s="826"/>
      <c r="R156" s="826"/>
      <c r="S156" s="826"/>
      <c r="T156" s="826">
        <v>18</v>
      </c>
      <c r="U156" s="826"/>
      <c r="V156" s="858"/>
      <c r="W156" s="849">
        <v>275862</v>
      </c>
      <c r="Y156" s="301"/>
      <c r="Z156" s="301"/>
      <c r="AA156" s="301"/>
      <c r="AB156" s="301"/>
    </row>
    <row r="157" spans="1:28" s="388" customFormat="1" x14ac:dyDescent="0.2">
      <c r="A157" s="825"/>
      <c r="B157" s="826"/>
      <c r="C157" s="826"/>
      <c r="D157" s="826"/>
      <c r="E157" s="826"/>
      <c r="F157" s="826"/>
      <c r="G157" s="826"/>
      <c r="H157" s="826"/>
      <c r="I157" s="826"/>
      <c r="J157" s="826"/>
      <c r="K157" s="826"/>
      <c r="L157" s="828"/>
      <c r="M157" s="846"/>
      <c r="N157" s="826"/>
      <c r="O157" s="826"/>
      <c r="P157" s="826"/>
      <c r="Q157" s="826"/>
      <c r="R157" s="826"/>
      <c r="S157" s="826"/>
      <c r="T157" s="826"/>
      <c r="U157" s="826"/>
      <c r="V157" s="826"/>
      <c r="W157" s="828"/>
      <c r="Y157" s="301"/>
      <c r="Z157" s="301"/>
      <c r="AA157" s="301"/>
      <c r="AB157" s="301"/>
    </row>
    <row r="158" spans="1:28" s="388" customFormat="1" x14ac:dyDescent="0.2">
      <c r="A158" s="830" t="s">
        <v>5</v>
      </c>
      <c r="B158" s="831"/>
      <c r="C158" s="831"/>
      <c r="D158" s="831"/>
      <c r="E158" s="831"/>
      <c r="F158" s="831"/>
      <c r="G158" s="831"/>
      <c r="H158" s="831"/>
      <c r="I158" s="831"/>
      <c r="J158" s="831"/>
      <c r="K158" s="831"/>
      <c r="L158" s="857"/>
      <c r="M158" s="844"/>
      <c r="N158" s="831"/>
      <c r="O158" s="831"/>
      <c r="P158" s="831"/>
      <c r="Q158" s="831"/>
      <c r="R158" s="831"/>
      <c r="S158" s="831"/>
      <c r="T158" s="831"/>
      <c r="U158" s="831"/>
      <c r="V158" s="831"/>
      <c r="W158" s="857"/>
      <c r="Y158" s="301"/>
      <c r="Z158" s="301"/>
      <c r="AA158" s="301"/>
      <c r="AB158" s="301"/>
    </row>
    <row r="159" spans="1:28" s="388" customFormat="1" x14ac:dyDescent="0.2">
      <c r="A159" s="825"/>
      <c r="B159" s="826"/>
      <c r="C159" s="826"/>
      <c r="D159" s="826"/>
      <c r="E159" s="826"/>
      <c r="F159" s="826"/>
      <c r="G159" s="826"/>
      <c r="H159" s="826"/>
      <c r="I159" s="826"/>
      <c r="J159" s="826"/>
      <c r="K159" s="826"/>
      <c r="L159" s="828"/>
      <c r="M159" s="846"/>
      <c r="N159" s="826"/>
      <c r="O159" s="826"/>
      <c r="P159" s="826"/>
      <c r="Q159" s="826"/>
      <c r="R159" s="826"/>
      <c r="S159" s="826"/>
      <c r="T159" s="826"/>
      <c r="U159" s="826"/>
      <c r="V159" s="826"/>
      <c r="W159" s="828"/>
      <c r="Y159" s="301"/>
      <c r="Z159" s="301"/>
      <c r="AA159" s="301"/>
      <c r="AB159" s="301"/>
    </row>
    <row r="160" spans="1:28" s="388" customFormat="1" x14ac:dyDescent="0.2">
      <c r="A160" s="825" t="s">
        <v>661</v>
      </c>
      <c r="B160" s="846"/>
      <c r="C160" s="826">
        <v>7</v>
      </c>
      <c r="D160" s="826"/>
      <c r="E160" s="826"/>
      <c r="F160" s="826"/>
      <c r="G160" s="826"/>
      <c r="H160" s="826"/>
      <c r="I160" s="826"/>
      <c r="J160" s="826"/>
      <c r="K160" s="855">
        <f t="shared" ref="K160:K165" si="13">SUM(C160:J160)</f>
        <v>7</v>
      </c>
      <c r="L160" s="849">
        <v>538950.68999999994</v>
      </c>
      <c r="M160" s="846"/>
      <c r="N160" s="826">
        <f>4+1</f>
        <v>5</v>
      </c>
      <c r="O160" s="826"/>
      <c r="P160" s="826"/>
      <c r="Q160" s="826"/>
      <c r="R160" s="826"/>
      <c r="S160" s="826"/>
      <c r="T160" s="826"/>
      <c r="U160" s="826"/>
      <c r="V160" s="855">
        <f t="shared" ref="V160:V164" si="14">SUM(N160:U160)</f>
        <v>5</v>
      </c>
      <c r="W160" s="849">
        <f>295382.32+70767.12+15880</f>
        <v>382029.44</v>
      </c>
      <c r="Y160" s="301"/>
      <c r="Z160" s="301"/>
      <c r="AA160" s="301"/>
      <c r="AB160" s="301"/>
    </row>
    <row r="161" spans="1:28" s="388" customFormat="1" x14ac:dyDescent="0.2">
      <c r="A161" s="825" t="s">
        <v>660</v>
      </c>
      <c r="B161" s="846"/>
      <c r="C161" s="826">
        <v>9</v>
      </c>
      <c r="D161" s="826"/>
      <c r="E161" s="826"/>
      <c r="F161" s="826"/>
      <c r="G161" s="826"/>
      <c r="H161" s="826"/>
      <c r="I161" s="826"/>
      <c r="J161" s="826"/>
      <c r="K161" s="855">
        <f t="shared" si="13"/>
        <v>9</v>
      </c>
      <c r="L161" s="849">
        <v>591593.9</v>
      </c>
      <c r="M161" s="846"/>
      <c r="N161" s="826">
        <v>8</v>
      </c>
      <c r="O161" s="826"/>
      <c r="P161" s="826"/>
      <c r="Q161" s="826"/>
      <c r="R161" s="826"/>
      <c r="S161" s="826"/>
      <c r="T161" s="826"/>
      <c r="U161" s="826"/>
      <c r="V161" s="855">
        <f t="shared" si="14"/>
        <v>8</v>
      </c>
      <c r="W161" s="849">
        <f>530871.64+32800+35000+56683</f>
        <v>655354.64</v>
      </c>
      <c r="Y161" s="301"/>
      <c r="Z161" s="301"/>
      <c r="AA161" s="301"/>
      <c r="AB161" s="301"/>
    </row>
    <row r="162" spans="1:28" s="388" customFormat="1" x14ac:dyDescent="0.2">
      <c r="A162" s="825" t="s">
        <v>659</v>
      </c>
      <c r="B162" s="846"/>
      <c r="C162" s="826">
        <v>6</v>
      </c>
      <c r="D162" s="826"/>
      <c r="E162" s="826"/>
      <c r="F162" s="826"/>
      <c r="G162" s="826"/>
      <c r="H162" s="826"/>
      <c r="I162" s="826"/>
      <c r="J162" s="826"/>
      <c r="K162" s="855">
        <f t="shared" si="13"/>
        <v>6</v>
      </c>
      <c r="L162" s="849">
        <v>362160.28</v>
      </c>
      <c r="M162" s="846"/>
      <c r="N162" s="826">
        <f>3+1</f>
        <v>4</v>
      </c>
      <c r="O162" s="826"/>
      <c r="P162" s="826"/>
      <c r="Q162" s="826"/>
      <c r="R162" s="826"/>
      <c r="S162" s="826"/>
      <c r="T162" s="826"/>
      <c r="U162" s="826"/>
      <c r="V162" s="855">
        <f t="shared" si="14"/>
        <v>4</v>
      </c>
      <c r="W162" s="849">
        <f>185034.31+56608.66</f>
        <v>241642.97</v>
      </c>
      <c r="Y162" s="301"/>
      <c r="Z162" s="301"/>
      <c r="AA162" s="301"/>
      <c r="AB162" s="301"/>
    </row>
    <row r="163" spans="1:28" s="388" customFormat="1" x14ac:dyDescent="0.2">
      <c r="A163" s="825" t="s">
        <v>658</v>
      </c>
      <c r="B163" s="846"/>
      <c r="C163" s="826">
        <v>5</v>
      </c>
      <c r="D163" s="826"/>
      <c r="E163" s="826"/>
      <c r="F163" s="826"/>
      <c r="G163" s="826"/>
      <c r="H163" s="826"/>
      <c r="I163" s="826"/>
      <c r="J163" s="826"/>
      <c r="K163" s="855">
        <f t="shared" si="13"/>
        <v>5</v>
      </c>
      <c r="L163" s="849">
        <v>296956.46999999997</v>
      </c>
      <c r="M163" s="846"/>
      <c r="N163" s="826">
        <v>3</v>
      </c>
      <c r="O163" s="826"/>
      <c r="P163" s="826"/>
      <c r="Q163" s="826"/>
      <c r="R163" s="826"/>
      <c r="S163" s="826"/>
      <c r="T163" s="826"/>
      <c r="U163" s="826"/>
      <c r="V163" s="855">
        <f t="shared" si="14"/>
        <v>3</v>
      </c>
      <c r="W163" s="849">
        <f>189577.18</f>
        <v>189577.18</v>
      </c>
      <c r="Y163" s="301"/>
      <c r="Z163" s="301"/>
      <c r="AA163" s="301"/>
      <c r="AB163" s="301"/>
    </row>
    <row r="164" spans="1:28" s="388" customFormat="1" x14ac:dyDescent="0.2">
      <c r="A164" s="825" t="s">
        <v>672</v>
      </c>
      <c r="B164" s="846"/>
      <c r="C164" s="826">
        <v>8</v>
      </c>
      <c r="D164" s="826"/>
      <c r="E164" s="826"/>
      <c r="F164" s="826"/>
      <c r="G164" s="826"/>
      <c r="H164" s="826"/>
      <c r="I164" s="826"/>
      <c r="J164" s="826"/>
      <c r="K164" s="855">
        <f t="shared" si="13"/>
        <v>8</v>
      </c>
      <c r="L164" s="849">
        <v>449948.63</v>
      </c>
      <c r="M164" s="846"/>
      <c r="N164" s="826">
        <v>5</v>
      </c>
      <c r="O164" s="826"/>
      <c r="P164" s="826"/>
      <c r="Q164" s="826"/>
      <c r="R164" s="826"/>
      <c r="S164" s="826"/>
      <c r="T164" s="826"/>
      <c r="U164" s="826"/>
      <c r="V164" s="855">
        <f t="shared" si="14"/>
        <v>5</v>
      </c>
      <c r="W164" s="849">
        <f>280917.41</f>
        <v>280917.40999999997</v>
      </c>
      <c r="Y164" s="301"/>
      <c r="Z164" s="301"/>
      <c r="AA164" s="301"/>
      <c r="AB164" s="301"/>
    </row>
    <row r="165" spans="1:28" s="388" customFormat="1" x14ac:dyDescent="0.2">
      <c r="A165" s="825" t="s">
        <v>673</v>
      </c>
      <c r="B165" s="846"/>
      <c r="C165" s="826"/>
      <c r="D165" s="826"/>
      <c r="E165" s="826"/>
      <c r="F165" s="826"/>
      <c r="G165" s="826"/>
      <c r="H165" s="826"/>
      <c r="I165" s="826">
        <v>30</v>
      </c>
      <c r="J165" s="826"/>
      <c r="K165" s="855">
        <f t="shared" si="13"/>
        <v>30</v>
      </c>
      <c r="L165" s="849">
        <v>414473</v>
      </c>
      <c r="M165" s="846"/>
      <c r="N165" s="826"/>
      <c r="O165" s="826"/>
      <c r="P165" s="826"/>
      <c r="Q165" s="826"/>
      <c r="R165" s="826"/>
      <c r="S165" s="826"/>
      <c r="T165" s="826"/>
      <c r="U165" s="826"/>
      <c r="V165" s="855"/>
      <c r="W165" s="849"/>
      <c r="Y165" s="301"/>
      <c r="Z165" s="301"/>
      <c r="AA165" s="301"/>
      <c r="AB165" s="301"/>
    </row>
    <row r="166" spans="1:28" s="388" customFormat="1" x14ac:dyDescent="0.2">
      <c r="A166" s="825"/>
      <c r="B166" s="826"/>
      <c r="C166" s="826"/>
      <c r="D166" s="826"/>
      <c r="E166" s="826"/>
      <c r="F166" s="826"/>
      <c r="G166" s="826"/>
      <c r="H166" s="826"/>
      <c r="I166" s="826"/>
      <c r="J166" s="826"/>
      <c r="K166" s="826"/>
      <c r="L166" s="828"/>
      <c r="M166" s="846"/>
      <c r="N166" s="826"/>
      <c r="O166" s="826"/>
      <c r="P166" s="826"/>
      <c r="Q166" s="826"/>
      <c r="R166" s="826"/>
      <c r="S166" s="826"/>
      <c r="T166" s="826"/>
      <c r="U166" s="826"/>
      <c r="V166" s="826"/>
      <c r="W166" s="828"/>
      <c r="Y166" s="301"/>
      <c r="Z166" s="301"/>
      <c r="AA166" s="301"/>
      <c r="AB166" s="301"/>
    </row>
    <row r="167" spans="1:28" s="388" customFormat="1" x14ac:dyDescent="0.2">
      <c r="A167" s="830" t="s">
        <v>6</v>
      </c>
      <c r="B167" s="831"/>
      <c r="C167" s="831"/>
      <c r="D167" s="831"/>
      <c r="E167" s="831"/>
      <c r="F167" s="831"/>
      <c r="G167" s="831"/>
      <c r="H167" s="831"/>
      <c r="I167" s="831"/>
      <c r="J167" s="831"/>
      <c r="K167" s="831"/>
      <c r="L167" s="857"/>
      <c r="M167" s="844"/>
      <c r="N167" s="831"/>
      <c r="O167" s="831"/>
      <c r="P167" s="831"/>
      <c r="Q167" s="831"/>
      <c r="R167" s="831"/>
      <c r="S167" s="831"/>
      <c r="T167" s="831"/>
      <c r="U167" s="831"/>
      <c r="V167" s="831"/>
      <c r="W167" s="857"/>
      <c r="Y167" s="301"/>
      <c r="Z167" s="301"/>
      <c r="AA167" s="301"/>
      <c r="AB167" s="301"/>
    </row>
    <row r="168" spans="1:28" s="388" customFormat="1" x14ac:dyDescent="0.2">
      <c r="A168" s="825"/>
      <c r="B168" s="826"/>
      <c r="C168" s="826"/>
      <c r="D168" s="826"/>
      <c r="E168" s="826"/>
      <c r="F168" s="826"/>
      <c r="G168" s="826"/>
      <c r="H168" s="826"/>
      <c r="I168" s="826"/>
      <c r="J168" s="826"/>
      <c r="K168" s="826"/>
      <c r="L168" s="828"/>
      <c r="M168" s="846"/>
      <c r="N168" s="826"/>
      <c r="O168" s="826"/>
      <c r="P168" s="826"/>
      <c r="Q168" s="826"/>
      <c r="R168" s="826"/>
      <c r="S168" s="826"/>
      <c r="T168" s="826"/>
      <c r="U168" s="826"/>
      <c r="V168" s="826"/>
      <c r="W168" s="828"/>
      <c r="Y168" s="301"/>
      <c r="Z168" s="301"/>
      <c r="AA168" s="301"/>
      <c r="AB168" s="301"/>
    </row>
    <row r="169" spans="1:28" s="388" customFormat="1" x14ac:dyDescent="0.2">
      <c r="A169" s="825" t="s">
        <v>666</v>
      </c>
      <c r="B169" s="846"/>
      <c r="C169" s="826">
        <v>1</v>
      </c>
      <c r="D169" s="826"/>
      <c r="E169" s="826"/>
      <c r="F169" s="826"/>
      <c r="G169" s="826"/>
      <c r="H169" s="826"/>
      <c r="I169" s="826"/>
      <c r="J169" s="826"/>
      <c r="K169" s="855">
        <f t="shared" ref="K169" si="15">SUM(C169:J169)</f>
        <v>1</v>
      </c>
      <c r="L169" s="849">
        <v>48232.63</v>
      </c>
      <c r="M169" s="846"/>
      <c r="N169" s="826">
        <v>1</v>
      </c>
      <c r="O169" s="826"/>
      <c r="P169" s="826"/>
      <c r="Q169" s="826"/>
      <c r="R169" s="826"/>
      <c r="S169" s="826"/>
      <c r="T169" s="826"/>
      <c r="U169" s="855"/>
      <c r="V169" s="847">
        <v>1</v>
      </c>
      <c r="W169" s="849">
        <f>48232.63+0.29</f>
        <v>48232.92</v>
      </c>
      <c r="Y169" s="301"/>
      <c r="Z169" s="301"/>
      <c r="AA169" s="301"/>
      <c r="AB169" s="301"/>
    </row>
    <row r="170" spans="1:28" s="388" customFormat="1" ht="13.5" thickBot="1" x14ac:dyDescent="0.25">
      <c r="A170" s="322"/>
      <c r="B170" s="319"/>
      <c r="C170" s="319"/>
      <c r="D170" s="319"/>
      <c r="E170" s="319"/>
      <c r="F170" s="319"/>
      <c r="G170" s="319"/>
      <c r="H170" s="319"/>
      <c r="I170" s="319"/>
      <c r="J170" s="319"/>
      <c r="K170" s="319"/>
      <c r="L170" s="327"/>
      <c r="M170" s="670"/>
      <c r="N170" s="671"/>
      <c r="O170" s="671"/>
      <c r="P170" s="671"/>
      <c r="Q170" s="671"/>
      <c r="R170" s="671"/>
      <c r="S170" s="671"/>
      <c r="T170" s="671"/>
      <c r="U170" s="671"/>
      <c r="V170" s="671"/>
      <c r="W170" s="672"/>
      <c r="Y170" s="301"/>
      <c r="Z170" s="301"/>
      <c r="AA170" s="301"/>
      <c r="AB170" s="301"/>
    </row>
    <row r="171" spans="1:28" s="388" customFormat="1" ht="21.75" customHeight="1" thickBot="1" x14ac:dyDescent="0.25">
      <c r="A171" s="329" t="s">
        <v>23</v>
      </c>
      <c r="B171" s="820"/>
      <c r="C171" s="820">
        <f t="shared" ref="C171:L171" si="16">SUM(C141:C170)</f>
        <v>122</v>
      </c>
      <c r="D171" s="820">
        <f t="shared" si="16"/>
        <v>277</v>
      </c>
      <c r="E171" s="820">
        <f t="shared" si="16"/>
        <v>0</v>
      </c>
      <c r="F171" s="820">
        <f t="shared" si="16"/>
        <v>0</v>
      </c>
      <c r="G171" s="820">
        <f t="shared" si="16"/>
        <v>0</v>
      </c>
      <c r="H171" s="820">
        <f t="shared" si="16"/>
        <v>0</v>
      </c>
      <c r="I171" s="820">
        <f t="shared" si="16"/>
        <v>30</v>
      </c>
      <c r="J171" s="820">
        <f t="shared" si="16"/>
        <v>3</v>
      </c>
      <c r="K171" s="820">
        <f t="shared" si="16"/>
        <v>432</v>
      </c>
      <c r="L171" s="820">
        <f t="shared" si="16"/>
        <v>31185349.995000001</v>
      </c>
      <c r="M171" s="820"/>
      <c r="N171" s="820">
        <f>SUM(N141:N169)</f>
        <v>92</v>
      </c>
      <c r="O171" s="820">
        <f t="shared" ref="O171:W171" si="17">SUM(O141:O169)</f>
        <v>247</v>
      </c>
      <c r="P171" s="820">
        <f t="shared" si="17"/>
        <v>0</v>
      </c>
      <c r="Q171" s="820">
        <f t="shared" si="17"/>
        <v>0</v>
      </c>
      <c r="R171" s="820">
        <f t="shared" si="17"/>
        <v>0</v>
      </c>
      <c r="S171" s="820">
        <f t="shared" si="17"/>
        <v>0</v>
      </c>
      <c r="T171" s="820">
        <f t="shared" si="17"/>
        <v>18</v>
      </c>
      <c r="U171" s="820">
        <f t="shared" si="17"/>
        <v>3</v>
      </c>
      <c r="V171" s="820">
        <f t="shared" si="17"/>
        <v>342</v>
      </c>
      <c r="W171" s="821">
        <f t="shared" si="17"/>
        <v>28579693</v>
      </c>
      <c r="Y171" s="301"/>
      <c r="Z171" s="301"/>
      <c r="AA171" s="301"/>
      <c r="AB171" s="301"/>
    </row>
    <row r="172" spans="1:28" s="388" customFormat="1" x14ac:dyDescent="0.2">
      <c r="A172" s="302" t="s">
        <v>306</v>
      </c>
      <c r="B172" s="303"/>
      <c r="C172" s="303"/>
      <c r="D172" s="303"/>
      <c r="E172" s="303"/>
      <c r="F172" s="303"/>
      <c r="G172" s="303"/>
      <c r="H172" s="303"/>
      <c r="I172" s="303"/>
      <c r="J172" s="303"/>
      <c r="K172" s="303"/>
      <c r="L172" s="303"/>
      <c r="M172" s="303"/>
      <c r="N172" s="303"/>
      <c r="O172" s="303"/>
      <c r="P172" s="304"/>
      <c r="R172" s="301"/>
      <c r="S172" s="301"/>
      <c r="T172" s="462"/>
      <c r="U172" s="462"/>
      <c r="V172" s="462"/>
      <c r="W172" s="462"/>
      <c r="Y172" s="301"/>
      <c r="Z172" s="301"/>
      <c r="AA172" s="301"/>
      <c r="AB172" s="301"/>
    </row>
    <row r="173" spans="1:28" s="388" customFormat="1" x14ac:dyDescent="0.2">
      <c r="A173" s="317" t="s">
        <v>300</v>
      </c>
      <c r="B173" s="317"/>
      <c r="C173" s="317"/>
      <c r="D173" s="317"/>
      <c r="E173" s="317"/>
      <c r="F173" s="317"/>
      <c r="G173" s="317"/>
      <c r="H173" s="317"/>
      <c r="I173" s="317"/>
      <c r="J173" s="317"/>
      <c r="K173" s="317"/>
      <c r="L173" s="317"/>
      <c r="M173" s="317"/>
      <c r="N173" s="317"/>
      <c r="O173" s="317"/>
      <c r="P173" s="462"/>
      <c r="R173" s="301"/>
      <c r="S173" s="301"/>
      <c r="T173" s="301"/>
      <c r="U173" s="301"/>
      <c r="V173" s="462"/>
      <c r="W173" s="673"/>
      <c r="Y173" s="301"/>
      <c r="Z173" s="301"/>
      <c r="AA173" s="301"/>
      <c r="AB173" s="301"/>
    </row>
    <row r="174" spans="1:28" s="388" customFormat="1" x14ac:dyDescent="0.2">
      <c r="A174" s="317" t="s">
        <v>304</v>
      </c>
      <c r="B174" s="317"/>
      <c r="C174" s="317"/>
      <c r="D174" s="317"/>
      <c r="E174" s="317"/>
      <c r="F174" s="317"/>
      <c r="G174" s="317"/>
      <c r="H174" s="317"/>
      <c r="I174" s="317"/>
      <c r="J174" s="317"/>
      <c r="K174" s="317"/>
      <c r="L174" s="317"/>
      <c r="M174" s="317"/>
      <c r="N174" s="317"/>
      <c r="O174" s="317"/>
      <c r="P174" s="462"/>
      <c r="R174" s="301"/>
      <c r="S174" s="301"/>
      <c r="T174" s="301"/>
      <c r="U174" s="301"/>
      <c r="V174" s="462"/>
      <c r="W174" s="673"/>
      <c r="Y174" s="301"/>
      <c r="Z174" s="301"/>
      <c r="AA174" s="301"/>
      <c r="AB174" s="301"/>
    </row>
    <row r="175" spans="1:28" s="388" customFormat="1" x14ac:dyDescent="0.2">
      <c r="A175" s="317" t="s">
        <v>311</v>
      </c>
      <c r="B175" s="317"/>
      <c r="C175" s="317"/>
      <c r="D175" s="317"/>
      <c r="E175" s="317"/>
      <c r="F175" s="317"/>
      <c r="G175" s="317"/>
      <c r="H175" s="317"/>
      <c r="I175" s="317"/>
      <c r="J175" s="317"/>
      <c r="K175" s="317"/>
      <c r="L175" s="317"/>
      <c r="M175" s="317"/>
      <c r="N175" s="317"/>
      <c r="O175" s="317"/>
      <c r="P175" s="317"/>
      <c r="Q175" s="317"/>
      <c r="R175" s="317"/>
      <c r="S175" s="317"/>
      <c r="T175" s="317"/>
      <c r="U175" s="317"/>
      <c r="V175" s="317"/>
      <c r="W175" s="637"/>
      <c r="Y175" s="301"/>
      <c r="Z175" s="301"/>
      <c r="AA175" s="301"/>
      <c r="AB175" s="301"/>
    </row>
  </sheetData>
  <mergeCells count="8">
    <mergeCell ref="B137:L137"/>
    <mergeCell ref="M137:W137"/>
    <mergeCell ref="B6:L6"/>
    <mergeCell ref="M6:W6"/>
    <mergeCell ref="B54:L54"/>
    <mergeCell ref="M54:W54"/>
    <mergeCell ref="B89:L89"/>
    <mergeCell ref="M89:W89"/>
  </mergeCells>
  <printOptions horizontalCentered="1"/>
  <pageMargins left="0.23622047244094491" right="0.23622047244094491" top="0.74803149606299213" bottom="0.74803149606299213" header="0.31496062992125984" footer="0.31496062992125984"/>
  <pageSetup paperSize="9" scale="65" orientation="landscape" r:id="rId1"/>
  <headerFooter alignWithMargins="0">
    <oddHeader>&amp;C&amp;"Arial,Negrita"&amp;18PROYECTO DE PRESUPUESTO 2022</oddHeader>
    <oddFooter>&amp;L&amp;"Arial,Negrita"&amp;8PROYECTO DE PRESUPUESTO PARA EL AÑO FISCAL 2020
INFORMACIÓN PARA LA COMISIÓN DE PRESUPUESTO Y CUENTA GENERAL DE LA REPÚBLICA DEL CONGRESO DE LA REPÚBLICA</oddFooter>
  </headerFooter>
  <rowBreaks count="3" manualBreakCount="3">
    <brk id="50" max="23" man="1"/>
    <brk id="86" max="23" man="1"/>
    <brk id="134" max="2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sheetPr>
  <dimension ref="A1:V103"/>
  <sheetViews>
    <sheetView showGridLines="0" view="pageBreakPreview" zoomScaleNormal="90" zoomScaleSheetLayoutView="100" zoomScalePageLayoutView="90" workbookViewId="0">
      <selection activeCell="D88" sqref="D88"/>
    </sheetView>
  </sheetViews>
  <sheetFormatPr baseColWidth="10" defaultColWidth="11.42578125" defaultRowHeight="12" x14ac:dyDescent="0.2"/>
  <cols>
    <col min="1" max="1" width="62" style="462" customWidth="1"/>
    <col min="2" max="9" width="14.7109375" style="462" customWidth="1"/>
    <col min="10" max="16384" width="11.42578125" style="462"/>
  </cols>
  <sheetData>
    <row r="1" spans="1:22" s="482" customFormat="1" ht="15.75" x14ac:dyDescent="0.25">
      <c r="A1" s="89" t="s">
        <v>451</v>
      </c>
      <c r="B1" s="400"/>
      <c r="C1" s="399"/>
      <c r="D1" s="399"/>
      <c r="E1" s="399"/>
      <c r="F1" s="399"/>
      <c r="H1" s="397"/>
      <c r="I1" s="397"/>
    </row>
    <row r="2" spans="1:22" s="481" customFormat="1" ht="15.75" x14ac:dyDescent="0.2">
      <c r="A2" s="460" t="s">
        <v>1588</v>
      </c>
      <c r="B2" s="397"/>
      <c r="C2" s="397"/>
      <c r="D2" s="397"/>
      <c r="E2" s="397"/>
      <c r="F2" s="397"/>
      <c r="G2" s="397"/>
      <c r="H2" s="397"/>
      <c r="I2" s="397"/>
      <c r="J2" s="397"/>
      <c r="K2" s="397"/>
      <c r="L2" s="397"/>
      <c r="M2" s="397"/>
      <c r="N2" s="397"/>
      <c r="O2" s="397"/>
      <c r="P2" s="397"/>
      <c r="Q2" s="397"/>
      <c r="R2" s="397"/>
      <c r="S2" s="397"/>
      <c r="T2" s="397"/>
      <c r="U2" s="397"/>
      <c r="V2" s="397"/>
    </row>
    <row r="3" spans="1:22" ht="12.75" thickBot="1" x14ac:dyDescent="0.25">
      <c r="A3" s="305" t="s">
        <v>1589</v>
      </c>
      <c r="B3" s="306"/>
      <c r="E3" s="306"/>
    </row>
    <row r="4" spans="1:22" ht="21.75" customHeight="1" thickBot="1" x14ac:dyDescent="0.25">
      <c r="A4" s="421" t="s">
        <v>10</v>
      </c>
      <c r="B4" s="1473" t="s">
        <v>379</v>
      </c>
      <c r="C4" s="1473"/>
      <c r="D4" s="1474" t="s">
        <v>403</v>
      </c>
      <c r="E4" s="1475"/>
      <c r="F4" s="1474" t="s">
        <v>404</v>
      </c>
      <c r="G4" s="1476"/>
      <c r="H4" s="1474" t="s">
        <v>1590</v>
      </c>
      <c r="I4" s="1476"/>
    </row>
    <row r="5" spans="1:22" ht="32.25" customHeight="1" x14ac:dyDescent="0.2">
      <c r="A5" s="422" t="s">
        <v>9</v>
      </c>
      <c r="B5" s="422" t="s">
        <v>146</v>
      </c>
      <c r="C5" s="424" t="s">
        <v>25</v>
      </c>
      <c r="D5" s="422" t="s">
        <v>146</v>
      </c>
      <c r="E5" s="424" t="s">
        <v>25</v>
      </c>
      <c r="F5" s="422" t="s">
        <v>146</v>
      </c>
      <c r="G5" s="733" t="s">
        <v>25</v>
      </c>
      <c r="H5" s="422" t="s">
        <v>146</v>
      </c>
      <c r="I5" s="733" t="s">
        <v>25</v>
      </c>
    </row>
    <row r="6" spans="1:22" ht="20.100000000000001" customHeight="1" x14ac:dyDescent="0.2">
      <c r="A6" s="390" t="s">
        <v>143</v>
      </c>
      <c r="B6" s="1001">
        <v>120</v>
      </c>
      <c r="C6" s="1290">
        <v>2726900</v>
      </c>
      <c r="D6" s="1291">
        <v>112</v>
      </c>
      <c r="E6" s="1290">
        <v>2713138</v>
      </c>
      <c r="F6" s="1001">
        <v>107</v>
      </c>
      <c r="G6" s="1292">
        <f>2629757+2432739</f>
        <v>5062496</v>
      </c>
      <c r="H6" s="663">
        <f>+F6-D6</f>
        <v>-5</v>
      </c>
      <c r="I6" s="1293">
        <f>+G6-E6</f>
        <v>2349358</v>
      </c>
    </row>
    <row r="7" spans="1:22" ht="20.100000000000001" customHeight="1" x14ac:dyDescent="0.2">
      <c r="A7" s="390" t="s">
        <v>174</v>
      </c>
      <c r="B7" s="1001"/>
      <c r="C7" s="1290"/>
      <c r="D7" s="1291"/>
      <c r="E7" s="1290"/>
      <c r="F7" s="1001"/>
      <c r="G7" s="1292"/>
      <c r="H7" s="663"/>
      <c r="I7" s="1001"/>
    </row>
    <row r="8" spans="1:22" ht="20.100000000000001" customHeight="1" x14ac:dyDescent="0.2">
      <c r="A8" s="390" t="s">
        <v>172</v>
      </c>
      <c r="B8" s="1001">
        <v>5</v>
      </c>
      <c r="C8" s="1290">
        <v>296640</v>
      </c>
      <c r="D8" s="1291">
        <v>5</v>
      </c>
      <c r="E8" s="1290">
        <v>0</v>
      </c>
      <c r="F8" s="1001">
        <v>5</v>
      </c>
      <c r="G8" s="1292">
        <v>755703</v>
      </c>
      <c r="H8" s="663">
        <f>+F8-D8</f>
        <v>0</v>
      </c>
      <c r="I8" s="1293">
        <f t="shared" ref="I8:I15" si="0">+G8-E8</f>
        <v>755703</v>
      </c>
    </row>
    <row r="9" spans="1:22" ht="20.100000000000001" customHeight="1" x14ac:dyDescent="0.2">
      <c r="A9" s="340" t="s">
        <v>181</v>
      </c>
      <c r="B9" s="1001"/>
      <c r="C9" s="1290">
        <v>26160</v>
      </c>
      <c r="D9" s="1291"/>
      <c r="E9" s="1290"/>
      <c r="F9" s="1001"/>
      <c r="G9" s="1292"/>
      <c r="H9" s="663"/>
      <c r="I9" s="1293">
        <f t="shared" si="0"/>
        <v>0</v>
      </c>
    </row>
    <row r="10" spans="1:22" ht="20.100000000000001" customHeight="1" x14ac:dyDescent="0.2">
      <c r="A10" s="390" t="s">
        <v>175</v>
      </c>
      <c r="B10" s="1001"/>
      <c r="C10" s="1290"/>
      <c r="D10" s="1291"/>
      <c r="E10" s="1290"/>
      <c r="F10" s="1001"/>
      <c r="G10" s="1292"/>
      <c r="H10" s="663"/>
      <c r="I10" s="1001"/>
    </row>
    <row r="11" spans="1:22" ht="20.100000000000001" customHeight="1" x14ac:dyDescent="0.2">
      <c r="A11" s="340" t="s">
        <v>173</v>
      </c>
      <c r="B11" s="1001">
        <v>120</v>
      </c>
      <c r="C11" s="1290">
        <v>393000</v>
      </c>
      <c r="D11" s="1291">
        <v>112</v>
      </c>
      <c r="E11" s="1290">
        <v>405342</v>
      </c>
      <c r="F11" s="1001">
        <v>107</v>
      </c>
      <c r="G11" s="1292">
        <f>379000+3000</f>
        <v>382000</v>
      </c>
      <c r="H11" s="663">
        <f>+F11-D11</f>
        <v>-5</v>
      </c>
      <c r="I11" s="1293">
        <f t="shared" si="0"/>
        <v>-23342</v>
      </c>
    </row>
    <row r="12" spans="1:22" ht="20.100000000000001" customHeight="1" x14ac:dyDescent="0.2">
      <c r="A12" s="390" t="s">
        <v>180</v>
      </c>
      <c r="B12" s="1001"/>
      <c r="C12" s="1290"/>
      <c r="D12" s="1291"/>
      <c r="E12" s="1290"/>
      <c r="F12" s="1001"/>
      <c r="G12" s="1292"/>
      <c r="H12" s="663"/>
      <c r="I12" s="1001"/>
    </row>
    <row r="13" spans="1:22" ht="20.100000000000001" customHeight="1" x14ac:dyDescent="0.2">
      <c r="A13" s="390" t="s">
        <v>27</v>
      </c>
      <c r="B13" s="1001">
        <v>1</v>
      </c>
      <c r="C13" s="1290">
        <v>1000</v>
      </c>
      <c r="D13" s="1291">
        <v>1</v>
      </c>
      <c r="E13" s="1290">
        <v>2000</v>
      </c>
      <c r="F13" s="1001">
        <v>1</v>
      </c>
      <c r="G13" s="1292">
        <v>5000</v>
      </c>
      <c r="H13" s="663">
        <f>+F13-D13</f>
        <v>0</v>
      </c>
      <c r="I13" s="1293">
        <f t="shared" si="0"/>
        <v>3000</v>
      </c>
    </row>
    <row r="14" spans="1:22" ht="20.100000000000001" customHeight="1" x14ac:dyDescent="0.2">
      <c r="A14" s="390" t="s">
        <v>177</v>
      </c>
      <c r="B14" s="1001"/>
      <c r="C14" s="1290"/>
      <c r="D14" s="1291"/>
      <c r="E14" s="1290"/>
      <c r="F14" s="1001"/>
      <c r="G14" s="1292"/>
      <c r="H14" s="663"/>
      <c r="I14" s="1001"/>
    </row>
    <row r="15" spans="1:22" ht="20.100000000000001" customHeight="1" x14ac:dyDescent="0.2">
      <c r="A15" s="390" t="s">
        <v>26</v>
      </c>
      <c r="B15" s="1001">
        <v>120</v>
      </c>
      <c r="C15" s="1290">
        <v>317840</v>
      </c>
      <c r="D15" s="1291">
        <v>112</v>
      </c>
      <c r="E15" s="1290">
        <v>349750</v>
      </c>
      <c r="F15" s="1001">
        <v>107</v>
      </c>
      <c r="G15" s="1292">
        <f>278625+58</f>
        <v>278683</v>
      </c>
      <c r="H15" s="663">
        <f>+F15-D15</f>
        <v>-5</v>
      </c>
      <c r="I15" s="1293">
        <f t="shared" si="0"/>
        <v>-71067</v>
      </c>
    </row>
    <row r="16" spans="1:22" ht="20.100000000000001" customHeight="1" x14ac:dyDescent="0.2">
      <c r="A16" s="390" t="s">
        <v>178</v>
      </c>
      <c r="B16" s="1001"/>
      <c r="C16" s="1290"/>
      <c r="D16" s="1291"/>
      <c r="E16" s="1290"/>
      <c r="F16" s="1001"/>
      <c r="G16" s="1292"/>
      <c r="H16" s="663"/>
      <c r="I16" s="1001"/>
    </row>
    <row r="17" spans="1:9" ht="20.100000000000001" customHeight="1" x14ac:dyDescent="0.2">
      <c r="A17" s="390" t="s">
        <v>176</v>
      </c>
      <c r="B17" s="1001"/>
      <c r="C17" s="1290"/>
      <c r="D17" s="1291"/>
      <c r="E17" s="1290"/>
      <c r="F17" s="1001"/>
      <c r="G17" s="1292"/>
      <c r="H17" s="663"/>
      <c r="I17" s="1001"/>
    </row>
    <row r="18" spans="1:9" ht="20.100000000000001" customHeight="1" x14ac:dyDescent="0.2">
      <c r="A18" s="390" t="s">
        <v>179</v>
      </c>
      <c r="B18" s="1001"/>
      <c r="C18" s="1290">
        <v>793601</v>
      </c>
      <c r="D18" s="1291"/>
      <c r="E18" s="1290">
        <v>1101001</v>
      </c>
      <c r="F18" s="1001"/>
      <c r="G18" s="1292"/>
      <c r="H18" s="663">
        <f t="shared" ref="H18:I21" si="1">+F18-D18</f>
        <v>0</v>
      </c>
      <c r="I18" s="1293">
        <f t="shared" si="1"/>
        <v>-1101001</v>
      </c>
    </row>
    <row r="19" spans="1:9" ht="20.100000000000001" customHeight="1" x14ac:dyDescent="0.2">
      <c r="A19" s="390" t="s">
        <v>34</v>
      </c>
      <c r="B19" s="1001">
        <v>110</v>
      </c>
      <c r="C19" s="1290">
        <v>6318826</v>
      </c>
      <c r="D19" s="1291">
        <v>103</v>
      </c>
      <c r="E19" s="1290">
        <v>6223204</v>
      </c>
      <c r="F19" s="1001">
        <v>97</v>
      </c>
      <c r="G19" s="1292">
        <f>5501040+77760</f>
        <v>5578800</v>
      </c>
      <c r="H19" s="663">
        <f t="shared" si="1"/>
        <v>-6</v>
      </c>
      <c r="I19" s="1293">
        <f t="shared" si="1"/>
        <v>-644404</v>
      </c>
    </row>
    <row r="20" spans="1:9" ht="20.100000000000001" customHeight="1" x14ac:dyDescent="0.2">
      <c r="A20" s="390" t="s">
        <v>171</v>
      </c>
      <c r="B20" s="1001"/>
      <c r="C20" s="1290">
        <v>0</v>
      </c>
      <c r="D20" s="1291"/>
      <c r="E20" s="1290">
        <v>327589</v>
      </c>
      <c r="F20" s="1001"/>
      <c r="G20" s="1292">
        <v>327589</v>
      </c>
      <c r="H20" s="663">
        <f t="shared" si="1"/>
        <v>0</v>
      </c>
      <c r="I20" s="1293">
        <f t="shared" si="1"/>
        <v>0</v>
      </c>
    </row>
    <row r="21" spans="1:9" ht="20.100000000000001" customHeight="1" thickBot="1" x14ac:dyDescent="0.25">
      <c r="A21" s="390" t="s">
        <v>56</v>
      </c>
      <c r="B21" s="1012">
        <v>5</v>
      </c>
      <c r="C21" s="1290">
        <v>576000</v>
      </c>
      <c r="D21" s="1294">
        <v>5</v>
      </c>
      <c r="E21" s="1290">
        <v>421000</v>
      </c>
      <c r="F21" s="1012">
        <v>5</v>
      </c>
      <c r="G21" s="1295">
        <f>383089-130283</f>
        <v>252806</v>
      </c>
      <c r="H21" s="663">
        <f t="shared" si="1"/>
        <v>0</v>
      </c>
      <c r="I21" s="1293">
        <f t="shared" si="1"/>
        <v>-168194</v>
      </c>
    </row>
    <row r="22" spans="1:9" ht="24" customHeight="1" thickBot="1" x14ac:dyDescent="0.25">
      <c r="A22" s="329" t="s">
        <v>55</v>
      </c>
      <c r="B22" s="333">
        <f>SUM(B6:B21)</f>
        <v>481</v>
      </c>
      <c r="C22" s="1296">
        <f t="shared" ref="C22:I22" si="2">SUM(C6:C21)</f>
        <v>11449967</v>
      </c>
      <c r="D22" s="333">
        <f t="shared" si="2"/>
        <v>450</v>
      </c>
      <c r="E22" s="1296">
        <f t="shared" si="2"/>
        <v>11543024</v>
      </c>
      <c r="F22" s="333">
        <f t="shared" si="2"/>
        <v>429</v>
      </c>
      <c r="G22" s="1297">
        <f t="shared" si="2"/>
        <v>12643077</v>
      </c>
      <c r="H22" s="333">
        <f t="shared" si="2"/>
        <v>-21</v>
      </c>
      <c r="I22" s="1299">
        <f t="shared" si="2"/>
        <v>1100053</v>
      </c>
    </row>
    <row r="23" spans="1:9" x14ac:dyDescent="0.2">
      <c r="A23" s="302" t="s">
        <v>341</v>
      </c>
      <c r="B23" s="303"/>
      <c r="C23" s="303"/>
      <c r="D23" s="303"/>
      <c r="E23" s="303"/>
      <c r="F23" s="303"/>
      <c r="G23" s="303"/>
      <c r="H23" s="303"/>
      <c r="I23" s="303"/>
    </row>
    <row r="24" spans="1:9" x14ac:dyDescent="0.2">
      <c r="A24" s="302" t="s">
        <v>96</v>
      </c>
      <c r="B24" s="303"/>
      <c r="C24" s="303"/>
      <c r="D24" s="303"/>
      <c r="E24" s="303"/>
      <c r="F24" s="303"/>
      <c r="G24" s="303"/>
      <c r="H24" s="303"/>
      <c r="I24" s="303"/>
    </row>
    <row r="25" spans="1:9" x14ac:dyDescent="0.2">
      <c r="A25" s="302"/>
      <c r="B25" s="303"/>
      <c r="C25" s="303"/>
      <c r="D25" s="303"/>
      <c r="E25" s="303"/>
      <c r="F25" s="303"/>
      <c r="G25" s="303"/>
      <c r="H25" s="303"/>
      <c r="I25" s="303"/>
    </row>
    <row r="26" spans="1:9" x14ac:dyDescent="0.2">
      <c r="A26" s="302"/>
      <c r="B26" s="303"/>
      <c r="C26" s="303"/>
      <c r="D26" s="303"/>
      <c r="E26" s="303"/>
      <c r="F26" s="303"/>
      <c r="G26" s="303"/>
      <c r="H26" s="303"/>
      <c r="I26" s="303"/>
    </row>
    <row r="27" spans="1:9" x14ac:dyDescent="0.2">
      <c r="A27" s="302"/>
      <c r="B27" s="303"/>
      <c r="C27" s="303"/>
      <c r="D27" s="303"/>
      <c r="E27" s="303"/>
      <c r="F27" s="303"/>
      <c r="G27" s="303"/>
      <c r="H27" s="303"/>
      <c r="I27" s="303"/>
    </row>
    <row r="28" spans="1:9" x14ac:dyDescent="0.2">
      <c r="A28" s="302"/>
      <c r="B28" s="303"/>
      <c r="C28" s="303"/>
      <c r="D28" s="303"/>
      <c r="E28" s="303"/>
      <c r="F28" s="303"/>
      <c r="G28" s="303"/>
      <c r="H28" s="303"/>
      <c r="I28" s="303"/>
    </row>
    <row r="30" spans="1:9" ht="15.75" x14ac:dyDescent="0.2">
      <c r="A30" s="396" t="s">
        <v>609</v>
      </c>
      <c r="B30" s="397"/>
      <c r="C30" s="397"/>
      <c r="D30" s="397"/>
      <c r="E30" s="397"/>
      <c r="F30" s="397"/>
      <c r="G30" s="397"/>
      <c r="H30" s="397"/>
      <c r="I30" s="397"/>
    </row>
    <row r="31" spans="1:9" ht="12.75" thickBot="1" x14ac:dyDescent="0.25">
      <c r="A31" s="305" t="s">
        <v>1591</v>
      </c>
      <c r="B31" s="306"/>
      <c r="E31" s="306"/>
    </row>
    <row r="32" spans="1:9" ht="12.75" thickBot="1" x14ac:dyDescent="0.25">
      <c r="A32" s="421" t="s">
        <v>10</v>
      </c>
      <c r="B32" s="1473" t="s">
        <v>379</v>
      </c>
      <c r="C32" s="1473"/>
      <c r="D32" s="1474" t="s">
        <v>403</v>
      </c>
      <c r="E32" s="1475"/>
      <c r="F32" s="1474" t="s">
        <v>404</v>
      </c>
      <c r="G32" s="1476"/>
      <c r="H32" s="1474" t="s">
        <v>1590</v>
      </c>
      <c r="I32" s="1476"/>
    </row>
    <row r="33" spans="1:9" ht="24" x14ac:dyDescent="0.2">
      <c r="A33" s="422" t="s">
        <v>9</v>
      </c>
      <c r="B33" s="423" t="s">
        <v>146</v>
      </c>
      <c r="C33" s="424" t="s">
        <v>25</v>
      </c>
      <c r="D33" s="422" t="s">
        <v>146</v>
      </c>
      <c r="E33" s="425" t="s">
        <v>25</v>
      </c>
      <c r="F33" s="422" t="s">
        <v>146</v>
      </c>
      <c r="G33" s="425" t="s">
        <v>25</v>
      </c>
      <c r="H33" s="422" t="s">
        <v>146</v>
      </c>
      <c r="I33" s="425" t="s">
        <v>25</v>
      </c>
    </row>
    <row r="34" spans="1:9" ht="15.95" customHeight="1" x14ac:dyDescent="0.2">
      <c r="A34" s="390" t="s">
        <v>143</v>
      </c>
      <c r="B34" s="1300">
        <v>48</v>
      </c>
      <c r="C34" s="1301">
        <v>3850116</v>
      </c>
      <c r="D34" s="663">
        <v>47</v>
      </c>
      <c r="E34" s="664">
        <v>3830116</v>
      </c>
      <c r="F34" s="663">
        <v>43</v>
      </c>
      <c r="G34" s="664">
        <v>3126000</v>
      </c>
      <c r="H34" s="663">
        <f>F34-D34</f>
        <v>-4</v>
      </c>
      <c r="I34" s="664">
        <f>E34-G34</f>
        <v>704116</v>
      </c>
    </row>
    <row r="35" spans="1:9" ht="15.95" customHeight="1" x14ac:dyDescent="0.2">
      <c r="A35" s="390" t="s">
        <v>174</v>
      </c>
      <c r="B35" s="1300"/>
      <c r="C35" s="1301"/>
      <c r="D35" s="663"/>
      <c r="E35" s="664"/>
      <c r="F35" s="663"/>
      <c r="G35" s="664"/>
      <c r="H35" s="663"/>
      <c r="I35" s="664"/>
    </row>
    <row r="36" spans="1:9" ht="15.95" customHeight="1" x14ac:dyDescent="0.2">
      <c r="A36" s="390" t="s">
        <v>172</v>
      </c>
      <c r="B36" s="1300"/>
      <c r="C36" s="1301"/>
      <c r="D36" s="663"/>
      <c r="E36" s="664"/>
      <c r="F36" s="663"/>
      <c r="G36" s="664"/>
      <c r="H36" s="663"/>
      <c r="I36" s="664"/>
    </row>
    <row r="37" spans="1:9" ht="15.95" customHeight="1" x14ac:dyDescent="0.2">
      <c r="A37" s="340" t="s">
        <v>181</v>
      </c>
      <c r="B37" s="1300"/>
      <c r="C37" s="1301"/>
      <c r="D37" s="663"/>
      <c r="E37" s="664"/>
      <c r="F37" s="663"/>
      <c r="G37" s="664"/>
      <c r="H37" s="663"/>
      <c r="I37" s="664"/>
    </row>
    <row r="38" spans="1:9" ht="15.95" customHeight="1" x14ac:dyDescent="0.2">
      <c r="A38" s="390" t="s">
        <v>175</v>
      </c>
      <c r="B38" s="1300"/>
      <c r="C38" s="1301"/>
      <c r="D38" s="663"/>
      <c r="E38" s="664"/>
      <c r="F38" s="663"/>
      <c r="G38" s="664"/>
      <c r="H38" s="663"/>
      <c r="I38" s="664"/>
    </row>
    <row r="39" spans="1:9" ht="15.95" customHeight="1" x14ac:dyDescent="0.2">
      <c r="A39" s="340" t="s">
        <v>173</v>
      </c>
      <c r="B39" s="1300">
        <v>48</v>
      </c>
      <c r="C39" s="1301">
        <v>743390</v>
      </c>
      <c r="D39" s="663">
        <v>47</v>
      </c>
      <c r="E39" s="664">
        <v>723390</v>
      </c>
      <c r="F39" s="663">
        <v>43</v>
      </c>
      <c r="G39" s="664">
        <v>531043</v>
      </c>
      <c r="H39" s="663">
        <f>F39-D39</f>
        <v>-4</v>
      </c>
      <c r="I39" s="664">
        <f>E39-G39</f>
        <v>192347</v>
      </c>
    </row>
    <row r="40" spans="1:9" ht="15.95" customHeight="1" x14ac:dyDescent="0.2">
      <c r="A40" s="390" t="s">
        <v>180</v>
      </c>
      <c r="B40" s="1300"/>
      <c r="C40" s="1301"/>
      <c r="D40" s="663"/>
      <c r="E40" s="664"/>
      <c r="F40" s="663"/>
      <c r="G40" s="664"/>
      <c r="H40" s="663"/>
      <c r="I40" s="664"/>
    </row>
    <row r="41" spans="1:9" ht="15.95" customHeight="1" x14ac:dyDescent="0.2">
      <c r="A41" s="390" t="s">
        <v>27</v>
      </c>
      <c r="B41" s="1300"/>
      <c r="C41" s="1301"/>
      <c r="D41" s="663"/>
      <c r="E41" s="664"/>
      <c r="F41" s="663"/>
      <c r="G41" s="664"/>
      <c r="H41" s="663"/>
      <c r="I41" s="664"/>
    </row>
    <row r="42" spans="1:9" ht="15.95" customHeight="1" x14ac:dyDescent="0.2">
      <c r="A42" s="390" t="s">
        <v>177</v>
      </c>
      <c r="B42" s="1300"/>
      <c r="C42" s="1301"/>
      <c r="D42" s="663"/>
      <c r="E42" s="664"/>
      <c r="F42" s="663"/>
      <c r="G42" s="664"/>
      <c r="H42" s="663"/>
      <c r="I42" s="664"/>
    </row>
    <row r="43" spans="1:9" ht="15.95" customHeight="1" x14ac:dyDescent="0.2">
      <c r="A43" s="390" t="s">
        <v>26</v>
      </c>
      <c r="B43" s="1300">
        <v>48</v>
      </c>
      <c r="C43" s="1301">
        <v>345430</v>
      </c>
      <c r="D43" s="663">
        <v>47</v>
      </c>
      <c r="E43" s="664">
        <v>385430</v>
      </c>
      <c r="F43" s="663">
        <v>43</v>
      </c>
      <c r="G43" s="664">
        <v>281340</v>
      </c>
      <c r="H43" s="663">
        <f>F43-D43</f>
        <v>-4</v>
      </c>
      <c r="I43" s="664">
        <f>E43-G43</f>
        <v>104090</v>
      </c>
    </row>
    <row r="44" spans="1:9" ht="15.95" customHeight="1" x14ac:dyDescent="0.2">
      <c r="A44" s="390" t="s">
        <v>178</v>
      </c>
      <c r="B44" s="1300"/>
      <c r="C44" s="1301"/>
      <c r="D44" s="663"/>
      <c r="E44" s="664"/>
      <c r="F44" s="663"/>
      <c r="G44" s="664"/>
      <c r="H44" s="663"/>
      <c r="I44" s="664"/>
    </row>
    <row r="45" spans="1:9" ht="15.95" customHeight="1" x14ac:dyDescent="0.2">
      <c r="A45" s="390" t="s">
        <v>176</v>
      </c>
      <c r="B45" s="1300"/>
      <c r="C45" s="1301"/>
      <c r="D45" s="663"/>
      <c r="E45" s="664"/>
      <c r="F45" s="663"/>
      <c r="G45" s="664"/>
      <c r="H45" s="663"/>
      <c r="I45" s="664"/>
    </row>
    <row r="46" spans="1:9" ht="15.95" customHeight="1" x14ac:dyDescent="0.2">
      <c r="A46" s="390" t="s">
        <v>179</v>
      </c>
      <c r="B46" s="1300"/>
      <c r="C46" s="1301"/>
      <c r="D46" s="663"/>
      <c r="E46" s="664"/>
      <c r="F46" s="663"/>
      <c r="G46" s="664"/>
      <c r="H46" s="663"/>
      <c r="I46" s="664"/>
    </row>
    <row r="47" spans="1:9" ht="15.95" customHeight="1" x14ac:dyDescent="0.2">
      <c r="A47" s="390" t="s">
        <v>34</v>
      </c>
      <c r="B47" s="1300"/>
      <c r="C47" s="1301"/>
      <c r="D47" s="663"/>
      <c r="E47" s="664"/>
      <c r="F47" s="663"/>
      <c r="G47" s="664"/>
      <c r="H47" s="663"/>
      <c r="I47" s="664"/>
    </row>
    <row r="48" spans="1:9" ht="15.95" customHeight="1" x14ac:dyDescent="0.2">
      <c r="A48" s="390" t="s">
        <v>171</v>
      </c>
      <c r="B48" s="1300"/>
      <c r="C48" s="1301"/>
      <c r="D48" s="663"/>
      <c r="E48" s="664"/>
      <c r="F48" s="663"/>
      <c r="G48" s="664"/>
      <c r="H48" s="663"/>
      <c r="I48" s="664"/>
    </row>
    <row r="49" spans="1:9" ht="15.95" customHeight="1" thickBot="1" x14ac:dyDescent="0.25">
      <c r="A49" s="576" t="s">
        <v>1592</v>
      </c>
      <c r="B49" s="1300"/>
      <c r="C49" s="1301">
        <v>518188</v>
      </c>
      <c r="D49" s="663"/>
      <c r="E49" s="664">
        <v>518188</v>
      </c>
      <c r="F49" s="663"/>
      <c r="G49" s="664">
        <v>377527</v>
      </c>
      <c r="H49" s="663"/>
      <c r="I49" s="664">
        <f>E49-G49</f>
        <v>140661</v>
      </c>
    </row>
    <row r="50" spans="1:9" ht="24.75" customHeight="1" thickBot="1" x14ac:dyDescent="0.25">
      <c r="A50" s="329" t="s">
        <v>55</v>
      </c>
      <c r="B50" s="333">
        <v>48</v>
      </c>
      <c r="C50" s="577">
        <f>SUM(C34:C49)</f>
        <v>5457124</v>
      </c>
      <c r="D50" s="333">
        <v>48</v>
      </c>
      <c r="E50" s="578">
        <f>SUM(E34:E49)</f>
        <v>5457124</v>
      </c>
      <c r="F50" s="333">
        <v>48</v>
      </c>
      <c r="G50" s="578">
        <f>SUM(G34:G49)</f>
        <v>4315910</v>
      </c>
      <c r="H50" s="330"/>
      <c r="I50" s="578">
        <f>SUM(I34:I49)</f>
        <v>1141214</v>
      </c>
    </row>
    <row r="51" spans="1:9" x14ac:dyDescent="0.2">
      <c r="A51" s="302" t="s">
        <v>341</v>
      </c>
      <c r="B51" s="303"/>
      <c r="C51" s="303"/>
      <c r="D51" s="303"/>
      <c r="E51" s="303"/>
      <c r="F51" s="303"/>
      <c r="G51" s="303"/>
      <c r="H51" s="303"/>
      <c r="I51" s="303"/>
    </row>
    <row r="52" spans="1:9" x14ac:dyDescent="0.2">
      <c r="A52" s="302" t="s">
        <v>96</v>
      </c>
      <c r="B52" s="303"/>
      <c r="C52" s="303"/>
      <c r="D52" s="303"/>
      <c r="E52" s="303"/>
      <c r="F52" s="303"/>
      <c r="G52" s="303"/>
      <c r="H52" s="303"/>
      <c r="I52" s="303"/>
    </row>
    <row r="56" spans="1:9" ht="12.75" thickBot="1" x14ac:dyDescent="0.25">
      <c r="A56" s="621" t="s">
        <v>641</v>
      </c>
      <c r="B56" s="306"/>
      <c r="C56" s="502"/>
      <c r="D56" s="502"/>
      <c r="E56" s="306"/>
      <c r="F56" s="502"/>
      <c r="G56" s="502"/>
      <c r="H56" s="502"/>
      <c r="I56" s="502"/>
    </row>
    <row r="57" spans="1:9" ht="12.75" thickBot="1" x14ac:dyDescent="0.25">
      <c r="A57" s="421" t="s">
        <v>10</v>
      </c>
      <c r="B57" s="1473" t="s">
        <v>379</v>
      </c>
      <c r="C57" s="1473"/>
      <c r="D57" s="1474" t="s">
        <v>403</v>
      </c>
      <c r="E57" s="1475"/>
      <c r="F57" s="1474" t="s">
        <v>404</v>
      </c>
      <c r="G57" s="1476"/>
      <c r="H57" s="1474" t="s">
        <v>1590</v>
      </c>
      <c r="I57" s="1476"/>
    </row>
    <row r="58" spans="1:9" ht="24" x14ac:dyDescent="0.2">
      <c r="A58" s="422" t="s">
        <v>9</v>
      </c>
      <c r="B58" s="423" t="s">
        <v>146</v>
      </c>
      <c r="C58" s="424" t="s">
        <v>25</v>
      </c>
      <c r="D58" s="422" t="s">
        <v>146</v>
      </c>
      <c r="E58" s="425" t="s">
        <v>25</v>
      </c>
      <c r="F58" s="422" t="s">
        <v>146</v>
      </c>
      <c r="G58" s="425" t="s">
        <v>25</v>
      </c>
      <c r="H58" s="422" t="s">
        <v>146</v>
      </c>
      <c r="I58" s="425" t="s">
        <v>25</v>
      </c>
    </row>
    <row r="59" spans="1:9" ht="15.95" customHeight="1" x14ac:dyDescent="0.2">
      <c r="A59" s="390" t="s">
        <v>143</v>
      </c>
      <c r="B59" s="554">
        <v>234</v>
      </c>
      <c r="C59" s="1298">
        <v>15560532</v>
      </c>
      <c r="D59" s="554">
        <v>238</v>
      </c>
      <c r="E59" s="1298">
        <v>15560532</v>
      </c>
      <c r="F59" s="352">
        <v>240</v>
      </c>
      <c r="G59" s="1298">
        <f>15438420+155325.92</f>
        <v>15593745.92</v>
      </c>
      <c r="H59" s="352">
        <f>+F59-D59</f>
        <v>2</v>
      </c>
      <c r="I59" s="630">
        <f>+E59-G59</f>
        <v>-33213.919999999925</v>
      </c>
    </row>
    <row r="60" spans="1:9" ht="15.95" customHeight="1" x14ac:dyDescent="0.2">
      <c r="A60" s="390" t="s">
        <v>174</v>
      </c>
      <c r="B60" s="554"/>
      <c r="C60" s="1298"/>
      <c r="D60" s="554"/>
      <c r="E60" s="1298"/>
      <c r="F60" s="352"/>
      <c r="G60" s="630"/>
      <c r="H60" s="352"/>
      <c r="I60" s="630">
        <f t="shared" ref="I60:I74" si="3">+E60-G60</f>
        <v>0</v>
      </c>
    </row>
    <row r="61" spans="1:9" ht="15.95" customHeight="1" x14ac:dyDescent="0.2">
      <c r="A61" s="390" t="s">
        <v>172</v>
      </c>
      <c r="B61" s="554"/>
      <c r="C61" s="1298"/>
      <c r="D61" s="554"/>
      <c r="E61" s="1298"/>
      <c r="F61" s="352"/>
      <c r="G61" s="630"/>
      <c r="H61" s="352"/>
      <c r="I61" s="630">
        <f t="shared" si="3"/>
        <v>0</v>
      </c>
    </row>
    <row r="62" spans="1:9" ht="15.95" customHeight="1" x14ac:dyDescent="0.2">
      <c r="A62" s="340" t="s">
        <v>181</v>
      </c>
      <c r="B62" s="554"/>
      <c r="C62" s="1298"/>
      <c r="D62" s="554"/>
      <c r="E62" s="1298"/>
      <c r="F62" s="352"/>
      <c r="G62" s="630"/>
      <c r="H62" s="352"/>
      <c r="I62" s="630">
        <f t="shared" si="3"/>
        <v>0</v>
      </c>
    </row>
    <row r="63" spans="1:9" ht="15.95" customHeight="1" x14ac:dyDescent="0.2">
      <c r="A63" s="390" t="s">
        <v>175</v>
      </c>
      <c r="B63" s="554"/>
      <c r="C63" s="1298"/>
      <c r="D63" s="554"/>
      <c r="E63" s="1298"/>
      <c r="F63" s="352"/>
      <c r="G63" s="630"/>
      <c r="H63" s="352"/>
      <c r="I63" s="630">
        <f t="shared" si="3"/>
        <v>0</v>
      </c>
    </row>
    <row r="64" spans="1:9" ht="15.95" customHeight="1" x14ac:dyDescent="0.2">
      <c r="A64" s="340" t="s">
        <v>173</v>
      </c>
      <c r="B64" s="554">
        <v>234</v>
      </c>
      <c r="C64" s="1298">
        <f>2836121-149099</f>
        <v>2687022</v>
      </c>
      <c r="D64" s="554">
        <v>238</v>
      </c>
      <c r="E64" s="1298">
        <v>2687022</v>
      </c>
      <c r="F64" s="352">
        <v>240</v>
      </c>
      <c r="G64" s="1298">
        <v>2831691</v>
      </c>
      <c r="H64" s="352">
        <f>+F64-D64</f>
        <v>2</v>
      </c>
      <c r="I64" s="630">
        <f t="shared" si="3"/>
        <v>-144669</v>
      </c>
    </row>
    <row r="65" spans="1:9" ht="15.95" customHeight="1" x14ac:dyDescent="0.2">
      <c r="A65" s="390" t="s">
        <v>180</v>
      </c>
      <c r="B65" s="554"/>
      <c r="C65" s="1298"/>
      <c r="D65" s="554"/>
      <c r="E65" s="1298"/>
      <c r="F65" s="352"/>
      <c r="G65" s="1298"/>
      <c r="H65" s="352"/>
      <c r="I65" s="630">
        <f t="shared" si="3"/>
        <v>0</v>
      </c>
    </row>
    <row r="66" spans="1:9" ht="15.95" customHeight="1" x14ac:dyDescent="0.2">
      <c r="A66" s="390" t="s">
        <v>27</v>
      </c>
      <c r="B66" s="554">
        <v>234</v>
      </c>
      <c r="C66" s="1298">
        <v>149099</v>
      </c>
      <c r="D66" s="554">
        <v>238</v>
      </c>
      <c r="E66" s="1298">
        <v>149099</v>
      </c>
      <c r="F66" s="352">
        <v>240</v>
      </c>
      <c r="G66" s="1298">
        <v>140828</v>
      </c>
      <c r="H66" s="352">
        <f>+F66-D66</f>
        <v>2</v>
      </c>
      <c r="I66" s="630">
        <f t="shared" si="3"/>
        <v>8271</v>
      </c>
    </row>
    <row r="67" spans="1:9" ht="15.95" customHeight="1" x14ac:dyDescent="0.2">
      <c r="A67" s="390" t="s">
        <v>177</v>
      </c>
      <c r="B67" s="554"/>
      <c r="C67" s="1298"/>
      <c r="D67" s="554"/>
      <c r="E67" s="1298"/>
      <c r="F67" s="352"/>
      <c r="G67" s="1298"/>
      <c r="H67" s="352"/>
      <c r="I67" s="630">
        <f t="shared" si="3"/>
        <v>0</v>
      </c>
    </row>
    <row r="68" spans="1:9" ht="15.95" customHeight="1" x14ac:dyDescent="0.2">
      <c r="A68" s="390" t="s">
        <v>26</v>
      </c>
      <c r="B68" s="554">
        <v>234</v>
      </c>
      <c r="C68" s="1298">
        <v>1365034</v>
      </c>
      <c r="D68" s="554">
        <v>238</v>
      </c>
      <c r="E68" s="1298">
        <v>1365034</v>
      </c>
      <c r="F68" s="352">
        <v>240</v>
      </c>
      <c r="G68" s="1298">
        <v>1365034</v>
      </c>
      <c r="H68" s="352">
        <f>+F68-D68</f>
        <v>2</v>
      </c>
      <c r="I68" s="630">
        <f t="shared" si="3"/>
        <v>0</v>
      </c>
    </row>
    <row r="69" spans="1:9" ht="15.95" customHeight="1" x14ac:dyDescent="0.2">
      <c r="A69" s="390" t="s">
        <v>178</v>
      </c>
      <c r="B69" s="554"/>
      <c r="C69" s="1298"/>
      <c r="D69" s="554"/>
      <c r="E69" s="1298"/>
      <c r="F69" s="352"/>
      <c r="G69" s="1298"/>
      <c r="H69" s="352"/>
      <c r="I69" s="630">
        <f t="shared" si="3"/>
        <v>0</v>
      </c>
    </row>
    <row r="70" spans="1:9" ht="15.95" customHeight="1" x14ac:dyDescent="0.2">
      <c r="A70" s="390" t="s">
        <v>176</v>
      </c>
      <c r="B70" s="554"/>
      <c r="C70" s="1298"/>
      <c r="D70" s="554"/>
      <c r="E70" s="1298"/>
      <c r="F70" s="352"/>
      <c r="G70" s="1298"/>
      <c r="H70" s="352"/>
      <c r="I70" s="630">
        <f t="shared" si="3"/>
        <v>0</v>
      </c>
    </row>
    <row r="71" spans="1:9" ht="15.95" customHeight="1" x14ac:dyDescent="0.2">
      <c r="A71" s="390" t="s">
        <v>179</v>
      </c>
      <c r="B71" s="554">
        <v>234</v>
      </c>
      <c r="C71" s="1298">
        <v>480013</v>
      </c>
      <c r="D71" s="554">
        <v>238</v>
      </c>
      <c r="E71" s="1298">
        <f>509885-29872</f>
        <v>480013</v>
      </c>
      <c r="F71" s="352">
        <v>240</v>
      </c>
      <c r="G71" s="1298">
        <v>509885</v>
      </c>
      <c r="H71" s="352">
        <f>+F71-D71</f>
        <v>2</v>
      </c>
      <c r="I71" s="630">
        <f t="shared" si="3"/>
        <v>-29872</v>
      </c>
    </row>
    <row r="72" spans="1:9" ht="15.95" customHeight="1" x14ac:dyDescent="0.2">
      <c r="A72" s="390" t="s">
        <v>34</v>
      </c>
      <c r="B72" s="554"/>
      <c r="C72" s="1298"/>
      <c r="D72" s="554"/>
      <c r="E72" s="1298"/>
      <c r="F72" s="352"/>
      <c r="G72" s="1298"/>
      <c r="H72" s="352"/>
      <c r="I72" s="630">
        <f t="shared" si="3"/>
        <v>0</v>
      </c>
    </row>
    <row r="73" spans="1:9" ht="15.95" customHeight="1" x14ac:dyDescent="0.2">
      <c r="A73" s="390" t="s">
        <v>171</v>
      </c>
      <c r="B73" s="554"/>
      <c r="C73" s="1298"/>
      <c r="D73" s="554"/>
      <c r="E73" s="1298"/>
      <c r="F73" s="352"/>
      <c r="G73" s="1298"/>
      <c r="H73" s="352"/>
      <c r="I73" s="630">
        <f t="shared" si="3"/>
        <v>0</v>
      </c>
    </row>
    <row r="74" spans="1:9" ht="15.95" customHeight="1" thickBot="1" x14ac:dyDescent="0.25">
      <c r="A74" s="390" t="s">
        <v>56</v>
      </c>
      <c r="B74" s="554">
        <v>234</v>
      </c>
      <c r="C74" s="1298">
        <v>2070283</v>
      </c>
      <c r="D74" s="554">
        <v>238</v>
      </c>
      <c r="E74" s="1298">
        <v>2070284</v>
      </c>
      <c r="F74" s="352">
        <v>240</v>
      </c>
      <c r="G74" s="1298">
        <f>2040604+365119.08</f>
        <v>2405723.08</v>
      </c>
      <c r="H74" s="352">
        <f>+F74-D74</f>
        <v>2</v>
      </c>
      <c r="I74" s="630">
        <f t="shared" si="3"/>
        <v>-335439.08000000007</v>
      </c>
    </row>
    <row r="75" spans="1:9" ht="26.25" customHeight="1" thickBot="1" x14ac:dyDescent="0.25">
      <c r="A75" s="329" t="s">
        <v>55</v>
      </c>
      <c r="B75" s="333"/>
      <c r="C75" s="540">
        <f>SUM(C59:C74)</f>
        <v>22311983</v>
      </c>
      <c r="D75" s="330"/>
      <c r="E75" s="629">
        <f>SUM(E59:E74)</f>
        <v>22311984</v>
      </c>
      <c r="F75" s="330"/>
      <c r="G75" s="629">
        <f>SUM(G59:G74)</f>
        <v>22846907</v>
      </c>
      <c r="H75" s="330"/>
      <c r="I75" s="629">
        <f>SUM(I59:I74)</f>
        <v>-534923</v>
      </c>
    </row>
    <row r="76" spans="1:9" x14ac:dyDescent="0.2">
      <c r="A76" s="302" t="s">
        <v>341</v>
      </c>
      <c r="B76" s="303"/>
      <c r="C76" s="303"/>
      <c r="D76" s="303"/>
      <c r="E76" s="303"/>
      <c r="F76" s="303"/>
      <c r="G76" s="303"/>
      <c r="H76" s="303"/>
      <c r="I76" s="303"/>
    </row>
    <row r="77" spans="1:9" x14ac:dyDescent="0.2">
      <c r="A77" s="302" t="s">
        <v>96</v>
      </c>
      <c r="B77" s="303"/>
      <c r="C77" s="303"/>
      <c r="D77" s="303"/>
      <c r="E77" s="303"/>
      <c r="F77" s="303"/>
      <c r="G77" s="303"/>
      <c r="H77" s="303"/>
      <c r="I77" s="502"/>
    </row>
    <row r="82" spans="1:9" ht="12.75" thickBot="1" x14ac:dyDescent="0.25">
      <c r="A82" s="396" t="s">
        <v>683</v>
      </c>
      <c r="B82" s="306"/>
      <c r="E82" s="306"/>
    </row>
    <row r="83" spans="1:9" ht="12.75" thickBot="1" x14ac:dyDescent="0.25">
      <c r="A83" s="421" t="s">
        <v>10</v>
      </c>
      <c r="B83" s="1474" t="s">
        <v>379</v>
      </c>
      <c r="C83" s="1475"/>
      <c r="D83" s="1474" t="s">
        <v>1593</v>
      </c>
      <c r="E83" s="1476"/>
      <c r="F83" s="1474" t="s">
        <v>404</v>
      </c>
      <c r="G83" s="1476"/>
      <c r="H83" s="1474" t="s">
        <v>1590</v>
      </c>
      <c r="I83" s="1476"/>
    </row>
    <row r="84" spans="1:9" ht="24" x14ac:dyDescent="0.2">
      <c r="A84" s="422" t="s">
        <v>9</v>
      </c>
      <c r="B84" s="422" t="s">
        <v>146</v>
      </c>
      <c r="C84" s="425" t="s">
        <v>25</v>
      </c>
      <c r="D84" s="422" t="s">
        <v>146</v>
      </c>
      <c r="E84" s="425" t="s">
        <v>25</v>
      </c>
      <c r="F84" s="422" t="s">
        <v>146</v>
      </c>
      <c r="G84" s="425" t="s">
        <v>25</v>
      </c>
      <c r="H84" s="422" t="s">
        <v>146</v>
      </c>
      <c r="I84" s="425" t="s">
        <v>25</v>
      </c>
    </row>
    <row r="85" spans="1:9" ht="15.95" customHeight="1" x14ac:dyDescent="0.2">
      <c r="A85" s="390" t="s">
        <v>143</v>
      </c>
      <c r="B85" s="663">
        <v>122</v>
      </c>
      <c r="C85" s="664">
        <f>7714945+613748</f>
        <v>8328693</v>
      </c>
      <c r="D85" s="663">
        <v>122</v>
      </c>
      <c r="E85" s="664">
        <v>8585830</v>
      </c>
      <c r="F85" s="663">
        <v>92</v>
      </c>
      <c r="G85" s="664">
        <f>7624911+141315</f>
        <v>7766226</v>
      </c>
      <c r="H85" s="663">
        <f>+F85-D85</f>
        <v>-30</v>
      </c>
      <c r="I85" s="664">
        <f>+G85-E85</f>
        <v>-819604</v>
      </c>
    </row>
    <row r="86" spans="1:9" ht="15.95" customHeight="1" x14ac:dyDescent="0.2">
      <c r="A86" s="390" t="s">
        <v>174</v>
      </c>
      <c r="B86" s="663"/>
      <c r="C86" s="664"/>
      <c r="D86" s="663"/>
      <c r="E86" s="664"/>
      <c r="F86" s="663"/>
      <c r="G86" s="664"/>
      <c r="H86" s="663"/>
      <c r="I86" s="553"/>
    </row>
    <row r="87" spans="1:9" ht="15.95" customHeight="1" x14ac:dyDescent="0.2">
      <c r="A87" s="390" t="s">
        <v>172</v>
      </c>
      <c r="B87" s="663"/>
      <c r="C87" s="664"/>
      <c r="D87" s="663"/>
      <c r="E87" s="664"/>
      <c r="F87" s="663"/>
      <c r="G87" s="664"/>
      <c r="H87" s="663"/>
      <c r="I87" s="553"/>
    </row>
    <row r="88" spans="1:9" ht="15.95" customHeight="1" x14ac:dyDescent="0.2">
      <c r="A88" s="340" t="s">
        <v>181</v>
      </c>
      <c r="B88" s="663"/>
      <c r="C88" s="664"/>
      <c r="D88" s="663"/>
      <c r="E88" s="664"/>
      <c r="F88" s="663"/>
      <c r="G88" s="664"/>
      <c r="H88" s="663"/>
      <c r="I88" s="553"/>
    </row>
    <row r="89" spans="1:9" ht="15.95" customHeight="1" x14ac:dyDescent="0.2">
      <c r="A89" s="390" t="s">
        <v>175</v>
      </c>
      <c r="B89" s="663">
        <v>3</v>
      </c>
      <c r="C89" s="664">
        <v>39240</v>
      </c>
      <c r="D89" s="663">
        <v>3</v>
      </c>
      <c r="E89" s="664">
        <v>39240</v>
      </c>
      <c r="F89" s="663">
        <v>3</v>
      </c>
      <c r="G89" s="664">
        <v>40000</v>
      </c>
      <c r="H89" s="663">
        <f>+F89-D89</f>
        <v>0</v>
      </c>
      <c r="I89" s="664">
        <f>+G89-E89</f>
        <v>760</v>
      </c>
    </row>
    <row r="90" spans="1:9" ht="15.95" customHeight="1" x14ac:dyDescent="0.2">
      <c r="A90" s="340" t="s">
        <v>173</v>
      </c>
      <c r="B90" s="663">
        <v>122</v>
      </c>
      <c r="C90" s="664">
        <f>44800+1189024</f>
        <v>1233824</v>
      </c>
      <c r="D90" s="663">
        <v>122</v>
      </c>
      <c r="E90" s="664">
        <f>719939+3000+44800+613068</f>
        <v>1380807</v>
      </c>
      <c r="F90" s="663">
        <v>92</v>
      </c>
      <c r="G90" s="664">
        <f>1293111+38000</f>
        <v>1331111</v>
      </c>
      <c r="H90" s="663">
        <f>+F90-D90</f>
        <v>-30</v>
      </c>
      <c r="I90" s="664">
        <f>+G90-E90</f>
        <v>-49696</v>
      </c>
    </row>
    <row r="91" spans="1:9" ht="15.95" customHeight="1" x14ac:dyDescent="0.2">
      <c r="A91" s="390" t="s">
        <v>180</v>
      </c>
      <c r="B91" s="663"/>
      <c r="C91" s="664"/>
      <c r="D91" s="663"/>
      <c r="E91" s="664"/>
      <c r="F91" s="663"/>
      <c r="G91" s="664"/>
      <c r="H91" s="663"/>
      <c r="I91" s="553"/>
    </row>
    <row r="92" spans="1:9" ht="15.95" customHeight="1" x14ac:dyDescent="0.2">
      <c r="A92" s="390" t="s">
        <v>27</v>
      </c>
      <c r="B92" s="663">
        <v>122</v>
      </c>
      <c r="C92" s="664">
        <v>2071532</v>
      </c>
      <c r="D92" s="663">
        <v>122</v>
      </c>
      <c r="E92" s="664">
        <v>1661797</v>
      </c>
      <c r="F92" s="663">
        <v>92</v>
      </c>
      <c r="G92" s="664">
        <v>599864</v>
      </c>
      <c r="H92" s="663">
        <f>+F92-D92</f>
        <v>-30</v>
      </c>
      <c r="I92" s="664">
        <f>+G92-E92</f>
        <v>-1061933</v>
      </c>
    </row>
    <row r="93" spans="1:9" ht="15.95" customHeight="1" x14ac:dyDescent="0.2">
      <c r="A93" s="390" t="s">
        <v>177</v>
      </c>
      <c r="B93" s="663"/>
      <c r="C93" s="664"/>
      <c r="D93" s="663"/>
      <c r="E93" s="664"/>
      <c r="F93" s="663"/>
      <c r="G93" s="664"/>
      <c r="H93" s="663"/>
      <c r="I93" s="553"/>
    </row>
    <row r="94" spans="1:9" ht="15.95" customHeight="1" x14ac:dyDescent="0.2">
      <c r="A94" s="390" t="s">
        <v>26</v>
      </c>
      <c r="B94" s="663">
        <v>122</v>
      </c>
      <c r="C94" s="664">
        <v>875595</v>
      </c>
      <c r="D94" s="663">
        <v>122</v>
      </c>
      <c r="E94" s="664">
        <v>881213</v>
      </c>
      <c r="F94" s="663">
        <v>92</v>
      </c>
      <c r="G94" s="664">
        <v>661114</v>
      </c>
      <c r="H94" s="663">
        <f>+F94-D94</f>
        <v>-30</v>
      </c>
      <c r="I94" s="664">
        <f>+G94-E94</f>
        <v>-220099</v>
      </c>
    </row>
    <row r="95" spans="1:9" ht="15.95" customHeight="1" x14ac:dyDescent="0.2">
      <c r="A95" s="390" t="s">
        <v>178</v>
      </c>
      <c r="B95" s="352"/>
      <c r="C95" s="575"/>
      <c r="D95" s="352"/>
      <c r="E95" s="575"/>
      <c r="F95" s="352"/>
      <c r="G95" s="575"/>
      <c r="H95" s="352"/>
      <c r="I95" s="353"/>
    </row>
    <row r="96" spans="1:9" ht="15.95" customHeight="1" x14ac:dyDescent="0.2">
      <c r="A96" s="390" t="s">
        <v>176</v>
      </c>
      <c r="B96" s="352"/>
      <c r="C96" s="575"/>
      <c r="D96" s="352"/>
      <c r="E96" s="575"/>
      <c r="F96" s="352"/>
      <c r="G96" s="575"/>
      <c r="H96" s="352"/>
      <c r="I96" s="353"/>
    </row>
    <row r="97" spans="1:9" ht="15.95" customHeight="1" x14ac:dyDescent="0.2">
      <c r="A97" s="390" t="s">
        <v>179</v>
      </c>
      <c r="B97" s="352"/>
      <c r="C97" s="575"/>
      <c r="D97" s="352"/>
      <c r="E97" s="575"/>
      <c r="F97" s="352"/>
      <c r="G97" s="575"/>
      <c r="H97" s="352"/>
      <c r="I97" s="353"/>
    </row>
    <row r="98" spans="1:9" ht="15.95" customHeight="1" x14ac:dyDescent="0.2">
      <c r="A98" s="390" t="s">
        <v>34</v>
      </c>
      <c r="B98" s="352"/>
      <c r="C98" s="575"/>
      <c r="D98" s="352"/>
      <c r="E98" s="575"/>
      <c r="F98" s="352"/>
      <c r="G98" s="575"/>
      <c r="H98" s="352"/>
      <c r="I98" s="353"/>
    </row>
    <row r="99" spans="1:9" ht="15.95" customHeight="1" x14ac:dyDescent="0.2">
      <c r="A99" s="390" t="s">
        <v>171</v>
      </c>
      <c r="B99" s="352"/>
      <c r="C99" s="575"/>
      <c r="D99" s="352"/>
      <c r="E99" s="353"/>
      <c r="F99" s="352"/>
      <c r="G99" s="575"/>
      <c r="H99" s="352"/>
      <c r="I99" s="353"/>
    </row>
    <row r="100" spans="1:9" ht="15.95" customHeight="1" thickBot="1" x14ac:dyDescent="0.25">
      <c r="A100" s="390" t="s">
        <v>56</v>
      </c>
      <c r="B100" s="352"/>
      <c r="C100" s="575"/>
      <c r="D100" s="352"/>
      <c r="E100" s="353"/>
      <c r="F100" s="352"/>
      <c r="G100" s="575"/>
      <c r="H100" s="352"/>
      <c r="I100" s="353"/>
    </row>
    <row r="101" spans="1:9" ht="27" customHeight="1" thickBot="1" x14ac:dyDescent="0.25">
      <c r="A101" s="329" t="s">
        <v>55</v>
      </c>
      <c r="B101" s="577"/>
      <c r="C101" s="577">
        <f t="shared" ref="C101" si="4">SUM(C85:C99)</f>
        <v>12548884</v>
      </c>
      <c r="D101" s="577"/>
      <c r="E101" s="577">
        <f t="shared" ref="E101:I101" si="5">SUM(E85:E99)</f>
        <v>12548887</v>
      </c>
      <c r="F101" s="330"/>
      <c r="G101" s="577">
        <f t="shared" si="5"/>
        <v>10398315</v>
      </c>
      <c r="H101" s="330"/>
      <c r="I101" s="577">
        <f t="shared" si="5"/>
        <v>-2150572</v>
      </c>
    </row>
    <row r="102" spans="1:9" x14ac:dyDescent="0.2">
      <c r="A102" s="302" t="s">
        <v>341</v>
      </c>
      <c r="B102" s="303"/>
      <c r="C102" s="303"/>
      <c r="D102" s="303"/>
      <c r="E102" s="303"/>
      <c r="F102" s="303"/>
      <c r="G102" s="303"/>
      <c r="H102" s="303"/>
      <c r="I102" s="303"/>
    </row>
    <row r="103" spans="1:9" x14ac:dyDescent="0.2">
      <c r="A103" s="302" t="s">
        <v>96</v>
      </c>
      <c r="B103" s="303"/>
      <c r="C103" s="303"/>
      <c r="D103" s="303"/>
      <c r="E103" s="303"/>
      <c r="F103" s="303"/>
      <c r="G103" s="662"/>
      <c r="H103" s="303"/>
      <c r="I103" s="303"/>
    </row>
  </sheetData>
  <mergeCells count="16">
    <mergeCell ref="B4:C4"/>
    <mergeCell ref="D4:E4"/>
    <mergeCell ref="F4:G4"/>
    <mergeCell ref="H4:I4"/>
    <mergeCell ref="B32:C32"/>
    <mergeCell ref="D32:E32"/>
    <mergeCell ref="F32:G32"/>
    <mergeCell ref="H32:I32"/>
    <mergeCell ref="B57:C57"/>
    <mergeCell ref="D57:E57"/>
    <mergeCell ref="F57:G57"/>
    <mergeCell ref="H57:I57"/>
    <mergeCell ref="B83:C83"/>
    <mergeCell ref="D83:E83"/>
    <mergeCell ref="F83:G83"/>
    <mergeCell ref="H83:I83"/>
  </mergeCells>
  <printOptions horizontalCentered="1"/>
  <pageMargins left="0.23622047244094491" right="0.23622047244094491" top="0.74803149606299213" bottom="0.74803149606299213" header="0.31496062992125984" footer="0.31496062992125984"/>
  <pageSetup paperSize="9" scale="75" orientation="landscape" r:id="rId1"/>
  <headerFooter alignWithMargins="0">
    <oddHeader>&amp;C&amp;"Arial,Negrita"&amp;18PROYECTO DE PRESUPUESTO 2022</oddHeader>
    <oddFooter>&amp;L&amp;"Arial,Negrita"&amp;8PROYECTO DE PRESUPUESTO PARA EL AÑO FISCAL 2020
INFORMACIÓN PARA LA COMISIÓN DE PRESUPUESTO Y CUENTA GENERAL DE LA REPÚBLICA DEL CONGRESO DE LA REPÚBLICA</oddFooter>
  </headerFooter>
  <rowBreaks count="3" manualBreakCount="3">
    <brk id="28" max="8" man="1"/>
    <brk id="54" max="8" man="1"/>
    <brk id="80" max="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sheetPr>
  <dimension ref="A1:AI254"/>
  <sheetViews>
    <sheetView showGridLines="0" view="pageBreakPreview" zoomScale="80" zoomScaleNormal="90" zoomScaleSheetLayoutView="80" zoomScalePageLayoutView="85" workbookViewId="0">
      <selection sqref="A1:A2"/>
    </sheetView>
  </sheetViews>
  <sheetFormatPr baseColWidth="10" defaultColWidth="11.42578125" defaultRowHeight="12" x14ac:dyDescent="0.2"/>
  <cols>
    <col min="1" max="1" width="48.28515625" style="462" customWidth="1"/>
    <col min="2" max="2" width="8.7109375" style="462" customWidth="1"/>
    <col min="3" max="4" width="12.140625" style="462" bestFit="1" customWidth="1"/>
    <col min="5" max="8" width="8.7109375" style="462" customWidth="1"/>
    <col min="9" max="9" width="10.28515625" style="462" bestFit="1" customWidth="1"/>
    <col min="10" max="10" width="10.140625" style="462" bestFit="1" customWidth="1"/>
    <col min="11" max="11" width="8.7109375" style="462" customWidth="1"/>
    <col min="12" max="12" width="11.28515625" style="462" bestFit="1" customWidth="1"/>
    <col min="13" max="13" width="12.42578125" style="462" bestFit="1" customWidth="1"/>
    <col min="14" max="14" width="11.28515625" style="462" bestFit="1" customWidth="1"/>
    <col min="15" max="15" width="13.5703125" style="462" bestFit="1" customWidth="1"/>
    <col min="16" max="16" width="13.85546875" style="462" bestFit="1" customWidth="1"/>
    <col min="17" max="26" width="8.7109375" style="462" customWidth="1"/>
    <col min="27" max="27" width="11.28515625" style="462" bestFit="1" customWidth="1"/>
    <col min="28" max="28" width="12.42578125" style="462" bestFit="1" customWidth="1"/>
    <col min="29" max="29" width="11.28515625" style="462" bestFit="1" customWidth="1"/>
    <col min="30" max="30" width="13.5703125" style="462" bestFit="1" customWidth="1"/>
    <col min="31" max="31" width="13.85546875" style="462" bestFit="1" customWidth="1"/>
    <col min="32" max="32" width="11.140625" style="462" bestFit="1" customWidth="1"/>
    <col min="33" max="33" width="12.85546875" style="462" bestFit="1" customWidth="1"/>
    <col min="34" max="34" width="8.7109375" style="462" customWidth="1"/>
    <col min="35" max="35" width="13.85546875" style="462" bestFit="1" customWidth="1"/>
    <col min="36" max="16384" width="11.42578125" style="462"/>
  </cols>
  <sheetData>
    <row r="1" spans="1:35" s="394" customFormat="1" ht="15" x14ac:dyDescent="0.25">
      <c r="A1" s="89" t="s">
        <v>405</v>
      </c>
    </row>
    <row r="2" spans="1:35" s="394" customFormat="1" ht="15" x14ac:dyDescent="0.2">
      <c r="A2" s="889" t="s">
        <v>594</v>
      </c>
      <c r="B2" s="392"/>
      <c r="C2" s="392"/>
      <c r="D2" s="392"/>
      <c r="E2" s="392"/>
      <c r="F2" s="392"/>
      <c r="G2" s="392"/>
      <c r="H2" s="392"/>
      <c r="I2" s="392"/>
      <c r="J2" s="392"/>
      <c r="K2" s="392"/>
      <c r="L2" s="392"/>
      <c r="M2" s="392"/>
      <c r="N2" s="392"/>
      <c r="O2" s="392"/>
      <c r="P2" s="392"/>
      <c r="Q2" s="392"/>
      <c r="R2" s="392"/>
      <c r="S2" s="392"/>
      <c r="T2" s="392"/>
      <c r="U2" s="392"/>
      <c r="V2" s="392"/>
      <c r="W2" s="392"/>
      <c r="X2" s="392"/>
      <c r="Y2" s="392"/>
      <c r="Z2" s="392"/>
      <c r="AA2" s="392"/>
      <c r="AB2" s="392"/>
      <c r="AC2" s="392"/>
      <c r="AD2" s="392"/>
    </row>
    <row r="3" spans="1:35" s="394" customFormat="1" ht="15" x14ac:dyDescent="0.2">
      <c r="A3" s="889"/>
      <c r="B3" s="392"/>
      <c r="C3" s="392"/>
      <c r="D3" s="392"/>
      <c r="E3" s="392"/>
      <c r="F3" s="392"/>
      <c r="G3" s="392"/>
      <c r="H3" s="392"/>
      <c r="I3" s="392"/>
      <c r="J3" s="392"/>
      <c r="K3" s="392"/>
      <c r="L3" s="392"/>
      <c r="M3" s="392"/>
      <c r="N3" s="392"/>
      <c r="O3" s="392"/>
      <c r="P3" s="392"/>
      <c r="Q3" s="392"/>
      <c r="R3" s="392"/>
      <c r="S3" s="392"/>
      <c r="T3" s="392"/>
      <c r="U3" s="392"/>
      <c r="V3" s="392"/>
      <c r="W3" s="392"/>
      <c r="X3" s="392"/>
      <c r="Y3" s="392"/>
      <c r="Z3" s="392"/>
      <c r="AA3" s="392"/>
      <c r="AB3" s="392"/>
      <c r="AC3" s="392"/>
      <c r="AD3" s="392"/>
    </row>
    <row r="4" spans="1:35" x14ac:dyDescent="0.2">
      <c r="A4" s="391" t="s">
        <v>674</v>
      </c>
    </row>
    <row r="5" spans="1:35" ht="12.75" thickBot="1" x14ac:dyDescent="0.25">
      <c r="A5" s="391" t="s">
        <v>610</v>
      </c>
      <c r="B5" s="391"/>
      <c r="C5" s="391"/>
      <c r="D5" s="391"/>
      <c r="E5" s="391"/>
      <c r="F5" s="391"/>
      <c r="G5" s="391"/>
      <c r="H5" s="391"/>
      <c r="I5" s="391"/>
      <c r="J5" s="391"/>
      <c r="K5" s="391"/>
      <c r="L5" s="391"/>
      <c r="M5" s="391"/>
      <c r="N5" s="391"/>
      <c r="O5" s="391"/>
      <c r="P5" s="391"/>
      <c r="Q5" s="391"/>
      <c r="R5" s="391"/>
      <c r="S5" s="391"/>
      <c r="T5" s="393"/>
      <c r="U5" s="391"/>
      <c r="V5" s="391"/>
      <c r="W5" s="391"/>
      <c r="X5" s="391"/>
      <c r="Y5" s="391"/>
      <c r="Z5" s="391"/>
      <c r="AA5" s="391"/>
      <c r="AB5" s="391"/>
      <c r="AC5" s="391"/>
      <c r="AD5" s="391"/>
      <c r="AE5" s="391"/>
      <c r="AF5" s="391"/>
      <c r="AG5" s="391"/>
      <c r="AH5" s="391"/>
      <c r="AI5" s="391"/>
    </row>
    <row r="6" spans="1:35" ht="27" customHeight="1" thickBot="1" x14ac:dyDescent="0.25">
      <c r="A6" s="1463" t="s">
        <v>60</v>
      </c>
      <c r="B6" s="1487" t="s">
        <v>382</v>
      </c>
      <c r="C6" s="1487"/>
      <c r="D6" s="1487"/>
      <c r="E6" s="1487"/>
      <c r="F6" s="1487"/>
      <c r="G6" s="1487"/>
      <c r="H6" s="1487"/>
      <c r="I6" s="1487"/>
      <c r="J6" s="1487"/>
      <c r="K6" s="1487"/>
      <c r="L6" s="1487"/>
      <c r="M6" s="1487"/>
      <c r="N6" s="1487"/>
      <c r="O6" s="1487"/>
      <c r="P6" s="1487"/>
      <c r="Q6" s="1488" t="s">
        <v>406</v>
      </c>
      <c r="R6" s="1487"/>
      <c r="S6" s="1487"/>
      <c r="T6" s="1487"/>
      <c r="U6" s="1487"/>
      <c r="V6" s="1487"/>
      <c r="W6" s="1487"/>
      <c r="X6" s="1487"/>
      <c r="Y6" s="1487"/>
      <c r="Z6" s="1487"/>
      <c r="AA6" s="1487"/>
      <c r="AB6" s="1487"/>
      <c r="AC6" s="1487"/>
      <c r="AD6" s="1487"/>
      <c r="AE6" s="1489"/>
      <c r="AF6" s="1490" t="s">
        <v>407</v>
      </c>
      <c r="AG6" s="1494"/>
      <c r="AH6" s="1490" t="s">
        <v>408</v>
      </c>
      <c r="AI6" s="1491"/>
    </row>
    <row r="7" spans="1:35" ht="87" customHeight="1" x14ac:dyDescent="0.2">
      <c r="A7" s="1492"/>
      <c r="B7" s="426" t="s">
        <v>11</v>
      </c>
      <c r="C7" s="427" t="s">
        <v>147</v>
      </c>
      <c r="D7" s="428" t="s">
        <v>270</v>
      </c>
      <c r="E7" s="428" t="s">
        <v>149</v>
      </c>
      <c r="F7" s="428" t="s">
        <v>183</v>
      </c>
      <c r="G7" s="428" t="s">
        <v>184</v>
      </c>
      <c r="H7" s="428" t="s">
        <v>185</v>
      </c>
      <c r="I7" s="428" t="s">
        <v>186</v>
      </c>
      <c r="J7" s="428" t="s">
        <v>150</v>
      </c>
      <c r="K7" s="428" t="s">
        <v>151</v>
      </c>
      <c r="L7" s="428" t="s">
        <v>152</v>
      </c>
      <c r="M7" s="428" t="s">
        <v>182</v>
      </c>
      <c r="N7" s="429" t="s">
        <v>121</v>
      </c>
      <c r="O7" s="430" t="s">
        <v>157</v>
      </c>
      <c r="P7" s="431" t="s">
        <v>156</v>
      </c>
      <c r="Q7" s="426" t="s">
        <v>11</v>
      </c>
      <c r="R7" s="427" t="s">
        <v>147</v>
      </c>
      <c r="S7" s="428" t="s">
        <v>148</v>
      </c>
      <c r="T7" s="428" t="s">
        <v>149</v>
      </c>
      <c r="U7" s="428" t="s">
        <v>183</v>
      </c>
      <c r="V7" s="428" t="s">
        <v>184</v>
      </c>
      <c r="W7" s="428" t="s">
        <v>185</v>
      </c>
      <c r="X7" s="428" t="s">
        <v>186</v>
      </c>
      <c r="Y7" s="428" t="s">
        <v>150</v>
      </c>
      <c r="Z7" s="428" t="s">
        <v>151</v>
      </c>
      <c r="AA7" s="428" t="s">
        <v>152</v>
      </c>
      <c r="AB7" s="428" t="s">
        <v>182</v>
      </c>
      <c r="AC7" s="429" t="s">
        <v>121</v>
      </c>
      <c r="AD7" s="430" t="s">
        <v>157</v>
      </c>
      <c r="AE7" s="431" t="s">
        <v>452</v>
      </c>
      <c r="AF7" s="700" t="s">
        <v>161</v>
      </c>
      <c r="AG7" s="426" t="s">
        <v>160</v>
      </c>
      <c r="AH7" s="701" t="s">
        <v>11</v>
      </c>
      <c r="AI7" s="431" t="s">
        <v>453</v>
      </c>
    </row>
    <row r="8" spans="1:35" ht="12.75" thickBot="1" x14ac:dyDescent="0.25">
      <c r="A8" s="1493"/>
      <c r="B8" s="433" t="s">
        <v>61</v>
      </c>
      <c r="C8" s="434" t="s">
        <v>62</v>
      </c>
      <c r="D8" s="435" t="s">
        <v>63</v>
      </c>
      <c r="E8" s="435" t="s">
        <v>64</v>
      </c>
      <c r="F8" s="436" t="s">
        <v>65</v>
      </c>
      <c r="G8" s="436" t="s">
        <v>66</v>
      </c>
      <c r="H8" s="436" t="s">
        <v>83</v>
      </c>
      <c r="I8" s="436" t="s">
        <v>120</v>
      </c>
      <c r="J8" s="436" t="s">
        <v>155</v>
      </c>
      <c r="K8" s="436" t="s">
        <v>159</v>
      </c>
      <c r="L8" s="436" t="s">
        <v>191</v>
      </c>
      <c r="M8" s="436" t="s">
        <v>192</v>
      </c>
      <c r="N8" s="437" t="s">
        <v>194</v>
      </c>
      <c r="O8" s="438" t="s">
        <v>195</v>
      </c>
      <c r="P8" s="439" t="s">
        <v>196</v>
      </c>
      <c r="Q8" s="433" t="s">
        <v>61</v>
      </c>
      <c r="R8" s="434" t="s">
        <v>62</v>
      </c>
      <c r="S8" s="435" t="s">
        <v>63</v>
      </c>
      <c r="T8" s="435" t="s">
        <v>64</v>
      </c>
      <c r="U8" s="436" t="s">
        <v>65</v>
      </c>
      <c r="V8" s="436" t="s">
        <v>66</v>
      </c>
      <c r="W8" s="436" t="s">
        <v>83</v>
      </c>
      <c r="X8" s="436" t="s">
        <v>120</v>
      </c>
      <c r="Y8" s="436" t="s">
        <v>155</v>
      </c>
      <c r="Z8" s="436" t="s">
        <v>159</v>
      </c>
      <c r="AA8" s="436" t="s">
        <v>191</v>
      </c>
      <c r="AB8" s="436" t="s">
        <v>192</v>
      </c>
      <c r="AC8" s="437" t="s">
        <v>194</v>
      </c>
      <c r="AD8" s="438" t="s">
        <v>195</v>
      </c>
      <c r="AE8" s="439" t="s">
        <v>196</v>
      </c>
      <c r="AF8" s="702"/>
      <c r="AG8" s="433"/>
      <c r="AH8" s="440"/>
      <c r="AI8" s="433"/>
    </row>
    <row r="9" spans="1:35" ht="12.75" thickBot="1" x14ac:dyDescent="0.25">
      <c r="A9" s="313"/>
      <c r="B9" s="464"/>
      <c r="C9" s="307"/>
      <c r="D9" s="307"/>
      <c r="E9" s="307"/>
      <c r="F9" s="307"/>
      <c r="G9" s="307"/>
      <c r="H9" s="307"/>
      <c r="I9" s="307"/>
      <c r="J9" s="307"/>
      <c r="K9" s="307"/>
      <c r="L9" s="307"/>
      <c r="M9" s="307"/>
      <c r="N9" s="465"/>
      <c r="O9" s="347"/>
      <c r="P9" s="463"/>
      <c r="Q9" s="464"/>
      <c r="R9" s="307"/>
      <c r="S9" s="307"/>
      <c r="T9" s="307"/>
      <c r="U9" s="307"/>
      <c r="V9" s="307"/>
      <c r="W9" s="307"/>
      <c r="X9" s="307"/>
      <c r="Y9" s="307"/>
      <c r="Z9" s="307"/>
      <c r="AA9" s="307"/>
      <c r="AB9" s="859"/>
      <c r="AC9" s="465"/>
      <c r="AD9" s="347"/>
      <c r="AE9" s="463"/>
      <c r="AF9" s="465"/>
      <c r="AG9" s="464"/>
      <c r="AH9" s="463"/>
      <c r="AI9" s="464"/>
    </row>
    <row r="10" spans="1:35" ht="13.5" thickBot="1" x14ac:dyDescent="0.25">
      <c r="A10" s="703" t="s">
        <v>67</v>
      </c>
      <c r="B10" s="704">
        <f t="shared" ref="B10:AE10" si="0">B12+B23+B32+B41+B50</f>
        <v>118</v>
      </c>
      <c r="C10" s="860">
        <f t="shared" si="0"/>
        <v>95232.14815126051</v>
      </c>
      <c r="D10" s="861">
        <f t="shared" si="0"/>
        <v>67742.699849170429</v>
      </c>
      <c r="E10" s="861">
        <f t="shared" si="0"/>
        <v>0</v>
      </c>
      <c r="F10" s="861">
        <f t="shared" si="0"/>
        <v>0</v>
      </c>
      <c r="G10" s="861">
        <f t="shared" si="0"/>
        <v>0</v>
      </c>
      <c r="H10" s="861">
        <f t="shared" si="0"/>
        <v>0</v>
      </c>
      <c r="I10" s="861">
        <f t="shared" si="0"/>
        <v>12533.92</v>
      </c>
      <c r="J10" s="861">
        <f t="shared" si="0"/>
        <v>0</v>
      </c>
      <c r="K10" s="861">
        <f t="shared" si="0"/>
        <v>175508.76800043095</v>
      </c>
      <c r="L10" s="861">
        <f t="shared" si="0"/>
        <v>181000</v>
      </c>
      <c r="M10" s="862">
        <f t="shared" si="0"/>
        <v>0</v>
      </c>
      <c r="N10" s="861">
        <f t="shared" si="0"/>
        <v>181000</v>
      </c>
      <c r="O10" s="861">
        <f t="shared" si="0"/>
        <v>2287105.2160051712</v>
      </c>
      <c r="P10" s="861">
        <f t="shared" si="0"/>
        <v>12472942.789999999</v>
      </c>
      <c r="Q10" s="706">
        <f t="shared" si="0"/>
        <v>112</v>
      </c>
      <c r="R10" s="861">
        <f t="shared" si="0"/>
        <v>95221.630681114562</v>
      </c>
      <c r="S10" s="861">
        <f t="shared" si="0"/>
        <v>64234.062078272604</v>
      </c>
      <c r="T10" s="862">
        <f t="shared" si="0"/>
        <v>0</v>
      </c>
      <c r="U10" s="862">
        <f t="shared" si="0"/>
        <v>0</v>
      </c>
      <c r="V10" s="862">
        <f t="shared" si="0"/>
        <v>0</v>
      </c>
      <c r="W10" s="862">
        <f t="shared" si="0"/>
        <v>0</v>
      </c>
      <c r="X10" s="861">
        <f t="shared" si="0"/>
        <v>12533.92</v>
      </c>
      <c r="Y10" s="862">
        <f t="shared" si="0"/>
        <v>0</v>
      </c>
      <c r="Z10" s="718">
        <f t="shared" si="0"/>
        <v>171989.61275938718</v>
      </c>
      <c r="AA10" s="705">
        <f t="shared" si="0"/>
        <v>184000</v>
      </c>
      <c r="AB10" s="862">
        <f t="shared" si="0"/>
        <v>0</v>
      </c>
      <c r="AC10" s="861">
        <f t="shared" si="0"/>
        <v>184000</v>
      </c>
      <c r="AD10" s="861">
        <f t="shared" si="0"/>
        <v>2247875.3531126459</v>
      </c>
      <c r="AE10" s="861">
        <f t="shared" si="0"/>
        <v>10097387</v>
      </c>
      <c r="AF10" s="863">
        <f>+O10-AD10</f>
        <v>39229.862892525271</v>
      </c>
      <c r="AG10" s="864">
        <f>+P10-AE10</f>
        <v>2375555.7899999991</v>
      </c>
      <c r="AH10" s="707">
        <f>AH12+AH23+AH32+AH41+AH50</f>
        <v>112</v>
      </c>
      <c r="AI10" s="865">
        <f>AI12+AI23+AI32+AI41+AI50</f>
        <v>12315488</v>
      </c>
    </row>
    <row r="11" spans="1:35" ht="6.75" customHeight="1" thickBot="1" x14ac:dyDescent="0.25">
      <c r="A11" s="708"/>
      <c r="B11" s="464"/>
      <c r="C11" s="307"/>
      <c r="D11" s="307"/>
      <c r="E11" s="307"/>
      <c r="F11" s="307"/>
      <c r="G11" s="307"/>
      <c r="H11" s="307"/>
      <c r="I11" s="307"/>
      <c r="J11" s="307"/>
      <c r="K11" s="307"/>
      <c r="L11" s="307"/>
      <c r="M11" s="307"/>
      <c r="N11" s="866"/>
      <c r="O11" s="867"/>
      <c r="P11" s="868"/>
      <c r="Q11" s="464"/>
      <c r="R11" s="869"/>
      <c r="S11" s="869"/>
      <c r="T11" s="859"/>
      <c r="U11" s="859"/>
      <c r="V11" s="859"/>
      <c r="W11" s="859"/>
      <c r="X11" s="307"/>
      <c r="Y11" s="859"/>
      <c r="Z11" s="307"/>
      <c r="AA11" s="307"/>
      <c r="AB11" s="859"/>
      <c r="AC11" s="866"/>
      <c r="AD11" s="867"/>
      <c r="AE11" s="868"/>
      <c r="AF11" s="866"/>
      <c r="AG11" s="870"/>
      <c r="AH11" s="463"/>
      <c r="AI11" s="870"/>
    </row>
    <row r="12" spans="1:35" ht="13.5" thickBot="1" x14ac:dyDescent="0.25">
      <c r="A12" s="709" t="s">
        <v>7</v>
      </c>
      <c r="B12" s="710">
        <f>SUM(B14:B21)</f>
        <v>15</v>
      </c>
      <c r="C12" s="711">
        <f t="shared" ref="C12:N12" si="1">SUM(C14:C21)</f>
        <v>84953.142857142855</v>
      </c>
      <c r="D12" s="712">
        <f t="shared" si="1"/>
        <v>16253.333333333332</v>
      </c>
      <c r="E12" s="871">
        <f t="shared" si="1"/>
        <v>0</v>
      </c>
      <c r="F12" s="871">
        <f t="shared" si="1"/>
        <v>0</v>
      </c>
      <c r="G12" s="871">
        <f t="shared" si="1"/>
        <v>0</v>
      </c>
      <c r="H12" s="871">
        <f t="shared" si="1"/>
        <v>0</v>
      </c>
      <c r="I12" s="871">
        <f t="shared" si="1"/>
        <v>0</v>
      </c>
      <c r="J12" s="871">
        <f t="shared" si="1"/>
        <v>0</v>
      </c>
      <c r="K12" s="712">
        <f t="shared" si="1"/>
        <v>101206.47619047618</v>
      </c>
      <c r="L12" s="712">
        <f t="shared" si="1"/>
        <v>168000</v>
      </c>
      <c r="M12" s="872">
        <f t="shared" si="1"/>
        <v>0</v>
      </c>
      <c r="N12" s="872">
        <f t="shared" si="1"/>
        <v>168000</v>
      </c>
      <c r="O12" s="873">
        <f>SUM(O14:O21)</f>
        <v>1382477.7142857143</v>
      </c>
      <c r="P12" s="873">
        <f>SUM(P14:P21)+100095.75</f>
        <v>3505698.75</v>
      </c>
      <c r="Q12" s="712">
        <f>SUM(Q14:Q20)</f>
        <v>13</v>
      </c>
      <c r="R12" s="873">
        <f t="shared" ref="R12:AD12" si="2">SUM(R14:R21)</f>
        <v>84941.8</v>
      </c>
      <c r="S12" s="873">
        <f t="shared" si="2"/>
        <v>16253.333333333332</v>
      </c>
      <c r="T12" s="874">
        <f t="shared" si="2"/>
        <v>0</v>
      </c>
      <c r="U12" s="874">
        <f t="shared" si="2"/>
        <v>0</v>
      </c>
      <c r="V12" s="874">
        <f t="shared" si="2"/>
        <v>0</v>
      </c>
      <c r="W12" s="874">
        <f t="shared" si="2"/>
        <v>0</v>
      </c>
      <c r="X12" s="874">
        <f t="shared" si="2"/>
        <v>0</v>
      </c>
      <c r="Y12" s="874">
        <f t="shared" si="2"/>
        <v>0</v>
      </c>
      <c r="Z12" s="873">
        <f t="shared" si="2"/>
        <v>101195.13333333333</v>
      </c>
      <c r="AA12" s="713">
        <f t="shared" si="2"/>
        <v>171000</v>
      </c>
      <c r="AB12" s="874">
        <f t="shared" si="2"/>
        <v>0</v>
      </c>
      <c r="AC12" s="873">
        <f t="shared" si="2"/>
        <v>171000</v>
      </c>
      <c r="AD12" s="873">
        <f t="shared" si="2"/>
        <v>1385341.6</v>
      </c>
      <c r="AE12" s="873">
        <f>SUM(AE14:AE21)</f>
        <v>2906792.33</v>
      </c>
      <c r="AF12" s="875">
        <f>+O12-AD12</f>
        <v>-2863.8857142857742</v>
      </c>
      <c r="AG12" s="876">
        <f>+P12-AE12</f>
        <v>598906.41999999993</v>
      </c>
      <c r="AH12" s="711">
        <f>SUM(AH14:AH20)</f>
        <v>13</v>
      </c>
      <c r="AI12" s="877">
        <f>SUM(AI14:AI21)</f>
        <v>3600314.8899999997</v>
      </c>
    </row>
    <row r="13" spans="1:35" ht="6.75" customHeight="1" x14ac:dyDescent="0.2">
      <c r="A13" s="307"/>
      <c r="B13" s="464"/>
      <c r="C13" s="464"/>
      <c r="D13" s="464"/>
      <c r="E13" s="878"/>
      <c r="F13" s="878"/>
      <c r="G13" s="878"/>
      <c r="H13" s="878"/>
      <c r="I13" s="878"/>
      <c r="J13" s="878"/>
      <c r="K13" s="464"/>
      <c r="L13" s="464"/>
      <c r="M13" s="870"/>
      <c r="N13" s="870"/>
      <c r="O13" s="870"/>
      <c r="P13" s="870"/>
      <c r="Q13" s="464"/>
      <c r="R13" s="870"/>
      <c r="S13" s="870"/>
      <c r="T13" s="464"/>
      <c r="U13" s="464"/>
      <c r="V13" s="464"/>
      <c r="W13" s="464"/>
      <c r="X13" s="464"/>
      <c r="Y13" s="464"/>
      <c r="Z13" s="464"/>
      <c r="AA13" s="464"/>
      <c r="AB13" s="464"/>
      <c r="AC13" s="870"/>
      <c r="AD13" s="464"/>
      <c r="AE13" s="464"/>
      <c r="AF13" s="465"/>
      <c r="AG13" s="870"/>
      <c r="AH13" s="463"/>
      <c r="AI13" s="868"/>
    </row>
    <row r="14" spans="1:35" x14ac:dyDescent="0.2">
      <c r="A14" s="890" t="s">
        <v>3</v>
      </c>
      <c r="B14" s="114">
        <v>1</v>
      </c>
      <c r="C14" s="891">
        <v>30000</v>
      </c>
      <c r="D14" s="891"/>
      <c r="E14" s="892"/>
      <c r="F14" s="892"/>
      <c r="G14" s="892"/>
      <c r="H14" s="892"/>
      <c r="I14" s="892"/>
      <c r="J14" s="892"/>
      <c r="K14" s="891">
        <f>SUM(C14:J14)</f>
        <v>30000</v>
      </c>
      <c r="L14" s="891">
        <v>60000</v>
      </c>
      <c r="M14" s="891"/>
      <c r="N14" s="891">
        <f>SUM(L14:M14)</f>
        <v>60000</v>
      </c>
      <c r="O14" s="891">
        <f>K14*12+N14</f>
        <v>420000</v>
      </c>
      <c r="P14" s="891">
        <f>O14*B14+22765</f>
        <v>442765</v>
      </c>
      <c r="Q14" s="114">
        <v>1</v>
      </c>
      <c r="R14" s="891">
        <v>30000</v>
      </c>
      <c r="S14" s="891"/>
      <c r="T14" s="114"/>
      <c r="U14" s="114"/>
      <c r="V14" s="114"/>
      <c r="W14" s="114"/>
      <c r="X14" s="114"/>
      <c r="Y14" s="114"/>
      <c r="Z14" s="891">
        <f t="shared" ref="Z14:Z16" si="3">SUM(R14:Y14)</f>
        <v>30000</v>
      </c>
      <c r="AA14" s="891">
        <f>60000+3000</f>
        <v>63000</v>
      </c>
      <c r="AB14" s="114"/>
      <c r="AC14" s="891">
        <f t="shared" ref="AC14:AC16" si="4">SUM(AA14:AB14)</f>
        <v>63000</v>
      </c>
      <c r="AD14" s="891">
        <f t="shared" ref="AD14:AD16" si="5">Z14*12+AC14</f>
        <v>423000</v>
      </c>
      <c r="AE14" s="891">
        <f t="shared" ref="AE14:AE16" si="6">AD14*Q14</f>
        <v>423000</v>
      </c>
      <c r="AF14" s="893">
        <f>+O14-AD14</f>
        <v>-3000</v>
      </c>
      <c r="AG14" s="891">
        <f>+P14-AE14</f>
        <v>19765</v>
      </c>
      <c r="AH14" s="894">
        <v>1</v>
      </c>
      <c r="AI14" s="895">
        <v>547800</v>
      </c>
    </row>
    <row r="15" spans="1:35" x14ac:dyDescent="0.2">
      <c r="A15" s="896" t="s">
        <v>611</v>
      </c>
      <c r="B15" s="118">
        <v>3</v>
      </c>
      <c r="C15" s="897">
        <f>84000/3</f>
        <v>28000</v>
      </c>
      <c r="D15" s="897"/>
      <c r="E15" s="898"/>
      <c r="F15" s="898"/>
      <c r="G15" s="898"/>
      <c r="H15" s="898"/>
      <c r="I15" s="898"/>
      <c r="J15" s="898"/>
      <c r="K15" s="897">
        <f t="shared" ref="K15:K16" si="7">SUM(C15:J15)</f>
        <v>28000</v>
      </c>
      <c r="L15" s="897">
        <v>56000</v>
      </c>
      <c r="M15" s="897"/>
      <c r="N15" s="897">
        <f>SUM(L15:M15)</f>
        <v>56000</v>
      </c>
      <c r="O15" s="897">
        <f>K15*12+N15</f>
        <v>392000</v>
      </c>
      <c r="P15" s="897">
        <f>O15*B15+68295</f>
        <v>1244295</v>
      </c>
      <c r="Q15" s="118">
        <v>3</v>
      </c>
      <c r="R15" s="897">
        <f>84000/3</f>
        <v>28000</v>
      </c>
      <c r="S15" s="897"/>
      <c r="T15" s="118"/>
      <c r="U15" s="118"/>
      <c r="V15" s="118"/>
      <c r="W15" s="118"/>
      <c r="X15" s="118"/>
      <c r="Y15" s="118"/>
      <c r="Z15" s="897">
        <f t="shared" si="3"/>
        <v>28000</v>
      </c>
      <c r="AA15" s="897">
        <v>56000</v>
      </c>
      <c r="AB15" s="118"/>
      <c r="AC15" s="897">
        <f t="shared" si="4"/>
        <v>56000</v>
      </c>
      <c r="AD15" s="897">
        <f t="shared" si="5"/>
        <v>392000</v>
      </c>
      <c r="AE15" s="897">
        <f t="shared" si="6"/>
        <v>1176000</v>
      </c>
      <c r="AF15" s="899">
        <f t="shared" ref="AF15:AG16" si="8">+O15-AD15</f>
        <v>0</v>
      </c>
      <c r="AG15" s="897">
        <f t="shared" si="8"/>
        <v>68295</v>
      </c>
      <c r="AH15" s="900">
        <v>3</v>
      </c>
      <c r="AI15" s="901">
        <v>1501008.89</v>
      </c>
    </row>
    <row r="16" spans="1:35" x14ac:dyDescent="0.2">
      <c r="A16" s="896" t="s">
        <v>613</v>
      </c>
      <c r="B16" s="118">
        <v>1</v>
      </c>
      <c r="C16" s="897">
        <v>25000</v>
      </c>
      <c r="D16" s="897"/>
      <c r="E16" s="898"/>
      <c r="F16" s="898"/>
      <c r="G16" s="898"/>
      <c r="H16" s="898"/>
      <c r="I16" s="898"/>
      <c r="J16" s="898"/>
      <c r="K16" s="897">
        <f t="shared" si="7"/>
        <v>25000</v>
      </c>
      <c r="L16" s="897">
        <v>50000</v>
      </c>
      <c r="M16" s="897"/>
      <c r="N16" s="897">
        <f>SUM(L16:M16)</f>
        <v>50000</v>
      </c>
      <c r="O16" s="897">
        <f>K16*12+N16</f>
        <v>350000</v>
      </c>
      <c r="P16" s="897">
        <f>O16*B16+22765</f>
        <v>372765</v>
      </c>
      <c r="Q16" s="118">
        <v>1</v>
      </c>
      <c r="R16" s="897">
        <v>25000</v>
      </c>
      <c r="S16" s="897"/>
      <c r="T16" s="118"/>
      <c r="U16" s="118"/>
      <c r="V16" s="118"/>
      <c r="W16" s="118"/>
      <c r="X16" s="118"/>
      <c r="Y16" s="118"/>
      <c r="Z16" s="897">
        <f t="shared" si="3"/>
        <v>25000</v>
      </c>
      <c r="AA16" s="897">
        <v>50000</v>
      </c>
      <c r="AB16" s="118"/>
      <c r="AC16" s="897">
        <f t="shared" si="4"/>
        <v>50000</v>
      </c>
      <c r="AD16" s="897">
        <f t="shared" si="5"/>
        <v>350000</v>
      </c>
      <c r="AE16" s="897">
        <f t="shared" si="6"/>
        <v>350000</v>
      </c>
      <c r="AF16" s="899">
        <f t="shared" si="8"/>
        <v>0</v>
      </c>
      <c r="AG16" s="897">
        <f t="shared" si="8"/>
        <v>22765</v>
      </c>
      <c r="AH16" s="900">
        <v>1</v>
      </c>
      <c r="AI16" s="901">
        <v>457400</v>
      </c>
    </row>
    <row r="17" spans="1:35" x14ac:dyDescent="0.2">
      <c r="A17" s="896" t="s">
        <v>614</v>
      </c>
      <c r="B17" s="118"/>
      <c r="C17" s="897"/>
      <c r="D17" s="897"/>
      <c r="E17" s="898"/>
      <c r="F17" s="898"/>
      <c r="G17" s="898"/>
      <c r="H17" s="898"/>
      <c r="I17" s="898"/>
      <c r="J17" s="898"/>
      <c r="K17" s="897"/>
      <c r="L17" s="897"/>
      <c r="M17" s="897"/>
      <c r="N17" s="897"/>
      <c r="O17" s="897"/>
      <c r="P17" s="897"/>
      <c r="Q17" s="118"/>
      <c r="R17" s="897"/>
      <c r="S17" s="897"/>
      <c r="T17" s="118"/>
      <c r="U17" s="118"/>
      <c r="V17" s="118"/>
      <c r="W17" s="118"/>
      <c r="X17" s="118"/>
      <c r="Y17" s="118"/>
      <c r="Z17" s="897"/>
      <c r="AA17" s="897"/>
      <c r="AB17" s="118"/>
      <c r="AC17" s="897"/>
      <c r="AD17" s="897"/>
      <c r="AE17" s="897"/>
      <c r="AF17" s="899"/>
      <c r="AG17" s="897"/>
      <c r="AH17" s="900"/>
      <c r="AI17" s="901"/>
    </row>
    <row r="18" spans="1:35" x14ac:dyDescent="0.2">
      <c r="A18" s="896" t="s">
        <v>615</v>
      </c>
      <c r="B18" s="118"/>
      <c r="C18" s="897"/>
      <c r="D18" s="897"/>
      <c r="E18" s="898"/>
      <c r="F18" s="898"/>
      <c r="G18" s="898"/>
      <c r="H18" s="898"/>
      <c r="I18" s="898"/>
      <c r="J18" s="898"/>
      <c r="K18" s="897"/>
      <c r="L18" s="897"/>
      <c r="M18" s="897"/>
      <c r="N18" s="897"/>
      <c r="O18" s="897"/>
      <c r="P18" s="897"/>
      <c r="Q18" s="118"/>
      <c r="R18" s="897"/>
      <c r="S18" s="897"/>
      <c r="T18" s="118"/>
      <c r="U18" s="118"/>
      <c r="V18" s="118"/>
      <c r="W18" s="118"/>
      <c r="X18" s="118"/>
      <c r="Y18" s="118"/>
      <c r="Z18" s="897"/>
      <c r="AA18" s="897"/>
      <c r="AB18" s="118"/>
      <c r="AC18" s="897"/>
      <c r="AD18" s="897"/>
      <c r="AE18" s="897"/>
      <c r="AF18" s="899"/>
      <c r="AG18" s="897"/>
      <c r="AH18" s="900"/>
      <c r="AI18" s="901"/>
    </row>
    <row r="19" spans="1:35" x14ac:dyDescent="0.2">
      <c r="A19" s="896" t="s">
        <v>616</v>
      </c>
      <c r="B19" s="118">
        <v>7</v>
      </c>
      <c r="C19" s="897">
        <f>7498/7</f>
        <v>1071.1428571428571</v>
      </c>
      <c r="D19" s="897">
        <f>58520/7</f>
        <v>8360</v>
      </c>
      <c r="E19" s="898"/>
      <c r="F19" s="898"/>
      <c r="G19" s="898"/>
      <c r="H19" s="898"/>
      <c r="I19" s="898"/>
      <c r="J19" s="898"/>
      <c r="K19" s="897">
        <f>SUM(C19:J19)</f>
        <v>9431.1428571428569</v>
      </c>
      <c r="L19" s="897">
        <v>1000</v>
      </c>
      <c r="M19" s="897"/>
      <c r="N19" s="897">
        <f>SUM(L19:M19)</f>
        <v>1000</v>
      </c>
      <c r="O19" s="897">
        <f>K19*12+N19</f>
        <v>114173.71428571429</v>
      </c>
      <c r="P19" s="897">
        <f>O19*B19+159355</f>
        <v>958571</v>
      </c>
      <c r="Q19" s="118">
        <v>5</v>
      </c>
      <c r="R19" s="897">
        <v>1059.8</v>
      </c>
      <c r="S19" s="897">
        <f>58520/7</f>
        <v>8360</v>
      </c>
      <c r="T19" s="118"/>
      <c r="U19" s="118"/>
      <c r="V19" s="118"/>
      <c r="W19" s="118"/>
      <c r="X19" s="118"/>
      <c r="Y19" s="118"/>
      <c r="Z19" s="897">
        <f>SUM(R19:Y19)</f>
        <v>9419.7999999999993</v>
      </c>
      <c r="AA19" s="897">
        <v>1000</v>
      </c>
      <c r="AB19" s="118"/>
      <c r="AC19" s="897">
        <f>SUM(AA19:AB19)</f>
        <v>1000</v>
      </c>
      <c r="AD19" s="897">
        <f>Z19*12+AC19</f>
        <v>114037.59999999999</v>
      </c>
      <c r="AE19" s="897">
        <f>AD19*Q19+4295+37220+1365</f>
        <v>613068</v>
      </c>
      <c r="AF19" s="899">
        <f t="shared" ref="AF19:AG20" si="9">+O19-AD19</f>
        <v>136.1142857142986</v>
      </c>
      <c r="AG19" s="897">
        <f t="shared" si="9"/>
        <v>345503</v>
      </c>
      <c r="AH19" s="900">
        <v>5</v>
      </c>
      <c r="AI19" s="901">
        <f>575205+125395-2285</f>
        <v>698315</v>
      </c>
    </row>
    <row r="20" spans="1:35" x14ac:dyDescent="0.2">
      <c r="A20" s="896" t="s">
        <v>617</v>
      </c>
      <c r="B20" s="118">
        <v>3</v>
      </c>
      <c r="C20" s="897">
        <f>2646/3</f>
        <v>882</v>
      </c>
      <c r="D20" s="897">
        <f>23680/3</f>
        <v>7893.333333333333</v>
      </c>
      <c r="E20" s="898"/>
      <c r="F20" s="898"/>
      <c r="G20" s="898"/>
      <c r="H20" s="898"/>
      <c r="I20" s="898"/>
      <c r="J20" s="898"/>
      <c r="K20" s="897">
        <f>SUM(C20:J20)</f>
        <v>8775.3333333333321</v>
      </c>
      <c r="L20" s="897">
        <v>1000</v>
      </c>
      <c r="M20" s="897"/>
      <c r="N20" s="897">
        <f>SUM(L20:M20)</f>
        <v>1000</v>
      </c>
      <c r="O20" s="897">
        <f>K20*12+N20</f>
        <v>106303.99999999999</v>
      </c>
      <c r="P20" s="897">
        <f>O20*B20+68295</f>
        <v>387206.99999999994</v>
      </c>
      <c r="Q20" s="118">
        <v>3</v>
      </c>
      <c r="R20" s="897">
        <f>2646/3</f>
        <v>882</v>
      </c>
      <c r="S20" s="897">
        <f>23680/3</f>
        <v>7893.333333333333</v>
      </c>
      <c r="T20" s="118"/>
      <c r="U20" s="118"/>
      <c r="V20" s="118"/>
      <c r="W20" s="118"/>
      <c r="X20" s="118"/>
      <c r="Y20" s="118"/>
      <c r="Z20" s="897">
        <f>SUM(R20:Y20)</f>
        <v>8775.3333333333321</v>
      </c>
      <c r="AA20" s="897">
        <v>1000</v>
      </c>
      <c r="AB20" s="118"/>
      <c r="AC20" s="897">
        <f>SUM(AA20:AB20)</f>
        <v>1000</v>
      </c>
      <c r="AD20" s="897">
        <f>Z20*12+AC20</f>
        <v>106303.99999999999</v>
      </c>
      <c r="AE20" s="897">
        <f>AD20*Q20+2577+22332+90.33+813</f>
        <v>344724.32999999996</v>
      </c>
      <c r="AF20" s="899">
        <f t="shared" si="9"/>
        <v>0</v>
      </c>
      <c r="AG20" s="897">
        <f t="shared" si="9"/>
        <v>42482.669999999984</v>
      </c>
      <c r="AH20" s="900">
        <v>3</v>
      </c>
      <c r="AI20" s="901">
        <f>321925+75237-1371</f>
        <v>395791</v>
      </c>
    </row>
    <row r="21" spans="1:35" x14ac:dyDescent="0.2">
      <c r="A21" s="896" t="s">
        <v>13</v>
      </c>
      <c r="B21" s="118"/>
      <c r="C21" s="897"/>
      <c r="D21" s="897"/>
      <c r="E21" s="898"/>
      <c r="F21" s="898"/>
      <c r="G21" s="898"/>
      <c r="H21" s="898"/>
      <c r="I21" s="898"/>
      <c r="J21" s="898"/>
      <c r="K21" s="897"/>
      <c r="L21" s="897"/>
      <c r="M21" s="897"/>
      <c r="N21" s="897"/>
      <c r="O21" s="897"/>
      <c r="P21" s="897"/>
      <c r="Q21" s="118"/>
      <c r="R21" s="897"/>
      <c r="S21" s="897"/>
      <c r="T21" s="118"/>
      <c r="U21" s="118"/>
      <c r="V21" s="118"/>
      <c r="W21" s="118"/>
      <c r="X21" s="118"/>
      <c r="Y21" s="118"/>
      <c r="Z21" s="897"/>
      <c r="AA21" s="897"/>
      <c r="AB21" s="118"/>
      <c r="AC21" s="897"/>
      <c r="AD21" s="897"/>
      <c r="AE21" s="897"/>
      <c r="AF21" s="899"/>
      <c r="AG21" s="897"/>
      <c r="AH21" s="900"/>
      <c r="AI21" s="901"/>
    </row>
    <row r="22" spans="1:35" ht="6" customHeight="1" thickBot="1" x14ac:dyDescent="0.25">
      <c r="A22" s="307"/>
      <c r="B22" s="464"/>
      <c r="C22" s="870"/>
      <c r="D22" s="870"/>
      <c r="E22" s="878"/>
      <c r="F22" s="878"/>
      <c r="G22" s="878"/>
      <c r="H22" s="878"/>
      <c r="I22" s="878"/>
      <c r="J22" s="878"/>
      <c r="K22" s="870"/>
      <c r="L22" s="870"/>
      <c r="M22" s="870"/>
      <c r="N22" s="870"/>
      <c r="O22" s="870"/>
      <c r="P22" s="870"/>
      <c r="Q22" s="464"/>
      <c r="R22" s="870"/>
      <c r="S22" s="870"/>
      <c r="T22" s="464"/>
      <c r="U22" s="464"/>
      <c r="V22" s="464"/>
      <c r="W22" s="464"/>
      <c r="X22" s="464"/>
      <c r="Y22" s="464"/>
      <c r="Z22" s="870"/>
      <c r="AA22" s="870"/>
      <c r="AB22" s="464"/>
      <c r="AC22" s="870"/>
      <c r="AD22" s="870"/>
      <c r="AE22" s="870"/>
      <c r="AF22" s="866"/>
      <c r="AG22" s="870"/>
      <c r="AH22" s="463"/>
      <c r="AI22" s="868"/>
    </row>
    <row r="23" spans="1:35" ht="13.5" thickBot="1" x14ac:dyDescent="0.25">
      <c r="A23" s="709" t="s">
        <v>4</v>
      </c>
      <c r="B23" s="710">
        <f>SUM(B25:B30)</f>
        <v>44</v>
      </c>
      <c r="C23" s="873">
        <f>SUM(C25:C30)</f>
        <v>3387.285294117647</v>
      </c>
      <c r="D23" s="873">
        <f>SUM(D25:D30)</f>
        <v>26817.058823529413</v>
      </c>
      <c r="E23" s="874">
        <f t="shared" ref="E23:P23" si="10">SUM(E25:E30)</f>
        <v>0</v>
      </c>
      <c r="F23" s="874">
        <f t="shared" si="10"/>
        <v>0</v>
      </c>
      <c r="G23" s="874">
        <f t="shared" si="10"/>
        <v>0</v>
      </c>
      <c r="H23" s="874">
        <f t="shared" si="10"/>
        <v>0</v>
      </c>
      <c r="I23" s="874">
        <f t="shared" si="10"/>
        <v>0</v>
      </c>
      <c r="J23" s="874">
        <f t="shared" si="10"/>
        <v>0</v>
      </c>
      <c r="K23" s="873">
        <f t="shared" si="10"/>
        <v>30204.344117647059</v>
      </c>
      <c r="L23" s="873">
        <f t="shared" si="10"/>
        <v>5000</v>
      </c>
      <c r="M23" s="873">
        <f t="shared" si="10"/>
        <v>0</v>
      </c>
      <c r="N23" s="873">
        <f t="shared" si="10"/>
        <v>5000</v>
      </c>
      <c r="O23" s="873">
        <f t="shared" si="10"/>
        <v>367452.12941176468</v>
      </c>
      <c r="P23" s="873">
        <f t="shared" si="10"/>
        <v>4423780</v>
      </c>
      <c r="Q23" s="712">
        <f>SUM(Q25:Q30)</f>
        <v>42</v>
      </c>
      <c r="R23" s="873">
        <f>SUM(R25:R29)</f>
        <v>3409.860681114551</v>
      </c>
      <c r="S23" s="873">
        <f t="shared" ref="S23:AI23" si="11">SUM(S25:S29)</f>
        <v>26968.42105263158</v>
      </c>
      <c r="T23" s="874">
        <f t="shared" si="11"/>
        <v>0</v>
      </c>
      <c r="U23" s="874">
        <f t="shared" si="11"/>
        <v>0</v>
      </c>
      <c r="V23" s="874">
        <f t="shared" si="11"/>
        <v>0</v>
      </c>
      <c r="W23" s="874">
        <f t="shared" si="11"/>
        <v>0</v>
      </c>
      <c r="X23" s="874">
        <f t="shared" si="11"/>
        <v>0</v>
      </c>
      <c r="Y23" s="874">
        <f t="shared" si="11"/>
        <v>0</v>
      </c>
      <c r="Z23" s="873">
        <f t="shared" si="11"/>
        <v>30378.281733746131</v>
      </c>
      <c r="AA23" s="873">
        <f t="shared" si="11"/>
        <v>5000</v>
      </c>
      <c r="AB23" s="874">
        <f t="shared" si="11"/>
        <v>0</v>
      </c>
      <c r="AC23" s="873">
        <f t="shared" si="11"/>
        <v>5000</v>
      </c>
      <c r="AD23" s="873">
        <f t="shared" si="11"/>
        <v>369539.38080495357</v>
      </c>
      <c r="AE23" s="873">
        <f t="shared" si="11"/>
        <v>3669580</v>
      </c>
      <c r="AF23" s="875">
        <f>+O23-AD23</f>
        <v>-2087.2513931888971</v>
      </c>
      <c r="AG23" s="876">
        <f>+P23-AE23</f>
        <v>754200</v>
      </c>
      <c r="AH23" s="711">
        <f>SUM(AH25:AH30)</f>
        <v>42</v>
      </c>
      <c r="AI23" s="877">
        <f t="shared" si="11"/>
        <v>4384789</v>
      </c>
    </row>
    <row r="24" spans="1:35" ht="7.5" customHeight="1" x14ac:dyDescent="0.2">
      <c r="A24" s="714"/>
      <c r="B24" s="464"/>
      <c r="C24" s="870"/>
      <c r="D24" s="870"/>
      <c r="E24" s="878"/>
      <c r="F24" s="878"/>
      <c r="G24" s="878"/>
      <c r="H24" s="878"/>
      <c r="I24" s="878"/>
      <c r="J24" s="878"/>
      <c r="K24" s="870"/>
      <c r="L24" s="870"/>
      <c r="M24" s="870"/>
      <c r="N24" s="870"/>
      <c r="O24" s="870"/>
      <c r="P24" s="870"/>
      <c r="Q24" s="464"/>
      <c r="R24" s="870"/>
      <c r="S24" s="870"/>
      <c r="T24" s="464"/>
      <c r="U24" s="464"/>
      <c r="V24" s="464"/>
      <c r="W24" s="464"/>
      <c r="X24" s="464"/>
      <c r="Y24" s="464"/>
      <c r="Z24" s="870"/>
      <c r="AA24" s="870"/>
      <c r="AB24" s="878"/>
      <c r="AC24" s="870"/>
      <c r="AD24" s="870"/>
      <c r="AE24" s="870"/>
      <c r="AF24" s="866"/>
      <c r="AG24" s="870"/>
      <c r="AH24" s="463"/>
      <c r="AI24" s="868"/>
    </row>
    <row r="25" spans="1:35" x14ac:dyDescent="0.2">
      <c r="A25" s="890" t="s">
        <v>618</v>
      </c>
      <c r="B25" s="114">
        <v>17</v>
      </c>
      <c r="C25" s="891">
        <f>13332/17</f>
        <v>784.23529411764707</v>
      </c>
      <c r="D25" s="891">
        <f>102120/17</f>
        <v>6007.0588235294117</v>
      </c>
      <c r="E25" s="892"/>
      <c r="F25" s="892"/>
      <c r="G25" s="892"/>
      <c r="H25" s="892"/>
      <c r="I25" s="892"/>
      <c r="J25" s="892"/>
      <c r="K25" s="891">
        <f>SUM(C25:J25)</f>
        <v>6791.2941176470586</v>
      </c>
      <c r="L25" s="891">
        <v>1000</v>
      </c>
      <c r="M25" s="891"/>
      <c r="N25" s="891">
        <f>SUM(L25:M25)</f>
        <v>1000</v>
      </c>
      <c r="O25" s="891">
        <f>K25*12+N25</f>
        <v>82495.529411764699</v>
      </c>
      <c r="P25" s="891">
        <f>O25*B25+387005</f>
        <v>1789429</v>
      </c>
      <c r="Q25" s="114">
        <v>17</v>
      </c>
      <c r="R25" s="891">
        <v>804.17647058823525</v>
      </c>
      <c r="S25" s="891">
        <v>6160</v>
      </c>
      <c r="T25" s="114"/>
      <c r="U25" s="114"/>
      <c r="V25" s="114"/>
      <c r="W25" s="114"/>
      <c r="X25" s="114"/>
      <c r="Y25" s="114"/>
      <c r="Z25" s="891">
        <f t="shared" ref="Z25:Z29" si="12">SUM(R25:Y25)</f>
        <v>6964.1764705882351</v>
      </c>
      <c r="AA25" s="891">
        <v>1000</v>
      </c>
      <c r="AB25" s="892"/>
      <c r="AC25" s="891">
        <f>SUM(AA25:AB25)</f>
        <v>1000</v>
      </c>
      <c r="AD25" s="891">
        <f>Z25*12+AC25</f>
        <v>84570.117647058825</v>
      </c>
      <c r="AE25" s="891">
        <f>AD25*Q25+15603+126548+4607</f>
        <v>1584450</v>
      </c>
      <c r="AF25" s="893">
        <f t="shared" ref="AF25:AF29" si="13">AD25-O25</f>
        <v>2074.5882352941262</v>
      </c>
      <c r="AG25" s="891">
        <f t="shared" ref="AG25:AG29" si="14">+P25-AE25</f>
        <v>204979</v>
      </c>
      <c r="AH25" s="894">
        <v>17</v>
      </c>
      <c r="AI25" s="895">
        <f>1454774+426343-7769</f>
        <v>1873348</v>
      </c>
    </row>
    <row r="26" spans="1:35" x14ac:dyDescent="0.2">
      <c r="A26" s="896" t="s">
        <v>619</v>
      </c>
      <c r="B26" s="118">
        <v>20</v>
      </c>
      <c r="C26" s="897">
        <f>14481/20</f>
        <v>724.05</v>
      </c>
      <c r="D26" s="897">
        <f>110600/20</f>
        <v>5530</v>
      </c>
      <c r="E26" s="898"/>
      <c r="F26" s="898"/>
      <c r="G26" s="898"/>
      <c r="H26" s="898"/>
      <c r="I26" s="898"/>
      <c r="J26" s="898"/>
      <c r="K26" s="897">
        <f>SUM(C26:J26)</f>
        <v>6254.05</v>
      </c>
      <c r="L26" s="897">
        <v>1000</v>
      </c>
      <c r="M26" s="897"/>
      <c r="N26" s="897">
        <f>SUM(L26:M26)</f>
        <v>1000</v>
      </c>
      <c r="O26" s="897">
        <f>K26*12+N26</f>
        <v>76048.600000000006</v>
      </c>
      <c r="P26" s="897">
        <f>O26*B26+455300</f>
        <v>1976272</v>
      </c>
      <c r="Q26" s="118">
        <v>19</v>
      </c>
      <c r="R26" s="897">
        <v>726.68421052631584</v>
      </c>
      <c r="S26" s="897">
        <v>5528.4210526315792</v>
      </c>
      <c r="T26" s="118"/>
      <c r="U26" s="118"/>
      <c r="V26" s="118"/>
      <c r="W26" s="118"/>
      <c r="X26" s="118"/>
      <c r="Y26" s="118"/>
      <c r="Z26" s="897">
        <f t="shared" si="12"/>
        <v>6255.105263157895</v>
      </c>
      <c r="AA26" s="897">
        <v>1000</v>
      </c>
      <c r="AB26" s="898"/>
      <c r="AC26" s="897">
        <f>SUM(AA26:AB26)</f>
        <v>1000</v>
      </c>
      <c r="AD26" s="897">
        <f>Z26*12+AC26</f>
        <v>76061.263157894748</v>
      </c>
      <c r="AE26" s="897">
        <f>AD26*Q26+16321+141436+5149</f>
        <v>1608070.0000000002</v>
      </c>
      <c r="AF26" s="899">
        <f t="shared" si="13"/>
        <v>12.663157894741744</v>
      </c>
      <c r="AG26" s="897">
        <f t="shared" si="14"/>
        <v>368201.99999999977</v>
      </c>
      <c r="AH26" s="900">
        <v>19</v>
      </c>
      <c r="AI26" s="901">
        <f>1464255+476501-8683</f>
        <v>1932073</v>
      </c>
    </row>
    <row r="27" spans="1:35" x14ac:dyDescent="0.2">
      <c r="A27" s="896" t="s">
        <v>620</v>
      </c>
      <c r="B27" s="118">
        <v>4</v>
      </c>
      <c r="C27" s="897">
        <f>2596/4</f>
        <v>649</v>
      </c>
      <c r="D27" s="897">
        <f>21440/4</f>
        <v>5360</v>
      </c>
      <c r="E27" s="898"/>
      <c r="F27" s="898"/>
      <c r="G27" s="898"/>
      <c r="H27" s="898"/>
      <c r="I27" s="898"/>
      <c r="J27" s="898"/>
      <c r="K27" s="897">
        <f>SUM(C27:J27)</f>
        <v>6009</v>
      </c>
      <c r="L27" s="897">
        <v>1000</v>
      </c>
      <c r="M27" s="897"/>
      <c r="N27" s="897">
        <f>SUM(L27:M27)</f>
        <v>1000</v>
      </c>
      <c r="O27" s="897">
        <f>K27*12+N27</f>
        <v>73108</v>
      </c>
      <c r="P27" s="897">
        <f>O27*B27+91060</f>
        <v>383492</v>
      </c>
      <c r="Q27" s="118">
        <v>3</v>
      </c>
      <c r="R27" s="897">
        <f>2596/4</f>
        <v>649</v>
      </c>
      <c r="S27" s="897">
        <f>21440/4</f>
        <v>5360</v>
      </c>
      <c r="T27" s="118"/>
      <c r="U27" s="118"/>
      <c r="V27" s="118"/>
      <c r="W27" s="118"/>
      <c r="X27" s="118"/>
      <c r="Y27" s="118"/>
      <c r="Z27" s="897">
        <f t="shared" si="12"/>
        <v>6009</v>
      </c>
      <c r="AA27" s="897">
        <v>1000</v>
      </c>
      <c r="AB27" s="898"/>
      <c r="AC27" s="897">
        <f>SUM(AA27:AB27)</f>
        <v>1000</v>
      </c>
      <c r="AD27" s="897">
        <f>Z27*12+AC27</f>
        <v>73108</v>
      </c>
      <c r="AE27" s="897">
        <f>AD27*Q27+2577+22332+813</f>
        <v>245046</v>
      </c>
      <c r="AF27" s="899">
        <f t="shared" si="13"/>
        <v>0</v>
      </c>
      <c r="AG27" s="897">
        <f t="shared" si="14"/>
        <v>138446</v>
      </c>
      <c r="AH27" s="900">
        <v>3</v>
      </c>
      <c r="AI27" s="901">
        <f>222331+75237-1371</f>
        <v>296197</v>
      </c>
    </row>
    <row r="28" spans="1:35" x14ac:dyDescent="0.2">
      <c r="A28" s="896" t="s">
        <v>621</v>
      </c>
      <c r="B28" s="118">
        <v>2</v>
      </c>
      <c r="C28" s="897">
        <f>1262/2</f>
        <v>631</v>
      </c>
      <c r="D28" s="897">
        <f>10320/2</f>
        <v>5160</v>
      </c>
      <c r="E28" s="898"/>
      <c r="F28" s="898"/>
      <c r="G28" s="898"/>
      <c r="H28" s="898"/>
      <c r="I28" s="898"/>
      <c r="J28" s="898"/>
      <c r="K28" s="897">
        <f>SUM(C28:J28)</f>
        <v>5791</v>
      </c>
      <c r="L28" s="897">
        <v>1000</v>
      </c>
      <c r="M28" s="897"/>
      <c r="N28" s="897">
        <f>SUM(L28:M28)</f>
        <v>1000</v>
      </c>
      <c r="O28" s="897">
        <f>K28*12+N28</f>
        <v>70492</v>
      </c>
      <c r="P28" s="897">
        <f>O28*B28+45530</f>
        <v>186514</v>
      </c>
      <c r="Q28" s="118">
        <v>2</v>
      </c>
      <c r="R28" s="897">
        <f>1262/2</f>
        <v>631</v>
      </c>
      <c r="S28" s="897">
        <f>10320/2</f>
        <v>5160</v>
      </c>
      <c r="T28" s="118"/>
      <c r="U28" s="118"/>
      <c r="V28" s="118"/>
      <c r="W28" s="118"/>
      <c r="X28" s="118"/>
      <c r="Y28" s="118"/>
      <c r="Z28" s="897">
        <f t="shared" si="12"/>
        <v>5791</v>
      </c>
      <c r="AA28" s="897">
        <v>1000</v>
      </c>
      <c r="AB28" s="898"/>
      <c r="AC28" s="897">
        <f>SUM(AA28:AB28)</f>
        <v>1000</v>
      </c>
      <c r="AD28" s="897">
        <f>Z28*12+AC28</f>
        <v>70492</v>
      </c>
      <c r="AE28" s="897">
        <f>AD28*Q28+1718+14888+542</f>
        <v>158132</v>
      </c>
      <c r="AF28" s="899">
        <f t="shared" si="13"/>
        <v>0</v>
      </c>
      <c r="AG28" s="897">
        <f t="shared" si="14"/>
        <v>28382</v>
      </c>
      <c r="AH28" s="900">
        <v>2</v>
      </c>
      <c r="AI28" s="901">
        <f>142992+50158-914</f>
        <v>192236</v>
      </c>
    </row>
    <row r="29" spans="1:35" x14ac:dyDescent="0.2">
      <c r="A29" s="896" t="s">
        <v>622</v>
      </c>
      <c r="B29" s="118">
        <v>1</v>
      </c>
      <c r="C29" s="897">
        <v>599</v>
      </c>
      <c r="D29" s="897">
        <v>4760</v>
      </c>
      <c r="E29" s="898"/>
      <c r="F29" s="898"/>
      <c r="G29" s="898"/>
      <c r="H29" s="898"/>
      <c r="I29" s="898"/>
      <c r="J29" s="898"/>
      <c r="K29" s="897">
        <f>SUM(C29:J29)</f>
        <v>5359</v>
      </c>
      <c r="L29" s="897">
        <v>1000</v>
      </c>
      <c r="M29" s="897"/>
      <c r="N29" s="897">
        <f>SUM(L29:M29)</f>
        <v>1000</v>
      </c>
      <c r="O29" s="897">
        <f>K29*12+N29</f>
        <v>65308</v>
      </c>
      <c r="P29" s="897">
        <f>O29*B29+22765</f>
        <v>88073</v>
      </c>
      <c r="Q29" s="118">
        <v>1</v>
      </c>
      <c r="R29" s="897">
        <v>599</v>
      </c>
      <c r="S29" s="897">
        <v>4760</v>
      </c>
      <c r="T29" s="118"/>
      <c r="U29" s="118"/>
      <c r="V29" s="118"/>
      <c r="W29" s="118"/>
      <c r="X29" s="118"/>
      <c r="Y29" s="118"/>
      <c r="Z29" s="897">
        <f t="shared" si="12"/>
        <v>5359</v>
      </c>
      <c r="AA29" s="897">
        <v>1000</v>
      </c>
      <c r="AB29" s="898"/>
      <c r="AC29" s="897">
        <f>SUM(AA29:AB29)</f>
        <v>1000</v>
      </c>
      <c r="AD29" s="897">
        <f>Z29*12+AC29</f>
        <v>65308</v>
      </c>
      <c r="AE29" s="897">
        <f>AD29*Q29+859+7444+271</f>
        <v>73882</v>
      </c>
      <c r="AF29" s="899">
        <f t="shared" si="13"/>
        <v>0</v>
      </c>
      <c r="AG29" s="897">
        <f t="shared" si="14"/>
        <v>14191</v>
      </c>
      <c r="AH29" s="900">
        <v>1</v>
      </c>
      <c r="AI29" s="901">
        <f>66313+25079-457</f>
        <v>90935</v>
      </c>
    </row>
    <row r="30" spans="1:35" x14ac:dyDescent="0.2">
      <c r="A30" s="896" t="s">
        <v>623</v>
      </c>
      <c r="B30" s="118"/>
      <c r="C30" s="897"/>
      <c r="D30" s="897"/>
      <c r="E30" s="898"/>
      <c r="F30" s="898"/>
      <c r="G30" s="898"/>
      <c r="H30" s="898"/>
      <c r="I30" s="898"/>
      <c r="J30" s="898"/>
      <c r="K30" s="897"/>
      <c r="L30" s="897"/>
      <c r="M30" s="897"/>
      <c r="N30" s="897"/>
      <c r="O30" s="897"/>
      <c r="P30" s="897"/>
      <c r="Q30" s="118"/>
      <c r="R30" s="897"/>
      <c r="S30" s="897"/>
      <c r="T30" s="118"/>
      <c r="U30" s="118"/>
      <c r="V30" s="118"/>
      <c r="W30" s="118"/>
      <c r="X30" s="118"/>
      <c r="Y30" s="118"/>
      <c r="Z30" s="897"/>
      <c r="AA30" s="897"/>
      <c r="AB30" s="898"/>
      <c r="AC30" s="897"/>
      <c r="AD30" s="897"/>
      <c r="AE30" s="897"/>
      <c r="AF30" s="899"/>
      <c r="AG30" s="897"/>
      <c r="AH30" s="900"/>
      <c r="AI30" s="901"/>
    </row>
    <row r="31" spans="1:35" ht="12.75" thickBot="1" x14ac:dyDescent="0.25">
      <c r="A31" s="714"/>
      <c r="B31" s="464"/>
      <c r="C31" s="870"/>
      <c r="D31" s="870"/>
      <c r="E31" s="878"/>
      <c r="F31" s="878"/>
      <c r="G31" s="878"/>
      <c r="H31" s="878"/>
      <c r="I31" s="878"/>
      <c r="J31" s="878"/>
      <c r="K31" s="870"/>
      <c r="L31" s="870"/>
      <c r="M31" s="870"/>
      <c r="N31" s="870"/>
      <c r="O31" s="870"/>
      <c r="P31" s="870"/>
      <c r="Q31" s="464"/>
      <c r="R31" s="870"/>
      <c r="S31" s="870"/>
      <c r="T31" s="464"/>
      <c r="U31" s="464"/>
      <c r="V31" s="464"/>
      <c r="W31" s="464"/>
      <c r="X31" s="464"/>
      <c r="Y31" s="464"/>
      <c r="Z31" s="870"/>
      <c r="AA31" s="870"/>
      <c r="AB31" s="878"/>
      <c r="AC31" s="870"/>
      <c r="AD31" s="870"/>
      <c r="AE31" s="870"/>
      <c r="AF31" s="866"/>
      <c r="AG31" s="870"/>
      <c r="AH31" s="463"/>
      <c r="AI31" s="463"/>
    </row>
    <row r="32" spans="1:35" ht="13.5" thickBot="1" x14ac:dyDescent="0.25">
      <c r="A32" s="715" t="s">
        <v>5</v>
      </c>
      <c r="B32" s="710">
        <f>SUM(B34:B39)</f>
        <v>46</v>
      </c>
      <c r="C32" s="873">
        <f>SUM(C34:C39)</f>
        <v>2813.7200000000003</v>
      </c>
      <c r="D32" s="873">
        <f t="shared" ref="D32:P32" si="15">SUM(D34:D39)</f>
        <v>19952.307692307691</v>
      </c>
      <c r="E32" s="874">
        <f t="shared" si="15"/>
        <v>0</v>
      </c>
      <c r="F32" s="874">
        <f t="shared" si="15"/>
        <v>0</v>
      </c>
      <c r="G32" s="874">
        <f t="shared" si="15"/>
        <v>0</v>
      </c>
      <c r="H32" s="874">
        <f t="shared" si="15"/>
        <v>0</v>
      </c>
      <c r="I32" s="874">
        <f t="shared" si="15"/>
        <v>0</v>
      </c>
      <c r="J32" s="874">
        <f t="shared" si="15"/>
        <v>0</v>
      </c>
      <c r="K32" s="873">
        <f t="shared" si="15"/>
        <v>22766.027692307693</v>
      </c>
      <c r="L32" s="873">
        <f t="shared" si="15"/>
        <v>5000</v>
      </c>
      <c r="M32" s="873">
        <f t="shared" si="15"/>
        <v>0</v>
      </c>
      <c r="N32" s="873">
        <f t="shared" si="15"/>
        <v>5000</v>
      </c>
      <c r="O32" s="873">
        <f t="shared" si="15"/>
        <v>278192.33230769227</v>
      </c>
      <c r="P32" s="873">
        <f t="shared" si="15"/>
        <v>3311281.04</v>
      </c>
      <c r="Q32" s="712">
        <f>SUM(Q34:Q39)</f>
        <v>44</v>
      </c>
      <c r="R32" s="873">
        <f>SUM(R34:R38)</f>
        <v>2791.9700000000003</v>
      </c>
      <c r="S32" s="873">
        <f t="shared" ref="S32:AI32" si="16">SUM(S34:S38)</f>
        <v>16292.307692307691</v>
      </c>
      <c r="T32" s="874">
        <f t="shared" si="16"/>
        <v>0</v>
      </c>
      <c r="U32" s="874">
        <f t="shared" si="16"/>
        <v>0</v>
      </c>
      <c r="V32" s="874">
        <f t="shared" si="16"/>
        <v>0</v>
      </c>
      <c r="W32" s="874">
        <f t="shared" si="16"/>
        <v>0</v>
      </c>
      <c r="X32" s="874">
        <f t="shared" si="16"/>
        <v>0</v>
      </c>
      <c r="Y32" s="874">
        <f t="shared" si="16"/>
        <v>0</v>
      </c>
      <c r="Z32" s="873">
        <f t="shared" si="16"/>
        <v>19084.277692307693</v>
      </c>
      <c r="AA32" s="873">
        <f t="shared" si="16"/>
        <v>5000</v>
      </c>
      <c r="AB32" s="874">
        <f t="shared" si="16"/>
        <v>0</v>
      </c>
      <c r="AC32" s="873">
        <f t="shared" si="16"/>
        <v>5000</v>
      </c>
      <c r="AD32" s="873">
        <f t="shared" si="16"/>
        <v>234011.3323076923</v>
      </c>
      <c r="AE32" s="873">
        <f t="shared" si="16"/>
        <v>2450585.8400000003</v>
      </c>
      <c r="AF32" s="875">
        <f>+O32-AD32</f>
        <v>44180.999999999971</v>
      </c>
      <c r="AG32" s="876">
        <f>+P32-AE32</f>
        <v>860695.19999999972</v>
      </c>
      <c r="AH32" s="711">
        <f>SUM(AH34:AH39)</f>
        <v>44</v>
      </c>
      <c r="AI32" s="877">
        <f t="shared" si="16"/>
        <v>3198890</v>
      </c>
    </row>
    <row r="33" spans="1:35" ht="9" customHeight="1" x14ac:dyDescent="0.2">
      <c r="A33" s="714"/>
      <c r="B33" s="464"/>
      <c r="C33" s="870"/>
      <c r="D33" s="870"/>
      <c r="E33" s="464"/>
      <c r="F33" s="464"/>
      <c r="G33" s="464"/>
      <c r="H33" s="464"/>
      <c r="I33" s="464"/>
      <c r="J33" s="464"/>
      <c r="K33" s="870"/>
      <c r="L33" s="870"/>
      <c r="M33" s="870"/>
      <c r="N33" s="870"/>
      <c r="O33" s="870"/>
      <c r="P33" s="870"/>
      <c r="Q33" s="464"/>
      <c r="R33" s="870"/>
      <c r="S33" s="870"/>
      <c r="T33" s="464"/>
      <c r="U33" s="464"/>
      <c r="V33" s="464"/>
      <c r="W33" s="464"/>
      <c r="X33" s="464"/>
      <c r="Y33" s="464"/>
      <c r="Z33" s="870"/>
      <c r="AA33" s="870"/>
      <c r="AB33" s="878"/>
      <c r="AC33" s="870"/>
      <c r="AD33" s="870"/>
      <c r="AE33" s="870"/>
      <c r="AF33" s="866"/>
      <c r="AG33" s="464"/>
      <c r="AH33" s="463"/>
      <c r="AI33" s="868"/>
    </row>
    <row r="34" spans="1:35" x14ac:dyDescent="0.2">
      <c r="A34" s="890" t="s">
        <v>625</v>
      </c>
      <c r="B34" s="114">
        <v>2</v>
      </c>
      <c r="C34" s="891">
        <f>1150/2</f>
        <v>575</v>
      </c>
      <c r="D34" s="891">
        <v>7320</v>
      </c>
      <c r="E34" s="114"/>
      <c r="F34" s="114"/>
      <c r="G34" s="114"/>
      <c r="H34" s="114"/>
      <c r="I34" s="114"/>
      <c r="J34" s="114"/>
      <c r="K34" s="891">
        <f>SUM(C34:J34)</f>
        <v>7895</v>
      </c>
      <c r="L34" s="891">
        <v>1000</v>
      </c>
      <c r="M34" s="891"/>
      <c r="N34" s="891">
        <f>SUM(L34:M34)</f>
        <v>1000</v>
      </c>
      <c r="O34" s="891">
        <f>K34*12+N34</f>
        <v>95740</v>
      </c>
      <c r="P34" s="891">
        <f>O34*B34+45530</f>
        <v>237010</v>
      </c>
      <c r="Q34" s="114">
        <v>1</v>
      </c>
      <c r="R34" s="891">
        <f>1150/2</f>
        <v>575</v>
      </c>
      <c r="S34" s="891">
        <v>3660</v>
      </c>
      <c r="T34" s="114"/>
      <c r="U34" s="114"/>
      <c r="V34" s="114"/>
      <c r="W34" s="114"/>
      <c r="X34" s="114"/>
      <c r="Y34" s="114"/>
      <c r="Z34" s="891">
        <f t="shared" ref="Z34:Z38" si="17">SUM(R34:Y34)</f>
        <v>4235</v>
      </c>
      <c r="AA34" s="891">
        <v>1000</v>
      </c>
      <c r="AB34" s="892"/>
      <c r="AC34" s="891">
        <f>SUM(AA34:AB34)</f>
        <v>1000</v>
      </c>
      <c r="AD34" s="891">
        <f t="shared" ref="AD34:AD38" si="18">Z34*12+AC34</f>
        <v>51820</v>
      </c>
      <c r="AE34" s="891">
        <f>AD34*Q34+859+7444+271</f>
        <v>60394</v>
      </c>
      <c r="AF34" s="893">
        <f t="shared" ref="AF34:AF38" si="19">AD34-O34</f>
        <v>-43920</v>
      </c>
      <c r="AG34" s="891">
        <f t="shared" ref="AG34:AG38" si="20">+P34-AE34</f>
        <v>176616</v>
      </c>
      <c r="AH34" s="894">
        <v>1</v>
      </c>
      <c r="AI34" s="895">
        <f>52825+25079-457</f>
        <v>77447</v>
      </c>
    </row>
    <row r="35" spans="1:35" x14ac:dyDescent="0.2">
      <c r="A35" s="896" t="s">
        <v>626</v>
      </c>
      <c r="B35" s="118">
        <v>12</v>
      </c>
      <c r="C35" s="897">
        <f>6864/12</f>
        <v>572</v>
      </c>
      <c r="D35" s="897">
        <f>41520/12</f>
        <v>3460</v>
      </c>
      <c r="E35" s="118"/>
      <c r="F35" s="118"/>
      <c r="G35" s="118"/>
      <c r="H35" s="118"/>
      <c r="I35" s="118"/>
      <c r="J35" s="118"/>
      <c r="K35" s="897">
        <f>SUM(C35:J35)</f>
        <v>4032</v>
      </c>
      <c r="L35" s="897">
        <v>1000</v>
      </c>
      <c r="M35" s="897"/>
      <c r="N35" s="897">
        <f>SUM(L35:M35)</f>
        <v>1000</v>
      </c>
      <c r="O35" s="897">
        <f>K35*12+N35</f>
        <v>49384</v>
      </c>
      <c r="P35" s="897">
        <f>O35*B35+273180</f>
        <v>865788</v>
      </c>
      <c r="Q35" s="118">
        <v>12</v>
      </c>
      <c r="R35" s="897">
        <f>6864/12</f>
        <v>572</v>
      </c>
      <c r="S35" s="897">
        <f>41520/12</f>
        <v>3460</v>
      </c>
      <c r="T35" s="118"/>
      <c r="U35" s="118"/>
      <c r="V35" s="118"/>
      <c r="W35" s="118"/>
      <c r="X35" s="118"/>
      <c r="Y35" s="118"/>
      <c r="Z35" s="897">
        <f t="shared" si="17"/>
        <v>4032</v>
      </c>
      <c r="AA35" s="897">
        <v>1000</v>
      </c>
      <c r="AB35" s="898"/>
      <c r="AC35" s="897">
        <f>SUM(AA35:AB35)</f>
        <v>1000</v>
      </c>
      <c r="AD35" s="897">
        <f t="shared" si="18"/>
        <v>49384</v>
      </c>
      <c r="AE35" s="897">
        <f>AD35*Q35+10308+89328+3252</f>
        <v>695496</v>
      </c>
      <c r="AF35" s="899">
        <f t="shared" si="19"/>
        <v>0</v>
      </c>
      <c r="AG35" s="897">
        <f t="shared" si="20"/>
        <v>170292</v>
      </c>
      <c r="AH35" s="900">
        <v>12</v>
      </c>
      <c r="AI35" s="901">
        <f>604659+300948-5484</f>
        <v>900123</v>
      </c>
    </row>
    <row r="36" spans="1:35" x14ac:dyDescent="0.2">
      <c r="A36" s="896" t="s">
        <v>627</v>
      </c>
      <c r="B36" s="118">
        <v>26</v>
      </c>
      <c r="C36" s="897">
        <f>14073/25</f>
        <v>562.91999999999996</v>
      </c>
      <c r="D36" s="897">
        <f>84560/26</f>
        <v>3252.3076923076924</v>
      </c>
      <c r="E36" s="118"/>
      <c r="F36" s="118"/>
      <c r="G36" s="118"/>
      <c r="H36" s="118"/>
      <c r="I36" s="118"/>
      <c r="J36" s="118"/>
      <c r="K36" s="897">
        <f>SUM(C36:J36)</f>
        <v>3815.2276923076925</v>
      </c>
      <c r="L36" s="897">
        <v>1000</v>
      </c>
      <c r="M36" s="897"/>
      <c r="N36" s="897">
        <f>SUM(L36:M36)</f>
        <v>1000</v>
      </c>
      <c r="O36" s="897">
        <f>K36*12+N36</f>
        <v>46782.732307692306</v>
      </c>
      <c r="P36" s="897">
        <f>O36*26+591890</f>
        <v>1808241.04</v>
      </c>
      <c r="Q36" s="118">
        <v>26</v>
      </c>
      <c r="R36" s="897">
        <v>541.27</v>
      </c>
      <c r="S36" s="897">
        <v>3252.3076923076924</v>
      </c>
      <c r="T36" s="118"/>
      <c r="U36" s="118"/>
      <c r="V36" s="118"/>
      <c r="W36" s="118"/>
      <c r="X36" s="118"/>
      <c r="Y36" s="118"/>
      <c r="Z36" s="897">
        <f t="shared" si="17"/>
        <v>3793.5776923076924</v>
      </c>
      <c r="AA36" s="897">
        <v>1000</v>
      </c>
      <c r="AB36" s="898"/>
      <c r="AC36" s="897">
        <f>SUM(AA36:AB36)</f>
        <v>1000</v>
      </c>
      <c r="AD36" s="897">
        <f t="shared" si="18"/>
        <v>46522.93230769231</v>
      </c>
      <c r="AE36" s="897">
        <f>AD36*Q36+22334+193544+7046</f>
        <v>1432520.24</v>
      </c>
      <c r="AF36" s="899">
        <f t="shared" si="19"/>
        <v>-259.79999999999563</v>
      </c>
      <c r="AG36" s="897">
        <f t="shared" si="20"/>
        <v>375720.80000000005</v>
      </c>
      <c r="AH36" s="900">
        <v>26</v>
      </c>
      <c r="AI36" s="901">
        <f>1233715+652054-11882</f>
        <v>1873887</v>
      </c>
    </row>
    <row r="37" spans="1:35" x14ac:dyDescent="0.2">
      <c r="A37" s="896" t="s">
        <v>628</v>
      </c>
      <c r="B37" s="118">
        <v>5</v>
      </c>
      <c r="C37" s="897">
        <f>2759/5</f>
        <v>551.79999999999995</v>
      </c>
      <c r="D37" s="897">
        <f>15300/5</f>
        <v>3060</v>
      </c>
      <c r="E37" s="118"/>
      <c r="F37" s="118"/>
      <c r="G37" s="118"/>
      <c r="H37" s="118"/>
      <c r="I37" s="118"/>
      <c r="J37" s="118"/>
      <c r="K37" s="897">
        <f>SUM(C37:J37)</f>
        <v>3611.8</v>
      </c>
      <c r="L37" s="897">
        <v>1000</v>
      </c>
      <c r="M37" s="897"/>
      <c r="N37" s="897">
        <f>SUM(L37:M37)</f>
        <v>1000</v>
      </c>
      <c r="O37" s="897">
        <f>K37*12+N37</f>
        <v>44341.600000000006</v>
      </c>
      <c r="P37" s="897">
        <f>O37*B37+113825</f>
        <v>335533</v>
      </c>
      <c r="Q37" s="118">
        <v>4</v>
      </c>
      <c r="R37" s="897">
        <v>551.70000000000005</v>
      </c>
      <c r="S37" s="897">
        <f>15300/5</f>
        <v>3060</v>
      </c>
      <c r="T37" s="118"/>
      <c r="U37" s="118"/>
      <c r="V37" s="118"/>
      <c r="W37" s="118"/>
      <c r="X37" s="118"/>
      <c r="Y37" s="118"/>
      <c r="Z37" s="897">
        <f t="shared" si="17"/>
        <v>3611.7</v>
      </c>
      <c r="AA37" s="897">
        <v>1000</v>
      </c>
      <c r="AB37" s="898"/>
      <c r="AC37" s="897">
        <f>SUM(AA37:AB37)</f>
        <v>1000</v>
      </c>
      <c r="AD37" s="897">
        <f t="shared" si="18"/>
        <v>44340.399999999994</v>
      </c>
      <c r="AE37" s="897">
        <f>AD37*Q37+3436+29776+1084</f>
        <v>211657.59999999998</v>
      </c>
      <c r="AF37" s="899">
        <f t="shared" si="19"/>
        <v>-1.2000000000116415</v>
      </c>
      <c r="AG37" s="897">
        <f t="shared" si="20"/>
        <v>123875.40000000002</v>
      </c>
      <c r="AH37" s="900">
        <v>4</v>
      </c>
      <c r="AI37" s="901">
        <f>181378+100316-1828</f>
        <v>279866</v>
      </c>
    </row>
    <row r="38" spans="1:35" x14ac:dyDescent="0.2">
      <c r="A38" s="896" t="s">
        <v>629</v>
      </c>
      <c r="B38" s="118">
        <v>1</v>
      </c>
      <c r="C38" s="897">
        <f>552/1</f>
        <v>552</v>
      </c>
      <c r="D38" s="897">
        <f>2860/1</f>
        <v>2860</v>
      </c>
      <c r="E38" s="118"/>
      <c r="F38" s="118"/>
      <c r="G38" s="118"/>
      <c r="H38" s="118"/>
      <c r="I38" s="118"/>
      <c r="J38" s="118"/>
      <c r="K38" s="897">
        <f>SUM(C38:J38)</f>
        <v>3412</v>
      </c>
      <c r="L38" s="897">
        <v>1000</v>
      </c>
      <c r="M38" s="897"/>
      <c r="N38" s="897">
        <f>SUM(L38:M38)</f>
        <v>1000</v>
      </c>
      <c r="O38" s="897">
        <f>K38*12+N38</f>
        <v>41944</v>
      </c>
      <c r="P38" s="897">
        <f>O38*B38+22765</f>
        <v>64709</v>
      </c>
      <c r="Q38" s="118">
        <v>1</v>
      </c>
      <c r="R38" s="897">
        <f>552/1</f>
        <v>552</v>
      </c>
      <c r="S38" s="897">
        <f>2860/1</f>
        <v>2860</v>
      </c>
      <c r="T38" s="118"/>
      <c r="U38" s="118"/>
      <c r="V38" s="118"/>
      <c r="W38" s="118"/>
      <c r="X38" s="118"/>
      <c r="Y38" s="118"/>
      <c r="Z38" s="897">
        <f t="shared" si="17"/>
        <v>3412</v>
      </c>
      <c r="AA38" s="897">
        <v>1000</v>
      </c>
      <c r="AB38" s="898"/>
      <c r="AC38" s="897">
        <f>SUM(AA38:AB38)</f>
        <v>1000</v>
      </c>
      <c r="AD38" s="897">
        <f t="shared" si="18"/>
        <v>41944</v>
      </c>
      <c r="AE38" s="897">
        <f>AD38*Q38+859+7444+271</f>
        <v>50518</v>
      </c>
      <c r="AF38" s="899">
        <f t="shared" si="19"/>
        <v>0</v>
      </c>
      <c r="AG38" s="897">
        <f t="shared" si="20"/>
        <v>14191</v>
      </c>
      <c r="AH38" s="900">
        <v>1</v>
      </c>
      <c r="AI38" s="901">
        <f>42945+25079-457</f>
        <v>67567</v>
      </c>
    </row>
    <row r="39" spans="1:35" x14ac:dyDescent="0.2">
      <c r="A39" s="896" t="s">
        <v>630</v>
      </c>
      <c r="B39" s="118"/>
      <c r="C39" s="897"/>
      <c r="D39" s="897"/>
      <c r="E39" s="118"/>
      <c r="F39" s="118"/>
      <c r="G39" s="118"/>
      <c r="H39" s="118"/>
      <c r="I39" s="118"/>
      <c r="J39" s="118"/>
      <c r="K39" s="897"/>
      <c r="L39" s="897"/>
      <c r="M39" s="897"/>
      <c r="N39" s="897"/>
      <c r="O39" s="897"/>
      <c r="P39" s="897"/>
      <c r="Q39" s="118"/>
      <c r="R39" s="897"/>
      <c r="S39" s="897"/>
      <c r="T39" s="118"/>
      <c r="U39" s="118"/>
      <c r="V39" s="118"/>
      <c r="W39" s="118"/>
      <c r="X39" s="118"/>
      <c r="Y39" s="118"/>
      <c r="Z39" s="897"/>
      <c r="AA39" s="897"/>
      <c r="AB39" s="898"/>
      <c r="AC39" s="897"/>
      <c r="AD39" s="897"/>
      <c r="AE39" s="897"/>
      <c r="AF39" s="899"/>
      <c r="AG39" s="897"/>
      <c r="AH39" s="900"/>
      <c r="AI39" s="901"/>
    </row>
    <row r="40" spans="1:35" ht="12.75" thickBot="1" x14ac:dyDescent="0.25">
      <c r="A40" s="714"/>
      <c r="B40" s="464"/>
      <c r="C40" s="870"/>
      <c r="D40" s="870"/>
      <c r="E40" s="464"/>
      <c r="F40" s="464"/>
      <c r="G40" s="464"/>
      <c r="H40" s="464"/>
      <c r="I40" s="464"/>
      <c r="J40" s="464"/>
      <c r="K40" s="870"/>
      <c r="L40" s="870"/>
      <c r="M40" s="870"/>
      <c r="N40" s="870"/>
      <c r="O40" s="870"/>
      <c r="P40" s="870"/>
      <c r="Q40" s="464"/>
      <c r="R40" s="870"/>
      <c r="S40" s="870"/>
      <c r="T40" s="464"/>
      <c r="U40" s="464"/>
      <c r="V40" s="464"/>
      <c r="W40" s="464"/>
      <c r="X40" s="464"/>
      <c r="Y40" s="464"/>
      <c r="Z40" s="870"/>
      <c r="AA40" s="870"/>
      <c r="AB40" s="878"/>
      <c r="AC40" s="870"/>
      <c r="AD40" s="870"/>
      <c r="AE40" s="870"/>
      <c r="AF40" s="465"/>
      <c r="AG40" s="870"/>
      <c r="AH40" s="463"/>
      <c r="AI40" s="868"/>
    </row>
    <row r="41" spans="1:35" ht="13.5" thickBot="1" x14ac:dyDescent="0.25">
      <c r="A41" s="715" t="s">
        <v>6</v>
      </c>
      <c r="B41" s="710">
        <f>SUM(B43:B48)</f>
        <v>3</v>
      </c>
      <c r="C41" s="873">
        <f>SUM(C43:C48)</f>
        <v>1073</v>
      </c>
      <c r="D41" s="873">
        <f t="shared" ref="D41:P41" si="21">SUM(D43:D48)</f>
        <v>4720</v>
      </c>
      <c r="E41" s="873">
        <f t="shared" si="21"/>
        <v>0</v>
      </c>
      <c r="F41" s="873">
        <f t="shared" si="21"/>
        <v>0</v>
      </c>
      <c r="G41" s="873">
        <f t="shared" si="21"/>
        <v>0</v>
      </c>
      <c r="H41" s="873">
        <f t="shared" si="21"/>
        <v>0</v>
      </c>
      <c r="I41" s="873">
        <f t="shared" si="21"/>
        <v>0</v>
      </c>
      <c r="J41" s="873">
        <f t="shared" si="21"/>
        <v>0</v>
      </c>
      <c r="K41" s="873">
        <f t="shared" si="21"/>
        <v>5793</v>
      </c>
      <c r="L41" s="873">
        <f t="shared" si="21"/>
        <v>2000</v>
      </c>
      <c r="M41" s="873">
        <f t="shared" si="21"/>
        <v>0</v>
      </c>
      <c r="N41" s="873">
        <f t="shared" si="21"/>
        <v>2000</v>
      </c>
      <c r="O41" s="873">
        <f t="shared" si="21"/>
        <v>71516</v>
      </c>
      <c r="P41" s="873">
        <f t="shared" si="21"/>
        <v>176955</v>
      </c>
      <c r="Q41" s="712">
        <f>SUM(Q43:Q48)</f>
        <v>3</v>
      </c>
      <c r="R41" s="873">
        <f t="shared" ref="R41:AE41" si="22">SUM(R43:R48)</f>
        <v>1073</v>
      </c>
      <c r="S41" s="873">
        <f t="shared" si="22"/>
        <v>4720</v>
      </c>
      <c r="T41" s="874">
        <f t="shared" si="22"/>
        <v>0</v>
      </c>
      <c r="U41" s="874">
        <f t="shared" si="22"/>
        <v>0</v>
      </c>
      <c r="V41" s="874">
        <f t="shared" si="22"/>
        <v>0</v>
      </c>
      <c r="W41" s="874">
        <f t="shared" si="22"/>
        <v>0</v>
      </c>
      <c r="X41" s="874">
        <f t="shared" si="22"/>
        <v>0</v>
      </c>
      <c r="Y41" s="874">
        <f t="shared" si="22"/>
        <v>0</v>
      </c>
      <c r="Z41" s="873">
        <f t="shared" si="22"/>
        <v>5793</v>
      </c>
      <c r="AA41" s="873">
        <f t="shared" si="22"/>
        <v>2000</v>
      </c>
      <c r="AB41" s="874">
        <f t="shared" si="22"/>
        <v>0</v>
      </c>
      <c r="AC41" s="873">
        <f t="shared" si="22"/>
        <v>2000</v>
      </c>
      <c r="AD41" s="873">
        <f t="shared" si="22"/>
        <v>71516</v>
      </c>
      <c r="AE41" s="873">
        <f t="shared" si="22"/>
        <v>129425.83</v>
      </c>
      <c r="AF41" s="879">
        <f>+O41-AD41</f>
        <v>0</v>
      </c>
      <c r="AG41" s="876">
        <f>+P41-AE41</f>
        <v>47529.17</v>
      </c>
      <c r="AH41" s="711">
        <f>SUM(AH43:AH48)</f>
        <v>3</v>
      </c>
      <c r="AI41" s="877">
        <f>SUM(AI43:AI48)</f>
        <v>185469.11</v>
      </c>
    </row>
    <row r="42" spans="1:35" ht="7.5" customHeight="1" x14ac:dyDescent="0.2">
      <c r="A42" s="714"/>
      <c r="B42" s="464"/>
      <c r="C42" s="870"/>
      <c r="D42" s="870"/>
      <c r="E42" s="870"/>
      <c r="F42" s="870"/>
      <c r="G42" s="870"/>
      <c r="H42" s="870"/>
      <c r="I42" s="870"/>
      <c r="J42" s="870"/>
      <c r="K42" s="870"/>
      <c r="L42" s="870"/>
      <c r="M42" s="870"/>
      <c r="N42" s="870"/>
      <c r="O42" s="870"/>
      <c r="P42" s="870"/>
      <c r="Q42" s="464"/>
      <c r="R42" s="870"/>
      <c r="S42" s="870"/>
      <c r="T42" s="464"/>
      <c r="U42" s="464"/>
      <c r="V42" s="464"/>
      <c r="W42" s="464"/>
      <c r="X42" s="464"/>
      <c r="Y42" s="464"/>
      <c r="Z42" s="870"/>
      <c r="AA42" s="870"/>
      <c r="AB42" s="464"/>
      <c r="AC42" s="870"/>
      <c r="AD42" s="870"/>
      <c r="AE42" s="870"/>
      <c r="AF42" s="880"/>
      <c r="AG42" s="870"/>
      <c r="AH42" s="463"/>
      <c r="AI42" s="868"/>
    </row>
    <row r="43" spans="1:35" x14ac:dyDescent="0.2">
      <c r="A43" s="890" t="s">
        <v>631</v>
      </c>
      <c r="B43" s="114">
        <v>2</v>
      </c>
      <c r="C43" s="891">
        <f>1104/2</f>
        <v>552</v>
      </c>
      <c r="D43" s="891">
        <f>4920/2</f>
        <v>2460</v>
      </c>
      <c r="E43" s="891"/>
      <c r="F43" s="891"/>
      <c r="G43" s="891"/>
      <c r="H43" s="891"/>
      <c r="I43" s="891"/>
      <c r="J43" s="891"/>
      <c r="K43" s="891">
        <f>SUM(C43:J43)</f>
        <v>3012</v>
      </c>
      <c r="L43" s="891">
        <v>1000</v>
      </c>
      <c r="M43" s="891"/>
      <c r="N43" s="891">
        <f>SUM(L43:M43)</f>
        <v>1000</v>
      </c>
      <c r="O43" s="891">
        <f>K43*12+N43</f>
        <v>37144</v>
      </c>
      <c r="P43" s="891">
        <f>O43*B43+45530</f>
        <v>119818</v>
      </c>
      <c r="Q43" s="114">
        <v>2</v>
      </c>
      <c r="R43" s="891">
        <f>1104/2</f>
        <v>552</v>
      </c>
      <c r="S43" s="891">
        <f>4920/2</f>
        <v>2460</v>
      </c>
      <c r="T43" s="114"/>
      <c r="U43" s="114"/>
      <c r="V43" s="114"/>
      <c r="W43" s="114"/>
      <c r="X43" s="114"/>
      <c r="Y43" s="114"/>
      <c r="Z43" s="891">
        <f>SUM(R43:Y43)</f>
        <v>3012</v>
      </c>
      <c r="AA43" s="891">
        <v>1000</v>
      </c>
      <c r="AB43" s="114"/>
      <c r="AC43" s="891">
        <f>SUM(AA43:AB43)</f>
        <v>1000</v>
      </c>
      <c r="AD43" s="891">
        <f>Z43*12+AC43</f>
        <v>37144</v>
      </c>
      <c r="AE43" s="891">
        <f>AD43*Q43+1718+14888+542-0.17</f>
        <v>91435.83</v>
      </c>
      <c r="AF43" s="902">
        <f>AD43-O43</f>
        <v>0</v>
      </c>
      <c r="AG43" s="891">
        <f t="shared" ref="AG43:AG47" si="23">+P43-AE43</f>
        <v>28382.17</v>
      </c>
      <c r="AH43" s="894">
        <v>2</v>
      </c>
      <c r="AI43" s="895">
        <f>76291+50158-914-59.89</f>
        <v>125475.11</v>
      </c>
    </row>
    <row r="44" spans="1:35" x14ac:dyDescent="0.2">
      <c r="A44" s="896" t="s">
        <v>632</v>
      </c>
      <c r="B44" s="118"/>
      <c r="C44" s="897"/>
      <c r="D44" s="897"/>
      <c r="E44" s="897"/>
      <c r="F44" s="897"/>
      <c r="G44" s="897"/>
      <c r="H44" s="897"/>
      <c r="I44" s="897"/>
      <c r="J44" s="897"/>
      <c r="K44" s="897"/>
      <c r="L44" s="897"/>
      <c r="M44" s="897"/>
      <c r="N44" s="897"/>
      <c r="O44" s="897"/>
      <c r="P44" s="897"/>
      <c r="Q44" s="118"/>
      <c r="R44" s="897"/>
      <c r="S44" s="897"/>
      <c r="T44" s="118"/>
      <c r="U44" s="118"/>
      <c r="V44" s="118"/>
      <c r="W44" s="118"/>
      <c r="X44" s="118"/>
      <c r="Y44" s="118"/>
      <c r="Z44" s="897"/>
      <c r="AA44" s="897"/>
      <c r="AB44" s="118"/>
      <c r="AC44" s="897"/>
      <c r="AD44" s="897"/>
      <c r="AE44" s="897"/>
      <c r="AF44" s="903"/>
      <c r="AG44" s="897"/>
      <c r="AH44" s="900"/>
      <c r="AI44" s="901"/>
    </row>
    <row r="45" spans="1:35" x14ac:dyDescent="0.2">
      <c r="A45" s="896" t="s">
        <v>633</v>
      </c>
      <c r="B45" s="118">
        <v>0</v>
      </c>
      <c r="C45" s="897">
        <v>0</v>
      </c>
      <c r="D45" s="897">
        <v>0</v>
      </c>
      <c r="E45" s="897"/>
      <c r="F45" s="897"/>
      <c r="G45" s="897"/>
      <c r="H45" s="897"/>
      <c r="I45" s="897"/>
      <c r="J45" s="897"/>
      <c r="K45" s="897">
        <f>SUM(C45:J45)</f>
        <v>0</v>
      </c>
      <c r="L45" s="897">
        <v>0</v>
      </c>
      <c r="M45" s="897"/>
      <c r="N45" s="897">
        <f>SUM(L45:M45)</f>
        <v>0</v>
      </c>
      <c r="O45" s="897">
        <f>K45*12+N45</f>
        <v>0</v>
      </c>
      <c r="P45" s="897">
        <f>O45*B45</f>
        <v>0</v>
      </c>
      <c r="Q45" s="118">
        <v>0</v>
      </c>
      <c r="R45" s="897">
        <v>0</v>
      </c>
      <c r="S45" s="897">
        <v>0</v>
      </c>
      <c r="T45" s="118"/>
      <c r="U45" s="118"/>
      <c r="V45" s="118"/>
      <c r="W45" s="118"/>
      <c r="X45" s="118"/>
      <c r="Y45" s="118"/>
      <c r="Z45" s="897">
        <f>SUM(R45:Y45)</f>
        <v>0</v>
      </c>
      <c r="AA45" s="897">
        <v>0</v>
      </c>
      <c r="AB45" s="118"/>
      <c r="AC45" s="897">
        <f>SUM(AA45:AB45)</f>
        <v>0</v>
      </c>
      <c r="AD45" s="897">
        <f>Z45*12+AC45</f>
        <v>0</v>
      </c>
      <c r="AE45" s="897">
        <f>AD45*Q45</f>
        <v>0</v>
      </c>
      <c r="AF45" s="903">
        <f>AD45-O45</f>
        <v>0</v>
      </c>
      <c r="AG45" s="897">
        <f t="shared" si="23"/>
        <v>0</v>
      </c>
      <c r="AH45" s="900">
        <v>0</v>
      </c>
      <c r="AI45" s="901"/>
    </row>
    <row r="46" spans="1:35" x14ac:dyDescent="0.2">
      <c r="A46" s="896" t="s">
        <v>634</v>
      </c>
      <c r="B46" s="118"/>
      <c r="C46" s="897"/>
      <c r="D46" s="897"/>
      <c r="E46" s="897"/>
      <c r="F46" s="897"/>
      <c r="G46" s="897"/>
      <c r="H46" s="897"/>
      <c r="I46" s="897"/>
      <c r="J46" s="897"/>
      <c r="K46" s="897"/>
      <c r="L46" s="897"/>
      <c r="M46" s="897"/>
      <c r="N46" s="897"/>
      <c r="O46" s="897"/>
      <c r="P46" s="897"/>
      <c r="Q46" s="118"/>
      <c r="R46" s="897"/>
      <c r="S46" s="897"/>
      <c r="T46" s="118"/>
      <c r="U46" s="118"/>
      <c r="V46" s="118"/>
      <c r="W46" s="118"/>
      <c r="X46" s="118"/>
      <c r="Y46" s="118"/>
      <c r="Z46" s="897"/>
      <c r="AA46" s="897"/>
      <c r="AB46" s="118"/>
      <c r="AC46" s="897"/>
      <c r="AD46" s="897"/>
      <c r="AE46" s="897"/>
      <c r="AF46" s="903"/>
      <c r="AG46" s="897"/>
      <c r="AH46" s="900"/>
      <c r="AI46" s="901"/>
    </row>
    <row r="47" spans="1:35" x14ac:dyDescent="0.2">
      <c r="A47" s="896" t="s">
        <v>635</v>
      </c>
      <c r="B47" s="118">
        <v>1</v>
      </c>
      <c r="C47" s="897">
        <v>521</v>
      </c>
      <c r="D47" s="897">
        <v>2260</v>
      </c>
      <c r="E47" s="897"/>
      <c r="F47" s="897"/>
      <c r="G47" s="897"/>
      <c r="H47" s="897"/>
      <c r="I47" s="897"/>
      <c r="J47" s="897"/>
      <c r="K47" s="897">
        <f>SUM(C47:J47)</f>
        <v>2781</v>
      </c>
      <c r="L47" s="897">
        <v>1000</v>
      </c>
      <c r="M47" s="897"/>
      <c r="N47" s="897">
        <f>SUM(L47:M47)</f>
        <v>1000</v>
      </c>
      <c r="O47" s="897">
        <f>K47*12+N47</f>
        <v>34372</v>
      </c>
      <c r="P47" s="897">
        <f>O47*B47+22765</f>
        <v>57137</v>
      </c>
      <c r="Q47" s="118">
        <v>1</v>
      </c>
      <c r="R47" s="897">
        <v>521</v>
      </c>
      <c r="S47" s="897">
        <v>2260</v>
      </c>
      <c r="T47" s="118"/>
      <c r="U47" s="118"/>
      <c r="V47" s="118"/>
      <c r="W47" s="118"/>
      <c r="X47" s="118"/>
      <c r="Y47" s="118"/>
      <c r="Z47" s="897">
        <f>SUM(R47:Y47)</f>
        <v>2781</v>
      </c>
      <c r="AA47" s="897">
        <v>1000</v>
      </c>
      <c r="AB47" s="118"/>
      <c r="AC47" s="897">
        <f>SUM(AA47:AB47)</f>
        <v>1000</v>
      </c>
      <c r="AD47" s="897">
        <f>Z47*12+AC47</f>
        <v>34372</v>
      </c>
      <c r="AE47" s="897">
        <f>AD47*Q47+859+7444+271-4956</f>
        <v>37990</v>
      </c>
      <c r="AF47" s="903">
        <f>AD47-O47</f>
        <v>0</v>
      </c>
      <c r="AG47" s="897">
        <f t="shared" si="23"/>
        <v>19147</v>
      </c>
      <c r="AH47" s="900">
        <v>1</v>
      </c>
      <c r="AI47" s="901">
        <f>35372+25079-457</f>
        <v>59994</v>
      </c>
    </row>
    <row r="48" spans="1:35" x14ac:dyDescent="0.2">
      <c r="A48" s="896" t="s">
        <v>636</v>
      </c>
      <c r="B48" s="118"/>
      <c r="C48" s="897"/>
      <c r="D48" s="897"/>
      <c r="E48" s="897"/>
      <c r="F48" s="897"/>
      <c r="G48" s="897"/>
      <c r="H48" s="897"/>
      <c r="I48" s="897"/>
      <c r="J48" s="897"/>
      <c r="K48" s="897"/>
      <c r="L48" s="897"/>
      <c r="M48" s="897"/>
      <c r="N48" s="897"/>
      <c r="O48" s="897"/>
      <c r="P48" s="897"/>
      <c r="Q48" s="118"/>
      <c r="R48" s="897"/>
      <c r="S48" s="897"/>
      <c r="T48" s="118"/>
      <c r="U48" s="118"/>
      <c r="V48" s="118"/>
      <c r="W48" s="118"/>
      <c r="X48" s="118"/>
      <c r="Y48" s="118"/>
      <c r="Z48" s="897"/>
      <c r="AA48" s="897"/>
      <c r="AB48" s="118"/>
      <c r="AC48" s="897"/>
      <c r="AD48" s="897"/>
      <c r="AE48" s="897"/>
      <c r="AF48" s="903"/>
      <c r="AG48" s="118"/>
      <c r="AH48" s="900"/>
      <c r="AI48" s="901"/>
    </row>
    <row r="49" spans="1:35" ht="6.75" customHeight="1" thickBot="1" x14ac:dyDescent="0.25">
      <c r="A49" s="714"/>
      <c r="B49" s="464"/>
      <c r="C49" s="870"/>
      <c r="D49" s="870"/>
      <c r="E49" s="870"/>
      <c r="F49" s="870"/>
      <c r="G49" s="870"/>
      <c r="H49" s="870"/>
      <c r="I49" s="870"/>
      <c r="J49" s="870"/>
      <c r="K49" s="870"/>
      <c r="L49" s="870"/>
      <c r="M49" s="870"/>
      <c r="N49" s="870"/>
      <c r="O49" s="870"/>
      <c r="P49" s="870"/>
      <c r="Q49" s="464"/>
      <c r="R49" s="870"/>
      <c r="S49" s="870"/>
      <c r="T49" s="464"/>
      <c r="U49" s="464"/>
      <c r="V49" s="464"/>
      <c r="W49" s="464"/>
      <c r="X49" s="464"/>
      <c r="Y49" s="464"/>
      <c r="Z49" s="870"/>
      <c r="AA49" s="870"/>
      <c r="AB49" s="464"/>
      <c r="AC49" s="870"/>
      <c r="AD49" s="870"/>
      <c r="AE49" s="870"/>
      <c r="AF49" s="880"/>
      <c r="AG49" s="464"/>
      <c r="AH49" s="463"/>
      <c r="AI49" s="868"/>
    </row>
    <row r="50" spans="1:35" ht="13.5" thickBot="1" x14ac:dyDescent="0.25">
      <c r="A50" s="716" t="s">
        <v>69</v>
      </c>
      <c r="B50" s="717">
        <f>SUM(B52)</f>
        <v>10</v>
      </c>
      <c r="C50" s="873">
        <f>SUM(C52:C52)</f>
        <v>3005</v>
      </c>
      <c r="D50" s="873">
        <f t="shared" ref="D50:P50" si="24">SUM(D52:D52)</f>
        <v>0</v>
      </c>
      <c r="E50" s="873">
        <f t="shared" si="24"/>
        <v>0</v>
      </c>
      <c r="F50" s="873">
        <f t="shared" si="24"/>
        <v>0</v>
      </c>
      <c r="G50" s="873">
        <f t="shared" si="24"/>
        <v>0</v>
      </c>
      <c r="H50" s="873">
        <f t="shared" si="24"/>
        <v>0</v>
      </c>
      <c r="I50" s="873">
        <f t="shared" si="24"/>
        <v>12533.92</v>
      </c>
      <c r="J50" s="873">
        <f t="shared" si="24"/>
        <v>0</v>
      </c>
      <c r="K50" s="873">
        <f t="shared" si="24"/>
        <v>15538.92</v>
      </c>
      <c r="L50" s="873">
        <f t="shared" si="24"/>
        <v>1000</v>
      </c>
      <c r="M50" s="873">
        <f t="shared" si="24"/>
        <v>0</v>
      </c>
      <c r="N50" s="873">
        <f t="shared" si="24"/>
        <v>1000</v>
      </c>
      <c r="O50" s="873">
        <f t="shared" si="24"/>
        <v>187467.04</v>
      </c>
      <c r="P50" s="873">
        <f t="shared" si="24"/>
        <v>1055228</v>
      </c>
      <c r="Q50" s="712">
        <f t="shared" ref="Q50:AE50" si="25">SUM(Q51:Q53)</f>
        <v>10</v>
      </c>
      <c r="R50" s="873">
        <f t="shared" si="25"/>
        <v>3005</v>
      </c>
      <c r="S50" s="873">
        <f t="shared" si="25"/>
        <v>0</v>
      </c>
      <c r="T50" s="873">
        <f t="shared" si="25"/>
        <v>0</v>
      </c>
      <c r="U50" s="873">
        <f t="shared" si="25"/>
        <v>0</v>
      </c>
      <c r="V50" s="873">
        <f t="shared" si="25"/>
        <v>0</v>
      </c>
      <c r="W50" s="873">
        <f t="shared" si="25"/>
        <v>0</v>
      </c>
      <c r="X50" s="873">
        <f t="shared" si="25"/>
        <v>12533.92</v>
      </c>
      <c r="Y50" s="873">
        <f t="shared" si="25"/>
        <v>0</v>
      </c>
      <c r="Z50" s="873">
        <f t="shared" si="25"/>
        <v>15538.92</v>
      </c>
      <c r="AA50" s="873">
        <f t="shared" si="25"/>
        <v>1000</v>
      </c>
      <c r="AB50" s="874">
        <f t="shared" si="25"/>
        <v>0</v>
      </c>
      <c r="AC50" s="873">
        <f t="shared" si="25"/>
        <v>1000</v>
      </c>
      <c r="AD50" s="873">
        <f t="shared" si="25"/>
        <v>187467.04</v>
      </c>
      <c r="AE50" s="873">
        <f t="shared" si="25"/>
        <v>941003</v>
      </c>
      <c r="AF50" s="879">
        <f>+O50-AD50</f>
        <v>0</v>
      </c>
      <c r="AG50" s="876">
        <f>+P50-AE50</f>
        <v>114225</v>
      </c>
      <c r="AH50" s="711">
        <f>SUM(AH51:AH53)</f>
        <v>10</v>
      </c>
      <c r="AI50" s="881">
        <f>SUM(AI52)</f>
        <v>946025</v>
      </c>
    </row>
    <row r="51" spans="1:35" ht="6" customHeight="1" x14ac:dyDescent="0.2">
      <c r="A51" s="714"/>
      <c r="B51" s="464"/>
      <c r="C51" s="870"/>
      <c r="D51" s="870"/>
      <c r="E51" s="870"/>
      <c r="F51" s="870"/>
      <c r="G51" s="870"/>
      <c r="H51" s="870"/>
      <c r="I51" s="870"/>
      <c r="J51" s="870"/>
      <c r="K51" s="870"/>
      <c r="L51" s="870"/>
      <c r="M51" s="870"/>
      <c r="N51" s="870"/>
      <c r="O51" s="870"/>
      <c r="P51" s="870"/>
      <c r="Q51" s="464"/>
      <c r="R51" s="870"/>
      <c r="S51" s="870"/>
      <c r="T51" s="464"/>
      <c r="U51" s="464"/>
      <c r="V51" s="464"/>
      <c r="W51" s="464"/>
      <c r="X51" s="464"/>
      <c r="Y51" s="464"/>
      <c r="Z51" s="870"/>
      <c r="AA51" s="870"/>
      <c r="AB51" s="878"/>
      <c r="AC51" s="870"/>
      <c r="AD51" s="870"/>
      <c r="AE51" s="870"/>
      <c r="AF51" s="882"/>
      <c r="AG51" s="870"/>
      <c r="AH51" s="463"/>
      <c r="AI51" s="464"/>
    </row>
    <row r="52" spans="1:35" x14ac:dyDescent="0.2">
      <c r="A52" s="890" t="s">
        <v>611</v>
      </c>
      <c r="B52" s="114">
        <v>10</v>
      </c>
      <c r="C52" s="891">
        <v>3005</v>
      </c>
      <c r="D52" s="891">
        <v>0</v>
      </c>
      <c r="E52" s="891">
        <v>0</v>
      </c>
      <c r="F52" s="891">
        <v>0</v>
      </c>
      <c r="G52" s="891">
        <v>0</v>
      </c>
      <c r="H52" s="891">
        <v>0</v>
      </c>
      <c r="I52" s="891">
        <v>12533.92</v>
      </c>
      <c r="J52" s="891">
        <v>0</v>
      </c>
      <c r="K52" s="891">
        <v>15538.92</v>
      </c>
      <c r="L52" s="891">
        <v>1000</v>
      </c>
      <c r="M52" s="891">
        <v>0</v>
      </c>
      <c r="N52" s="891">
        <v>1000</v>
      </c>
      <c r="O52" s="891">
        <v>187467.04</v>
      </c>
      <c r="P52" s="891">
        <v>1055228</v>
      </c>
      <c r="Q52" s="114">
        <v>10</v>
      </c>
      <c r="R52" s="891">
        <v>3005</v>
      </c>
      <c r="S52" s="891">
        <v>0</v>
      </c>
      <c r="T52" s="891">
        <v>0</v>
      </c>
      <c r="U52" s="891">
        <v>0</v>
      </c>
      <c r="V52" s="891">
        <v>0</v>
      </c>
      <c r="W52" s="891">
        <v>0</v>
      </c>
      <c r="X52" s="891">
        <v>12533.92</v>
      </c>
      <c r="Y52" s="891">
        <v>0</v>
      </c>
      <c r="Z52" s="891">
        <v>15538.92</v>
      </c>
      <c r="AA52" s="891">
        <v>1000</v>
      </c>
      <c r="AB52" s="892">
        <v>0</v>
      </c>
      <c r="AC52" s="891">
        <v>1000</v>
      </c>
      <c r="AD52" s="891">
        <v>187467.04</v>
      </c>
      <c r="AE52" s="891">
        <v>941003</v>
      </c>
      <c r="AF52" s="904">
        <v>0</v>
      </c>
      <c r="AG52" s="891">
        <f t="shared" ref="AG52" si="26">+P52-AE52</f>
        <v>114225</v>
      </c>
      <c r="AH52" s="894">
        <v>10</v>
      </c>
      <c r="AI52" s="891">
        <v>946025</v>
      </c>
    </row>
    <row r="53" spans="1:35" ht="9" customHeight="1" thickBot="1" x14ac:dyDescent="0.25">
      <c r="A53" s="714"/>
      <c r="B53" s="464"/>
      <c r="C53" s="870"/>
      <c r="D53" s="870"/>
      <c r="E53" s="870"/>
      <c r="F53" s="870"/>
      <c r="G53" s="870"/>
      <c r="H53" s="870"/>
      <c r="I53" s="870"/>
      <c r="J53" s="870"/>
      <c r="K53" s="870"/>
      <c r="L53" s="870"/>
      <c r="M53" s="870"/>
      <c r="N53" s="870"/>
      <c r="O53" s="870"/>
      <c r="P53" s="870"/>
      <c r="Q53" s="464"/>
      <c r="R53" s="870"/>
      <c r="S53" s="870"/>
      <c r="T53" s="870"/>
      <c r="U53" s="870"/>
      <c r="V53" s="870"/>
      <c r="W53" s="870"/>
      <c r="X53" s="870"/>
      <c r="Y53" s="870"/>
      <c r="Z53" s="870"/>
      <c r="AA53" s="870"/>
      <c r="AB53" s="878"/>
      <c r="AC53" s="870"/>
      <c r="AD53" s="870"/>
      <c r="AE53" s="870"/>
      <c r="AF53" s="708"/>
      <c r="AG53" s="870"/>
      <c r="AH53" s="463"/>
      <c r="AI53" s="870"/>
    </row>
    <row r="54" spans="1:35" s="111" customFormat="1" ht="19.5" customHeight="1" thickBot="1" x14ac:dyDescent="0.25">
      <c r="A54" s="905" t="s">
        <v>0</v>
      </c>
      <c r="B54" s="906">
        <f t="shared" ref="B54:AI54" si="27">B10</f>
        <v>118</v>
      </c>
      <c r="C54" s="907">
        <f t="shared" si="27"/>
        <v>95232.14815126051</v>
      </c>
      <c r="D54" s="908">
        <f t="shared" si="27"/>
        <v>67742.699849170429</v>
      </c>
      <c r="E54" s="908">
        <f t="shared" si="27"/>
        <v>0</v>
      </c>
      <c r="F54" s="908">
        <f t="shared" si="27"/>
        <v>0</v>
      </c>
      <c r="G54" s="908">
        <f t="shared" si="27"/>
        <v>0</v>
      </c>
      <c r="H54" s="908">
        <f t="shared" si="27"/>
        <v>0</v>
      </c>
      <c r="I54" s="908">
        <f t="shared" si="27"/>
        <v>12533.92</v>
      </c>
      <c r="J54" s="908">
        <f t="shared" si="27"/>
        <v>0</v>
      </c>
      <c r="K54" s="908">
        <f t="shared" si="27"/>
        <v>175508.76800043095</v>
      </c>
      <c r="L54" s="908">
        <f t="shared" si="27"/>
        <v>181000</v>
      </c>
      <c r="M54" s="908">
        <f t="shared" si="27"/>
        <v>0</v>
      </c>
      <c r="N54" s="908">
        <f t="shared" si="27"/>
        <v>181000</v>
      </c>
      <c r="O54" s="908">
        <f t="shared" si="27"/>
        <v>2287105.2160051712</v>
      </c>
      <c r="P54" s="908">
        <f t="shared" si="27"/>
        <v>12472942.789999999</v>
      </c>
      <c r="Q54" s="906">
        <f t="shared" si="27"/>
        <v>112</v>
      </c>
      <c r="R54" s="908">
        <f t="shared" si="27"/>
        <v>95221.630681114562</v>
      </c>
      <c r="S54" s="908">
        <f t="shared" si="27"/>
        <v>64234.062078272604</v>
      </c>
      <c r="T54" s="908">
        <f t="shared" si="27"/>
        <v>0</v>
      </c>
      <c r="U54" s="908">
        <f t="shared" si="27"/>
        <v>0</v>
      </c>
      <c r="V54" s="908">
        <f t="shared" si="27"/>
        <v>0</v>
      </c>
      <c r="W54" s="908">
        <f t="shared" si="27"/>
        <v>0</v>
      </c>
      <c r="X54" s="908">
        <f t="shared" si="27"/>
        <v>12533.92</v>
      </c>
      <c r="Y54" s="908">
        <f t="shared" si="27"/>
        <v>0</v>
      </c>
      <c r="Z54" s="908">
        <f t="shared" si="27"/>
        <v>171989.61275938718</v>
      </c>
      <c r="AA54" s="908">
        <f t="shared" si="27"/>
        <v>184000</v>
      </c>
      <c r="AB54" s="909">
        <f t="shared" si="27"/>
        <v>0</v>
      </c>
      <c r="AC54" s="908">
        <f t="shared" si="27"/>
        <v>184000</v>
      </c>
      <c r="AD54" s="908">
        <f t="shared" si="27"/>
        <v>2247875.3531126459</v>
      </c>
      <c r="AE54" s="908">
        <f t="shared" si="27"/>
        <v>10097387</v>
      </c>
      <c r="AF54" s="910">
        <f t="shared" si="27"/>
        <v>39229.862892525271</v>
      </c>
      <c r="AG54" s="908">
        <f t="shared" si="27"/>
        <v>2375555.7899999991</v>
      </c>
      <c r="AH54" s="911">
        <f t="shared" si="27"/>
        <v>112</v>
      </c>
      <c r="AI54" s="908">
        <f t="shared" si="27"/>
        <v>12315488</v>
      </c>
    </row>
    <row r="55" spans="1:35" x14ac:dyDescent="0.2">
      <c r="A55" s="462" t="s">
        <v>70</v>
      </c>
      <c r="M55" s="883"/>
    </row>
    <row r="56" spans="1:35" x14ac:dyDescent="0.2">
      <c r="A56" s="462" t="s">
        <v>71</v>
      </c>
      <c r="B56" s="462" t="s">
        <v>162</v>
      </c>
      <c r="M56" s="883"/>
    </row>
    <row r="57" spans="1:35" x14ac:dyDescent="0.2">
      <c r="A57" s="462" t="s">
        <v>72</v>
      </c>
      <c r="B57" s="462" t="s">
        <v>73</v>
      </c>
      <c r="M57" s="883"/>
    </row>
    <row r="58" spans="1:35" x14ac:dyDescent="0.2">
      <c r="A58" s="462" t="s">
        <v>74</v>
      </c>
      <c r="B58" s="462" t="s">
        <v>75</v>
      </c>
      <c r="M58" s="883"/>
    </row>
    <row r="59" spans="1:35" x14ac:dyDescent="0.2">
      <c r="A59" s="462" t="s">
        <v>76</v>
      </c>
      <c r="B59" s="462" t="s">
        <v>77</v>
      </c>
      <c r="M59" s="883"/>
    </row>
    <row r="60" spans="1:35" x14ac:dyDescent="0.2">
      <c r="B60" s="462" t="s">
        <v>78</v>
      </c>
      <c r="M60" s="883"/>
    </row>
    <row r="61" spans="1:35" x14ac:dyDescent="0.2">
      <c r="A61" s="462" t="s">
        <v>79</v>
      </c>
      <c r="B61" s="462" t="s">
        <v>153</v>
      </c>
      <c r="M61" s="883"/>
    </row>
    <row r="62" spans="1:35" x14ac:dyDescent="0.2">
      <c r="B62" s="462" t="s">
        <v>80</v>
      </c>
      <c r="M62" s="883"/>
    </row>
    <row r="63" spans="1:35" x14ac:dyDescent="0.2">
      <c r="B63" s="462" t="s">
        <v>81</v>
      </c>
      <c r="M63" s="883"/>
    </row>
    <row r="64" spans="1:35" x14ac:dyDescent="0.2">
      <c r="B64" s="462" t="s">
        <v>82</v>
      </c>
      <c r="M64" s="883"/>
    </row>
    <row r="65" spans="1:35" x14ac:dyDescent="0.2">
      <c r="A65" s="462" t="s">
        <v>187</v>
      </c>
      <c r="B65" s="462" t="s">
        <v>188</v>
      </c>
      <c r="M65" s="883"/>
    </row>
    <row r="66" spans="1:35" x14ac:dyDescent="0.2">
      <c r="A66" s="462" t="s">
        <v>189</v>
      </c>
      <c r="B66" s="462" t="s">
        <v>158</v>
      </c>
      <c r="M66" s="883"/>
    </row>
    <row r="67" spans="1:35" x14ac:dyDescent="0.2">
      <c r="A67" s="462" t="s">
        <v>190</v>
      </c>
      <c r="B67" s="462" t="s">
        <v>154</v>
      </c>
    </row>
    <row r="68" spans="1:35" x14ac:dyDescent="0.2">
      <c r="B68" s="462" t="s">
        <v>80</v>
      </c>
    </row>
    <row r="69" spans="1:35" x14ac:dyDescent="0.2">
      <c r="B69" s="462" t="s">
        <v>81</v>
      </c>
    </row>
    <row r="70" spans="1:35" x14ac:dyDescent="0.2">
      <c r="B70" s="462" t="s">
        <v>119</v>
      </c>
    </row>
    <row r="71" spans="1:35" x14ac:dyDescent="0.2">
      <c r="A71" s="462" t="s">
        <v>199</v>
      </c>
      <c r="B71" s="462" t="s">
        <v>200</v>
      </c>
    </row>
    <row r="73" spans="1:35" x14ac:dyDescent="0.2">
      <c r="A73" s="391" t="s">
        <v>674</v>
      </c>
      <c r="B73" s="392"/>
      <c r="C73" s="392"/>
      <c r="D73" s="392"/>
      <c r="E73" s="392"/>
      <c r="F73" s="392"/>
      <c r="G73" s="392"/>
      <c r="H73" s="392"/>
      <c r="I73" s="392"/>
      <c r="J73" s="392"/>
      <c r="K73" s="392"/>
      <c r="L73" s="392"/>
      <c r="M73" s="392"/>
      <c r="N73" s="392"/>
      <c r="O73" s="392"/>
      <c r="P73" s="392"/>
      <c r="Q73" s="392"/>
      <c r="R73" s="392"/>
      <c r="S73" s="392"/>
      <c r="T73" s="392"/>
      <c r="U73" s="392"/>
      <c r="V73" s="392"/>
      <c r="W73" s="392"/>
      <c r="X73" s="392"/>
      <c r="Y73" s="392"/>
      <c r="Z73" s="392"/>
      <c r="AA73" s="392"/>
      <c r="AB73" s="392"/>
      <c r="AC73" s="392"/>
      <c r="AD73" s="392"/>
      <c r="AE73" s="394"/>
      <c r="AF73" s="394"/>
      <c r="AG73" s="394"/>
      <c r="AH73" s="394"/>
      <c r="AI73" s="394"/>
    </row>
    <row r="74" spans="1:35" ht="12.75" thickBot="1" x14ac:dyDescent="0.25">
      <c r="A74" s="391" t="s">
        <v>637</v>
      </c>
      <c r="B74" s="391"/>
      <c r="C74" s="391"/>
      <c r="D74" s="391"/>
      <c r="E74" s="391"/>
      <c r="F74" s="391"/>
      <c r="G74" s="391"/>
      <c r="H74" s="391"/>
      <c r="I74" s="391"/>
      <c r="J74" s="391"/>
      <c r="K74" s="391"/>
      <c r="L74" s="391"/>
      <c r="M74" s="391"/>
      <c r="N74" s="391"/>
      <c r="O74" s="391"/>
      <c r="P74" s="391"/>
      <c r="Q74" s="391"/>
      <c r="R74" s="391"/>
      <c r="S74" s="391"/>
      <c r="T74" s="393"/>
      <c r="U74" s="391"/>
      <c r="V74" s="391"/>
      <c r="W74" s="391"/>
      <c r="X74" s="391"/>
      <c r="Y74" s="391"/>
      <c r="Z74" s="391"/>
      <c r="AA74" s="391"/>
      <c r="AB74" s="391"/>
      <c r="AC74" s="391"/>
      <c r="AD74" s="391"/>
      <c r="AE74" s="391"/>
      <c r="AF74" s="391"/>
      <c r="AG74" s="391"/>
      <c r="AH74" s="391"/>
      <c r="AI74" s="391"/>
    </row>
    <row r="75" spans="1:35" ht="12.75" customHeight="1" thickBot="1" x14ac:dyDescent="0.25">
      <c r="A75" s="1463" t="s">
        <v>60</v>
      </c>
      <c r="B75" s="1488" t="s">
        <v>382</v>
      </c>
      <c r="C75" s="1487"/>
      <c r="D75" s="1487"/>
      <c r="E75" s="1487"/>
      <c r="F75" s="1487"/>
      <c r="G75" s="1487"/>
      <c r="H75" s="1487"/>
      <c r="I75" s="1487"/>
      <c r="J75" s="1487"/>
      <c r="K75" s="1487"/>
      <c r="L75" s="1487"/>
      <c r="M75" s="1487"/>
      <c r="N75" s="1487"/>
      <c r="O75" s="1487"/>
      <c r="P75" s="1489"/>
      <c r="Q75" s="1488" t="s">
        <v>406</v>
      </c>
      <c r="R75" s="1487"/>
      <c r="S75" s="1487"/>
      <c r="T75" s="1487"/>
      <c r="U75" s="1487"/>
      <c r="V75" s="1487"/>
      <c r="W75" s="1487"/>
      <c r="X75" s="1487"/>
      <c r="Y75" s="1487"/>
      <c r="Z75" s="1487"/>
      <c r="AA75" s="1487"/>
      <c r="AB75" s="1487"/>
      <c r="AC75" s="1487"/>
      <c r="AD75" s="1487"/>
      <c r="AE75" s="1489"/>
      <c r="AF75" s="1490" t="s">
        <v>407</v>
      </c>
      <c r="AG75" s="1491"/>
      <c r="AH75" s="1490" t="s">
        <v>408</v>
      </c>
      <c r="AI75" s="1491"/>
    </row>
    <row r="76" spans="1:35" ht="102.75" x14ac:dyDescent="0.2">
      <c r="A76" s="1485"/>
      <c r="B76" s="426" t="s">
        <v>11</v>
      </c>
      <c r="C76" s="427" t="s">
        <v>147</v>
      </c>
      <c r="D76" s="428" t="s">
        <v>270</v>
      </c>
      <c r="E76" s="428" t="s">
        <v>149</v>
      </c>
      <c r="F76" s="428" t="s">
        <v>183</v>
      </c>
      <c r="G76" s="428" t="s">
        <v>184</v>
      </c>
      <c r="H76" s="428" t="s">
        <v>185</v>
      </c>
      <c r="I76" s="428" t="s">
        <v>186</v>
      </c>
      <c r="J76" s="428" t="s">
        <v>150</v>
      </c>
      <c r="K76" s="428" t="s">
        <v>151</v>
      </c>
      <c r="L76" s="428" t="s">
        <v>152</v>
      </c>
      <c r="M76" s="428" t="s">
        <v>182</v>
      </c>
      <c r="N76" s="429" t="s">
        <v>121</v>
      </c>
      <c r="O76" s="430" t="s">
        <v>157</v>
      </c>
      <c r="P76" s="431" t="s">
        <v>156</v>
      </c>
      <c r="Q76" s="426" t="s">
        <v>11</v>
      </c>
      <c r="R76" s="427" t="s">
        <v>147</v>
      </c>
      <c r="S76" s="428" t="s">
        <v>148</v>
      </c>
      <c r="T76" s="428" t="s">
        <v>149</v>
      </c>
      <c r="U76" s="428" t="s">
        <v>183</v>
      </c>
      <c r="V76" s="428" t="s">
        <v>184</v>
      </c>
      <c r="W76" s="428" t="s">
        <v>185</v>
      </c>
      <c r="X76" s="428" t="s">
        <v>186</v>
      </c>
      <c r="Y76" s="428" t="s">
        <v>150</v>
      </c>
      <c r="Z76" s="428" t="s">
        <v>151</v>
      </c>
      <c r="AA76" s="428" t="s">
        <v>152</v>
      </c>
      <c r="AB76" s="428" t="s">
        <v>182</v>
      </c>
      <c r="AC76" s="429" t="s">
        <v>121</v>
      </c>
      <c r="AD76" s="430" t="s">
        <v>157</v>
      </c>
      <c r="AE76" s="431" t="s">
        <v>452</v>
      </c>
      <c r="AF76" s="432" t="s">
        <v>161</v>
      </c>
      <c r="AG76" s="432" t="s">
        <v>160</v>
      </c>
      <c r="AH76" s="432" t="s">
        <v>11</v>
      </c>
      <c r="AI76" s="431" t="s">
        <v>453</v>
      </c>
    </row>
    <row r="77" spans="1:35" ht="12.75" thickBot="1" x14ac:dyDescent="0.25">
      <c r="A77" s="1464"/>
      <c r="B77" s="433" t="s">
        <v>61</v>
      </c>
      <c r="C77" s="434" t="s">
        <v>62</v>
      </c>
      <c r="D77" s="435" t="s">
        <v>63</v>
      </c>
      <c r="E77" s="435" t="s">
        <v>64</v>
      </c>
      <c r="F77" s="436" t="s">
        <v>65</v>
      </c>
      <c r="G77" s="436" t="s">
        <v>66</v>
      </c>
      <c r="H77" s="436" t="s">
        <v>83</v>
      </c>
      <c r="I77" s="436" t="s">
        <v>120</v>
      </c>
      <c r="J77" s="436" t="s">
        <v>155</v>
      </c>
      <c r="K77" s="436" t="s">
        <v>159</v>
      </c>
      <c r="L77" s="436" t="s">
        <v>191</v>
      </c>
      <c r="M77" s="436" t="s">
        <v>192</v>
      </c>
      <c r="N77" s="437" t="s">
        <v>194</v>
      </c>
      <c r="O77" s="438" t="s">
        <v>195</v>
      </c>
      <c r="P77" s="439" t="s">
        <v>196</v>
      </c>
      <c r="Q77" s="433" t="s">
        <v>61</v>
      </c>
      <c r="R77" s="434" t="s">
        <v>62</v>
      </c>
      <c r="S77" s="435" t="s">
        <v>63</v>
      </c>
      <c r="T77" s="435" t="s">
        <v>64</v>
      </c>
      <c r="U77" s="436" t="s">
        <v>65</v>
      </c>
      <c r="V77" s="436" t="s">
        <v>66</v>
      </c>
      <c r="W77" s="436" t="s">
        <v>83</v>
      </c>
      <c r="X77" s="436" t="s">
        <v>120</v>
      </c>
      <c r="Y77" s="436" t="s">
        <v>155</v>
      </c>
      <c r="Z77" s="436" t="s">
        <v>159</v>
      </c>
      <c r="AA77" s="436" t="s">
        <v>191</v>
      </c>
      <c r="AB77" s="436" t="s">
        <v>192</v>
      </c>
      <c r="AC77" s="437" t="s">
        <v>194</v>
      </c>
      <c r="AD77" s="438" t="s">
        <v>195</v>
      </c>
      <c r="AE77" s="439" t="s">
        <v>196</v>
      </c>
      <c r="AF77" s="440"/>
      <c r="AG77" s="433"/>
      <c r="AH77" s="440"/>
      <c r="AI77" s="433"/>
    </row>
    <row r="78" spans="1:35" x14ac:dyDescent="0.2">
      <c r="A78" s="475"/>
      <c r="B78" s="464"/>
      <c r="C78" s="307"/>
      <c r="D78" s="307"/>
      <c r="E78" s="307"/>
      <c r="F78" s="307"/>
      <c r="G78" s="307"/>
      <c r="H78" s="307"/>
      <c r="I78" s="307"/>
      <c r="J78" s="307"/>
      <c r="K78" s="307"/>
      <c r="L78" s="307"/>
      <c r="M78" s="307"/>
      <c r="N78" s="465"/>
      <c r="O78" s="347"/>
      <c r="P78" s="463"/>
      <c r="Q78" s="464"/>
      <c r="R78" s="307"/>
      <c r="S78" s="307"/>
      <c r="T78" s="307"/>
      <c r="U78" s="307"/>
      <c r="V78" s="307"/>
      <c r="W78" s="307"/>
      <c r="X78" s="307"/>
      <c r="Y78" s="307"/>
      <c r="Z78" s="307"/>
      <c r="AA78" s="307"/>
      <c r="AB78" s="307"/>
      <c r="AC78" s="465"/>
      <c r="AD78" s="347"/>
      <c r="AE78" s="463"/>
      <c r="AF78" s="463"/>
      <c r="AG78" s="464"/>
      <c r="AH78" s="463"/>
      <c r="AI78" s="464"/>
    </row>
    <row r="79" spans="1:35" x14ac:dyDescent="0.2">
      <c r="A79" s="114" t="s">
        <v>67</v>
      </c>
      <c r="B79" s="114"/>
      <c r="C79" s="953"/>
      <c r="D79" s="953"/>
      <c r="E79" s="953"/>
      <c r="F79" s="953"/>
      <c r="G79" s="953"/>
      <c r="H79" s="953"/>
      <c r="I79" s="953"/>
      <c r="J79" s="953"/>
      <c r="K79" s="953"/>
      <c r="L79" s="953"/>
      <c r="M79" s="953"/>
      <c r="N79" s="954"/>
      <c r="O79" s="955"/>
      <c r="P79" s="894"/>
      <c r="Q79" s="114"/>
      <c r="R79" s="953"/>
      <c r="S79" s="953"/>
      <c r="T79" s="953"/>
      <c r="U79" s="953"/>
      <c r="V79" s="953"/>
      <c r="W79" s="953"/>
      <c r="X79" s="953"/>
      <c r="Y79" s="953"/>
      <c r="Z79" s="953"/>
      <c r="AA79" s="953"/>
      <c r="AB79" s="953"/>
      <c r="AC79" s="954"/>
      <c r="AD79" s="955"/>
      <c r="AE79" s="894"/>
      <c r="AF79" s="894"/>
      <c r="AG79" s="114"/>
      <c r="AH79" s="894"/>
      <c r="AI79" s="114"/>
    </row>
    <row r="80" spans="1:35" x14ac:dyDescent="0.2">
      <c r="A80" s="118" t="s">
        <v>675</v>
      </c>
      <c r="B80" s="118"/>
      <c r="C80" s="956"/>
      <c r="D80" s="956"/>
      <c r="E80" s="956"/>
      <c r="F80" s="956"/>
      <c r="G80" s="956"/>
      <c r="H80" s="956"/>
      <c r="I80" s="956"/>
      <c r="J80" s="956"/>
      <c r="K80" s="956"/>
      <c r="L80" s="956"/>
      <c r="M80" s="956"/>
      <c r="N80" s="957"/>
      <c r="O80" s="958"/>
      <c r="P80" s="900"/>
      <c r="Q80" s="118"/>
      <c r="R80" s="956"/>
      <c r="S80" s="956"/>
      <c r="T80" s="956"/>
      <c r="U80" s="956"/>
      <c r="V80" s="956"/>
      <c r="W80" s="956"/>
      <c r="X80" s="956"/>
      <c r="Y80" s="956"/>
      <c r="Z80" s="956"/>
      <c r="AA80" s="956"/>
      <c r="AB80" s="956"/>
      <c r="AC80" s="957"/>
      <c r="AD80" s="958"/>
      <c r="AE80" s="900"/>
      <c r="AF80" s="900"/>
      <c r="AG80" s="118"/>
      <c r="AH80" s="900"/>
      <c r="AI80" s="118"/>
    </row>
    <row r="81" spans="1:35" x14ac:dyDescent="0.2">
      <c r="A81" s="959" t="s">
        <v>614</v>
      </c>
      <c r="B81" s="118">
        <v>2</v>
      </c>
      <c r="C81" s="960">
        <v>15000</v>
      </c>
      <c r="D81" s="961">
        <v>0</v>
      </c>
      <c r="E81" s="961">
        <v>0</v>
      </c>
      <c r="F81" s="961">
        <v>0</v>
      </c>
      <c r="G81" s="961">
        <v>0</v>
      </c>
      <c r="H81" s="961">
        <v>0</v>
      </c>
      <c r="I81" s="961">
        <v>0</v>
      </c>
      <c r="J81" s="960">
        <v>1350</v>
      </c>
      <c r="K81" s="960">
        <f>SUM(C81:J81)</f>
        <v>16350</v>
      </c>
      <c r="L81" s="960">
        <v>33100</v>
      </c>
      <c r="M81" s="960">
        <v>21047</v>
      </c>
      <c r="N81" s="962">
        <f>SUM(L81:M81)</f>
        <v>54147</v>
      </c>
      <c r="O81" s="963">
        <f>(K81*12)+N81</f>
        <v>250347</v>
      </c>
      <c r="P81" s="124">
        <f>B81*O81</f>
        <v>500694</v>
      </c>
      <c r="Q81" s="118">
        <v>1</v>
      </c>
      <c r="R81" s="960">
        <v>15000</v>
      </c>
      <c r="S81" s="961">
        <v>0</v>
      </c>
      <c r="T81" s="961">
        <v>0</v>
      </c>
      <c r="U81" s="961">
        <v>0</v>
      </c>
      <c r="V81" s="961">
        <v>0</v>
      </c>
      <c r="W81" s="961">
        <v>0</v>
      </c>
      <c r="X81" s="961">
        <v>0</v>
      </c>
      <c r="Y81" s="960">
        <v>1350</v>
      </c>
      <c r="Z81" s="960">
        <f>SUM(R81:Y81)</f>
        <v>16350</v>
      </c>
      <c r="AA81" s="960">
        <v>33100</v>
      </c>
      <c r="AB81" s="960">
        <v>21047</v>
      </c>
      <c r="AC81" s="962">
        <f>SUM(AA81:AB81)</f>
        <v>54147</v>
      </c>
      <c r="AD81" s="963">
        <f>(Z81*12)+AC81</f>
        <v>250347</v>
      </c>
      <c r="AE81" s="124">
        <f>Q81*AD81</f>
        <v>250347</v>
      </c>
      <c r="AF81" s="124">
        <f>O81-AD81</f>
        <v>0</v>
      </c>
      <c r="AG81" s="964">
        <f>P81-AE81</f>
        <v>250347</v>
      </c>
      <c r="AH81" s="118">
        <v>1</v>
      </c>
      <c r="AI81" s="964">
        <v>255006</v>
      </c>
    </row>
    <row r="82" spans="1:35" x14ac:dyDescent="0.2">
      <c r="A82" s="959" t="s">
        <v>615</v>
      </c>
      <c r="B82" s="118">
        <v>7</v>
      </c>
      <c r="C82" s="960">
        <v>11000</v>
      </c>
      <c r="D82" s="961">
        <v>0</v>
      </c>
      <c r="E82" s="961">
        <v>0</v>
      </c>
      <c r="F82" s="961">
        <v>0</v>
      </c>
      <c r="G82" s="961">
        <v>0</v>
      </c>
      <c r="H82" s="961">
        <v>0</v>
      </c>
      <c r="I82" s="961">
        <v>0</v>
      </c>
      <c r="J82" s="960">
        <v>990</v>
      </c>
      <c r="K82" s="960">
        <f>SUM(C82:J82)</f>
        <v>11990</v>
      </c>
      <c r="L82" s="960">
        <v>24380</v>
      </c>
      <c r="M82" s="960">
        <v>12828</v>
      </c>
      <c r="N82" s="962">
        <f>SUM(L82:M82)</f>
        <v>37208</v>
      </c>
      <c r="O82" s="963">
        <f>(K82*12)+N82</f>
        <v>181088</v>
      </c>
      <c r="P82" s="124">
        <f>B82*O82</f>
        <v>1267616</v>
      </c>
      <c r="Q82" s="118">
        <v>7</v>
      </c>
      <c r="R82" s="960">
        <v>11000</v>
      </c>
      <c r="S82" s="961">
        <v>0</v>
      </c>
      <c r="T82" s="961">
        <v>0</v>
      </c>
      <c r="U82" s="961">
        <v>0</v>
      </c>
      <c r="V82" s="961">
        <v>0</v>
      </c>
      <c r="W82" s="961">
        <v>0</v>
      </c>
      <c r="X82" s="961">
        <v>0</v>
      </c>
      <c r="Y82" s="960">
        <v>990</v>
      </c>
      <c r="Z82" s="960">
        <f>SUM(R82:Y82)</f>
        <v>11990</v>
      </c>
      <c r="AA82" s="960">
        <v>24380</v>
      </c>
      <c r="AB82" s="960">
        <v>12828</v>
      </c>
      <c r="AC82" s="962">
        <f>SUM(AA82:AB82)</f>
        <v>37208</v>
      </c>
      <c r="AD82" s="963">
        <f>(Z82*12)+AC82</f>
        <v>181088</v>
      </c>
      <c r="AE82" s="124">
        <f>Q82*AD82</f>
        <v>1267616</v>
      </c>
      <c r="AF82" s="124">
        <f>O82-AD82</f>
        <v>0</v>
      </c>
      <c r="AG82" s="964">
        <f>P82-AE82</f>
        <v>0</v>
      </c>
      <c r="AH82" s="118">
        <v>7</v>
      </c>
      <c r="AI82" s="964">
        <v>1412448</v>
      </c>
    </row>
    <row r="83" spans="1:35" x14ac:dyDescent="0.2">
      <c r="A83" s="118" t="s">
        <v>4</v>
      </c>
      <c r="B83" s="118"/>
      <c r="C83" s="960"/>
      <c r="D83" s="961"/>
      <c r="E83" s="961"/>
      <c r="F83" s="961"/>
      <c r="G83" s="961"/>
      <c r="H83" s="961"/>
      <c r="I83" s="961"/>
      <c r="J83" s="960"/>
      <c r="K83" s="960"/>
      <c r="L83" s="960"/>
      <c r="M83" s="960"/>
      <c r="N83" s="962"/>
      <c r="O83" s="963"/>
      <c r="P83" s="124"/>
      <c r="Q83" s="118"/>
      <c r="R83" s="960"/>
      <c r="S83" s="961"/>
      <c r="T83" s="961"/>
      <c r="U83" s="961"/>
      <c r="V83" s="961"/>
      <c r="W83" s="961"/>
      <c r="X83" s="961"/>
      <c r="Y83" s="960"/>
      <c r="Z83" s="960"/>
      <c r="AA83" s="960"/>
      <c r="AB83" s="960"/>
      <c r="AC83" s="962"/>
      <c r="AD83" s="963"/>
      <c r="AE83" s="124"/>
      <c r="AF83" s="900"/>
      <c r="AG83" s="118"/>
      <c r="AH83" s="118"/>
      <c r="AI83" s="964"/>
    </row>
    <row r="84" spans="1:35" x14ac:dyDescent="0.2">
      <c r="A84" s="959" t="s">
        <v>14</v>
      </c>
      <c r="B84" s="118">
        <v>13</v>
      </c>
      <c r="C84" s="960">
        <v>7423</v>
      </c>
      <c r="D84" s="961">
        <v>0</v>
      </c>
      <c r="E84" s="961">
        <v>0</v>
      </c>
      <c r="F84" s="961">
        <v>0</v>
      </c>
      <c r="G84" s="961">
        <v>0</v>
      </c>
      <c r="H84" s="961">
        <v>0</v>
      </c>
      <c r="I84" s="961">
        <v>0</v>
      </c>
      <c r="J84" s="960">
        <v>668</v>
      </c>
      <c r="K84" s="960">
        <f>SUM(C84:J84)</f>
        <v>8091</v>
      </c>
      <c r="L84" s="960">
        <v>16582</v>
      </c>
      <c r="M84" s="960">
        <v>8625</v>
      </c>
      <c r="N84" s="962">
        <f>SUM(L84:M84)</f>
        <v>25207</v>
      </c>
      <c r="O84" s="963">
        <f>(K84*12)+N84</f>
        <v>122299</v>
      </c>
      <c r="P84" s="124">
        <f>B84*O84</f>
        <v>1589887</v>
      </c>
      <c r="Q84" s="118">
        <v>13</v>
      </c>
      <c r="R84" s="960">
        <v>7396</v>
      </c>
      <c r="S84" s="961">
        <v>0</v>
      </c>
      <c r="T84" s="961">
        <v>0</v>
      </c>
      <c r="U84" s="961">
        <v>0</v>
      </c>
      <c r="V84" s="961">
        <v>0</v>
      </c>
      <c r="W84" s="961">
        <v>0</v>
      </c>
      <c r="X84" s="961">
        <v>0</v>
      </c>
      <c r="Y84" s="960">
        <v>666</v>
      </c>
      <c r="Z84" s="960">
        <f>SUM(R84:Y84)</f>
        <v>8062</v>
      </c>
      <c r="AA84" s="960">
        <v>16523</v>
      </c>
      <c r="AB84" s="960">
        <v>8625</v>
      </c>
      <c r="AC84" s="962">
        <f>SUM(AA84:AB84)</f>
        <v>25148</v>
      </c>
      <c r="AD84" s="963">
        <f>(Z84*12)+AC84</f>
        <v>121892</v>
      </c>
      <c r="AE84" s="124">
        <f>Q84*AD84</f>
        <v>1584596</v>
      </c>
      <c r="AF84" s="124">
        <f t="shared" ref="AF84:AG87" si="28">O84-AD84</f>
        <v>407</v>
      </c>
      <c r="AG84" s="964">
        <f t="shared" si="28"/>
        <v>5291</v>
      </c>
      <c r="AH84" s="118">
        <v>13</v>
      </c>
      <c r="AI84" s="964">
        <v>916671</v>
      </c>
    </row>
    <row r="85" spans="1:35" x14ac:dyDescent="0.2">
      <c r="A85" s="959" t="s">
        <v>638</v>
      </c>
      <c r="B85" s="118">
        <v>13</v>
      </c>
      <c r="C85" s="960">
        <v>6300</v>
      </c>
      <c r="D85" s="961">
        <v>0</v>
      </c>
      <c r="E85" s="961">
        <v>0</v>
      </c>
      <c r="F85" s="961">
        <v>0</v>
      </c>
      <c r="G85" s="961">
        <v>0</v>
      </c>
      <c r="H85" s="961">
        <v>0</v>
      </c>
      <c r="I85" s="961">
        <v>0</v>
      </c>
      <c r="J85" s="960">
        <v>574</v>
      </c>
      <c r="K85" s="960">
        <f>SUM(C85:J85)</f>
        <v>6874</v>
      </c>
      <c r="L85" s="960">
        <v>14291</v>
      </c>
      <c r="M85" s="960">
        <v>7431</v>
      </c>
      <c r="N85" s="962">
        <f>SUM(L85:M85)</f>
        <v>21722</v>
      </c>
      <c r="O85" s="963">
        <f>(K85*12)+N85</f>
        <v>104210</v>
      </c>
      <c r="P85" s="124">
        <f>B85*O85</f>
        <v>1354730</v>
      </c>
      <c r="Q85" s="118">
        <v>13</v>
      </c>
      <c r="R85" s="960">
        <v>6372</v>
      </c>
      <c r="S85" s="961">
        <v>0</v>
      </c>
      <c r="T85" s="961">
        <v>0</v>
      </c>
      <c r="U85" s="961">
        <v>0</v>
      </c>
      <c r="V85" s="961">
        <v>0</v>
      </c>
      <c r="W85" s="961">
        <v>0</v>
      </c>
      <c r="X85" s="961">
        <v>0</v>
      </c>
      <c r="Y85" s="960">
        <v>574</v>
      </c>
      <c r="Z85" s="960">
        <f>SUM(R85:Y85)</f>
        <v>6946</v>
      </c>
      <c r="AA85" s="960">
        <v>14291</v>
      </c>
      <c r="AB85" s="960">
        <v>7431</v>
      </c>
      <c r="AC85" s="962">
        <f>SUM(AA85:AB85)</f>
        <v>21722</v>
      </c>
      <c r="AD85" s="963">
        <f>(Z85*12)+AC85</f>
        <v>105074</v>
      </c>
      <c r="AE85" s="124">
        <f>Q85*AD85</f>
        <v>1365962</v>
      </c>
      <c r="AF85" s="124">
        <f t="shared" si="28"/>
        <v>-864</v>
      </c>
      <c r="AG85" s="964">
        <f t="shared" si="28"/>
        <v>-11232</v>
      </c>
      <c r="AH85" s="118">
        <v>13</v>
      </c>
      <c r="AI85" s="964">
        <v>960437</v>
      </c>
    </row>
    <row r="86" spans="1:35" x14ac:dyDescent="0.2">
      <c r="A86" s="959" t="s">
        <v>639</v>
      </c>
      <c r="B86" s="118">
        <v>2</v>
      </c>
      <c r="C86" s="960">
        <v>5200</v>
      </c>
      <c r="D86" s="961">
        <v>0</v>
      </c>
      <c r="E86" s="961">
        <v>0</v>
      </c>
      <c r="F86" s="961">
        <v>0</v>
      </c>
      <c r="G86" s="961">
        <v>0</v>
      </c>
      <c r="H86" s="961">
        <v>0</v>
      </c>
      <c r="I86" s="961">
        <v>0</v>
      </c>
      <c r="J86" s="960">
        <v>549</v>
      </c>
      <c r="K86" s="960">
        <f>SUM(C86:J86)</f>
        <v>5749</v>
      </c>
      <c r="L86" s="960">
        <v>13683</v>
      </c>
      <c r="M86" s="960">
        <v>7106</v>
      </c>
      <c r="N86" s="962">
        <f>SUM(L86:M86)</f>
        <v>20789</v>
      </c>
      <c r="O86" s="963">
        <f>(K86*12)+N86</f>
        <v>89777</v>
      </c>
      <c r="P86" s="124">
        <f>B86*O86</f>
        <v>179554</v>
      </c>
      <c r="Q86" s="118">
        <v>2</v>
      </c>
      <c r="R86" s="960">
        <v>6093</v>
      </c>
      <c r="S86" s="961">
        <v>0</v>
      </c>
      <c r="T86" s="961">
        <v>0</v>
      </c>
      <c r="U86" s="961">
        <v>0</v>
      </c>
      <c r="V86" s="961">
        <v>0</v>
      </c>
      <c r="W86" s="961">
        <v>0</v>
      </c>
      <c r="X86" s="961">
        <v>0</v>
      </c>
      <c r="Y86" s="960">
        <v>549</v>
      </c>
      <c r="Z86" s="960">
        <f>SUM(R86:Y86)</f>
        <v>6642</v>
      </c>
      <c r="AA86" s="960">
        <v>13683</v>
      </c>
      <c r="AB86" s="960">
        <v>7106</v>
      </c>
      <c r="AC86" s="962">
        <f>SUM(AA86:AB86)</f>
        <v>20789</v>
      </c>
      <c r="AD86" s="963">
        <f>(Z86*12)+AC86</f>
        <v>100493</v>
      </c>
      <c r="AE86" s="124">
        <f>Q86*AD86</f>
        <v>200986</v>
      </c>
      <c r="AF86" s="124">
        <f t="shared" si="28"/>
        <v>-10716</v>
      </c>
      <c r="AG86" s="964">
        <f t="shared" si="28"/>
        <v>-21432</v>
      </c>
      <c r="AH86" s="118">
        <v>2</v>
      </c>
      <c r="AI86" s="964">
        <v>204450</v>
      </c>
    </row>
    <row r="87" spans="1:35" x14ac:dyDescent="0.2">
      <c r="A87" s="959" t="s">
        <v>640</v>
      </c>
      <c r="B87" s="118">
        <v>2</v>
      </c>
      <c r="C87" s="960">
        <v>4593</v>
      </c>
      <c r="D87" s="961">
        <v>0</v>
      </c>
      <c r="E87" s="961">
        <v>0</v>
      </c>
      <c r="F87" s="961">
        <v>0</v>
      </c>
      <c r="G87" s="961">
        <v>0</v>
      </c>
      <c r="H87" s="961">
        <v>0</v>
      </c>
      <c r="I87" s="961">
        <v>0</v>
      </c>
      <c r="J87" s="960">
        <v>414</v>
      </c>
      <c r="K87" s="960">
        <f>SUM(C87:J87)</f>
        <v>5007</v>
      </c>
      <c r="L87" s="960">
        <v>10413</v>
      </c>
      <c r="M87" s="960">
        <v>5356</v>
      </c>
      <c r="N87" s="962">
        <f>SUM(L87:M87)</f>
        <v>15769</v>
      </c>
      <c r="O87" s="963">
        <f>(K87*12)+N87</f>
        <v>75853</v>
      </c>
      <c r="P87" s="124">
        <f>B87*O87</f>
        <v>151706</v>
      </c>
      <c r="Q87" s="118">
        <v>2</v>
      </c>
      <c r="R87" s="960">
        <v>4593</v>
      </c>
      <c r="S87" s="961">
        <v>0</v>
      </c>
      <c r="T87" s="961">
        <v>0</v>
      </c>
      <c r="U87" s="961">
        <v>0</v>
      </c>
      <c r="V87" s="961">
        <v>0</v>
      </c>
      <c r="W87" s="961">
        <v>0</v>
      </c>
      <c r="X87" s="961">
        <v>0</v>
      </c>
      <c r="Y87" s="960">
        <v>414</v>
      </c>
      <c r="Z87" s="960">
        <f>SUM(R87:Y87)</f>
        <v>5007</v>
      </c>
      <c r="AA87" s="960">
        <v>10413</v>
      </c>
      <c r="AB87" s="960">
        <v>5356</v>
      </c>
      <c r="AC87" s="962">
        <f>SUM(AA87:AB87)</f>
        <v>15769</v>
      </c>
      <c r="AD87" s="963">
        <f>(Z87*12)+AC87</f>
        <v>75853</v>
      </c>
      <c r="AE87" s="124">
        <f>Q87*AD87</f>
        <v>151706</v>
      </c>
      <c r="AF87" s="124">
        <f t="shared" si="28"/>
        <v>0</v>
      </c>
      <c r="AG87" s="964">
        <f t="shared" si="28"/>
        <v>0</v>
      </c>
      <c r="AH87" s="118">
        <v>2</v>
      </c>
      <c r="AI87" s="964">
        <v>151691</v>
      </c>
    </row>
    <row r="88" spans="1:35" x14ac:dyDescent="0.2">
      <c r="A88" s="118" t="s">
        <v>5</v>
      </c>
      <c r="B88" s="118"/>
      <c r="C88" s="960"/>
      <c r="D88" s="961"/>
      <c r="E88" s="961"/>
      <c r="F88" s="961"/>
      <c r="G88" s="961"/>
      <c r="H88" s="961"/>
      <c r="I88" s="961"/>
      <c r="J88" s="960"/>
      <c r="K88" s="960"/>
      <c r="L88" s="960"/>
      <c r="M88" s="960"/>
      <c r="N88" s="962"/>
      <c r="O88" s="963"/>
      <c r="P88" s="124"/>
      <c r="Q88" s="118"/>
      <c r="R88" s="960"/>
      <c r="S88" s="961"/>
      <c r="T88" s="961"/>
      <c r="U88" s="961"/>
      <c r="V88" s="961"/>
      <c r="W88" s="961"/>
      <c r="X88" s="961"/>
      <c r="Y88" s="960"/>
      <c r="Z88" s="960"/>
      <c r="AA88" s="960"/>
      <c r="AB88" s="960"/>
      <c r="AC88" s="962"/>
      <c r="AD88" s="963"/>
      <c r="AE88" s="124"/>
      <c r="AF88" s="124"/>
      <c r="AG88" s="118"/>
      <c r="AH88" s="118"/>
      <c r="AI88" s="964"/>
    </row>
    <row r="89" spans="1:35" x14ac:dyDescent="0.2">
      <c r="A89" s="959" t="s">
        <v>15</v>
      </c>
      <c r="B89" s="118">
        <v>7</v>
      </c>
      <c r="C89" s="960">
        <v>2900</v>
      </c>
      <c r="D89" s="961">
        <v>0</v>
      </c>
      <c r="E89" s="961">
        <v>0</v>
      </c>
      <c r="F89" s="961">
        <v>0</v>
      </c>
      <c r="G89" s="961">
        <v>0</v>
      </c>
      <c r="H89" s="961">
        <v>0</v>
      </c>
      <c r="I89" s="961">
        <v>0</v>
      </c>
      <c r="J89" s="960">
        <v>261</v>
      </c>
      <c r="K89" s="960">
        <f>SUM(C89:J89)</f>
        <v>3161</v>
      </c>
      <c r="L89" s="960">
        <v>6722</v>
      </c>
      <c r="M89" s="960">
        <v>3382</v>
      </c>
      <c r="N89" s="962">
        <f>SUM(L89:M89)</f>
        <v>10104</v>
      </c>
      <c r="O89" s="963">
        <f>(K89*12)+N89</f>
        <v>48036</v>
      </c>
      <c r="P89" s="124">
        <f>B89*O89</f>
        <v>336252</v>
      </c>
      <c r="Q89" s="118">
        <v>7</v>
      </c>
      <c r="R89" s="960">
        <v>2900</v>
      </c>
      <c r="S89" s="961">
        <v>0</v>
      </c>
      <c r="T89" s="961">
        <v>0</v>
      </c>
      <c r="U89" s="961">
        <v>0</v>
      </c>
      <c r="V89" s="961">
        <v>0</v>
      </c>
      <c r="W89" s="961">
        <v>0</v>
      </c>
      <c r="X89" s="961">
        <v>0</v>
      </c>
      <c r="Y89" s="960">
        <v>261</v>
      </c>
      <c r="Z89" s="960">
        <f>SUM(R89:Y89)</f>
        <v>3161</v>
      </c>
      <c r="AA89" s="960">
        <v>6722</v>
      </c>
      <c r="AB89" s="960">
        <v>3382</v>
      </c>
      <c r="AC89" s="962">
        <f>SUM(AA89:AB89)</f>
        <v>10104</v>
      </c>
      <c r="AD89" s="963">
        <f>(Z89*12)+AC89</f>
        <v>48036</v>
      </c>
      <c r="AE89" s="124">
        <f>Q89*AD89</f>
        <v>336252</v>
      </c>
      <c r="AF89" s="124">
        <f>O89-AD89</f>
        <v>0</v>
      </c>
      <c r="AG89" s="964">
        <f>P89-AE89</f>
        <v>0</v>
      </c>
      <c r="AH89" s="118">
        <v>7</v>
      </c>
      <c r="AI89" s="964">
        <v>347175</v>
      </c>
    </row>
    <row r="90" spans="1:35" x14ac:dyDescent="0.2">
      <c r="A90" s="118" t="s">
        <v>6</v>
      </c>
      <c r="B90" s="118"/>
      <c r="C90" s="960"/>
      <c r="D90" s="961"/>
      <c r="E90" s="961"/>
      <c r="F90" s="961"/>
      <c r="G90" s="961"/>
      <c r="H90" s="961"/>
      <c r="I90" s="961"/>
      <c r="J90" s="960"/>
      <c r="K90" s="960"/>
      <c r="L90" s="960"/>
      <c r="M90" s="960"/>
      <c r="N90" s="962"/>
      <c r="O90" s="963"/>
      <c r="P90" s="124"/>
      <c r="Q90" s="118"/>
      <c r="R90" s="960"/>
      <c r="S90" s="961"/>
      <c r="T90" s="961"/>
      <c r="U90" s="961"/>
      <c r="V90" s="961"/>
      <c r="W90" s="961"/>
      <c r="X90" s="961"/>
      <c r="Y90" s="960"/>
      <c r="Z90" s="960"/>
      <c r="AA90" s="960"/>
      <c r="AB90" s="960"/>
      <c r="AC90" s="962"/>
      <c r="AD90" s="963"/>
      <c r="AE90" s="124"/>
      <c r="AF90" s="900"/>
      <c r="AG90" s="118"/>
      <c r="AH90" s="118"/>
      <c r="AI90" s="964"/>
    </row>
    <row r="91" spans="1:35" x14ac:dyDescent="0.2">
      <c r="A91" s="959" t="s">
        <v>17</v>
      </c>
      <c r="B91" s="118">
        <v>2</v>
      </c>
      <c r="C91" s="960">
        <v>2000</v>
      </c>
      <c r="D91" s="961">
        <v>0</v>
      </c>
      <c r="E91" s="961">
        <v>0</v>
      </c>
      <c r="F91" s="961">
        <v>0</v>
      </c>
      <c r="G91" s="961">
        <v>0</v>
      </c>
      <c r="H91" s="961">
        <v>0</v>
      </c>
      <c r="I91" s="961">
        <v>0</v>
      </c>
      <c r="J91" s="960">
        <v>180</v>
      </c>
      <c r="K91" s="960">
        <f>SUM(C91:J91)</f>
        <v>2180</v>
      </c>
      <c r="L91" s="960">
        <v>4760</v>
      </c>
      <c r="M91" s="960">
        <v>2332</v>
      </c>
      <c r="N91" s="962">
        <f>SUM(L91:M91)</f>
        <v>7092</v>
      </c>
      <c r="O91" s="963">
        <f>(K91*12)+N91</f>
        <v>33252</v>
      </c>
      <c r="P91" s="124">
        <f>B91*O91</f>
        <v>66504</v>
      </c>
      <c r="Q91" s="118">
        <v>2</v>
      </c>
      <c r="R91" s="960">
        <v>2000</v>
      </c>
      <c r="S91" s="961">
        <v>0</v>
      </c>
      <c r="T91" s="961">
        <v>0</v>
      </c>
      <c r="U91" s="961">
        <v>0</v>
      </c>
      <c r="V91" s="961">
        <v>0</v>
      </c>
      <c r="W91" s="961">
        <v>0</v>
      </c>
      <c r="X91" s="961">
        <v>0</v>
      </c>
      <c r="Y91" s="960">
        <v>180</v>
      </c>
      <c r="Z91" s="960">
        <f>SUM(R91:Y91)</f>
        <v>2180</v>
      </c>
      <c r="AA91" s="960">
        <v>4760</v>
      </c>
      <c r="AB91" s="960">
        <v>2332</v>
      </c>
      <c r="AC91" s="962">
        <f>SUM(AA91:AB91)</f>
        <v>7092</v>
      </c>
      <c r="AD91" s="963">
        <f>(Z91*12)+AC91</f>
        <v>33252</v>
      </c>
      <c r="AE91" s="124">
        <f>Q91*AD91</f>
        <v>66504</v>
      </c>
      <c r="AF91" s="124">
        <f>O91-AD91</f>
        <v>0</v>
      </c>
      <c r="AG91" s="964">
        <f>P91-AE91</f>
        <v>0</v>
      </c>
      <c r="AH91" s="118">
        <v>2</v>
      </c>
      <c r="AI91" s="964">
        <v>68032</v>
      </c>
    </row>
    <row r="92" spans="1:35" x14ac:dyDescent="0.2">
      <c r="A92" s="118" t="s">
        <v>68</v>
      </c>
      <c r="B92" s="965"/>
      <c r="C92" s="966"/>
      <c r="D92" s="967"/>
      <c r="E92" s="967"/>
      <c r="F92" s="967"/>
      <c r="G92" s="967"/>
      <c r="H92" s="967"/>
      <c r="I92" s="967"/>
      <c r="J92" s="966"/>
      <c r="K92" s="960"/>
      <c r="L92" s="960"/>
      <c r="M92" s="960"/>
      <c r="N92" s="962"/>
      <c r="O92" s="963"/>
      <c r="P92" s="124"/>
      <c r="Q92" s="965"/>
      <c r="R92" s="956"/>
      <c r="S92" s="961"/>
      <c r="T92" s="961"/>
      <c r="U92" s="961"/>
      <c r="V92" s="961"/>
      <c r="W92" s="961"/>
      <c r="X92" s="961"/>
      <c r="Y92" s="956"/>
      <c r="Z92" s="956"/>
      <c r="AA92" s="956"/>
      <c r="AB92" s="956"/>
      <c r="AC92" s="957"/>
      <c r="AD92" s="958"/>
      <c r="AE92" s="900"/>
      <c r="AF92" s="900"/>
      <c r="AG92" s="118"/>
      <c r="AH92" s="900"/>
      <c r="AI92" s="964"/>
    </row>
    <row r="93" spans="1:35" x14ac:dyDescent="0.2">
      <c r="A93" s="118"/>
      <c r="B93" s="118"/>
      <c r="C93" s="960"/>
      <c r="D93" s="961"/>
      <c r="E93" s="961"/>
      <c r="F93" s="961"/>
      <c r="G93" s="961"/>
      <c r="H93" s="961"/>
      <c r="I93" s="961"/>
      <c r="J93" s="960"/>
      <c r="K93" s="960"/>
      <c r="L93" s="960"/>
      <c r="M93" s="960"/>
      <c r="N93" s="962"/>
      <c r="O93" s="963"/>
      <c r="P93" s="124"/>
      <c r="Q93" s="118"/>
      <c r="R93" s="956"/>
      <c r="S93" s="961"/>
      <c r="T93" s="961"/>
      <c r="U93" s="961"/>
      <c r="V93" s="961"/>
      <c r="W93" s="961"/>
      <c r="X93" s="961"/>
      <c r="Y93" s="956"/>
      <c r="Z93" s="956"/>
      <c r="AA93" s="956"/>
      <c r="AB93" s="956"/>
      <c r="AC93" s="957"/>
      <c r="AD93" s="958"/>
      <c r="AE93" s="900"/>
      <c r="AF93" s="900"/>
      <c r="AG93" s="118"/>
      <c r="AH93" s="900"/>
      <c r="AI93" s="118"/>
    </row>
    <row r="94" spans="1:35" x14ac:dyDescent="0.2">
      <c r="A94" s="118" t="s">
        <v>676</v>
      </c>
      <c r="B94" s="118"/>
      <c r="C94" s="960"/>
      <c r="D94" s="961"/>
      <c r="E94" s="961"/>
      <c r="F94" s="961"/>
      <c r="G94" s="961"/>
      <c r="H94" s="961"/>
      <c r="I94" s="961"/>
      <c r="J94" s="960"/>
      <c r="K94" s="960"/>
      <c r="L94" s="960"/>
      <c r="M94" s="960"/>
      <c r="N94" s="962"/>
      <c r="O94" s="963"/>
      <c r="P94" s="124"/>
      <c r="Q94" s="118"/>
      <c r="R94" s="956"/>
      <c r="S94" s="961"/>
      <c r="T94" s="961"/>
      <c r="U94" s="961"/>
      <c r="V94" s="961"/>
      <c r="W94" s="961"/>
      <c r="X94" s="961"/>
      <c r="Y94" s="956"/>
      <c r="Z94" s="956"/>
      <c r="AA94" s="956"/>
      <c r="AB94" s="956"/>
      <c r="AC94" s="957"/>
      <c r="AD94" s="958"/>
      <c r="AE94" s="900"/>
      <c r="AF94" s="900"/>
      <c r="AG94" s="118"/>
      <c r="AH94" s="900"/>
      <c r="AI94" s="118"/>
    </row>
    <row r="95" spans="1:35" x14ac:dyDescent="0.2">
      <c r="A95" s="118" t="s">
        <v>675</v>
      </c>
      <c r="B95" s="118"/>
      <c r="C95" s="960"/>
      <c r="D95" s="961"/>
      <c r="E95" s="961"/>
      <c r="F95" s="961"/>
      <c r="G95" s="961"/>
      <c r="H95" s="961"/>
      <c r="I95" s="961"/>
      <c r="J95" s="960"/>
      <c r="K95" s="960"/>
      <c r="L95" s="960"/>
      <c r="M95" s="960"/>
      <c r="N95" s="962"/>
      <c r="O95" s="963"/>
      <c r="P95" s="124"/>
      <c r="Q95" s="118"/>
      <c r="R95" s="956"/>
      <c r="S95" s="961"/>
      <c r="T95" s="961"/>
      <c r="U95" s="961"/>
      <c r="V95" s="961"/>
      <c r="W95" s="961"/>
      <c r="X95" s="961"/>
      <c r="Y95" s="956"/>
      <c r="Z95" s="956"/>
      <c r="AA95" s="956"/>
      <c r="AB95" s="956"/>
      <c r="AC95" s="957"/>
      <c r="AD95" s="958"/>
      <c r="AE95" s="900"/>
      <c r="AF95" s="900"/>
      <c r="AG95" s="118"/>
      <c r="AH95" s="900"/>
      <c r="AI95" s="964"/>
    </row>
    <row r="96" spans="1:35" x14ac:dyDescent="0.2">
      <c r="A96" s="959" t="s">
        <v>615</v>
      </c>
      <c r="B96" s="118">
        <v>1</v>
      </c>
      <c r="C96" s="960">
        <v>15500</v>
      </c>
      <c r="D96" s="961">
        <v>0</v>
      </c>
      <c r="E96" s="961">
        <v>0</v>
      </c>
      <c r="F96" s="961">
        <v>0</v>
      </c>
      <c r="G96" s="961">
        <v>0</v>
      </c>
      <c r="H96" s="961">
        <v>0</v>
      </c>
      <c r="I96" s="961">
        <v>0</v>
      </c>
      <c r="J96" s="960">
        <v>175</v>
      </c>
      <c r="K96" s="960">
        <f>SUM(C96:J96)</f>
        <v>15675</v>
      </c>
      <c r="L96" s="960">
        <v>600</v>
      </c>
      <c r="M96" s="960">
        <v>15500</v>
      </c>
      <c r="N96" s="962">
        <f>SUM(L96:M96)</f>
        <v>16100</v>
      </c>
      <c r="O96" s="963">
        <f>(K96*12)+N96</f>
        <v>204200</v>
      </c>
      <c r="P96" s="124">
        <f>B96*O96</f>
        <v>204200</v>
      </c>
      <c r="Q96" s="118">
        <v>1</v>
      </c>
      <c r="R96" s="960">
        <v>15500</v>
      </c>
      <c r="S96" s="961">
        <v>0</v>
      </c>
      <c r="T96" s="961">
        <v>0</v>
      </c>
      <c r="U96" s="961">
        <v>0</v>
      </c>
      <c r="V96" s="961">
        <v>0</v>
      </c>
      <c r="W96" s="961">
        <v>0</v>
      </c>
      <c r="X96" s="961">
        <v>0</v>
      </c>
      <c r="Y96" s="960">
        <v>218</v>
      </c>
      <c r="Z96" s="960">
        <f>SUM(R96:Y96)</f>
        <v>15718</v>
      </c>
      <c r="AA96" s="960">
        <v>600</v>
      </c>
      <c r="AB96" s="960">
        <v>15500</v>
      </c>
      <c r="AC96" s="962">
        <f>SUM(AA96:AB96)</f>
        <v>16100</v>
      </c>
      <c r="AD96" s="963">
        <f>(Z96*12)+AC96</f>
        <v>204716</v>
      </c>
      <c r="AE96" s="124">
        <f>Q96*AD96</f>
        <v>204716</v>
      </c>
      <c r="AF96" s="124">
        <f>O96-AD96</f>
        <v>-516</v>
      </c>
      <c r="AG96" s="964">
        <f>P96-AE96</f>
        <v>-516</v>
      </c>
      <c r="AH96" s="118">
        <v>1</v>
      </c>
      <c r="AI96" s="964">
        <v>189214</v>
      </c>
    </row>
    <row r="97" spans="1:35" x14ac:dyDescent="0.2">
      <c r="A97" s="118" t="s">
        <v>4</v>
      </c>
      <c r="B97" s="118"/>
      <c r="C97" s="960"/>
      <c r="D97" s="961"/>
      <c r="E97" s="961"/>
      <c r="F97" s="961"/>
      <c r="G97" s="961"/>
      <c r="H97" s="961"/>
      <c r="I97" s="961"/>
      <c r="J97" s="960"/>
      <c r="K97" s="960"/>
      <c r="L97" s="960"/>
      <c r="M97" s="960"/>
      <c r="N97" s="962"/>
      <c r="O97" s="963"/>
      <c r="P97" s="124"/>
      <c r="Q97" s="118"/>
      <c r="R97" s="960"/>
      <c r="S97" s="961"/>
      <c r="T97" s="961"/>
      <c r="U97" s="961"/>
      <c r="V97" s="961"/>
      <c r="W97" s="961"/>
      <c r="X97" s="961"/>
      <c r="Y97" s="960"/>
      <c r="Z97" s="960"/>
      <c r="AA97" s="960"/>
      <c r="AB97" s="960"/>
      <c r="AC97" s="957"/>
      <c r="AD97" s="963"/>
      <c r="AE97" s="900"/>
      <c r="AF97" s="900"/>
      <c r="AG97" s="118"/>
      <c r="AH97" s="118"/>
      <c r="AI97" s="964"/>
    </row>
    <row r="98" spans="1:35" x14ac:dyDescent="0.2">
      <c r="A98" s="959" t="s">
        <v>14</v>
      </c>
      <c r="B98" s="118">
        <v>27</v>
      </c>
      <c r="C98" s="960">
        <v>6150</v>
      </c>
      <c r="D98" s="961">
        <v>0</v>
      </c>
      <c r="E98" s="961">
        <v>0</v>
      </c>
      <c r="F98" s="961">
        <v>0</v>
      </c>
      <c r="G98" s="961">
        <v>0</v>
      </c>
      <c r="H98" s="961">
        <v>0</v>
      </c>
      <c r="I98" s="961">
        <v>0</v>
      </c>
      <c r="J98" s="960">
        <v>175</v>
      </c>
      <c r="K98" s="960">
        <f>SUM(C98:J98)</f>
        <v>6325</v>
      </c>
      <c r="L98" s="960">
        <v>600</v>
      </c>
      <c r="M98" s="960">
        <v>10650</v>
      </c>
      <c r="N98" s="962">
        <f>SUM(L98:M98)</f>
        <v>11250</v>
      </c>
      <c r="O98" s="963">
        <f>(K98*12)+N98</f>
        <v>87150</v>
      </c>
      <c r="P98" s="124">
        <f>B98*O98</f>
        <v>2353050</v>
      </c>
      <c r="Q98" s="118">
        <v>24</v>
      </c>
      <c r="R98" s="960">
        <v>6720</v>
      </c>
      <c r="S98" s="961">
        <v>0</v>
      </c>
      <c r="T98" s="961">
        <v>0</v>
      </c>
      <c r="U98" s="961">
        <v>0</v>
      </c>
      <c r="V98" s="961">
        <v>0</v>
      </c>
      <c r="W98" s="961">
        <v>0</v>
      </c>
      <c r="X98" s="961">
        <v>0</v>
      </c>
      <c r="Y98" s="960">
        <v>218</v>
      </c>
      <c r="Z98" s="960">
        <f>SUM(R98:Y98)</f>
        <v>6938</v>
      </c>
      <c r="AA98" s="960">
        <v>600</v>
      </c>
      <c r="AB98" s="960">
        <v>7000</v>
      </c>
      <c r="AC98" s="962">
        <f>SUM(AA98:AB98)</f>
        <v>7600</v>
      </c>
      <c r="AD98" s="963">
        <f>(Z98*12)+AC98</f>
        <v>90856</v>
      </c>
      <c r="AE98" s="124">
        <f>Q98*AD98</f>
        <v>2180544</v>
      </c>
      <c r="AF98" s="124">
        <f>O98-AD98</f>
        <v>-3706</v>
      </c>
      <c r="AG98" s="964">
        <f>P98-AE98</f>
        <v>172506</v>
      </c>
      <c r="AH98" s="118">
        <v>24</v>
      </c>
      <c r="AI98" s="964">
        <v>2103850</v>
      </c>
    </row>
    <row r="99" spans="1:35" x14ac:dyDescent="0.2">
      <c r="A99" s="959" t="s">
        <v>638</v>
      </c>
      <c r="B99" s="118"/>
      <c r="C99" s="960"/>
      <c r="D99" s="961"/>
      <c r="E99" s="961"/>
      <c r="F99" s="961"/>
      <c r="G99" s="961"/>
      <c r="H99" s="961"/>
      <c r="I99" s="961"/>
      <c r="J99" s="960"/>
      <c r="K99" s="960"/>
      <c r="L99" s="960"/>
      <c r="M99" s="960"/>
      <c r="N99" s="962"/>
      <c r="O99" s="963"/>
      <c r="P99" s="124"/>
      <c r="Q99" s="118"/>
      <c r="R99" s="960"/>
      <c r="S99" s="961"/>
      <c r="T99" s="961"/>
      <c r="U99" s="961"/>
      <c r="V99" s="961"/>
      <c r="W99" s="961"/>
      <c r="X99" s="961"/>
      <c r="Y99" s="960"/>
      <c r="Z99" s="960"/>
      <c r="AA99" s="960"/>
      <c r="AB99" s="960"/>
      <c r="AC99" s="957"/>
      <c r="AD99" s="963"/>
      <c r="AE99" s="900"/>
      <c r="AF99" s="900"/>
      <c r="AG99" s="118"/>
      <c r="AH99" s="118"/>
      <c r="AI99" s="964"/>
    </row>
    <row r="100" spans="1:35" x14ac:dyDescent="0.2">
      <c r="A100" s="959" t="s">
        <v>639</v>
      </c>
      <c r="B100" s="118"/>
      <c r="C100" s="960"/>
      <c r="D100" s="961"/>
      <c r="E100" s="961"/>
      <c r="F100" s="961"/>
      <c r="G100" s="961"/>
      <c r="H100" s="961"/>
      <c r="I100" s="961"/>
      <c r="J100" s="960"/>
      <c r="K100" s="960"/>
      <c r="L100" s="960"/>
      <c r="M100" s="960"/>
      <c r="N100" s="962"/>
      <c r="O100" s="963"/>
      <c r="P100" s="124"/>
      <c r="Q100" s="118"/>
      <c r="R100" s="960"/>
      <c r="S100" s="961"/>
      <c r="T100" s="961"/>
      <c r="U100" s="961"/>
      <c r="V100" s="961"/>
      <c r="W100" s="961"/>
      <c r="X100" s="961"/>
      <c r="Y100" s="960"/>
      <c r="Z100" s="960"/>
      <c r="AA100" s="960"/>
      <c r="AB100" s="960"/>
      <c r="AC100" s="957"/>
      <c r="AD100" s="963"/>
      <c r="AE100" s="900"/>
      <c r="AF100" s="900"/>
      <c r="AG100" s="118"/>
      <c r="AH100" s="118"/>
      <c r="AI100" s="964"/>
    </row>
    <row r="101" spans="1:35" x14ac:dyDescent="0.2">
      <c r="A101" s="959" t="s">
        <v>640</v>
      </c>
      <c r="B101" s="118">
        <v>2</v>
      </c>
      <c r="C101" s="960">
        <v>5400</v>
      </c>
      <c r="D101" s="961">
        <v>0</v>
      </c>
      <c r="E101" s="961">
        <v>0</v>
      </c>
      <c r="F101" s="961">
        <v>0</v>
      </c>
      <c r="G101" s="961">
        <v>0</v>
      </c>
      <c r="H101" s="961">
        <v>0</v>
      </c>
      <c r="I101" s="961">
        <v>0</v>
      </c>
      <c r="J101" s="960">
        <v>175</v>
      </c>
      <c r="K101" s="960">
        <f>SUM(C101:J101)</f>
        <v>5575</v>
      </c>
      <c r="L101" s="960">
        <v>600</v>
      </c>
      <c r="M101" s="960">
        <v>39700</v>
      </c>
      <c r="N101" s="962">
        <f>SUM(L101:M101)</f>
        <v>40300</v>
      </c>
      <c r="O101" s="963">
        <f>(K101*12)+N101</f>
        <v>107200</v>
      </c>
      <c r="P101" s="124">
        <f>B101*O101</f>
        <v>214400</v>
      </c>
      <c r="Q101" s="118">
        <v>2</v>
      </c>
      <c r="R101" s="960">
        <v>5500</v>
      </c>
      <c r="S101" s="961">
        <v>0</v>
      </c>
      <c r="T101" s="961">
        <v>0</v>
      </c>
      <c r="U101" s="961">
        <v>0</v>
      </c>
      <c r="V101" s="961">
        <v>0</v>
      </c>
      <c r="W101" s="961">
        <v>0</v>
      </c>
      <c r="X101" s="961">
        <v>0</v>
      </c>
      <c r="Y101" s="960">
        <v>218</v>
      </c>
      <c r="Z101" s="960">
        <f>SUM(R101:Y101)</f>
        <v>5718</v>
      </c>
      <c r="AA101" s="960">
        <v>600</v>
      </c>
      <c r="AB101" s="960">
        <v>5500</v>
      </c>
      <c r="AC101" s="962">
        <f>SUM(AA101:AB101)</f>
        <v>6100</v>
      </c>
      <c r="AD101" s="963">
        <f>(Z101*12)+AC101</f>
        <v>74716</v>
      </c>
      <c r="AE101" s="124">
        <f>Q101*AD101</f>
        <v>149432</v>
      </c>
      <c r="AF101" s="124">
        <f>O101-AD101</f>
        <v>32484</v>
      </c>
      <c r="AG101" s="964">
        <f>P101-AE101</f>
        <v>64968</v>
      </c>
      <c r="AH101" s="118">
        <v>2</v>
      </c>
      <c r="AI101" s="964">
        <v>138427.20000000001</v>
      </c>
    </row>
    <row r="102" spans="1:35" x14ac:dyDescent="0.2">
      <c r="A102" s="118" t="s">
        <v>5</v>
      </c>
      <c r="B102" s="118"/>
      <c r="C102" s="960"/>
      <c r="D102" s="961"/>
      <c r="E102" s="961"/>
      <c r="F102" s="961"/>
      <c r="G102" s="961"/>
      <c r="H102" s="961"/>
      <c r="I102" s="961"/>
      <c r="J102" s="960"/>
      <c r="K102" s="960"/>
      <c r="L102" s="960"/>
      <c r="M102" s="960"/>
      <c r="N102" s="962"/>
      <c r="O102" s="963"/>
      <c r="P102" s="124"/>
      <c r="Q102" s="118"/>
      <c r="R102" s="960"/>
      <c r="S102" s="961"/>
      <c r="T102" s="961"/>
      <c r="U102" s="961"/>
      <c r="V102" s="961"/>
      <c r="W102" s="961"/>
      <c r="X102" s="961"/>
      <c r="Y102" s="960"/>
      <c r="Z102" s="960"/>
      <c r="AA102" s="960"/>
      <c r="AB102" s="960"/>
      <c r="AC102" s="957"/>
      <c r="AD102" s="963"/>
      <c r="AE102" s="900"/>
      <c r="AF102" s="900"/>
      <c r="AG102" s="118"/>
      <c r="AH102" s="118"/>
      <c r="AI102" s="964"/>
    </row>
    <row r="103" spans="1:35" x14ac:dyDescent="0.2">
      <c r="A103" s="959" t="s">
        <v>15</v>
      </c>
      <c r="B103" s="118">
        <v>6</v>
      </c>
      <c r="C103" s="960">
        <v>4146</v>
      </c>
      <c r="D103" s="961">
        <v>0</v>
      </c>
      <c r="E103" s="961">
        <v>0</v>
      </c>
      <c r="F103" s="961">
        <v>0</v>
      </c>
      <c r="G103" s="961">
        <v>0</v>
      </c>
      <c r="H103" s="961">
        <v>0</v>
      </c>
      <c r="I103" s="961">
        <v>0</v>
      </c>
      <c r="J103" s="960">
        <v>175</v>
      </c>
      <c r="K103" s="960">
        <f>SUM(C103:J103)</f>
        <v>4321</v>
      </c>
      <c r="L103" s="960">
        <v>600</v>
      </c>
      <c r="M103" s="960">
        <v>13476</v>
      </c>
      <c r="N103" s="962">
        <f>SUM(L103:M103)</f>
        <v>14076</v>
      </c>
      <c r="O103" s="963">
        <f>(K103*12)+N103</f>
        <v>65928</v>
      </c>
      <c r="P103" s="124">
        <f>B103*O103</f>
        <v>395568</v>
      </c>
      <c r="Q103" s="118">
        <v>7</v>
      </c>
      <c r="R103" s="960">
        <v>3570</v>
      </c>
      <c r="S103" s="961">
        <v>0</v>
      </c>
      <c r="T103" s="961">
        <v>0</v>
      </c>
      <c r="U103" s="961">
        <v>0</v>
      </c>
      <c r="V103" s="961">
        <v>0</v>
      </c>
      <c r="W103" s="961">
        <v>0</v>
      </c>
      <c r="X103" s="961">
        <v>0</v>
      </c>
      <c r="Y103" s="960">
        <v>218</v>
      </c>
      <c r="Z103" s="960">
        <f>SUM(R103:Y103)</f>
        <v>3788</v>
      </c>
      <c r="AA103" s="960">
        <v>600</v>
      </c>
      <c r="AB103" s="960">
        <v>4000</v>
      </c>
      <c r="AC103" s="962">
        <f>SUM(AA103:AB103)</f>
        <v>4600</v>
      </c>
      <c r="AD103" s="963">
        <f>(Z103*12)+AC103</f>
        <v>50056</v>
      </c>
      <c r="AE103" s="124">
        <f>Q103*AD103</f>
        <v>350392</v>
      </c>
      <c r="AF103" s="124">
        <f>O103-AD103</f>
        <v>15872</v>
      </c>
      <c r="AG103" s="964">
        <f>P103-AE103</f>
        <v>45176</v>
      </c>
      <c r="AH103" s="118">
        <v>7</v>
      </c>
      <c r="AI103" s="964">
        <v>326579</v>
      </c>
    </row>
    <row r="104" spans="1:35" x14ac:dyDescent="0.2">
      <c r="A104" s="118" t="s">
        <v>6</v>
      </c>
      <c r="B104" s="118"/>
      <c r="C104" s="960"/>
      <c r="D104" s="961"/>
      <c r="E104" s="961"/>
      <c r="F104" s="961"/>
      <c r="G104" s="961"/>
      <c r="H104" s="961"/>
      <c r="I104" s="961"/>
      <c r="J104" s="960"/>
      <c r="K104" s="960"/>
      <c r="L104" s="960"/>
      <c r="M104" s="960"/>
      <c r="N104" s="962"/>
      <c r="O104" s="963"/>
      <c r="P104" s="124"/>
      <c r="Q104" s="118"/>
      <c r="R104" s="960"/>
      <c r="S104" s="961"/>
      <c r="T104" s="961"/>
      <c r="U104" s="961"/>
      <c r="V104" s="961"/>
      <c r="W104" s="961"/>
      <c r="X104" s="961"/>
      <c r="Y104" s="960"/>
      <c r="Z104" s="960"/>
      <c r="AA104" s="960"/>
      <c r="AB104" s="960"/>
      <c r="AC104" s="957"/>
      <c r="AD104" s="963"/>
      <c r="AE104" s="900"/>
      <c r="AF104" s="900"/>
      <c r="AG104" s="118"/>
      <c r="AH104" s="118"/>
      <c r="AI104" s="964"/>
    </row>
    <row r="105" spans="1:35" x14ac:dyDescent="0.2">
      <c r="A105" s="959" t="s">
        <v>17</v>
      </c>
      <c r="B105" s="118">
        <v>4</v>
      </c>
      <c r="C105" s="960">
        <v>2500</v>
      </c>
      <c r="D105" s="961">
        <v>0</v>
      </c>
      <c r="E105" s="961">
        <v>0</v>
      </c>
      <c r="F105" s="961">
        <v>0</v>
      </c>
      <c r="G105" s="961">
        <v>0</v>
      </c>
      <c r="H105" s="961">
        <v>0</v>
      </c>
      <c r="I105" s="961">
        <v>0</v>
      </c>
      <c r="J105" s="960">
        <v>175</v>
      </c>
      <c r="K105" s="960">
        <f>SUM(C105:J105)</f>
        <v>2675</v>
      </c>
      <c r="L105" s="960">
        <v>600</v>
      </c>
      <c r="M105" s="960">
        <v>13500</v>
      </c>
      <c r="N105" s="962">
        <f>SUM(L105:M105)</f>
        <v>14100</v>
      </c>
      <c r="O105" s="963">
        <f>(K105*12)+N105</f>
        <v>46200</v>
      </c>
      <c r="P105" s="124">
        <f>B105*O105</f>
        <v>184800</v>
      </c>
      <c r="Q105" s="118">
        <v>4</v>
      </c>
      <c r="R105" s="960">
        <v>2250</v>
      </c>
      <c r="S105" s="961">
        <v>0</v>
      </c>
      <c r="T105" s="961">
        <v>0</v>
      </c>
      <c r="U105" s="961">
        <v>0</v>
      </c>
      <c r="V105" s="961">
        <v>0</v>
      </c>
      <c r="W105" s="961">
        <v>0</v>
      </c>
      <c r="X105" s="961">
        <v>0</v>
      </c>
      <c r="Y105" s="960">
        <v>218</v>
      </c>
      <c r="Z105" s="960">
        <f>SUM(R105:Y105)</f>
        <v>2468</v>
      </c>
      <c r="AA105" s="960">
        <v>600</v>
      </c>
      <c r="AB105" s="960">
        <v>2500</v>
      </c>
      <c r="AC105" s="962">
        <f>SUM(AA105:AB105)</f>
        <v>3100</v>
      </c>
      <c r="AD105" s="963">
        <f>(Z105*12)+AC105</f>
        <v>32716</v>
      </c>
      <c r="AE105" s="124">
        <f>Q105*AD105</f>
        <v>130864</v>
      </c>
      <c r="AF105" s="124">
        <f>O105-AD105</f>
        <v>13484</v>
      </c>
      <c r="AG105" s="964">
        <f>P105-AE105</f>
        <v>53936</v>
      </c>
      <c r="AH105" s="118">
        <v>4</v>
      </c>
      <c r="AI105" s="964">
        <v>119947</v>
      </c>
    </row>
    <row r="106" spans="1:35" x14ac:dyDescent="0.2">
      <c r="A106" s="464"/>
      <c r="B106" s="464"/>
      <c r="C106" s="573"/>
      <c r="D106" s="573"/>
      <c r="E106" s="573"/>
      <c r="F106" s="573"/>
      <c r="G106" s="573"/>
      <c r="H106" s="573"/>
      <c r="I106" s="573"/>
      <c r="J106" s="573"/>
      <c r="K106" s="573"/>
      <c r="L106" s="573"/>
      <c r="M106" s="573"/>
      <c r="N106" s="470"/>
      <c r="O106" s="574"/>
      <c r="P106" s="468"/>
      <c r="Q106" s="464"/>
      <c r="R106" s="573"/>
      <c r="S106" s="573"/>
      <c r="T106" s="573"/>
      <c r="U106" s="573"/>
      <c r="V106" s="573"/>
      <c r="W106" s="573"/>
      <c r="X106" s="573"/>
      <c r="Y106" s="573"/>
      <c r="Z106" s="573"/>
      <c r="AA106" s="573"/>
      <c r="AB106" s="573"/>
      <c r="AC106" s="465"/>
      <c r="AD106" s="347"/>
      <c r="AE106" s="463"/>
      <c r="AF106" s="463"/>
      <c r="AG106" s="464"/>
      <c r="AH106" s="463"/>
      <c r="AI106" s="469"/>
    </row>
    <row r="107" spans="1:35" ht="12.75" thickBot="1" x14ac:dyDescent="0.25">
      <c r="A107" s="467"/>
      <c r="B107" s="464"/>
      <c r="C107" s="573"/>
      <c r="D107" s="573"/>
      <c r="E107" s="573"/>
      <c r="F107" s="573"/>
      <c r="G107" s="573"/>
      <c r="H107" s="573"/>
      <c r="I107" s="573"/>
      <c r="J107" s="573"/>
      <c r="K107" s="573"/>
      <c r="L107" s="573"/>
      <c r="M107" s="573"/>
      <c r="N107" s="470"/>
      <c r="O107" s="574"/>
      <c r="P107" s="468"/>
      <c r="Q107" s="464"/>
      <c r="R107" s="307"/>
      <c r="S107" s="307"/>
      <c r="T107" s="307"/>
      <c r="U107" s="307"/>
      <c r="V107" s="307"/>
      <c r="W107" s="307"/>
      <c r="X107" s="307"/>
      <c r="Y107" s="307"/>
      <c r="Z107" s="307"/>
      <c r="AA107" s="307"/>
      <c r="AB107" s="307"/>
      <c r="AC107" s="465"/>
      <c r="AD107" s="347"/>
      <c r="AE107" s="463"/>
      <c r="AF107" s="463"/>
      <c r="AG107" s="464"/>
      <c r="AH107" s="463"/>
      <c r="AI107" s="464"/>
    </row>
    <row r="108" spans="1:35" ht="12.75" thickBot="1" x14ac:dyDescent="0.25">
      <c r="A108" s="719" t="s">
        <v>0</v>
      </c>
      <c r="B108" s="884">
        <f t="shared" ref="B108:P108" si="29">SUM(B79:B107)</f>
        <v>88</v>
      </c>
      <c r="C108" s="884">
        <f t="shared" si="29"/>
        <v>88112</v>
      </c>
      <c r="D108" s="884">
        <f t="shared" si="29"/>
        <v>0</v>
      </c>
      <c r="E108" s="884">
        <f t="shared" si="29"/>
        <v>0</v>
      </c>
      <c r="F108" s="884">
        <f t="shared" si="29"/>
        <v>0</v>
      </c>
      <c r="G108" s="884">
        <f t="shared" si="29"/>
        <v>0</v>
      </c>
      <c r="H108" s="884">
        <f t="shared" si="29"/>
        <v>0</v>
      </c>
      <c r="I108" s="884">
        <f t="shared" si="29"/>
        <v>0</v>
      </c>
      <c r="J108" s="884">
        <f t="shared" si="29"/>
        <v>5861</v>
      </c>
      <c r="K108" s="884">
        <f t="shared" si="29"/>
        <v>93973</v>
      </c>
      <c r="L108" s="884">
        <f t="shared" si="29"/>
        <v>126931</v>
      </c>
      <c r="M108" s="884">
        <f t="shared" si="29"/>
        <v>160933</v>
      </c>
      <c r="N108" s="884">
        <f t="shared" si="29"/>
        <v>287864</v>
      </c>
      <c r="O108" s="884">
        <f t="shared" si="29"/>
        <v>1415540</v>
      </c>
      <c r="P108" s="884">
        <f t="shared" si="29"/>
        <v>8798961</v>
      </c>
      <c r="Q108" s="884"/>
      <c r="R108" s="884">
        <f t="shared" ref="R108:AI108" si="30">SUM(R79:R107)</f>
        <v>88894</v>
      </c>
      <c r="S108" s="884">
        <f t="shared" si="30"/>
        <v>0</v>
      </c>
      <c r="T108" s="884">
        <f t="shared" si="30"/>
        <v>0</v>
      </c>
      <c r="U108" s="884">
        <f t="shared" si="30"/>
        <v>0</v>
      </c>
      <c r="V108" s="884">
        <f t="shared" si="30"/>
        <v>0</v>
      </c>
      <c r="W108" s="884">
        <f t="shared" si="30"/>
        <v>0</v>
      </c>
      <c r="X108" s="884">
        <f t="shared" si="30"/>
        <v>0</v>
      </c>
      <c r="Y108" s="884">
        <f t="shared" si="30"/>
        <v>6074</v>
      </c>
      <c r="Z108" s="884">
        <f t="shared" si="30"/>
        <v>94968</v>
      </c>
      <c r="AA108" s="884">
        <f t="shared" si="30"/>
        <v>126872</v>
      </c>
      <c r="AB108" s="884">
        <f t="shared" si="30"/>
        <v>102607</v>
      </c>
      <c r="AC108" s="884">
        <f t="shared" si="30"/>
        <v>229479</v>
      </c>
      <c r="AD108" s="884">
        <f t="shared" si="30"/>
        <v>1369095</v>
      </c>
      <c r="AE108" s="884">
        <f t="shared" si="30"/>
        <v>8239917</v>
      </c>
      <c r="AF108" s="884">
        <f t="shared" si="30"/>
        <v>46445</v>
      </c>
      <c r="AG108" s="884">
        <f t="shared" si="30"/>
        <v>559044</v>
      </c>
      <c r="AH108" s="884">
        <f t="shared" si="30"/>
        <v>85</v>
      </c>
      <c r="AI108" s="884">
        <f t="shared" si="30"/>
        <v>7193927.2000000002</v>
      </c>
    </row>
    <row r="109" spans="1:35" x14ac:dyDescent="0.2">
      <c r="A109" s="462" t="s">
        <v>70</v>
      </c>
    </row>
    <row r="110" spans="1:35" x14ac:dyDescent="0.2">
      <c r="A110" s="462" t="s">
        <v>71</v>
      </c>
      <c r="B110" s="462" t="s">
        <v>677</v>
      </c>
    </row>
    <row r="111" spans="1:35" x14ac:dyDescent="0.2">
      <c r="A111" s="462" t="s">
        <v>72</v>
      </c>
      <c r="B111" s="462" t="s">
        <v>73</v>
      </c>
    </row>
    <row r="112" spans="1:35" x14ac:dyDescent="0.2">
      <c r="A112" s="462" t="s">
        <v>74</v>
      </c>
      <c r="B112" s="462" t="s">
        <v>75</v>
      </c>
    </row>
    <row r="113" spans="1:2" x14ac:dyDescent="0.2">
      <c r="A113" s="462" t="s">
        <v>76</v>
      </c>
      <c r="B113" s="462" t="s">
        <v>77</v>
      </c>
    </row>
    <row r="114" spans="1:2" x14ac:dyDescent="0.2">
      <c r="B114" s="462" t="s">
        <v>78</v>
      </c>
    </row>
    <row r="115" spans="1:2" x14ac:dyDescent="0.2">
      <c r="A115" s="462" t="s">
        <v>79</v>
      </c>
      <c r="B115" s="462" t="s">
        <v>153</v>
      </c>
    </row>
    <row r="116" spans="1:2" x14ac:dyDescent="0.2">
      <c r="B116" s="462" t="s">
        <v>80</v>
      </c>
    </row>
    <row r="117" spans="1:2" x14ac:dyDescent="0.2">
      <c r="B117" s="462" t="s">
        <v>81</v>
      </c>
    </row>
    <row r="118" spans="1:2" x14ac:dyDescent="0.2">
      <c r="B118" s="462" t="s">
        <v>82</v>
      </c>
    </row>
    <row r="119" spans="1:2" x14ac:dyDescent="0.2">
      <c r="A119" s="462" t="s">
        <v>187</v>
      </c>
      <c r="B119" s="462" t="s">
        <v>188</v>
      </c>
    </row>
    <row r="120" spans="1:2" x14ac:dyDescent="0.2">
      <c r="A120" s="462" t="s">
        <v>189</v>
      </c>
      <c r="B120" s="462" t="s">
        <v>158</v>
      </c>
    </row>
    <row r="121" spans="1:2" x14ac:dyDescent="0.2">
      <c r="A121" s="462" t="s">
        <v>190</v>
      </c>
      <c r="B121" s="462" t="s">
        <v>154</v>
      </c>
    </row>
    <row r="122" spans="1:2" x14ac:dyDescent="0.2">
      <c r="B122" s="462" t="s">
        <v>80</v>
      </c>
    </row>
    <row r="123" spans="1:2" x14ac:dyDescent="0.2">
      <c r="B123" s="462" t="s">
        <v>81</v>
      </c>
    </row>
    <row r="124" spans="1:2" x14ac:dyDescent="0.2">
      <c r="B124" s="462" t="s">
        <v>119</v>
      </c>
    </row>
    <row r="125" spans="1:2" x14ac:dyDescent="0.2">
      <c r="A125" s="462" t="s">
        <v>199</v>
      </c>
      <c r="B125" s="462" t="s">
        <v>200</v>
      </c>
    </row>
    <row r="126" spans="1:2" x14ac:dyDescent="0.2">
      <c r="A126" s="462" t="s">
        <v>197</v>
      </c>
      <c r="B126" s="462" t="s">
        <v>193</v>
      </c>
    </row>
    <row r="127" spans="1:2" x14ac:dyDescent="0.2">
      <c r="A127" s="462" t="s">
        <v>198</v>
      </c>
      <c r="B127" s="462" t="s">
        <v>201</v>
      </c>
    </row>
    <row r="133" spans="1:35" ht="12.75" thickBot="1" x14ac:dyDescent="0.25">
      <c r="A133" s="621" t="s">
        <v>641</v>
      </c>
      <c r="B133" s="582"/>
      <c r="C133" s="582"/>
      <c r="D133" s="582"/>
      <c r="E133" s="582"/>
      <c r="F133" s="582"/>
      <c r="G133" s="582"/>
      <c r="H133" s="582"/>
      <c r="I133" s="582"/>
      <c r="J133" s="582"/>
      <c r="K133" s="582"/>
      <c r="L133" s="582"/>
      <c r="M133" s="582"/>
      <c r="N133" s="582"/>
      <c r="O133" s="582"/>
      <c r="P133" s="582"/>
      <c r="Q133" s="582"/>
      <c r="R133" s="582"/>
      <c r="S133" s="582"/>
      <c r="T133" s="583"/>
      <c r="U133" s="582"/>
      <c r="V133" s="582"/>
      <c r="W133" s="582"/>
      <c r="X133" s="582"/>
      <c r="Y133" s="582"/>
      <c r="Z133" s="582"/>
      <c r="AA133" s="582"/>
      <c r="AB133" s="584"/>
      <c r="AC133" s="582"/>
      <c r="AD133" s="582"/>
      <c r="AE133" s="582"/>
      <c r="AF133" s="582"/>
      <c r="AG133" s="582"/>
      <c r="AH133" s="582"/>
      <c r="AI133" s="582"/>
    </row>
    <row r="134" spans="1:35" ht="12.75" thickBot="1" x14ac:dyDescent="0.25">
      <c r="A134" s="1477" t="s">
        <v>60</v>
      </c>
      <c r="B134" s="1480" t="s">
        <v>382</v>
      </c>
      <c r="C134" s="1480"/>
      <c r="D134" s="1480"/>
      <c r="E134" s="1480"/>
      <c r="F134" s="1480"/>
      <c r="G134" s="1480"/>
      <c r="H134" s="1480"/>
      <c r="I134" s="1480"/>
      <c r="J134" s="1480"/>
      <c r="K134" s="1480"/>
      <c r="L134" s="1480"/>
      <c r="M134" s="1480"/>
      <c r="N134" s="1480"/>
      <c r="O134" s="1480"/>
      <c r="P134" s="1480"/>
      <c r="Q134" s="1481" t="s">
        <v>406</v>
      </c>
      <c r="R134" s="1480"/>
      <c r="S134" s="1480"/>
      <c r="T134" s="1480"/>
      <c r="U134" s="1480"/>
      <c r="V134" s="1480"/>
      <c r="W134" s="1480"/>
      <c r="X134" s="1480"/>
      <c r="Y134" s="1480"/>
      <c r="Z134" s="1480"/>
      <c r="AA134" s="1480"/>
      <c r="AB134" s="1480"/>
      <c r="AC134" s="1480"/>
      <c r="AD134" s="1480"/>
      <c r="AE134" s="1482"/>
      <c r="AF134" s="1483" t="s">
        <v>407</v>
      </c>
      <c r="AG134" s="1484"/>
      <c r="AH134" s="1483" t="s">
        <v>408</v>
      </c>
      <c r="AI134" s="1484"/>
    </row>
    <row r="135" spans="1:35" ht="137.25" x14ac:dyDescent="0.2">
      <c r="A135" s="1478"/>
      <c r="B135" s="585" t="s">
        <v>11</v>
      </c>
      <c r="C135" s="586" t="s">
        <v>147</v>
      </c>
      <c r="D135" s="587" t="s">
        <v>270</v>
      </c>
      <c r="E135" s="587" t="s">
        <v>149</v>
      </c>
      <c r="F135" s="587" t="s">
        <v>183</v>
      </c>
      <c r="G135" s="587" t="s">
        <v>184</v>
      </c>
      <c r="H135" s="587" t="s">
        <v>185</v>
      </c>
      <c r="I135" s="587" t="s">
        <v>186</v>
      </c>
      <c r="J135" s="587" t="s">
        <v>150</v>
      </c>
      <c r="K135" s="587" t="s">
        <v>151</v>
      </c>
      <c r="L135" s="587" t="s">
        <v>152</v>
      </c>
      <c r="M135" s="587" t="s">
        <v>182</v>
      </c>
      <c r="N135" s="589" t="s">
        <v>121</v>
      </c>
      <c r="O135" s="590" t="s">
        <v>157</v>
      </c>
      <c r="P135" s="591" t="s">
        <v>156</v>
      </c>
      <c r="Q135" s="585" t="s">
        <v>11</v>
      </c>
      <c r="R135" s="586" t="s">
        <v>147</v>
      </c>
      <c r="S135" s="587" t="s">
        <v>148</v>
      </c>
      <c r="T135" s="587" t="s">
        <v>149</v>
      </c>
      <c r="U135" s="587" t="s">
        <v>183</v>
      </c>
      <c r="V135" s="587" t="s">
        <v>184</v>
      </c>
      <c r="W135" s="587" t="s">
        <v>185</v>
      </c>
      <c r="X135" s="587" t="s">
        <v>186</v>
      </c>
      <c r="Y135" s="587" t="s">
        <v>150</v>
      </c>
      <c r="Z135" s="587" t="s">
        <v>151</v>
      </c>
      <c r="AA135" s="587" t="s">
        <v>152</v>
      </c>
      <c r="AB135" s="588" t="s">
        <v>182</v>
      </c>
      <c r="AC135" s="589" t="s">
        <v>121</v>
      </c>
      <c r="AD135" s="590" t="s">
        <v>157</v>
      </c>
      <c r="AE135" s="591" t="s">
        <v>452</v>
      </c>
      <c r="AF135" s="585" t="s">
        <v>161</v>
      </c>
      <c r="AG135" s="585" t="s">
        <v>160</v>
      </c>
      <c r="AH135" s="585" t="s">
        <v>11</v>
      </c>
      <c r="AI135" s="591" t="s">
        <v>453</v>
      </c>
    </row>
    <row r="136" spans="1:35" ht="12.75" thickBot="1" x14ac:dyDescent="0.25">
      <c r="A136" s="1479"/>
      <c r="B136" s="592" t="s">
        <v>61</v>
      </c>
      <c r="C136" s="593" t="s">
        <v>62</v>
      </c>
      <c r="D136" s="594" t="s">
        <v>63</v>
      </c>
      <c r="E136" s="594" t="s">
        <v>64</v>
      </c>
      <c r="F136" s="595" t="s">
        <v>65</v>
      </c>
      <c r="G136" s="595" t="s">
        <v>66</v>
      </c>
      <c r="H136" s="595" t="s">
        <v>83</v>
      </c>
      <c r="I136" s="595" t="s">
        <v>120</v>
      </c>
      <c r="J136" s="595" t="s">
        <v>155</v>
      </c>
      <c r="K136" s="595" t="s">
        <v>159</v>
      </c>
      <c r="L136" s="595" t="s">
        <v>191</v>
      </c>
      <c r="M136" s="595" t="s">
        <v>192</v>
      </c>
      <c r="N136" s="597" t="s">
        <v>194</v>
      </c>
      <c r="O136" s="598" t="s">
        <v>195</v>
      </c>
      <c r="P136" s="599" t="s">
        <v>196</v>
      </c>
      <c r="Q136" s="592" t="s">
        <v>61</v>
      </c>
      <c r="R136" s="593" t="s">
        <v>62</v>
      </c>
      <c r="S136" s="594" t="s">
        <v>63</v>
      </c>
      <c r="T136" s="594" t="s">
        <v>64</v>
      </c>
      <c r="U136" s="595" t="s">
        <v>65</v>
      </c>
      <c r="V136" s="595" t="s">
        <v>66</v>
      </c>
      <c r="W136" s="595" t="s">
        <v>83</v>
      </c>
      <c r="X136" s="595" t="s">
        <v>120</v>
      </c>
      <c r="Y136" s="595" t="s">
        <v>155</v>
      </c>
      <c r="Z136" s="595" t="s">
        <v>159</v>
      </c>
      <c r="AA136" s="595" t="s">
        <v>191</v>
      </c>
      <c r="AB136" s="596" t="s">
        <v>192</v>
      </c>
      <c r="AC136" s="597" t="s">
        <v>194</v>
      </c>
      <c r="AD136" s="598" t="s">
        <v>195</v>
      </c>
      <c r="AE136" s="599" t="s">
        <v>196</v>
      </c>
      <c r="AF136" s="600"/>
      <c r="AG136" s="592"/>
      <c r="AH136" s="600"/>
      <c r="AI136" s="592"/>
    </row>
    <row r="137" spans="1:35" ht="5.25" customHeight="1" x14ac:dyDescent="0.2">
      <c r="A137" s="601"/>
      <c r="B137" s="602"/>
      <c r="C137" s="602"/>
      <c r="D137" s="602"/>
      <c r="E137" s="602"/>
      <c r="F137" s="602"/>
      <c r="G137" s="602"/>
      <c r="H137" s="602"/>
      <c r="I137" s="602"/>
      <c r="J137" s="602"/>
      <c r="K137" s="602"/>
      <c r="L137" s="602"/>
      <c r="M137" s="602"/>
      <c r="N137" s="602"/>
      <c r="O137" s="602"/>
      <c r="P137" s="602"/>
      <c r="Q137" s="602"/>
      <c r="R137" s="602"/>
      <c r="S137" s="602"/>
      <c r="T137" s="602"/>
      <c r="U137" s="602"/>
      <c r="V137" s="602"/>
      <c r="W137" s="602"/>
      <c r="X137" s="602"/>
      <c r="Y137" s="602"/>
      <c r="Z137" s="602"/>
      <c r="AA137" s="602"/>
      <c r="AB137" s="603"/>
      <c r="AC137" s="602"/>
      <c r="AD137" s="602"/>
      <c r="AE137" s="602"/>
      <c r="AF137" s="602"/>
      <c r="AG137" s="602"/>
      <c r="AH137" s="602"/>
      <c r="AI137" s="602"/>
    </row>
    <row r="138" spans="1:35" x14ac:dyDescent="0.2">
      <c r="A138" s="912" t="s">
        <v>7</v>
      </c>
      <c r="B138" s="913">
        <f>SUM(B139:B143)</f>
        <v>18</v>
      </c>
      <c r="C138" s="914">
        <f>SUM(C139:C143)</f>
        <v>61600</v>
      </c>
      <c r="D138" s="914"/>
      <c r="E138" s="914"/>
      <c r="F138" s="914"/>
      <c r="G138" s="914"/>
      <c r="H138" s="914"/>
      <c r="I138" s="914"/>
      <c r="J138" s="914"/>
      <c r="K138" s="914">
        <f t="shared" ref="K138:P138" si="31">SUM(K139:K143)</f>
        <v>61600</v>
      </c>
      <c r="L138" s="914">
        <f t="shared" si="31"/>
        <v>261305</v>
      </c>
      <c r="M138" s="914">
        <f t="shared" si="31"/>
        <v>261576</v>
      </c>
      <c r="N138" s="914">
        <f t="shared" si="31"/>
        <v>522881</v>
      </c>
      <c r="O138" s="914">
        <f t="shared" si="31"/>
        <v>3014081</v>
      </c>
      <c r="P138" s="914">
        <f t="shared" si="31"/>
        <v>3014081</v>
      </c>
      <c r="Q138" s="915">
        <f>SUM(Q139:Q143)</f>
        <v>18</v>
      </c>
      <c r="R138" s="914">
        <f>SUM(R139:R143)</f>
        <v>61600</v>
      </c>
      <c r="S138" s="914"/>
      <c r="T138" s="914"/>
      <c r="U138" s="914"/>
      <c r="V138" s="914"/>
      <c r="W138" s="914"/>
      <c r="X138" s="914"/>
      <c r="Y138" s="914"/>
      <c r="Z138" s="914">
        <f t="shared" ref="Z138:AE138" si="32">SUM(Z139:Z143)</f>
        <v>61600</v>
      </c>
      <c r="AA138" s="914">
        <f t="shared" si="32"/>
        <v>261305</v>
      </c>
      <c r="AB138" s="916">
        <f t="shared" si="32"/>
        <v>261576</v>
      </c>
      <c r="AC138" s="914">
        <f t="shared" si="32"/>
        <v>522881</v>
      </c>
      <c r="AD138" s="914">
        <f t="shared" si="32"/>
        <v>3014081</v>
      </c>
      <c r="AE138" s="917">
        <f t="shared" si="32"/>
        <v>3014081</v>
      </c>
      <c r="AF138" s="918">
        <f t="shared" ref="AF138:AF143" si="33">+P138-AE138</f>
        <v>0</v>
      </c>
      <c r="AG138" s="918">
        <f>+B138-Q138</f>
        <v>0</v>
      </c>
      <c r="AH138" s="918">
        <v>18</v>
      </c>
      <c r="AI138" s="917">
        <v>3448014.3600000003</v>
      </c>
    </row>
    <row r="139" spans="1:35" x14ac:dyDescent="0.2">
      <c r="A139" s="919" t="s">
        <v>642</v>
      </c>
      <c r="B139" s="920">
        <v>5</v>
      </c>
      <c r="C139" s="921">
        <v>9500</v>
      </c>
      <c r="D139" s="922"/>
      <c r="E139" s="922"/>
      <c r="F139" s="922"/>
      <c r="G139" s="922"/>
      <c r="H139" s="922"/>
      <c r="I139" s="922"/>
      <c r="J139" s="922"/>
      <c r="K139" s="922">
        <f>+C139+D139+E139+F139+G139+H139+I139+J139</f>
        <v>9500</v>
      </c>
      <c r="L139" s="922">
        <f>+(C139*2*B139)+(400*B139)</f>
        <v>97000</v>
      </c>
      <c r="M139" s="923">
        <f>+(C139*12*9%*B139)+(C139*9%*2*B139)</f>
        <v>59850</v>
      </c>
      <c r="N139" s="922">
        <f>+L139+M139</f>
        <v>156850</v>
      </c>
      <c r="O139" s="922">
        <f>(K139*12*B139)+L139+M139</f>
        <v>726850</v>
      </c>
      <c r="P139" s="922">
        <f>O139</f>
        <v>726850</v>
      </c>
      <c r="Q139" s="924">
        <v>5</v>
      </c>
      <c r="R139" s="921">
        <v>9500</v>
      </c>
      <c r="S139" s="925"/>
      <c r="T139" s="925"/>
      <c r="U139" s="925"/>
      <c r="V139" s="925"/>
      <c r="W139" s="925"/>
      <c r="X139" s="925"/>
      <c r="Y139" s="925"/>
      <c r="Z139" s="921">
        <f>R139</f>
        <v>9500</v>
      </c>
      <c r="AA139" s="921">
        <f>(R139*2*Q139)+(400*Q139)</f>
        <v>97000</v>
      </c>
      <c r="AB139" s="926">
        <f>(R139*12*9%*Q139)+(R139*9%*2*Q139)</f>
        <v>59850</v>
      </c>
      <c r="AC139" s="921">
        <f>+AA139+AB139</f>
        <v>156850</v>
      </c>
      <c r="AD139" s="921">
        <f>(R139*12*Q139)+AA139+AB139</f>
        <v>726850</v>
      </c>
      <c r="AE139" s="921">
        <f>AD139</f>
        <v>726850</v>
      </c>
      <c r="AF139" s="927">
        <f t="shared" si="33"/>
        <v>0</v>
      </c>
      <c r="AG139" s="925">
        <f>+B139-Q139</f>
        <v>0</v>
      </c>
      <c r="AH139" s="925">
        <v>5</v>
      </c>
      <c r="AI139" s="921">
        <v>790625.54</v>
      </c>
    </row>
    <row r="140" spans="1:35" x14ac:dyDescent="0.2">
      <c r="A140" s="919" t="s">
        <v>643</v>
      </c>
      <c r="B140" s="920">
        <v>1</v>
      </c>
      <c r="C140" s="921">
        <v>10500</v>
      </c>
      <c r="D140" s="922"/>
      <c r="E140" s="922"/>
      <c r="F140" s="922"/>
      <c r="G140" s="922"/>
      <c r="H140" s="922"/>
      <c r="I140" s="922"/>
      <c r="J140" s="922"/>
      <c r="K140" s="922">
        <f>+C140+D140+E140+F140+G140+H140+I140+J140</f>
        <v>10500</v>
      </c>
      <c r="L140" s="922">
        <f>+(C140*2*B140)+(400*B140)</f>
        <v>21400</v>
      </c>
      <c r="M140" s="923">
        <f>+(C140*12*9%*B140)+(C140*9%*2*B140)</f>
        <v>13230</v>
      </c>
      <c r="N140" s="922">
        <f>+L140+M140</f>
        <v>34630</v>
      </c>
      <c r="O140" s="922">
        <f>+(K140*12*B140)+L140+M140</f>
        <v>160630</v>
      </c>
      <c r="P140" s="922">
        <f>O140</f>
        <v>160630</v>
      </c>
      <c r="Q140" s="924">
        <v>1</v>
      </c>
      <c r="R140" s="921">
        <f>C140</f>
        <v>10500</v>
      </c>
      <c r="S140" s="925"/>
      <c r="T140" s="925"/>
      <c r="U140" s="925"/>
      <c r="V140" s="925"/>
      <c r="W140" s="925"/>
      <c r="X140" s="925"/>
      <c r="Y140" s="925"/>
      <c r="Z140" s="921">
        <f t="shared" ref="Z140:Z170" si="34">R140</f>
        <v>10500</v>
      </c>
      <c r="AA140" s="921">
        <f t="shared" ref="AA140:AA170" si="35">(R140*2*Q140)+(400*Q140)</f>
        <v>21400</v>
      </c>
      <c r="AB140" s="926">
        <f t="shared" ref="AB140:AB170" si="36">(R140*12*9%*Q140)+(R140*9%*2*Q140)</f>
        <v>13230</v>
      </c>
      <c r="AC140" s="921">
        <f t="shared" ref="AC140:AC170" si="37">+AA140+AB140</f>
        <v>34630</v>
      </c>
      <c r="AD140" s="921">
        <f t="shared" ref="AD140:AD143" si="38">(R140*12*Q140)+AA140+AB140</f>
        <v>160630</v>
      </c>
      <c r="AE140" s="921">
        <f t="shared" ref="AE140:AE170" si="39">AD140</f>
        <v>160630</v>
      </c>
      <c r="AF140" s="927">
        <f t="shared" si="33"/>
        <v>0</v>
      </c>
      <c r="AG140" s="925">
        <f t="shared" ref="AG140:AG170" si="40">+B140-Q140</f>
        <v>0</v>
      </c>
      <c r="AH140" s="925">
        <v>1</v>
      </c>
      <c r="AI140" s="921">
        <v>174566.58</v>
      </c>
    </row>
    <row r="141" spans="1:35" x14ac:dyDescent="0.2">
      <c r="A141" s="919" t="s">
        <v>644</v>
      </c>
      <c r="B141" s="920">
        <v>10</v>
      </c>
      <c r="C141" s="921">
        <v>12000</v>
      </c>
      <c r="D141" s="922"/>
      <c r="E141" s="922"/>
      <c r="F141" s="922"/>
      <c r="G141" s="922"/>
      <c r="H141" s="922"/>
      <c r="I141" s="922"/>
      <c r="J141" s="922"/>
      <c r="K141" s="922">
        <f>+C141+D141+E141+F141+G141+H141+I141+J141</f>
        <v>12000</v>
      </c>
      <c r="L141" s="922">
        <f>+(C141*2*B141)+(400*B141)-161095</f>
        <v>82905</v>
      </c>
      <c r="M141" s="923">
        <f>+(C141*12*9%*B141)+(C141*9%*2*B141)</f>
        <v>151200</v>
      </c>
      <c r="N141" s="922">
        <f>+L141+M141</f>
        <v>234105</v>
      </c>
      <c r="O141" s="922">
        <f>+(K141*12*B141)+L141+M141</f>
        <v>1674105</v>
      </c>
      <c r="P141" s="922">
        <f>O141</f>
        <v>1674105</v>
      </c>
      <c r="Q141" s="924">
        <v>10</v>
      </c>
      <c r="R141" s="921">
        <f t="shared" ref="R141:R170" si="41">C141</f>
        <v>12000</v>
      </c>
      <c r="S141" s="925"/>
      <c r="T141" s="925"/>
      <c r="U141" s="925"/>
      <c r="V141" s="925"/>
      <c r="W141" s="925"/>
      <c r="X141" s="925"/>
      <c r="Y141" s="925"/>
      <c r="Z141" s="921">
        <f t="shared" si="34"/>
        <v>12000</v>
      </c>
      <c r="AA141" s="922">
        <f>+(R141*2*Q141)+(400*Q141)-161095</f>
        <v>82905</v>
      </c>
      <c r="AB141" s="928">
        <f>+(R141*12*9%*Q141)+(R141*9%*2*Q141)</f>
        <v>151200</v>
      </c>
      <c r="AC141" s="922">
        <f>+AA141+AB141</f>
        <v>234105</v>
      </c>
      <c r="AD141" s="922">
        <f>+(Z141*12*Q141)+AA141+AB141</f>
        <v>1674105</v>
      </c>
      <c r="AE141" s="922">
        <f>AD141</f>
        <v>1674105</v>
      </c>
      <c r="AF141" s="927">
        <f t="shared" si="33"/>
        <v>0</v>
      </c>
      <c r="AG141" s="925">
        <f t="shared" si="40"/>
        <v>0</v>
      </c>
      <c r="AH141" s="925">
        <v>10</v>
      </c>
      <c r="AI141" s="921">
        <v>1892290.75</v>
      </c>
    </row>
    <row r="142" spans="1:35" x14ac:dyDescent="0.2">
      <c r="A142" s="919" t="s">
        <v>645</v>
      </c>
      <c r="B142" s="920">
        <v>1</v>
      </c>
      <c r="C142" s="921">
        <v>14000</v>
      </c>
      <c r="D142" s="922"/>
      <c r="E142" s="922"/>
      <c r="F142" s="922"/>
      <c r="G142" s="922"/>
      <c r="H142" s="922"/>
      <c r="I142" s="922"/>
      <c r="J142" s="922"/>
      <c r="K142" s="922">
        <f>+C142+D142+E142+F142+G142+H142+I142+J142</f>
        <v>14000</v>
      </c>
      <c r="L142" s="922">
        <f>+(C142*2*B142)+(400*B142)</f>
        <v>28400</v>
      </c>
      <c r="M142" s="923">
        <f>+(C142*12*9%*B142)+(C142*9%*2*B142)</f>
        <v>17640</v>
      </c>
      <c r="N142" s="922">
        <f>+L142+M142</f>
        <v>46040</v>
      </c>
      <c r="O142" s="922">
        <f>+(K142*12*B142)+L142+M142</f>
        <v>214040</v>
      </c>
      <c r="P142" s="922">
        <f>O142</f>
        <v>214040</v>
      </c>
      <c r="Q142" s="924">
        <v>1</v>
      </c>
      <c r="R142" s="921">
        <f t="shared" si="41"/>
        <v>14000</v>
      </c>
      <c r="S142" s="925"/>
      <c r="T142" s="925"/>
      <c r="U142" s="925"/>
      <c r="V142" s="925"/>
      <c r="W142" s="925"/>
      <c r="X142" s="925"/>
      <c r="Y142" s="925"/>
      <c r="Z142" s="921">
        <f t="shared" si="34"/>
        <v>14000</v>
      </c>
      <c r="AA142" s="921">
        <f t="shared" si="35"/>
        <v>28400</v>
      </c>
      <c r="AB142" s="926">
        <f t="shared" si="36"/>
        <v>17640</v>
      </c>
      <c r="AC142" s="921">
        <f t="shared" si="37"/>
        <v>46040</v>
      </c>
      <c r="AD142" s="921">
        <f t="shared" si="38"/>
        <v>214040</v>
      </c>
      <c r="AE142" s="921">
        <f t="shared" si="39"/>
        <v>214040</v>
      </c>
      <c r="AF142" s="927">
        <f t="shared" si="33"/>
        <v>0</v>
      </c>
      <c r="AG142" s="925">
        <f t="shared" si="40"/>
        <v>0</v>
      </c>
      <c r="AH142" s="925">
        <v>1</v>
      </c>
      <c r="AI142" s="921">
        <v>232112.41</v>
      </c>
    </row>
    <row r="143" spans="1:35" x14ac:dyDescent="0.2">
      <c r="A143" s="919" t="s">
        <v>646</v>
      </c>
      <c r="B143" s="920">
        <v>1</v>
      </c>
      <c r="C143" s="921">
        <v>15600</v>
      </c>
      <c r="D143" s="922"/>
      <c r="E143" s="922"/>
      <c r="F143" s="922"/>
      <c r="G143" s="922"/>
      <c r="H143" s="922"/>
      <c r="I143" s="922"/>
      <c r="J143" s="922"/>
      <c r="K143" s="922">
        <f>+C143+D143+E143+F143+G143+H143+I143+J143</f>
        <v>15600</v>
      </c>
      <c r="L143" s="922">
        <f>+(C143*2*B143)+(400*B143)</f>
        <v>31600</v>
      </c>
      <c r="M143" s="923">
        <f>+(C143*12*9%*B143)+(C143*9%*2*B143)</f>
        <v>19656</v>
      </c>
      <c r="N143" s="922">
        <f>+L143+M143</f>
        <v>51256</v>
      </c>
      <c r="O143" s="922">
        <f>+(K143*12*B143)+L143+M143</f>
        <v>238456</v>
      </c>
      <c r="P143" s="922">
        <f>O143</f>
        <v>238456</v>
      </c>
      <c r="Q143" s="924">
        <v>1</v>
      </c>
      <c r="R143" s="921">
        <f t="shared" si="41"/>
        <v>15600</v>
      </c>
      <c r="S143" s="925"/>
      <c r="T143" s="925"/>
      <c r="U143" s="925"/>
      <c r="V143" s="925"/>
      <c r="W143" s="925"/>
      <c r="X143" s="925"/>
      <c r="Y143" s="925"/>
      <c r="Z143" s="921">
        <f t="shared" si="34"/>
        <v>15600</v>
      </c>
      <c r="AA143" s="921">
        <f t="shared" si="35"/>
        <v>31600</v>
      </c>
      <c r="AB143" s="926">
        <f t="shared" si="36"/>
        <v>19656</v>
      </c>
      <c r="AC143" s="921">
        <f t="shared" si="37"/>
        <v>51256</v>
      </c>
      <c r="AD143" s="921">
        <f t="shared" si="38"/>
        <v>238456</v>
      </c>
      <c r="AE143" s="921">
        <f t="shared" si="39"/>
        <v>238456</v>
      </c>
      <c r="AF143" s="927">
        <f t="shared" si="33"/>
        <v>0</v>
      </c>
      <c r="AG143" s="925">
        <f t="shared" si="40"/>
        <v>0</v>
      </c>
      <c r="AH143" s="925">
        <v>1</v>
      </c>
      <c r="AI143" s="921">
        <v>258419.08</v>
      </c>
    </row>
    <row r="144" spans="1:35" x14ac:dyDescent="0.2">
      <c r="A144" s="622"/>
      <c r="B144" s="602"/>
      <c r="C144" s="602"/>
      <c r="D144" s="602"/>
      <c r="E144" s="602"/>
      <c r="F144" s="602"/>
      <c r="G144" s="602"/>
      <c r="H144" s="602"/>
      <c r="I144" s="602"/>
      <c r="J144" s="602"/>
      <c r="K144" s="602"/>
      <c r="L144" s="602"/>
      <c r="M144" s="602"/>
      <c r="N144" s="602"/>
      <c r="O144" s="602"/>
      <c r="P144" s="602"/>
      <c r="Q144" s="602"/>
      <c r="R144" s="602"/>
      <c r="S144" s="602"/>
      <c r="T144" s="602"/>
      <c r="U144" s="602"/>
      <c r="V144" s="602"/>
      <c r="W144" s="602"/>
      <c r="X144" s="602"/>
      <c r="Y144" s="602"/>
      <c r="Z144" s="602"/>
      <c r="AA144" s="602"/>
      <c r="AB144" s="603"/>
      <c r="AC144" s="602"/>
      <c r="AD144" s="602"/>
      <c r="AE144" s="929"/>
      <c r="AF144" s="602"/>
      <c r="AG144" s="602"/>
      <c r="AH144" s="602"/>
      <c r="AI144" s="602"/>
    </row>
    <row r="145" spans="1:35" x14ac:dyDescent="0.2">
      <c r="A145" s="912" t="s">
        <v>4</v>
      </c>
      <c r="B145" s="913">
        <f>SUM(B146:B155)</f>
        <v>139</v>
      </c>
      <c r="C145" s="914">
        <f>SUM(C146:C154)</f>
        <v>56300</v>
      </c>
      <c r="D145" s="914"/>
      <c r="E145" s="914"/>
      <c r="F145" s="914"/>
      <c r="G145" s="914"/>
      <c r="H145" s="914"/>
      <c r="I145" s="914"/>
      <c r="J145" s="914"/>
      <c r="K145" s="914">
        <f t="shared" ref="K145:P145" si="42">SUM(K146:K155)</f>
        <v>56300</v>
      </c>
      <c r="L145" s="914">
        <f t="shared" si="42"/>
        <v>1654984</v>
      </c>
      <c r="M145" s="914">
        <f t="shared" si="42"/>
        <v>1059723</v>
      </c>
      <c r="N145" s="914">
        <f t="shared" si="42"/>
        <v>2714707</v>
      </c>
      <c r="O145" s="914">
        <f t="shared" si="42"/>
        <v>12807307</v>
      </c>
      <c r="P145" s="914">
        <f t="shared" si="42"/>
        <v>12807307</v>
      </c>
      <c r="Q145" s="915">
        <f>SUM(Q146:Q154)</f>
        <v>139</v>
      </c>
      <c r="R145" s="914">
        <f t="shared" si="41"/>
        <v>56300</v>
      </c>
      <c r="S145" s="914"/>
      <c r="T145" s="914"/>
      <c r="U145" s="914"/>
      <c r="V145" s="914"/>
      <c r="W145" s="914"/>
      <c r="X145" s="914"/>
      <c r="Y145" s="914"/>
      <c r="Z145" s="914">
        <f t="shared" ref="Z145:AD145" si="43">SUM(Z146:Z154)</f>
        <v>56300</v>
      </c>
      <c r="AA145" s="914">
        <f t="shared" si="43"/>
        <v>1654984</v>
      </c>
      <c r="AB145" s="916">
        <f t="shared" si="43"/>
        <v>1059723</v>
      </c>
      <c r="AC145" s="914">
        <f t="shared" si="43"/>
        <v>2714707</v>
      </c>
      <c r="AD145" s="914">
        <f t="shared" si="43"/>
        <v>12807307</v>
      </c>
      <c r="AE145" s="914">
        <f t="shared" si="39"/>
        <v>12807307</v>
      </c>
      <c r="AF145" s="918">
        <f>+P145-AE145</f>
        <v>0</v>
      </c>
      <c r="AG145" s="918">
        <f t="shared" si="40"/>
        <v>0</v>
      </c>
      <c r="AH145" s="918">
        <f>SUM(AH146:AH155)</f>
        <v>139</v>
      </c>
      <c r="AI145" s="917">
        <f>SUM(AI146:AI154)</f>
        <v>12393231.85</v>
      </c>
    </row>
    <row r="146" spans="1:35" x14ac:dyDescent="0.2">
      <c r="A146" s="930" t="s">
        <v>647</v>
      </c>
      <c r="B146" s="920">
        <v>10</v>
      </c>
      <c r="C146" s="921">
        <v>4800</v>
      </c>
      <c r="D146" s="922"/>
      <c r="E146" s="922"/>
      <c r="F146" s="922"/>
      <c r="G146" s="922"/>
      <c r="H146" s="922"/>
      <c r="I146" s="922"/>
      <c r="J146" s="922"/>
      <c r="K146" s="922">
        <f t="shared" ref="K146:K154" si="44">+C146+D146+E146+F146+G146+H146+I146+J146</f>
        <v>4800</v>
      </c>
      <c r="L146" s="922">
        <f t="shared" ref="L146:L154" si="45">+(C146*2*B146)+(400*B146)</f>
        <v>100000</v>
      </c>
      <c r="M146" s="923">
        <f t="shared" ref="M146:M154" si="46">+(C146*12*9%*B146)+(C146*9%*2*B146)</f>
        <v>60480</v>
      </c>
      <c r="N146" s="922">
        <f t="shared" ref="N146:N154" si="47">+L146+M146</f>
        <v>160480</v>
      </c>
      <c r="O146" s="922">
        <f t="shared" ref="O146:O154" si="48">+(K146*12*B146)+L146+M146</f>
        <v>736480</v>
      </c>
      <c r="P146" s="922">
        <f t="shared" ref="P146:P154" si="49">O146</f>
        <v>736480</v>
      </c>
      <c r="Q146" s="924">
        <v>10</v>
      </c>
      <c r="R146" s="921">
        <f t="shared" si="41"/>
        <v>4800</v>
      </c>
      <c r="S146" s="925"/>
      <c r="T146" s="925"/>
      <c r="U146" s="925"/>
      <c r="V146" s="925"/>
      <c r="W146" s="925"/>
      <c r="X146" s="925"/>
      <c r="Y146" s="925"/>
      <c r="Z146" s="921">
        <f t="shared" si="34"/>
        <v>4800</v>
      </c>
      <c r="AA146" s="921">
        <f t="shared" ref="AA146:AA154" si="50">(R146*2*Q146)+(400*Q146)</f>
        <v>100000</v>
      </c>
      <c r="AB146" s="926">
        <f t="shared" ref="AB146:AB154" si="51">(R146*12*9%*Q146)+(R146*9%*2*Q146)</f>
        <v>60480</v>
      </c>
      <c r="AC146" s="921">
        <f t="shared" ref="AC146:AC154" si="52">+AA146+AB146</f>
        <v>160480</v>
      </c>
      <c r="AD146" s="921">
        <f t="shared" ref="AD146:AD154" si="53">(R146*12*Q146)+AA146+AB146</f>
        <v>736480</v>
      </c>
      <c r="AE146" s="921">
        <f t="shared" si="39"/>
        <v>736480</v>
      </c>
      <c r="AF146" s="927">
        <f>+P146-AE146</f>
        <v>0</v>
      </c>
      <c r="AG146" s="925">
        <f>+B146-Q146</f>
        <v>0</v>
      </c>
      <c r="AH146" s="924">
        <v>10</v>
      </c>
      <c r="AI146" s="921">
        <f>808490.75</f>
        <v>808490.75</v>
      </c>
    </row>
    <row r="147" spans="1:35" x14ac:dyDescent="0.2">
      <c r="A147" s="930" t="s">
        <v>649</v>
      </c>
      <c r="B147" s="920">
        <v>14</v>
      </c>
      <c r="C147" s="921">
        <v>5250</v>
      </c>
      <c r="D147" s="922"/>
      <c r="E147" s="922"/>
      <c r="F147" s="922"/>
      <c r="G147" s="922"/>
      <c r="H147" s="922"/>
      <c r="I147" s="922"/>
      <c r="J147" s="922"/>
      <c r="K147" s="922">
        <f t="shared" si="44"/>
        <v>5250</v>
      </c>
      <c r="L147" s="922">
        <f t="shared" si="45"/>
        <v>152600</v>
      </c>
      <c r="M147" s="923">
        <f t="shared" si="46"/>
        <v>92610</v>
      </c>
      <c r="N147" s="922">
        <f t="shared" si="47"/>
        <v>245210</v>
      </c>
      <c r="O147" s="922">
        <f t="shared" si="48"/>
        <v>1127210</v>
      </c>
      <c r="P147" s="922">
        <f t="shared" si="49"/>
        <v>1127210</v>
      </c>
      <c r="Q147" s="924">
        <v>14</v>
      </c>
      <c r="R147" s="921">
        <v>5250</v>
      </c>
      <c r="S147" s="925"/>
      <c r="T147" s="925"/>
      <c r="U147" s="925"/>
      <c r="V147" s="925"/>
      <c r="W147" s="925"/>
      <c r="X147" s="925"/>
      <c r="Y147" s="925"/>
      <c r="Z147" s="921">
        <f t="shared" si="34"/>
        <v>5250</v>
      </c>
      <c r="AA147" s="921">
        <f t="shared" si="50"/>
        <v>152600</v>
      </c>
      <c r="AB147" s="926">
        <f t="shared" si="51"/>
        <v>92610</v>
      </c>
      <c r="AC147" s="921">
        <f t="shared" si="52"/>
        <v>245210</v>
      </c>
      <c r="AD147" s="921">
        <f t="shared" si="53"/>
        <v>1127210</v>
      </c>
      <c r="AE147" s="921">
        <f t="shared" si="39"/>
        <v>1127210</v>
      </c>
      <c r="AF147" s="927">
        <f t="shared" ref="AF147:AF154" si="54">+P147-AE147</f>
        <v>0</v>
      </c>
      <c r="AG147" s="925">
        <f t="shared" ref="AG147:AG154" si="55">+B147-Q147</f>
        <v>0</v>
      </c>
      <c r="AH147" s="924">
        <v>14</v>
      </c>
      <c r="AI147" s="921">
        <f>1135469.55</f>
        <v>1135469.55</v>
      </c>
    </row>
    <row r="148" spans="1:35" x14ac:dyDescent="0.2">
      <c r="A148" s="930" t="s">
        <v>650</v>
      </c>
      <c r="B148" s="920">
        <v>16</v>
      </c>
      <c r="C148" s="921">
        <v>5550</v>
      </c>
      <c r="D148" s="922"/>
      <c r="E148" s="922"/>
      <c r="F148" s="922"/>
      <c r="G148" s="922"/>
      <c r="H148" s="922"/>
      <c r="I148" s="922"/>
      <c r="J148" s="922"/>
      <c r="K148" s="922">
        <f t="shared" si="44"/>
        <v>5550</v>
      </c>
      <c r="L148" s="922">
        <f t="shared" si="45"/>
        <v>184000</v>
      </c>
      <c r="M148" s="923">
        <f t="shared" si="46"/>
        <v>111888</v>
      </c>
      <c r="N148" s="922">
        <f t="shared" si="47"/>
        <v>295888</v>
      </c>
      <c r="O148" s="922">
        <f t="shared" si="48"/>
        <v>1361488</v>
      </c>
      <c r="P148" s="922">
        <f t="shared" si="49"/>
        <v>1361488</v>
      </c>
      <c r="Q148" s="924">
        <v>16</v>
      </c>
      <c r="R148" s="921">
        <f t="shared" ref="R148:R154" si="56">C148</f>
        <v>5550</v>
      </c>
      <c r="S148" s="925"/>
      <c r="T148" s="925"/>
      <c r="U148" s="925"/>
      <c r="V148" s="925"/>
      <c r="W148" s="925"/>
      <c r="X148" s="925"/>
      <c r="Y148" s="925"/>
      <c r="Z148" s="921">
        <f t="shared" si="34"/>
        <v>5550</v>
      </c>
      <c r="AA148" s="921">
        <f t="shared" si="50"/>
        <v>184000</v>
      </c>
      <c r="AB148" s="926">
        <f t="shared" si="51"/>
        <v>111888</v>
      </c>
      <c r="AC148" s="921">
        <f t="shared" si="52"/>
        <v>295888</v>
      </c>
      <c r="AD148" s="921">
        <f t="shared" si="53"/>
        <v>1361488</v>
      </c>
      <c r="AE148" s="921">
        <f t="shared" si="39"/>
        <v>1361488</v>
      </c>
      <c r="AF148" s="927">
        <f t="shared" si="54"/>
        <v>0</v>
      </c>
      <c r="AG148" s="925">
        <f t="shared" si="55"/>
        <v>0</v>
      </c>
      <c r="AH148" s="924">
        <v>16</v>
      </c>
      <c r="AI148" s="921">
        <f>1397707.87</f>
        <v>1397707.87</v>
      </c>
    </row>
    <row r="149" spans="1:35" x14ac:dyDescent="0.2">
      <c r="A149" s="919" t="s">
        <v>651</v>
      </c>
      <c r="B149" s="920">
        <v>25</v>
      </c>
      <c r="C149" s="921">
        <v>5900</v>
      </c>
      <c r="D149" s="922"/>
      <c r="E149" s="922"/>
      <c r="F149" s="922"/>
      <c r="G149" s="922"/>
      <c r="H149" s="922"/>
      <c r="I149" s="922"/>
      <c r="J149" s="922"/>
      <c r="K149" s="922">
        <f t="shared" si="44"/>
        <v>5900</v>
      </c>
      <c r="L149" s="922">
        <f>+(C149*2*B149)+(400*B149)-82716</f>
        <v>222284</v>
      </c>
      <c r="M149" s="923">
        <f t="shared" si="46"/>
        <v>185850</v>
      </c>
      <c r="N149" s="922">
        <f t="shared" si="47"/>
        <v>408134</v>
      </c>
      <c r="O149" s="922">
        <f t="shared" si="48"/>
        <v>2178134</v>
      </c>
      <c r="P149" s="922">
        <f t="shared" si="49"/>
        <v>2178134</v>
      </c>
      <c r="Q149" s="924">
        <v>25</v>
      </c>
      <c r="R149" s="921">
        <f t="shared" si="56"/>
        <v>5900</v>
      </c>
      <c r="S149" s="925"/>
      <c r="T149" s="925"/>
      <c r="U149" s="925"/>
      <c r="V149" s="925"/>
      <c r="W149" s="925"/>
      <c r="X149" s="925"/>
      <c r="Y149" s="925"/>
      <c r="Z149" s="921">
        <f t="shared" si="34"/>
        <v>5900</v>
      </c>
      <c r="AA149" s="922">
        <f>+(R149*2*Q149)+(400*Q149)-82716</f>
        <v>222284</v>
      </c>
      <c r="AB149" s="928">
        <f t="shared" ref="AB149" si="57">+(R149*12*9%*Q149)+(R149*9%*2*Q149)</f>
        <v>185850</v>
      </c>
      <c r="AC149" s="922">
        <f t="shared" si="52"/>
        <v>408134</v>
      </c>
      <c r="AD149" s="922">
        <f t="shared" ref="AD149" si="58">+(Z149*12*Q149)+AA149+AB149</f>
        <v>2178134</v>
      </c>
      <c r="AE149" s="922">
        <f t="shared" si="39"/>
        <v>2178134</v>
      </c>
      <c r="AF149" s="927">
        <f t="shared" si="54"/>
        <v>0</v>
      </c>
      <c r="AG149" s="925">
        <f t="shared" si="55"/>
        <v>0</v>
      </c>
      <c r="AH149" s="924">
        <v>25</v>
      </c>
      <c r="AI149" s="921">
        <f>2173375.71</f>
        <v>2173375.71</v>
      </c>
    </row>
    <row r="150" spans="1:35" x14ac:dyDescent="0.2">
      <c r="A150" s="919" t="s">
        <v>652</v>
      </c>
      <c r="B150" s="920">
        <v>28</v>
      </c>
      <c r="C150" s="921">
        <v>6200</v>
      </c>
      <c r="D150" s="922"/>
      <c r="E150" s="922"/>
      <c r="F150" s="922"/>
      <c r="G150" s="922"/>
      <c r="H150" s="922"/>
      <c r="I150" s="922"/>
      <c r="J150" s="922"/>
      <c r="K150" s="922">
        <f t="shared" si="44"/>
        <v>6200</v>
      </c>
      <c r="L150" s="922">
        <f t="shared" si="45"/>
        <v>358400</v>
      </c>
      <c r="M150" s="923">
        <f t="shared" si="46"/>
        <v>218736</v>
      </c>
      <c r="N150" s="922">
        <f t="shared" si="47"/>
        <v>577136</v>
      </c>
      <c r="O150" s="922">
        <f t="shared" si="48"/>
        <v>2660336</v>
      </c>
      <c r="P150" s="922">
        <f t="shared" si="49"/>
        <v>2660336</v>
      </c>
      <c r="Q150" s="924">
        <v>28</v>
      </c>
      <c r="R150" s="921">
        <f t="shared" si="56"/>
        <v>6200</v>
      </c>
      <c r="S150" s="925"/>
      <c r="T150" s="925"/>
      <c r="U150" s="925"/>
      <c r="V150" s="925"/>
      <c r="W150" s="925"/>
      <c r="X150" s="925"/>
      <c r="Y150" s="925"/>
      <c r="Z150" s="921">
        <f>R150</f>
        <v>6200</v>
      </c>
      <c r="AA150" s="921">
        <f t="shared" si="50"/>
        <v>358400</v>
      </c>
      <c r="AB150" s="926">
        <f t="shared" si="51"/>
        <v>218736</v>
      </c>
      <c r="AC150" s="921">
        <f t="shared" si="52"/>
        <v>577136</v>
      </c>
      <c r="AD150" s="921">
        <f t="shared" si="53"/>
        <v>2660336</v>
      </c>
      <c r="AE150" s="921">
        <f t="shared" si="39"/>
        <v>2660336</v>
      </c>
      <c r="AF150" s="927">
        <f t="shared" si="54"/>
        <v>0</v>
      </c>
      <c r="AG150" s="925">
        <f t="shared" si="55"/>
        <v>0</v>
      </c>
      <c r="AH150" s="924">
        <v>28</v>
      </c>
      <c r="AI150" s="921">
        <f>2308288.43</f>
        <v>2308288.4300000002</v>
      </c>
    </row>
    <row r="151" spans="1:35" x14ac:dyDescent="0.2">
      <c r="A151" s="919" t="s">
        <v>653</v>
      </c>
      <c r="B151" s="920">
        <v>26</v>
      </c>
      <c r="C151" s="921">
        <v>6500</v>
      </c>
      <c r="D151" s="922"/>
      <c r="E151" s="922"/>
      <c r="F151" s="922"/>
      <c r="G151" s="922"/>
      <c r="H151" s="922"/>
      <c r="I151" s="922"/>
      <c r="J151" s="922"/>
      <c r="K151" s="922">
        <f t="shared" si="44"/>
        <v>6500</v>
      </c>
      <c r="L151" s="922">
        <f t="shared" si="45"/>
        <v>348400</v>
      </c>
      <c r="M151" s="923">
        <f t="shared" si="46"/>
        <v>212940</v>
      </c>
      <c r="N151" s="922">
        <f t="shared" si="47"/>
        <v>561340</v>
      </c>
      <c r="O151" s="922">
        <f t="shared" si="48"/>
        <v>2589340</v>
      </c>
      <c r="P151" s="922">
        <f t="shared" si="49"/>
        <v>2589340</v>
      </c>
      <c r="Q151" s="924">
        <v>26</v>
      </c>
      <c r="R151" s="921">
        <f t="shared" si="56"/>
        <v>6500</v>
      </c>
      <c r="S151" s="925"/>
      <c r="T151" s="925"/>
      <c r="U151" s="925"/>
      <c r="V151" s="925"/>
      <c r="W151" s="925"/>
      <c r="X151" s="925"/>
      <c r="Y151" s="925"/>
      <c r="Z151" s="921">
        <f>R151</f>
        <v>6500</v>
      </c>
      <c r="AA151" s="921">
        <f t="shared" si="50"/>
        <v>348400</v>
      </c>
      <c r="AB151" s="926">
        <f t="shared" si="51"/>
        <v>212940</v>
      </c>
      <c r="AC151" s="921">
        <f t="shared" si="52"/>
        <v>561340</v>
      </c>
      <c r="AD151" s="921">
        <f t="shared" si="53"/>
        <v>2589340</v>
      </c>
      <c r="AE151" s="921">
        <f t="shared" si="39"/>
        <v>2589340</v>
      </c>
      <c r="AF151" s="927">
        <f t="shared" si="54"/>
        <v>0</v>
      </c>
      <c r="AG151" s="925">
        <f t="shared" si="55"/>
        <v>0</v>
      </c>
      <c r="AH151" s="924">
        <v>26</v>
      </c>
      <c r="AI151" s="921">
        <f>2328797.62</f>
        <v>2328797.62</v>
      </c>
    </row>
    <row r="152" spans="1:35" x14ac:dyDescent="0.2">
      <c r="A152" s="919" t="s">
        <v>654</v>
      </c>
      <c r="B152" s="920">
        <v>11</v>
      </c>
      <c r="C152" s="921">
        <v>6850</v>
      </c>
      <c r="D152" s="922"/>
      <c r="E152" s="922"/>
      <c r="F152" s="922"/>
      <c r="G152" s="922"/>
      <c r="H152" s="922"/>
      <c r="I152" s="922"/>
      <c r="J152" s="922"/>
      <c r="K152" s="922">
        <f t="shared" si="44"/>
        <v>6850</v>
      </c>
      <c r="L152" s="922">
        <f t="shared" si="45"/>
        <v>155100</v>
      </c>
      <c r="M152" s="923">
        <f t="shared" si="46"/>
        <v>94941</v>
      </c>
      <c r="N152" s="922">
        <f t="shared" si="47"/>
        <v>250041</v>
      </c>
      <c r="O152" s="922">
        <f t="shared" si="48"/>
        <v>1154241</v>
      </c>
      <c r="P152" s="922">
        <f t="shared" si="49"/>
        <v>1154241</v>
      </c>
      <c r="Q152" s="924">
        <v>11</v>
      </c>
      <c r="R152" s="921">
        <f t="shared" si="56"/>
        <v>6850</v>
      </c>
      <c r="S152" s="925"/>
      <c r="T152" s="925"/>
      <c r="U152" s="925"/>
      <c r="V152" s="925"/>
      <c r="W152" s="925"/>
      <c r="X152" s="925"/>
      <c r="Y152" s="925"/>
      <c r="Z152" s="921">
        <f>R152</f>
        <v>6850</v>
      </c>
      <c r="AA152" s="921">
        <f t="shared" si="50"/>
        <v>155100</v>
      </c>
      <c r="AB152" s="926">
        <f t="shared" si="51"/>
        <v>94941</v>
      </c>
      <c r="AC152" s="921">
        <f t="shared" si="52"/>
        <v>250041</v>
      </c>
      <c r="AD152" s="921">
        <f t="shared" si="53"/>
        <v>1154241</v>
      </c>
      <c r="AE152" s="921">
        <f t="shared" si="39"/>
        <v>1154241</v>
      </c>
      <c r="AF152" s="927">
        <f t="shared" si="54"/>
        <v>0</v>
      </c>
      <c r="AG152" s="925">
        <f t="shared" si="55"/>
        <v>0</v>
      </c>
      <c r="AH152" s="924">
        <v>11</v>
      </c>
      <c r="AI152" s="921">
        <f>1160099.41</f>
        <v>1160099.4099999999</v>
      </c>
    </row>
    <row r="153" spans="1:35" x14ac:dyDescent="0.2">
      <c r="A153" s="919" t="s">
        <v>655</v>
      </c>
      <c r="B153" s="920">
        <v>8</v>
      </c>
      <c r="C153" s="921">
        <v>7150</v>
      </c>
      <c r="D153" s="922"/>
      <c r="E153" s="922"/>
      <c r="F153" s="922"/>
      <c r="G153" s="922"/>
      <c r="H153" s="922"/>
      <c r="I153" s="922"/>
      <c r="J153" s="922"/>
      <c r="K153" s="922">
        <f t="shared" si="44"/>
        <v>7150</v>
      </c>
      <c r="L153" s="922">
        <f t="shared" si="45"/>
        <v>117600</v>
      </c>
      <c r="M153" s="923">
        <f t="shared" si="46"/>
        <v>72072</v>
      </c>
      <c r="N153" s="922">
        <f t="shared" si="47"/>
        <v>189672</v>
      </c>
      <c r="O153" s="922">
        <f t="shared" si="48"/>
        <v>876072</v>
      </c>
      <c r="P153" s="922">
        <f t="shared" si="49"/>
        <v>876072</v>
      </c>
      <c r="Q153" s="924">
        <v>8</v>
      </c>
      <c r="R153" s="921">
        <f t="shared" si="56"/>
        <v>7150</v>
      </c>
      <c r="S153" s="925"/>
      <c r="T153" s="925"/>
      <c r="U153" s="925"/>
      <c r="V153" s="925"/>
      <c r="W153" s="925"/>
      <c r="X153" s="925"/>
      <c r="Y153" s="925"/>
      <c r="Z153" s="921">
        <f>R153</f>
        <v>7150</v>
      </c>
      <c r="AA153" s="921">
        <f t="shared" si="50"/>
        <v>117600</v>
      </c>
      <c r="AB153" s="926">
        <f t="shared" si="51"/>
        <v>72072</v>
      </c>
      <c r="AC153" s="921">
        <f t="shared" si="52"/>
        <v>189672</v>
      </c>
      <c r="AD153" s="921">
        <f t="shared" si="53"/>
        <v>876072</v>
      </c>
      <c r="AE153" s="921">
        <f t="shared" si="39"/>
        <v>876072</v>
      </c>
      <c r="AF153" s="927">
        <f t="shared" si="54"/>
        <v>0</v>
      </c>
      <c r="AG153" s="925">
        <f t="shared" si="55"/>
        <v>0</v>
      </c>
      <c r="AH153" s="924">
        <v>8</v>
      </c>
      <c r="AI153" s="921">
        <f>955895.93</f>
        <v>955895.93</v>
      </c>
    </row>
    <row r="154" spans="1:35" x14ac:dyDescent="0.2">
      <c r="A154" s="919" t="s">
        <v>648</v>
      </c>
      <c r="B154" s="920">
        <v>1</v>
      </c>
      <c r="C154" s="921">
        <v>8100</v>
      </c>
      <c r="D154" s="922"/>
      <c r="E154" s="922"/>
      <c r="F154" s="922"/>
      <c r="G154" s="922"/>
      <c r="H154" s="922"/>
      <c r="I154" s="922"/>
      <c r="J154" s="922"/>
      <c r="K154" s="922">
        <f t="shared" si="44"/>
        <v>8100</v>
      </c>
      <c r="L154" s="922">
        <f t="shared" si="45"/>
        <v>16600</v>
      </c>
      <c r="M154" s="923">
        <f t="shared" si="46"/>
        <v>10206</v>
      </c>
      <c r="N154" s="922">
        <f t="shared" si="47"/>
        <v>26806</v>
      </c>
      <c r="O154" s="922">
        <f t="shared" si="48"/>
        <v>124006</v>
      </c>
      <c r="P154" s="922">
        <f t="shared" si="49"/>
        <v>124006</v>
      </c>
      <c r="Q154" s="931">
        <v>1</v>
      </c>
      <c r="R154" s="921">
        <f t="shared" si="56"/>
        <v>8100</v>
      </c>
      <c r="S154" s="925"/>
      <c r="T154" s="925"/>
      <c r="U154" s="925"/>
      <c r="V154" s="925"/>
      <c r="W154" s="925"/>
      <c r="X154" s="925"/>
      <c r="Y154" s="925"/>
      <c r="Z154" s="921">
        <f>R154</f>
        <v>8100</v>
      </c>
      <c r="AA154" s="921">
        <f t="shared" si="50"/>
        <v>16600</v>
      </c>
      <c r="AB154" s="926">
        <f t="shared" si="51"/>
        <v>10206</v>
      </c>
      <c r="AC154" s="921">
        <f t="shared" si="52"/>
        <v>26806</v>
      </c>
      <c r="AD154" s="921">
        <f t="shared" si="53"/>
        <v>124006</v>
      </c>
      <c r="AE154" s="921">
        <f t="shared" si="39"/>
        <v>124006</v>
      </c>
      <c r="AF154" s="927">
        <f t="shared" si="54"/>
        <v>0</v>
      </c>
      <c r="AG154" s="925">
        <f t="shared" si="55"/>
        <v>0</v>
      </c>
      <c r="AH154" s="931">
        <v>1</v>
      </c>
      <c r="AI154" s="921">
        <v>125106.58</v>
      </c>
    </row>
    <row r="155" spans="1:35" x14ac:dyDescent="0.2">
      <c r="A155" s="919" t="s">
        <v>678</v>
      </c>
      <c r="B155" s="932"/>
      <c r="C155" s="921"/>
      <c r="D155" s="922"/>
      <c r="E155" s="922"/>
      <c r="F155" s="922"/>
      <c r="G155" s="922"/>
      <c r="H155" s="922"/>
      <c r="I155" s="922"/>
      <c r="J155" s="922"/>
      <c r="K155" s="922"/>
      <c r="L155" s="922"/>
      <c r="M155" s="923"/>
      <c r="N155" s="922"/>
      <c r="O155" s="922"/>
      <c r="P155" s="922"/>
      <c r="Q155" s="922"/>
      <c r="R155" s="921"/>
      <c r="S155" s="925"/>
      <c r="T155" s="925"/>
      <c r="U155" s="925"/>
      <c r="V155" s="925"/>
      <c r="W155" s="925"/>
      <c r="X155" s="925"/>
      <c r="Y155" s="925"/>
      <c r="Z155" s="925"/>
      <c r="AA155" s="925"/>
      <c r="AB155" s="933"/>
      <c r="AC155" s="925"/>
      <c r="AD155" s="934"/>
      <c r="AE155" s="921"/>
      <c r="AF155" s="925"/>
      <c r="AG155" s="925"/>
      <c r="AH155" s="922"/>
      <c r="AI155" s="922"/>
    </row>
    <row r="156" spans="1:35" ht="5.25" customHeight="1" x14ac:dyDescent="0.2">
      <c r="A156" s="622"/>
      <c r="B156" s="602"/>
      <c r="C156" s="602"/>
      <c r="D156" s="602"/>
      <c r="E156" s="602"/>
      <c r="F156" s="602"/>
      <c r="G156" s="602"/>
      <c r="H156" s="602"/>
      <c r="I156" s="602"/>
      <c r="J156" s="602"/>
      <c r="K156" s="602"/>
      <c r="L156" s="602"/>
      <c r="M156" s="602"/>
      <c r="N156" s="602"/>
      <c r="O156" s="602"/>
      <c r="P156" s="602"/>
      <c r="Q156" s="602"/>
      <c r="R156" s="602"/>
      <c r="S156" s="602"/>
      <c r="T156" s="602"/>
      <c r="U156" s="602"/>
      <c r="V156" s="602"/>
      <c r="W156" s="602"/>
      <c r="X156" s="602"/>
      <c r="Y156" s="602"/>
      <c r="Z156" s="602"/>
      <c r="AA156" s="602"/>
      <c r="AB156" s="603"/>
      <c r="AC156" s="602"/>
      <c r="AD156" s="602"/>
      <c r="AE156" s="929"/>
      <c r="AF156" s="602"/>
      <c r="AG156" s="602"/>
      <c r="AH156" s="602"/>
      <c r="AI156" s="602"/>
    </row>
    <row r="157" spans="1:35" x14ac:dyDescent="0.2">
      <c r="A157" s="912" t="s">
        <v>5</v>
      </c>
      <c r="B157" s="913">
        <f t="shared" ref="B157:P157" si="59">SUM(B158:B166)</f>
        <v>51</v>
      </c>
      <c r="C157" s="935">
        <f t="shared" si="59"/>
        <v>27890</v>
      </c>
      <c r="D157" s="935">
        <f t="shared" si="59"/>
        <v>0</v>
      </c>
      <c r="E157" s="935">
        <f t="shared" si="59"/>
        <v>0</v>
      </c>
      <c r="F157" s="935">
        <f t="shared" si="59"/>
        <v>0</v>
      </c>
      <c r="G157" s="935">
        <f t="shared" si="59"/>
        <v>0</v>
      </c>
      <c r="H157" s="935">
        <f t="shared" si="59"/>
        <v>0</v>
      </c>
      <c r="I157" s="935">
        <f t="shared" si="59"/>
        <v>0</v>
      </c>
      <c r="J157" s="935">
        <f t="shared" si="59"/>
        <v>0</v>
      </c>
      <c r="K157" s="935">
        <f t="shared" si="59"/>
        <v>27890</v>
      </c>
      <c r="L157" s="935">
        <f t="shared" si="59"/>
        <v>382280</v>
      </c>
      <c r="M157" s="935">
        <f t="shared" si="59"/>
        <v>227984.40000000002</v>
      </c>
      <c r="N157" s="913">
        <f t="shared" si="59"/>
        <v>610264.39999999991</v>
      </c>
      <c r="O157" s="935">
        <f t="shared" si="59"/>
        <v>2781544.4000000004</v>
      </c>
      <c r="P157" s="935">
        <f t="shared" si="59"/>
        <v>2781544.4000000004</v>
      </c>
      <c r="Q157" s="915">
        <f>SUM(Q158:Q166)</f>
        <v>51</v>
      </c>
      <c r="R157" s="935">
        <f t="shared" si="41"/>
        <v>27890</v>
      </c>
      <c r="S157" s="914"/>
      <c r="T157" s="914"/>
      <c r="U157" s="914"/>
      <c r="V157" s="914"/>
      <c r="W157" s="914"/>
      <c r="X157" s="914"/>
      <c r="Y157" s="914"/>
      <c r="Z157" s="914">
        <f>SUM(Z158:Z166)</f>
        <v>27890</v>
      </c>
      <c r="AA157" s="914">
        <f t="shared" ref="AA157:AE157" si="60">SUM(AA158:AA166)</f>
        <v>382280</v>
      </c>
      <c r="AB157" s="916">
        <f t="shared" si="60"/>
        <v>227984.40000000002</v>
      </c>
      <c r="AC157" s="914">
        <f t="shared" si="60"/>
        <v>610264.39999999991</v>
      </c>
      <c r="AD157" s="914">
        <f t="shared" si="60"/>
        <v>2781544.4000000004</v>
      </c>
      <c r="AE157" s="914">
        <f t="shared" si="60"/>
        <v>2781544.4000000004</v>
      </c>
      <c r="AF157" s="918">
        <f>+P157-AE157</f>
        <v>0</v>
      </c>
      <c r="AG157" s="918">
        <f t="shared" si="40"/>
        <v>0</v>
      </c>
      <c r="AH157" s="918">
        <f t="shared" ref="AH157" si="61">SUM(AH158:AH166)</f>
        <v>53</v>
      </c>
      <c r="AI157" s="917">
        <f>SUM(AI158:AI166)</f>
        <v>2868753.0000000005</v>
      </c>
    </row>
    <row r="158" spans="1:35" x14ac:dyDescent="0.2">
      <c r="A158" s="930" t="s">
        <v>656</v>
      </c>
      <c r="B158" s="920">
        <v>2</v>
      </c>
      <c r="C158" s="921">
        <v>2900</v>
      </c>
      <c r="D158" s="922"/>
      <c r="E158" s="922"/>
      <c r="F158" s="922"/>
      <c r="G158" s="922"/>
      <c r="H158" s="922"/>
      <c r="I158" s="922"/>
      <c r="J158" s="922"/>
      <c r="K158" s="922">
        <f>+C158+D158+E158+F158+G158+H158+I158+J158</f>
        <v>2900</v>
      </c>
      <c r="L158" s="922">
        <f>+(C158*2*B158)+(400*B158)</f>
        <v>12400</v>
      </c>
      <c r="M158" s="923">
        <f>+(C158*12*9%*B158)+(C158*9%*2*B158)</f>
        <v>7308</v>
      </c>
      <c r="N158" s="922">
        <f>+L158+M158</f>
        <v>19708</v>
      </c>
      <c r="O158" s="922">
        <f>+(K158*12*B158)+L158+M158</f>
        <v>89308</v>
      </c>
      <c r="P158" s="922">
        <f>O158</f>
        <v>89308</v>
      </c>
      <c r="Q158" s="924">
        <v>2</v>
      </c>
      <c r="R158" s="921">
        <f t="shared" si="41"/>
        <v>2900</v>
      </c>
      <c r="S158" s="925"/>
      <c r="T158" s="925"/>
      <c r="U158" s="925"/>
      <c r="V158" s="925"/>
      <c r="W158" s="925"/>
      <c r="X158" s="925"/>
      <c r="Y158" s="925"/>
      <c r="Z158" s="922">
        <f>+R158+S158+T158+U158+V158+W158+X158+Y158</f>
        <v>2900</v>
      </c>
      <c r="AA158" s="922">
        <f>+(R158*2*Q158)+(400*Q158)</f>
        <v>12400</v>
      </c>
      <c r="AB158" s="928">
        <f>+(R158*12*9%*Q158)+(R158*9%*2*Q158)</f>
        <v>7308</v>
      </c>
      <c r="AC158" s="922">
        <f>+AA158+AB158</f>
        <v>19708</v>
      </c>
      <c r="AD158" s="922">
        <f>+(Z158*12*Q158)+AA158+AB158</f>
        <v>89308</v>
      </c>
      <c r="AE158" s="922">
        <f>AD158</f>
        <v>89308</v>
      </c>
      <c r="AF158" s="927">
        <f>+P158-AE158</f>
        <v>0</v>
      </c>
      <c r="AG158" s="925">
        <f t="shared" si="40"/>
        <v>0</v>
      </c>
      <c r="AH158" s="925">
        <v>2</v>
      </c>
      <c r="AI158" s="921">
        <v>99219.82</v>
      </c>
    </row>
    <row r="159" spans="1:35" x14ac:dyDescent="0.2">
      <c r="A159" s="930" t="s">
        <v>672</v>
      </c>
      <c r="B159" s="920"/>
      <c r="C159" s="921"/>
      <c r="D159" s="922"/>
      <c r="E159" s="922"/>
      <c r="F159" s="922"/>
      <c r="G159" s="922"/>
      <c r="H159" s="922"/>
      <c r="I159" s="922"/>
      <c r="J159" s="922"/>
      <c r="K159" s="922"/>
      <c r="L159" s="922"/>
      <c r="M159" s="923"/>
      <c r="N159" s="922"/>
      <c r="O159" s="922"/>
      <c r="P159" s="922"/>
      <c r="Q159" s="931"/>
      <c r="R159" s="921"/>
      <c r="S159" s="925"/>
      <c r="T159" s="925"/>
      <c r="U159" s="925"/>
      <c r="V159" s="925"/>
      <c r="W159" s="925"/>
      <c r="X159" s="925"/>
      <c r="Y159" s="925"/>
      <c r="Z159" s="922"/>
      <c r="AA159" s="922"/>
      <c r="AB159" s="928"/>
      <c r="AC159" s="922"/>
      <c r="AD159" s="922"/>
      <c r="AE159" s="922"/>
      <c r="AF159" s="927"/>
      <c r="AG159" s="925"/>
      <c r="AH159" s="925"/>
      <c r="AI159" s="921"/>
    </row>
    <row r="160" spans="1:35" x14ac:dyDescent="0.2">
      <c r="A160" s="930" t="s">
        <v>658</v>
      </c>
      <c r="B160" s="920">
        <v>7</v>
      </c>
      <c r="C160" s="921">
        <v>3250</v>
      </c>
      <c r="D160" s="922"/>
      <c r="E160" s="922"/>
      <c r="F160" s="922"/>
      <c r="G160" s="922"/>
      <c r="H160" s="922"/>
      <c r="I160" s="922"/>
      <c r="J160" s="922"/>
      <c r="K160" s="922">
        <f t="shared" ref="K160:K166" si="62">+C160+D160+E160+F160+G160+H160+I160+J160</f>
        <v>3250</v>
      </c>
      <c r="L160" s="922">
        <f t="shared" ref="L160:L166" si="63">+(C160*2*B160)+(400*B160)</f>
        <v>48300</v>
      </c>
      <c r="M160" s="923">
        <f t="shared" ref="M160:M166" si="64">+(C160*12*9%*B160)+(C160*9%*2*B160)</f>
        <v>28665</v>
      </c>
      <c r="N160" s="922">
        <f t="shared" ref="N160:N166" si="65">+L160+M160</f>
        <v>76965</v>
      </c>
      <c r="O160" s="922">
        <f t="shared" ref="O160:O166" si="66">+(K160*12*B160)+L160+M160</f>
        <v>349965</v>
      </c>
      <c r="P160" s="922">
        <f t="shared" ref="P160:P166" si="67">O160</f>
        <v>349965</v>
      </c>
      <c r="Q160" s="924">
        <v>7</v>
      </c>
      <c r="R160" s="921">
        <f t="shared" si="41"/>
        <v>3250</v>
      </c>
      <c r="S160" s="925"/>
      <c r="T160" s="925"/>
      <c r="U160" s="925"/>
      <c r="V160" s="925"/>
      <c r="W160" s="925"/>
      <c r="X160" s="925"/>
      <c r="Y160" s="925"/>
      <c r="Z160" s="922">
        <f t="shared" ref="Z160:Z166" si="68">+R160+S160+T160+U160+V160+W160+X160+Y160</f>
        <v>3250</v>
      </c>
      <c r="AA160" s="922">
        <f t="shared" ref="AA160:AA166" si="69">+(R160*2*Q160)+(400*Q160)</f>
        <v>48300</v>
      </c>
      <c r="AB160" s="928">
        <f t="shared" ref="AB160:AB166" si="70">+(R160*12*9%*Q160)+(R160*9%*2*Q160)</f>
        <v>28665</v>
      </c>
      <c r="AC160" s="922">
        <f t="shared" ref="AC160:AC166" si="71">+AA160+AB160</f>
        <v>76965</v>
      </c>
      <c r="AD160" s="922">
        <f t="shared" ref="AD160:AD166" si="72">+(Z160*12*Q160)+AA160+AB160</f>
        <v>349965</v>
      </c>
      <c r="AE160" s="922">
        <f t="shared" ref="AE160:AE166" si="73">AD160</f>
        <v>349965</v>
      </c>
      <c r="AF160" s="927">
        <f t="shared" ref="AF160:AF166" si="74">+P160-AE160</f>
        <v>0</v>
      </c>
      <c r="AG160" s="925">
        <f t="shared" ref="AG160:AG166" si="75">+B160-Q160</f>
        <v>0</v>
      </c>
      <c r="AH160" s="925">
        <v>8</v>
      </c>
      <c r="AI160" s="921">
        <v>387555.44</v>
      </c>
    </row>
    <row r="161" spans="1:35" x14ac:dyDescent="0.2">
      <c r="A161" s="930" t="s">
        <v>659</v>
      </c>
      <c r="B161" s="920">
        <v>16</v>
      </c>
      <c r="C161" s="921">
        <v>3400</v>
      </c>
      <c r="D161" s="922"/>
      <c r="E161" s="922"/>
      <c r="F161" s="922"/>
      <c r="G161" s="922"/>
      <c r="H161" s="922"/>
      <c r="I161" s="922"/>
      <c r="J161" s="922"/>
      <c r="K161" s="922">
        <f t="shared" si="62"/>
        <v>3400</v>
      </c>
      <c r="L161" s="922">
        <f t="shared" si="63"/>
        <v>115200</v>
      </c>
      <c r="M161" s="923">
        <f t="shared" si="64"/>
        <v>68544</v>
      </c>
      <c r="N161" s="922">
        <f t="shared" si="65"/>
        <v>183744</v>
      </c>
      <c r="O161" s="922">
        <f t="shared" si="66"/>
        <v>836544</v>
      </c>
      <c r="P161" s="922">
        <f t="shared" si="67"/>
        <v>836544</v>
      </c>
      <c r="Q161" s="924">
        <v>16</v>
      </c>
      <c r="R161" s="921">
        <f t="shared" si="41"/>
        <v>3400</v>
      </c>
      <c r="S161" s="925"/>
      <c r="T161" s="925"/>
      <c r="U161" s="925"/>
      <c r="V161" s="925"/>
      <c r="W161" s="925"/>
      <c r="X161" s="925"/>
      <c r="Y161" s="925"/>
      <c r="Z161" s="922">
        <f t="shared" si="68"/>
        <v>3400</v>
      </c>
      <c r="AA161" s="922">
        <f t="shared" si="69"/>
        <v>115200</v>
      </c>
      <c r="AB161" s="928">
        <f t="shared" si="70"/>
        <v>68544</v>
      </c>
      <c r="AC161" s="922">
        <f t="shared" si="71"/>
        <v>183744</v>
      </c>
      <c r="AD161" s="922">
        <f t="shared" si="72"/>
        <v>836544</v>
      </c>
      <c r="AE161" s="922">
        <f t="shared" si="73"/>
        <v>836544</v>
      </c>
      <c r="AF161" s="927">
        <f t="shared" si="74"/>
        <v>0</v>
      </c>
      <c r="AG161" s="925">
        <f t="shared" si="75"/>
        <v>0</v>
      </c>
      <c r="AH161" s="925">
        <v>16</v>
      </c>
      <c r="AI161" s="921">
        <v>825292.87</v>
      </c>
    </row>
    <row r="162" spans="1:35" x14ac:dyDescent="0.2">
      <c r="A162" s="919" t="s">
        <v>660</v>
      </c>
      <c r="B162" s="920">
        <v>19</v>
      </c>
      <c r="C162" s="921">
        <v>3750</v>
      </c>
      <c r="D162" s="922"/>
      <c r="E162" s="922"/>
      <c r="F162" s="922"/>
      <c r="G162" s="922"/>
      <c r="H162" s="922"/>
      <c r="I162" s="922"/>
      <c r="J162" s="922"/>
      <c r="K162" s="922">
        <f t="shared" si="62"/>
        <v>3750</v>
      </c>
      <c r="L162" s="922">
        <f t="shared" si="63"/>
        <v>150100</v>
      </c>
      <c r="M162" s="923">
        <f t="shared" si="64"/>
        <v>89775</v>
      </c>
      <c r="N162" s="922">
        <f t="shared" si="65"/>
        <v>239875</v>
      </c>
      <c r="O162" s="922">
        <f t="shared" si="66"/>
        <v>1094875</v>
      </c>
      <c r="P162" s="922">
        <f t="shared" si="67"/>
        <v>1094875</v>
      </c>
      <c r="Q162" s="924">
        <v>19</v>
      </c>
      <c r="R162" s="921">
        <f t="shared" si="41"/>
        <v>3750</v>
      </c>
      <c r="S162" s="925"/>
      <c r="T162" s="925"/>
      <c r="U162" s="925"/>
      <c r="V162" s="925"/>
      <c r="W162" s="925"/>
      <c r="X162" s="925"/>
      <c r="Y162" s="925"/>
      <c r="Z162" s="922">
        <f t="shared" si="68"/>
        <v>3750</v>
      </c>
      <c r="AA162" s="922">
        <f t="shared" si="69"/>
        <v>150100</v>
      </c>
      <c r="AB162" s="928">
        <f t="shared" si="70"/>
        <v>89775</v>
      </c>
      <c r="AC162" s="922">
        <f t="shared" si="71"/>
        <v>239875</v>
      </c>
      <c r="AD162" s="922">
        <f t="shared" si="72"/>
        <v>1094875</v>
      </c>
      <c r="AE162" s="922">
        <f t="shared" si="73"/>
        <v>1094875</v>
      </c>
      <c r="AF162" s="927">
        <f t="shared" si="74"/>
        <v>0</v>
      </c>
      <c r="AG162" s="925">
        <f t="shared" si="75"/>
        <v>0</v>
      </c>
      <c r="AH162" s="925">
        <v>20</v>
      </c>
      <c r="AI162" s="921">
        <f>1008121.18</f>
        <v>1008121.18</v>
      </c>
    </row>
    <row r="163" spans="1:35" x14ac:dyDescent="0.2">
      <c r="A163" s="919" t="s">
        <v>661</v>
      </c>
      <c r="B163" s="920">
        <v>1</v>
      </c>
      <c r="C163" s="921">
        <v>3970</v>
      </c>
      <c r="D163" s="922"/>
      <c r="E163" s="922"/>
      <c r="F163" s="922"/>
      <c r="G163" s="922"/>
      <c r="H163" s="922"/>
      <c r="I163" s="922"/>
      <c r="J163" s="922"/>
      <c r="K163" s="922">
        <f t="shared" si="62"/>
        <v>3970</v>
      </c>
      <c r="L163" s="922">
        <f t="shared" si="63"/>
        <v>8340</v>
      </c>
      <c r="M163" s="923">
        <f t="shared" si="64"/>
        <v>5002.2</v>
      </c>
      <c r="N163" s="922">
        <f t="shared" si="65"/>
        <v>13342.2</v>
      </c>
      <c r="O163" s="922">
        <f t="shared" si="66"/>
        <v>60982.2</v>
      </c>
      <c r="P163" s="922">
        <f t="shared" si="67"/>
        <v>60982.2</v>
      </c>
      <c r="Q163" s="924">
        <v>1</v>
      </c>
      <c r="R163" s="921">
        <f t="shared" si="41"/>
        <v>3970</v>
      </c>
      <c r="S163" s="925"/>
      <c r="T163" s="925"/>
      <c r="U163" s="925"/>
      <c r="V163" s="925"/>
      <c r="W163" s="925"/>
      <c r="X163" s="925"/>
      <c r="Y163" s="925"/>
      <c r="Z163" s="922">
        <f t="shared" si="68"/>
        <v>3970</v>
      </c>
      <c r="AA163" s="922">
        <f t="shared" si="69"/>
        <v>8340</v>
      </c>
      <c r="AB163" s="928">
        <f t="shared" si="70"/>
        <v>5002.2</v>
      </c>
      <c r="AC163" s="922">
        <f t="shared" si="71"/>
        <v>13342.2</v>
      </c>
      <c r="AD163" s="922">
        <f t="shared" si="72"/>
        <v>60982.2</v>
      </c>
      <c r="AE163" s="922">
        <f t="shared" si="73"/>
        <v>60982.2</v>
      </c>
      <c r="AF163" s="927">
        <f t="shared" si="74"/>
        <v>0</v>
      </c>
      <c r="AG163" s="925">
        <f t="shared" si="75"/>
        <v>0</v>
      </c>
      <c r="AH163" s="925">
        <v>1</v>
      </c>
      <c r="AI163" s="921">
        <v>67202.490000000005</v>
      </c>
    </row>
    <row r="164" spans="1:35" x14ac:dyDescent="0.2">
      <c r="A164" s="919" t="s">
        <v>662</v>
      </c>
      <c r="B164" s="920">
        <v>4</v>
      </c>
      <c r="C164" s="921">
        <v>4050</v>
      </c>
      <c r="D164" s="922"/>
      <c r="E164" s="922"/>
      <c r="F164" s="922"/>
      <c r="G164" s="922"/>
      <c r="H164" s="922"/>
      <c r="I164" s="922"/>
      <c r="J164" s="922"/>
      <c r="K164" s="922">
        <f t="shared" si="62"/>
        <v>4050</v>
      </c>
      <c r="L164" s="922">
        <f t="shared" si="63"/>
        <v>34000</v>
      </c>
      <c r="M164" s="923">
        <f t="shared" si="64"/>
        <v>20412</v>
      </c>
      <c r="N164" s="922">
        <f t="shared" si="65"/>
        <v>54412</v>
      </c>
      <c r="O164" s="922">
        <f t="shared" si="66"/>
        <v>248812</v>
      </c>
      <c r="P164" s="922">
        <f t="shared" si="67"/>
        <v>248812</v>
      </c>
      <c r="Q164" s="924">
        <v>4</v>
      </c>
      <c r="R164" s="921">
        <f t="shared" si="41"/>
        <v>4050</v>
      </c>
      <c r="S164" s="925"/>
      <c r="T164" s="925"/>
      <c r="U164" s="925"/>
      <c r="V164" s="925"/>
      <c r="W164" s="925"/>
      <c r="X164" s="925"/>
      <c r="Y164" s="925"/>
      <c r="Z164" s="922">
        <f t="shared" si="68"/>
        <v>4050</v>
      </c>
      <c r="AA164" s="922">
        <f t="shared" si="69"/>
        <v>34000</v>
      </c>
      <c r="AB164" s="928">
        <f t="shared" si="70"/>
        <v>20412</v>
      </c>
      <c r="AC164" s="922">
        <f t="shared" si="71"/>
        <v>54412</v>
      </c>
      <c r="AD164" s="922">
        <f t="shared" si="72"/>
        <v>248812</v>
      </c>
      <c r="AE164" s="922">
        <f t="shared" si="73"/>
        <v>248812</v>
      </c>
      <c r="AF164" s="927">
        <f t="shared" si="74"/>
        <v>0</v>
      </c>
      <c r="AG164" s="925">
        <f t="shared" si="75"/>
        <v>0</v>
      </c>
      <c r="AH164" s="925">
        <v>4</v>
      </c>
      <c r="AI164" s="921">
        <f>274071.3+95410</f>
        <v>369481.3</v>
      </c>
    </row>
    <row r="165" spans="1:35" x14ac:dyDescent="0.2">
      <c r="A165" s="919" t="s">
        <v>657</v>
      </c>
      <c r="B165" s="920">
        <v>1</v>
      </c>
      <c r="C165" s="921">
        <v>4420</v>
      </c>
      <c r="D165" s="922"/>
      <c r="E165" s="922"/>
      <c r="F165" s="922"/>
      <c r="G165" s="922"/>
      <c r="H165" s="922"/>
      <c r="I165" s="922"/>
      <c r="J165" s="922"/>
      <c r="K165" s="922">
        <f t="shared" si="62"/>
        <v>4420</v>
      </c>
      <c r="L165" s="922">
        <f t="shared" si="63"/>
        <v>9240</v>
      </c>
      <c r="M165" s="923">
        <f t="shared" si="64"/>
        <v>5569.2</v>
      </c>
      <c r="N165" s="922">
        <f t="shared" si="65"/>
        <v>14809.2</v>
      </c>
      <c r="O165" s="922">
        <f t="shared" si="66"/>
        <v>67849.2</v>
      </c>
      <c r="P165" s="922">
        <f t="shared" si="67"/>
        <v>67849.2</v>
      </c>
      <c r="Q165" s="931">
        <v>1</v>
      </c>
      <c r="R165" s="921">
        <f t="shared" si="41"/>
        <v>4420</v>
      </c>
      <c r="S165" s="925"/>
      <c r="T165" s="925"/>
      <c r="U165" s="925"/>
      <c r="V165" s="925"/>
      <c r="W165" s="925"/>
      <c r="X165" s="925"/>
      <c r="Y165" s="925"/>
      <c r="Z165" s="922">
        <f t="shared" si="68"/>
        <v>4420</v>
      </c>
      <c r="AA165" s="922">
        <f t="shared" si="69"/>
        <v>9240</v>
      </c>
      <c r="AB165" s="928">
        <f t="shared" si="70"/>
        <v>5569.2</v>
      </c>
      <c r="AC165" s="922">
        <f t="shared" si="71"/>
        <v>14809.2</v>
      </c>
      <c r="AD165" s="922">
        <f t="shared" si="72"/>
        <v>67849.2</v>
      </c>
      <c r="AE165" s="922">
        <f t="shared" si="73"/>
        <v>67849.2</v>
      </c>
      <c r="AF165" s="927">
        <f t="shared" si="74"/>
        <v>0</v>
      </c>
      <c r="AG165" s="925">
        <f t="shared" si="75"/>
        <v>0</v>
      </c>
      <c r="AH165" s="925">
        <v>1</v>
      </c>
      <c r="AI165" s="921">
        <v>74601.240000000005</v>
      </c>
    </row>
    <row r="166" spans="1:35" x14ac:dyDescent="0.2">
      <c r="A166" s="919" t="s">
        <v>679</v>
      </c>
      <c r="B166" s="932">
        <v>1</v>
      </c>
      <c r="C166" s="921">
        <v>2150</v>
      </c>
      <c r="D166" s="922"/>
      <c r="E166" s="922"/>
      <c r="F166" s="922"/>
      <c r="G166" s="922"/>
      <c r="H166" s="922"/>
      <c r="I166" s="922"/>
      <c r="J166" s="922"/>
      <c r="K166" s="922">
        <f t="shared" si="62"/>
        <v>2150</v>
      </c>
      <c r="L166" s="922">
        <f t="shared" si="63"/>
        <v>4700</v>
      </c>
      <c r="M166" s="923">
        <f t="shared" si="64"/>
        <v>2709</v>
      </c>
      <c r="N166" s="922">
        <f t="shared" si="65"/>
        <v>7409</v>
      </c>
      <c r="O166" s="922">
        <f t="shared" si="66"/>
        <v>33209</v>
      </c>
      <c r="P166" s="922">
        <f t="shared" si="67"/>
        <v>33209</v>
      </c>
      <c r="Q166" s="925">
        <v>1</v>
      </c>
      <c r="R166" s="921">
        <f t="shared" si="41"/>
        <v>2150</v>
      </c>
      <c r="S166" s="925"/>
      <c r="T166" s="925"/>
      <c r="U166" s="925"/>
      <c r="V166" s="925"/>
      <c r="W166" s="925"/>
      <c r="X166" s="925"/>
      <c r="Y166" s="925"/>
      <c r="Z166" s="922">
        <f t="shared" si="68"/>
        <v>2150</v>
      </c>
      <c r="AA166" s="922">
        <f t="shared" si="69"/>
        <v>4700</v>
      </c>
      <c r="AB166" s="928">
        <f t="shared" si="70"/>
        <v>2709</v>
      </c>
      <c r="AC166" s="922">
        <f t="shared" si="71"/>
        <v>7409</v>
      </c>
      <c r="AD166" s="922">
        <f t="shared" si="72"/>
        <v>33209</v>
      </c>
      <c r="AE166" s="922">
        <f t="shared" si="73"/>
        <v>33209</v>
      </c>
      <c r="AF166" s="925">
        <f t="shared" si="74"/>
        <v>0</v>
      </c>
      <c r="AG166" s="925">
        <f t="shared" si="75"/>
        <v>0</v>
      </c>
      <c r="AH166" s="925">
        <v>1</v>
      </c>
      <c r="AI166" s="921">
        <v>37278.660000000003</v>
      </c>
    </row>
    <row r="167" spans="1:35" x14ac:dyDescent="0.2">
      <c r="A167" s="936" t="s">
        <v>6</v>
      </c>
      <c r="B167" s="937">
        <f>SUM(B168:B170)</f>
        <v>27</v>
      </c>
      <c r="C167" s="938">
        <f>SUM(C168:C170)</f>
        <v>7250</v>
      </c>
      <c r="D167" s="938"/>
      <c r="E167" s="938"/>
      <c r="F167" s="938"/>
      <c r="G167" s="938"/>
      <c r="H167" s="938"/>
      <c r="I167" s="938"/>
      <c r="J167" s="938"/>
      <c r="K167" s="938">
        <f t="shared" ref="K167:Q167" si="76">SUM(K168:K170)</f>
        <v>7250</v>
      </c>
      <c r="L167" s="938">
        <f t="shared" si="76"/>
        <v>139700</v>
      </c>
      <c r="M167" s="938">
        <f t="shared" si="76"/>
        <v>81207</v>
      </c>
      <c r="N167" s="938">
        <f t="shared" si="76"/>
        <v>220907</v>
      </c>
      <c r="O167" s="938">
        <f t="shared" si="76"/>
        <v>994307</v>
      </c>
      <c r="P167" s="938">
        <f t="shared" si="76"/>
        <v>994307</v>
      </c>
      <c r="Q167" s="939">
        <f t="shared" si="76"/>
        <v>30</v>
      </c>
      <c r="R167" s="938">
        <f t="shared" si="41"/>
        <v>7250</v>
      </c>
      <c r="S167" s="938"/>
      <c r="T167" s="938"/>
      <c r="U167" s="938"/>
      <c r="V167" s="938"/>
      <c r="W167" s="938"/>
      <c r="X167" s="938"/>
      <c r="Y167" s="938"/>
      <c r="Z167" s="938">
        <f t="shared" ref="Z167:AD167" si="77">SUM(Z168:Z170)</f>
        <v>7250</v>
      </c>
      <c r="AA167" s="938">
        <f t="shared" si="77"/>
        <v>153800</v>
      </c>
      <c r="AB167" s="940">
        <f t="shared" si="77"/>
        <v>89334</v>
      </c>
      <c r="AC167" s="938">
        <f t="shared" si="77"/>
        <v>243134</v>
      </c>
      <c r="AD167" s="938">
        <f t="shared" si="77"/>
        <v>1158755</v>
      </c>
      <c r="AE167" s="938">
        <f>SUM(AE168:AE170)</f>
        <v>1158755</v>
      </c>
      <c r="AF167" s="941">
        <f>+P167-AE167</f>
        <v>-164448</v>
      </c>
      <c r="AG167" s="941">
        <f t="shared" si="40"/>
        <v>-3</v>
      </c>
      <c r="AH167" s="941">
        <f>SUM(AH168:AH170)</f>
        <v>30</v>
      </c>
      <c r="AI167" s="942">
        <f>SUM(AI168:AI170)</f>
        <v>1221299.8699999999</v>
      </c>
    </row>
    <row r="168" spans="1:35" x14ac:dyDescent="0.2">
      <c r="A168" s="943" t="s">
        <v>664</v>
      </c>
      <c r="B168" s="944">
        <v>17</v>
      </c>
      <c r="C168" s="945">
        <v>2150</v>
      </c>
      <c r="D168" s="946"/>
      <c r="E168" s="946"/>
      <c r="F168" s="946"/>
      <c r="G168" s="946"/>
      <c r="H168" s="946"/>
      <c r="I168" s="946"/>
      <c r="J168" s="946"/>
      <c r="K168" s="946">
        <f>+C168+D168+E168+F168+G168+H168+I168+J168</f>
        <v>2150</v>
      </c>
      <c r="L168" s="946">
        <f>+(C168*2*B168)+(400*B168)</f>
        <v>79900</v>
      </c>
      <c r="M168" s="947">
        <f>+(C168*12*9%*B168)+(C168*9%*2*B168)</f>
        <v>46053</v>
      </c>
      <c r="N168" s="946">
        <f>+L168+M168</f>
        <v>125953</v>
      </c>
      <c r="O168" s="946">
        <f>+(K168*12*B168)+L168+M168</f>
        <v>564553</v>
      </c>
      <c r="P168" s="946">
        <f>O168</f>
        <v>564553</v>
      </c>
      <c r="Q168" s="948">
        <v>20</v>
      </c>
      <c r="R168" s="945">
        <f t="shared" si="41"/>
        <v>2150</v>
      </c>
      <c r="S168" s="949"/>
      <c r="T168" s="949"/>
      <c r="U168" s="949"/>
      <c r="V168" s="949"/>
      <c r="W168" s="949"/>
      <c r="X168" s="949"/>
      <c r="Y168" s="949"/>
      <c r="Z168" s="945">
        <f t="shared" si="34"/>
        <v>2150</v>
      </c>
      <c r="AA168" s="945">
        <f t="shared" si="35"/>
        <v>94000</v>
      </c>
      <c r="AB168" s="950">
        <f t="shared" si="36"/>
        <v>54180</v>
      </c>
      <c r="AC168" s="945">
        <f t="shared" si="37"/>
        <v>148180</v>
      </c>
      <c r="AD168" s="945">
        <f>743287-14286</f>
        <v>729001</v>
      </c>
      <c r="AE168" s="945">
        <f>743287-14286</f>
        <v>729001</v>
      </c>
      <c r="AF168" s="951">
        <f>+P168-AE168</f>
        <v>-164448</v>
      </c>
      <c r="AG168" s="949">
        <f t="shared" si="40"/>
        <v>-3</v>
      </c>
      <c r="AH168" s="949">
        <v>20</v>
      </c>
      <c r="AI168" s="945">
        <f>596458.53+111835.98-1389.9-202267+238649</f>
        <v>743286.61</v>
      </c>
    </row>
    <row r="169" spans="1:35" x14ac:dyDescent="0.2">
      <c r="A169" s="919" t="s">
        <v>665</v>
      </c>
      <c r="B169" s="920">
        <v>1</v>
      </c>
      <c r="C169" s="921">
        <v>2250</v>
      </c>
      <c r="D169" s="922"/>
      <c r="E169" s="922"/>
      <c r="F169" s="922"/>
      <c r="G169" s="922"/>
      <c r="H169" s="922"/>
      <c r="I169" s="922"/>
      <c r="J169" s="922"/>
      <c r="K169" s="922">
        <f>+C169+D169+E169+F169+G169+H169+I169+J169</f>
        <v>2250</v>
      </c>
      <c r="L169" s="922">
        <f>+(C169*2*B169)+(400*B169)</f>
        <v>4900</v>
      </c>
      <c r="M169" s="923">
        <f>+(C169*12*9%*B169)+(C169*9%*2*B169)</f>
        <v>2835</v>
      </c>
      <c r="N169" s="922">
        <f>+L169+M169</f>
        <v>7735</v>
      </c>
      <c r="O169" s="922">
        <f>+(K169*12*B169)+L169+M169</f>
        <v>34735</v>
      </c>
      <c r="P169" s="922">
        <f>O169</f>
        <v>34735</v>
      </c>
      <c r="Q169" s="924">
        <v>1</v>
      </c>
      <c r="R169" s="921">
        <f t="shared" si="41"/>
        <v>2250</v>
      </c>
      <c r="S169" s="925"/>
      <c r="T169" s="925"/>
      <c r="U169" s="925"/>
      <c r="V169" s="925"/>
      <c r="W169" s="925"/>
      <c r="X169" s="925"/>
      <c r="Y169" s="925"/>
      <c r="Z169" s="921">
        <f t="shared" si="34"/>
        <v>2250</v>
      </c>
      <c r="AA169" s="921">
        <f t="shared" si="35"/>
        <v>4900</v>
      </c>
      <c r="AB169" s="926">
        <f t="shared" si="36"/>
        <v>2835</v>
      </c>
      <c r="AC169" s="921">
        <f t="shared" si="37"/>
        <v>7735</v>
      </c>
      <c r="AD169" s="921">
        <f t="shared" ref="AD169:AD170" si="78">(R169*12*Q169)+AA169+AB169</f>
        <v>34735</v>
      </c>
      <c r="AE169" s="921">
        <f t="shared" si="39"/>
        <v>34735</v>
      </c>
      <c r="AF169" s="927">
        <f>+P169-AE169</f>
        <v>0</v>
      </c>
      <c r="AG169" s="925">
        <f t="shared" si="40"/>
        <v>0</v>
      </c>
      <c r="AH169" s="925">
        <v>1</v>
      </c>
      <c r="AI169" s="921">
        <v>38922.83</v>
      </c>
    </row>
    <row r="170" spans="1:35" x14ac:dyDescent="0.2">
      <c r="A170" s="952" t="s">
        <v>666</v>
      </c>
      <c r="B170" s="920">
        <v>9</v>
      </c>
      <c r="C170" s="921">
        <v>2850</v>
      </c>
      <c r="D170" s="922"/>
      <c r="E170" s="922"/>
      <c r="F170" s="922"/>
      <c r="G170" s="922"/>
      <c r="H170" s="922"/>
      <c r="I170" s="922"/>
      <c r="J170" s="922"/>
      <c r="K170" s="922">
        <f>+C170+D170+E170+F170+G170+H170+I170+J170</f>
        <v>2850</v>
      </c>
      <c r="L170" s="922">
        <f>+(C170*2*B170)+(400*B170)</f>
        <v>54900</v>
      </c>
      <c r="M170" s="923">
        <f>+(C170*12*9%*B170)+(C170*9%*2*B170)</f>
        <v>32319</v>
      </c>
      <c r="N170" s="922">
        <f>+L170+M170</f>
        <v>87219</v>
      </c>
      <c r="O170" s="922">
        <f>+(K170*12*B170)+L170+M170</f>
        <v>395019</v>
      </c>
      <c r="P170" s="922">
        <f>O170</f>
        <v>395019</v>
      </c>
      <c r="Q170" s="924">
        <v>9</v>
      </c>
      <c r="R170" s="921">
        <f t="shared" si="41"/>
        <v>2850</v>
      </c>
      <c r="S170" s="925"/>
      <c r="T170" s="925"/>
      <c r="U170" s="925"/>
      <c r="V170" s="925"/>
      <c r="W170" s="925"/>
      <c r="X170" s="925"/>
      <c r="Y170" s="925"/>
      <c r="Z170" s="921">
        <f t="shared" si="34"/>
        <v>2850</v>
      </c>
      <c r="AA170" s="921">
        <f t="shared" si="35"/>
        <v>54900</v>
      </c>
      <c r="AB170" s="926">
        <f t="shared" si="36"/>
        <v>32319</v>
      </c>
      <c r="AC170" s="921">
        <f t="shared" si="37"/>
        <v>87219</v>
      </c>
      <c r="AD170" s="921">
        <f t="shared" si="78"/>
        <v>395019</v>
      </c>
      <c r="AE170" s="921">
        <f t="shared" si="39"/>
        <v>395019</v>
      </c>
      <c r="AF170" s="927">
        <f>+P170-AE170</f>
        <v>0</v>
      </c>
      <c r="AG170" s="925">
        <f t="shared" si="40"/>
        <v>0</v>
      </c>
      <c r="AH170" s="925">
        <v>9</v>
      </c>
      <c r="AI170" s="921">
        <v>439090.43</v>
      </c>
    </row>
    <row r="171" spans="1:35" x14ac:dyDescent="0.2">
      <c r="A171" s="622"/>
      <c r="B171" s="602"/>
      <c r="C171" s="602"/>
      <c r="D171" s="602"/>
      <c r="E171" s="602"/>
      <c r="F171" s="602"/>
      <c r="G171" s="602"/>
      <c r="H171" s="602"/>
      <c r="I171" s="602"/>
      <c r="J171" s="602"/>
      <c r="K171" s="602"/>
      <c r="L171" s="602"/>
      <c r="M171" s="602"/>
      <c r="N171" s="602"/>
      <c r="O171" s="602"/>
      <c r="P171" s="602"/>
      <c r="Q171" s="602"/>
      <c r="R171" s="602"/>
      <c r="S171" s="602"/>
      <c r="T171" s="602"/>
      <c r="U171" s="602"/>
      <c r="V171" s="602"/>
      <c r="W171" s="602"/>
      <c r="X171" s="602"/>
      <c r="Y171" s="602"/>
      <c r="Z171" s="602"/>
      <c r="AA171" s="602"/>
      <c r="AB171" s="603"/>
      <c r="AC171" s="602"/>
      <c r="AD171" s="602"/>
      <c r="AE171" s="602"/>
      <c r="AF171" s="602"/>
      <c r="AG171" s="602"/>
      <c r="AH171" s="602"/>
      <c r="AI171" s="602"/>
    </row>
    <row r="172" spans="1:35" x14ac:dyDescent="0.2">
      <c r="A172" s="627" t="s">
        <v>680</v>
      </c>
      <c r="B172" s="626"/>
      <c r="C172" s="623"/>
      <c r="D172" s="623"/>
      <c r="E172" s="623"/>
      <c r="F172" s="623"/>
      <c r="G172" s="623"/>
      <c r="H172" s="623"/>
      <c r="I172" s="623"/>
      <c r="J172" s="623">
        <f>+J173</f>
        <v>480013</v>
      </c>
      <c r="K172" s="623"/>
      <c r="L172" s="623"/>
      <c r="M172" s="624"/>
      <c r="N172" s="623"/>
      <c r="O172" s="623"/>
      <c r="P172" s="604">
        <f>+P173</f>
        <v>480013</v>
      </c>
      <c r="Q172" s="604"/>
      <c r="R172" s="604"/>
      <c r="S172" s="604"/>
      <c r="T172" s="604"/>
      <c r="U172" s="604"/>
      <c r="V172" s="604"/>
      <c r="W172" s="604"/>
      <c r="X172" s="604"/>
      <c r="Y172" s="604"/>
      <c r="Z172" s="604"/>
      <c r="AA172" s="604"/>
      <c r="AB172" s="605"/>
      <c r="AC172" s="604"/>
      <c r="AD172" s="604"/>
      <c r="AE172" s="604">
        <f>+AE173</f>
        <v>480013</v>
      </c>
      <c r="AF172" s="604"/>
      <c r="AG172" s="604"/>
      <c r="AH172" s="604"/>
      <c r="AI172" s="604">
        <v>509885</v>
      </c>
    </row>
    <row r="173" spans="1:35" x14ac:dyDescent="0.2">
      <c r="A173" s="628" t="s">
        <v>24</v>
      </c>
      <c r="B173" s="614"/>
      <c r="C173" s="609"/>
      <c r="D173" s="610"/>
      <c r="E173" s="610"/>
      <c r="F173" s="610"/>
      <c r="G173" s="610"/>
      <c r="H173" s="610"/>
      <c r="I173" s="610"/>
      <c r="J173" s="610">
        <v>480013</v>
      </c>
      <c r="K173" s="610"/>
      <c r="L173" s="610"/>
      <c r="M173" s="611"/>
      <c r="N173" s="610"/>
      <c r="O173" s="610"/>
      <c r="P173" s="610">
        <f>J173</f>
        <v>480013</v>
      </c>
      <c r="Q173" s="607"/>
      <c r="R173" s="609"/>
      <c r="S173" s="607"/>
      <c r="T173" s="607"/>
      <c r="U173" s="607"/>
      <c r="V173" s="607"/>
      <c r="W173" s="607"/>
      <c r="X173" s="607"/>
      <c r="Y173" s="607"/>
      <c r="Z173" s="607"/>
      <c r="AA173" s="607"/>
      <c r="AB173" s="612"/>
      <c r="AC173" s="607"/>
      <c r="AD173" s="607"/>
      <c r="AE173" s="606">
        <v>480013</v>
      </c>
      <c r="AF173" s="885">
        <f>+P173-AE173</f>
        <v>0</v>
      </c>
      <c r="AG173" s="607"/>
      <c r="AH173" s="607"/>
      <c r="AI173" s="606">
        <v>509885</v>
      </c>
    </row>
    <row r="174" spans="1:35" ht="5.25" customHeight="1" x14ac:dyDescent="0.2">
      <c r="A174" s="622"/>
      <c r="B174" s="602"/>
      <c r="C174" s="602"/>
      <c r="D174" s="602"/>
      <c r="E174" s="602"/>
      <c r="F174" s="602"/>
      <c r="G174" s="602"/>
      <c r="H174" s="602"/>
      <c r="I174" s="602"/>
      <c r="J174" s="602"/>
      <c r="K174" s="602"/>
      <c r="L174" s="602"/>
      <c r="M174" s="602"/>
      <c r="N174" s="602"/>
      <c r="O174" s="602"/>
      <c r="P174" s="602"/>
      <c r="Q174" s="602"/>
      <c r="R174" s="602"/>
      <c r="S174" s="602"/>
      <c r="T174" s="602"/>
      <c r="U174" s="602"/>
      <c r="V174" s="602"/>
      <c r="W174" s="602"/>
      <c r="X174" s="602"/>
      <c r="Y174" s="602"/>
      <c r="Z174" s="602"/>
      <c r="AA174" s="602"/>
      <c r="AB174" s="603"/>
      <c r="AC174" s="602"/>
      <c r="AD174" s="602"/>
      <c r="AE174" s="602"/>
      <c r="AF174" s="602"/>
      <c r="AG174" s="602"/>
      <c r="AH174" s="602"/>
      <c r="AI174" s="602"/>
    </row>
    <row r="175" spans="1:35" x14ac:dyDescent="0.2">
      <c r="A175" s="625" t="s">
        <v>681</v>
      </c>
      <c r="B175" s="626"/>
      <c r="C175" s="623"/>
      <c r="D175" s="623"/>
      <c r="E175" s="623"/>
      <c r="F175" s="623"/>
      <c r="G175" s="623"/>
      <c r="H175" s="623"/>
      <c r="I175" s="623"/>
      <c r="J175" s="623">
        <f>J176</f>
        <v>2234731</v>
      </c>
      <c r="K175" s="623"/>
      <c r="L175" s="623"/>
      <c r="M175" s="624"/>
      <c r="N175" s="623"/>
      <c r="O175" s="623"/>
      <c r="P175" s="604">
        <f>SUM(P176:P176)</f>
        <v>2234731</v>
      </c>
      <c r="Q175" s="604"/>
      <c r="R175" s="604"/>
      <c r="S175" s="604"/>
      <c r="T175" s="604"/>
      <c r="U175" s="604"/>
      <c r="V175" s="604"/>
      <c r="W175" s="604"/>
      <c r="X175" s="604"/>
      <c r="Y175" s="604"/>
      <c r="Z175" s="604"/>
      <c r="AA175" s="604"/>
      <c r="AB175" s="605"/>
      <c r="AC175" s="604"/>
      <c r="AD175" s="604"/>
      <c r="AE175" s="604">
        <f>+AE176</f>
        <v>2070284</v>
      </c>
      <c r="AF175" s="604">
        <f>+AF176</f>
        <v>164447</v>
      </c>
      <c r="AG175" s="604"/>
      <c r="AH175" s="604"/>
      <c r="AI175" s="604">
        <f>+AI176</f>
        <v>2405723.08</v>
      </c>
    </row>
    <row r="176" spans="1:35" x14ac:dyDescent="0.2">
      <c r="A176" s="613" t="s">
        <v>682</v>
      </c>
      <c r="B176" s="614"/>
      <c r="C176" s="609"/>
      <c r="D176" s="610"/>
      <c r="E176" s="610"/>
      <c r="F176" s="610"/>
      <c r="G176" s="610"/>
      <c r="H176" s="610"/>
      <c r="I176" s="610"/>
      <c r="J176" s="610">
        <v>2234731</v>
      </c>
      <c r="K176" s="610"/>
      <c r="L176" s="610"/>
      <c r="M176" s="611"/>
      <c r="N176" s="610"/>
      <c r="O176" s="610"/>
      <c r="P176" s="610">
        <f>J176</f>
        <v>2234731</v>
      </c>
      <c r="Q176" s="607"/>
      <c r="R176" s="609"/>
      <c r="S176" s="607"/>
      <c r="T176" s="607"/>
      <c r="U176" s="607"/>
      <c r="V176" s="607"/>
      <c r="W176" s="607"/>
      <c r="X176" s="607"/>
      <c r="Y176" s="607"/>
      <c r="Z176" s="607"/>
      <c r="AA176" s="607"/>
      <c r="AB176" s="612"/>
      <c r="AC176" s="607"/>
      <c r="AD176" s="607"/>
      <c r="AE176" s="606">
        <v>2070284</v>
      </c>
      <c r="AF176" s="608">
        <f>+P176-AE176</f>
        <v>164447</v>
      </c>
      <c r="AG176" s="607"/>
      <c r="AH176" s="607"/>
      <c r="AI176" s="606">
        <v>2405723.08</v>
      </c>
    </row>
    <row r="177" spans="1:35" ht="6" customHeight="1" thickBot="1" x14ac:dyDescent="0.25">
      <c r="A177" s="622"/>
      <c r="B177" s="602"/>
      <c r="C177" s="602"/>
      <c r="D177" s="602"/>
      <c r="E177" s="602"/>
      <c r="F177" s="602"/>
      <c r="G177" s="602"/>
      <c r="H177" s="602"/>
      <c r="I177" s="602"/>
      <c r="J177" s="602"/>
      <c r="K177" s="602"/>
      <c r="L177" s="602"/>
      <c r="M177" s="602"/>
      <c r="N177" s="602"/>
      <c r="O177" s="602"/>
      <c r="P177" s="602"/>
      <c r="Q177" s="602"/>
      <c r="R177" s="602"/>
      <c r="S177" s="602"/>
      <c r="T177" s="602"/>
      <c r="U177" s="602"/>
      <c r="V177" s="602"/>
      <c r="W177" s="602"/>
      <c r="X177" s="602"/>
      <c r="Y177" s="602"/>
      <c r="Z177" s="602"/>
      <c r="AA177" s="602"/>
      <c r="AB177" s="603"/>
      <c r="AC177" s="602"/>
      <c r="AD177" s="602"/>
      <c r="AE177" s="602"/>
      <c r="AF177" s="602"/>
      <c r="AG177" s="602"/>
      <c r="AH177" s="602"/>
      <c r="AI177" s="602"/>
    </row>
    <row r="178" spans="1:35" ht="17.25" customHeight="1" thickBot="1" x14ac:dyDescent="0.25">
      <c r="A178" s="886" t="s">
        <v>0</v>
      </c>
      <c r="B178" s="884">
        <f>+B167+B157+B145+B138</f>
        <v>235</v>
      </c>
      <c r="C178" s="884">
        <f t="shared" ref="C178:AH178" si="79">+C167+C157+C145+C138</f>
        <v>153040</v>
      </c>
      <c r="D178" s="884"/>
      <c r="E178" s="884"/>
      <c r="F178" s="884"/>
      <c r="G178" s="884"/>
      <c r="H178" s="884"/>
      <c r="I178" s="884"/>
      <c r="J178" s="884">
        <f>+J172+J175</f>
        <v>2714744</v>
      </c>
      <c r="K178" s="884">
        <f t="shared" si="79"/>
        <v>153040</v>
      </c>
      <c r="L178" s="884">
        <f t="shared" si="79"/>
        <v>2438269</v>
      </c>
      <c r="M178" s="884">
        <f t="shared" si="79"/>
        <v>1630490.4</v>
      </c>
      <c r="N178" s="884">
        <f t="shared" si="79"/>
        <v>4068759.4</v>
      </c>
      <c r="O178" s="884">
        <f t="shared" si="79"/>
        <v>19597239.399999999</v>
      </c>
      <c r="P178" s="884">
        <f>+P167+P157+P145+P138+P172+P175</f>
        <v>22311983.399999999</v>
      </c>
      <c r="Q178" s="884">
        <f t="shared" si="79"/>
        <v>238</v>
      </c>
      <c r="R178" s="884">
        <f t="shared" si="79"/>
        <v>153040</v>
      </c>
      <c r="S178" s="884">
        <f t="shared" si="79"/>
        <v>0</v>
      </c>
      <c r="T178" s="884">
        <f t="shared" si="79"/>
        <v>0</v>
      </c>
      <c r="U178" s="884">
        <f t="shared" si="79"/>
        <v>0</v>
      </c>
      <c r="V178" s="884">
        <f t="shared" si="79"/>
        <v>0</v>
      </c>
      <c r="W178" s="884">
        <f t="shared" si="79"/>
        <v>0</v>
      </c>
      <c r="X178" s="884">
        <f t="shared" si="79"/>
        <v>0</v>
      </c>
      <c r="Y178" s="884">
        <f t="shared" si="79"/>
        <v>0</v>
      </c>
      <c r="Z178" s="884">
        <f t="shared" si="79"/>
        <v>153040</v>
      </c>
      <c r="AA178" s="884">
        <f t="shared" si="79"/>
        <v>2452369</v>
      </c>
      <c r="AB178" s="884">
        <f t="shared" si="79"/>
        <v>1638617.4</v>
      </c>
      <c r="AC178" s="884">
        <f t="shared" si="79"/>
        <v>4090986.4</v>
      </c>
      <c r="AD178" s="884">
        <f t="shared" si="79"/>
        <v>19761687.399999999</v>
      </c>
      <c r="AE178" s="884">
        <f>+AE167+AE157+AE145+AE138+AE172+AE175</f>
        <v>22311984.399999999</v>
      </c>
      <c r="AF178" s="884">
        <f>+AF167+AF157+AF145+AF138+AF172+AF175</f>
        <v>-1</v>
      </c>
      <c r="AG178" s="884">
        <f t="shared" si="79"/>
        <v>-3</v>
      </c>
      <c r="AH178" s="884">
        <f t="shared" si="79"/>
        <v>240</v>
      </c>
      <c r="AI178" s="884">
        <f>+AI167+AI157+AI145+AI138+AI172+AI175</f>
        <v>22846907.159999996</v>
      </c>
    </row>
    <row r="179" spans="1:35" x14ac:dyDescent="0.2">
      <c r="A179" s="502" t="s">
        <v>70</v>
      </c>
      <c r="B179" s="502"/>
      <c r="C179" s="502"/>
      <c r="D179" s="502"/>
      <c r="E179" s="502"/>
      <c r="F179" s="502"/>
      <c r="G179" s="502"/>
      <c r="H179" s="502"/>
      <c r="I179" s="502"/>
      <c r="J179" s="502"/>
      <c r="K179" s="502"/>
      <c r="L179" s="502"/>
      <c r="M179" s="502"/>
      <c r="N179" s="502"/>
      <c r="O179" s="502"/>
      <c r="P179" s="502"/>
      <c r="Q179" s="502"/>
      <c r="R179" s="502"/>
      <c r="S179" s="502"/>
      <c r="T179" s="502"/>
      <c r="U179" s="502"/>
      <c r="V179" s="502"/>
      <c r="W179" s="502"/>
      <c r="X179" s="502"/>
      <c r="Y179" s="502"/>
      <c r="Z179" s="502"/>
      <c r="AA179" s="502"/>
      <c r="AB179" s="615"/>
      <c r="AC179" s="502"/>
      <c r="AD179" s="502"/>
      <c r="AE179" s="502"/>
      <c r="AF179" s="502"/>
      <c r="AG179" s="502"/>
      <c r="AH179" s="502"/>
      <c r="AI179" s="502"/>
    </row>
    <row r="180" spans="1:35" x14ac:dyDescent="0.2">
      <c r="A180" s="502" t="s">
        <v>71</v>
      </c>
      <c r="B180" s="502" t="s">
        <v>162</v>
      </c>
      <c r="C180" s="502"/>
      <c r="D180" s="502"/>
      <c r="E180" s="502"/>
      <c r="F180" s="502"/>
      <c r="G180" s="502"/>
      <c r="H180" s="502"/>
      <c r="I180" s="502"/>
      <c r="J180" s="502"/>
      <c r="K180" s="502"/>
      <c r="L180" s="502"/>
      <c r="M180" s="502"/>
      <c r="N180" s="502"/>
      <c r="O180" s="502"/>
      <c r="P180" s="502"/>
      <c r="Q180" s="616"/>
      <c r="R180" s="502"/>
      <c r="S180" s="502"/>
      <c r="T180" s="502"/>
      <c r="U180" s="502"/>
      <c r="V180" s="502"/>
      <c r="W180" s="502"/>
      <c r="X180" s="502"/>
      <c r="Y180" s="502"/>
      <c r="Z180" s="502"/>
      <c r="AA180" s="502"/>
      <c r="AB180" s="615"/>
      <c r="AC180" s="502"/>
      <c r="AD180" s="502"/>
      <c r="AE180" s="617"/>
      <c r="AF180" s="618"/>
      <c r="AG180" s="618"/>
      <c r="AH180" s="618"/>
      <c r="AI180" s="618"/>
    </row>
    <row r="181" spans="1:35" x14ac:dyDescent="0.2">
      <c r="A181" s="502" t="s">
        <v>72</v>
      </c>
      <c r="B181" s="502" t="s">
        <v>73</v>
      </c>
      <c r="C181" s="502"/>
      <c r="D181" s="502"/>
      <c r="E181" s="502"/>
      <c r="F181" s="502"/>
      <c r="G181" s="502"/>
      <c r="H181" s="502"/>
      <c r="I181" s="502"/>
      <c r="J181" s="502"/>
      <c r="K181" s="502"/>
      <c r="L181" s="502"/>
      <c r="M181" s="502"/>
      <c r="N181" s="502"/>
      <c r="O181" s="502"/>
      <c r="P181" s="502"/>
      <c r="Q181" s="502"/>
      <c r="R181" s="502"/>
      <c r="S181" s="502"/>
      <c r="T181" s="502"/>
      <c r="U181" s="502"/>
      <c r="V181" s="502"/>
      <c r="W181" s="502"/>
      <c r="X181" s="502"/>
      <c r="Y181" s="502"/>
      <c r="Z181" s="502"/>
      <c r="AA181" s="502"/>
      <c r="AB181" s="615"/>
      <c r="AC181" s="502"/>
      <c r="AD181" s="502"/>
      <c r="AE181" s="619"/>
      <c r="AF181" s="618"/>
      <c r="AG181" s="618"/>
      <c r="AH181" s="618"/>
      <c r="AI181" s="619"/>
    </row>
    <row r="182" spans="1:35" x14ac:dyDescent="0.2">
      <c r="A182" s="502" t="s">
        <v>74</v>
      </c>
      <c r="B182" s="502" t="s">
        <v>75</v>
      </c>
      <c r="C182" s="502"/>
      <c r="D182" s="502"/>
      <c r="E182" s="502"/>
      <c r="F182" s="502"/>
      <c r="G182" s="502"/>
      <c r="H182" s="502"/>
      <c r="I182" s="502"/>
      <c r="J182" s="502"/>
      <c r="K182" s="502"/>
      <c r="L182" s="502"/>
      <c r="M182" s="502"/>
      <c r="N182" s="502"/>
      <c r="O182" s="502"/>
      <c r="P182" s="502"/>
      <c r="Q182" s="502"/>
      <c r="R182" s="502"/>
      <c r="S182" s="502"/>
      <c r="T182" s="502"/>
      <c r="U182" s="502"/>
      <c r="V182" s="502"/>
      <c r="W182" s="502"/>
      <c r="X182" s="502"/>
      <c r="Y182" s="502"/>
      <c r="Z182" s="502"/>
      <c r="AA182" s="502"/>
      <c r="AB182" s="615"/>
      <c r="AC182" s="502"/>
      <c r="AD182" s="502"/>
      <c r="AE182" s="618"/>
      <c r="AF182" s="618"/>
      <c r="AG182" s="618"/>
      <c r="AH182" s="618"/>
      <c r="AI182" s="618"/>
    </row>
    <row r="183" spans="1:35" x14ac:dyDescent="0.2">
      <c r="A183" s="502" t="s">
        <v>76</v>
      </c>
      <c r="B183" s="502" t="s">
        <v>77</v>
      </c>
      <c r="C183" s="502"/>
      <c r="D183" s="502"/>
      <c r="E183" s="502"/>
      <c r="F183" s="502"/>
      <c r="G183" s="502"/>
      <c r="H183" s="502"/>
      <c r="I183" s="502"/>
      <c r="J183" s="502"/>
      <c r="K183" s="502"/>
      <c r="L183" s="502"/>
      <c r="M183" s="502"/>
      <c r="N183" s="502"/>
      <c r="O183" s="502"/>
      <c r="P183" s="502"/>
      <c r="Q183" s="502"/>
      <c r="R183" s="502"/>
      <c r="S183" s="502"/>
      <c r="T183" s="502"/>
      <c r="U183" s="502"/>
      <c r="V183" s="502"/>
      <c r="W183" s="502"/>
      <c r="X183" s="502"/>
      <c r="Y183" s="502"/>
      <c r="Z183" s="502"/>
      <c r="AA183" s="502"/>
      <c r="AB183" s="615"/>
      <c r="AC183" s="502"/>
      <c r="AD183" s="502"/>
      <c r="AE183" s="618"/>
      <c r="AF183" s="618"/>
      <c r="AG183" s="618"/>
      <c r="AH183" s="618"/>
      <c r="AI183" s="618"/>
    </row>
    <row r="184" spans="1:35" x14ac:dyDescent="0.2">
      <c r="A184" s="502"/>
      <c r="B184" s="502" t="s">
        <v>78</v>
      </c>
      <c r="C184" s="502"/>
      <c r="D184" s="502"/>
      <c r="E184" s="502"/>
      <c r="F184" s="502"/>
      <c r="G184" s="502"/>
      <c r="H184" s="502"/>
      <c r="I184" s="502"/>
      <c r="J184" s="502"/>
      <c r="K184" s="502"/>
      <c r="L184" s="502"/>
      <c r="M184" s="502"/>
      <c r="N184" s="502"/>
      <c r="O184" s="502"/>
      <c r="P184" s="502"/>
      <c r="Q184" s="502"/>
      <c r="R184" s="502"/>
      <c r="S184" s="502"/>
      <c r="T184" s="502"/>
      <c r="U184" s="502"/>
      <c r="V184" s="502"/>
      <c r="W184" s="502"/>
      <c r="X184" s="502"/>
      <c r="Y184" s="502"/>
      <c r="Z184" s="502"/>
      <c r="AA184" s="502"/>
      <c r="AB184" s="615"/>
      <c r="AC184" s="502"/>
      <c r="AD184" s="502"/>
      <c r="AE184" s="620"/>
      <c r="AF184" s="618"/>
      <c r="AG184" s="618"/>
      <c r="AH184" s="618"/>
      <c r="AI184" s="619"/>
    </row>
    <row r="185" spans="1:35" x14ac:dyDescent="0.2">
      <c r="A185" s="502" t="s">
        <v>79</v>
      </c>
      <c r="B185" s="502" t="s">
        <v>153</v>
      </c>
      <c r="C185" s="502"/>
      <c r="D185" s="502"/>
      <c r="E185" s="502"/>
      <c r="F185" s="502"/>
      <c r="G185" s="502"/>
      <c r="H185" s="502"/>
      <c r="I185" s="502"/>
      <c r="J185" s="502"/>
      <c r="K185" s="502"/>
      <c r="L185" s="502"/>
      <c r="M185" s="502"/>
      <c r="N185" s="502"/>
      <c r="O185" s="502"/>
      <c r="P185" s="502"/>
      <c r="Q185" s="502"/>
      <c r="R185" s="502"/>
      <c r="S185" s="502"/>
      <c r="T185" s="502"/>
      <c r="U185" s="502"/>
      <c r="V185" s="502"/>
      <c r="W185" s="502"/>
      <c r="X185" s="502"/>
      <c r="Y185" s="502"/>
      <c r="Z185" s="502"/>
      <c r="AA185" s="502"/>
      <c r="AB185" s="615"/>
      <c r="AC185" s="502"/>
      <c r="AD185" s="502"/>
      <c r="AE185" s="618"/>
      <c r="AF185" s="618"/>
      <c r="AG185" s="618"/>
      <c r="AH185" s="618"/>
      <c r="AI185" s="618"/>
    </row>
    <row r="186" spans="1:35" x14ac:dyDescent="0.2">
      <c r="A186" s="502"/>
      <c r="B186" s="502" t="s">
        <v>80</v>
      </c>
      <c r="C186" s="502"/>
      <c r="D186" s="502"/>
      <c r="E186" s="502"/>
      <c r="F186" s="502"/>
      <c r="G186" s="502"/>
      <c r="H186" s="502"/>
      <c r="I186" s="502"/>
      <c r="J186" s="502"/>
      <c r="K186" s="502"/>
      <c r="L186" s="502"/>
      <c r="M186" s="502"/>
      <c r="N186" s="502"/>
      <c r="O186" s="502"/>
      <c r="P186" s="502"/>
      <c r="Q186" s="502"/>
      <c r="R186" s="502"/>
      <c r="S186" s="502"/>
      <c r="T186" s="502"/>
      <c r="U186" s="502"/>
      <c r="V186" s="502"/>
      <c r="W186" s="502"/>
      <c r="X186" s="502"/>
      <c r="Y186" s="502"/>
      <c r="Z186" s="502"/>
      <c r="AA186" s="502"/>
      <c r="AB186" s="615"/>
      <c r="AC186" s="502"/>
      <c r="AD186" s="502"/>
      <c r="AE186" s="618"/>
      <c r="AF186" s="618"/>
      <c r="AG186" s="618"/>
      <c r="AH186" s="618"/>
      <c r="AI186" s="618"/>
    </row>
    <row r="187" spans="1:35" x14ac:dyDescent="0.2">
      <c r="A187" s="502"/>
      <c r="B187" s="502" t="s">
        <v>81</v>
      </c>
      <c r="C187" s="502"/>
      <c r="D187" s="502"/>
      <c r="E187" s="502"/>
      <c r="F187" s="502"/>
      <c r="G187" s="502"/>
      <c r="H187" s="502"/>
      <c r="I187" s="502"/>
      <c r="J187" s="502"/>
      <c r="K187" s="502"/>
      <c r="L187" s="502"/>
      <c r="M187" s="502"/>
      <c r="N187" s="502"/>
      <c r="O187" s="502"/>
      <c r="P187" s="502"/>
      <c r="Q187" s="502"/>
      <c r="R187" s="502"/>
      <c r="S187" s="502"/>
      <c r="T187" s="502"/>
      <c r="U187" s="502"/>
      <c r="V187" s="502"/>
      <c r="W187" s="502"/>
      <c r="X187" s="502"/>
      <c r="Y187" s="502"/>
      <c r="Z187" s="502"/>
      <c r="AA187" s="502"/>
      <c r="AB187" s="615"/>
      <c r="AC187" s="502"/>
      <c r="AD187" s="502"/>
      <c r="AE187" s="502"/>
      <c r="AF187" s="502"/>
      <c r="AG187" s="502"/>
      <c r="AH187" s="502"/>
      <c r="AI187" s="502"/>
    </row>
    <row r="188" spans="1:35" x14ac:dyDescent="0.2">
      <c r="A188" s="502"/>
      <c r="B188" s="502" t="s">
        <v>82</v>
      </c>
      <c r="C188" s="502"/>
      <c r="D188" s="502"/>
      <c r="E188" s="502"/>
      <c r="F188" s="502"/>
      <c r="G188" s="502"/>
      <c r="H188" s="502"/>
      <c r="I188" s="502"/>
      <c r="J188" s="502"/>
      <c r="K188" s="502"/>
      <c r="L188" s="502"/>
      <c r="M188" s="502"/>
      <c r="N188" s="502"/>
      <c r="O188" s="502"/>
      <c r="P188" s="502"/>
      <c r="Q188" s="502"/>
      <c r="R188" s="502"/>
      <c r="S188" s="502"/>
      <c r="T188" s="502"/>
      <c r="U188" s="502"/>
      <c r="V188" s="502"/>
      <c r="W188" s="502"/>
      <c r="X188" s="502"/>
      <c r="Y188" s="502"/>
      <c r="Z188" s="502"/>
      <c r="AA188" s="502"/>
      <c r="AB188" s="615"/>
      <c r="AC188" s="502"/>
      <c r="AD188" s="502"/>
      <c r="AE188" s="502"/>
      <c r="AF188" s="502"/>
      <c r="AG188" s="502"/>
      <c r="AH188" s="502"/>
      <c r="AI188" s="502"/>
    </row>
    <row r="189" spans="1:35" x14ac:dyDescent="0.2">
      <c r="A189" s="502" t="s">
        <v>187</v>
      </c>
      <c r="B189" s="502" t="s">
        <v>188</v>
      </c>
      <c r="C189" s="502"/>
      <c r="D189" s="502"/>
      <c r="E189" s="502"/>
      <c r="F189" s="502"/>
      <c r="G189" s="502"/>
      <c r="H189" s="502"/>
      <c r="I189" s="502"/>
      <c r="J189" s="502"/>
      <c r="K189" s="502"/>
      <c r="L189" s="502"/>
      <c r="M189" s="502"/>
      <c r="N189" s="502"/>
      <c r="O189" s="502"/>
      <c r="P189" s="502"/>
      <c r="Q189" s="502"/>
      <c r="R189" s="502"/>
      <c r="S189" s="502"/>
      <c r="T189" s="502"/>
      <c r="U189" s="502"/>
      <c r="V189" s="502"/>
      <c r="W189" s="502"/>
      <c r="X189" s="502"/>
      <c r="Y189" s="502"/>
      <c r="Z189" s="502"/>
      <c r="AA189" s="502"/>
      <c r="AB189" s="615"/>
      <c r="AC189" s="502"/>
      <c r="AD189" s="502"/>
      <c r="AE189" s="502"/>
      <c r="AF189" s="502"/>
      <c r="AG189" s="502"/>
      <c r="AH189" s="502"/>
      <c r="AI189" s="502"/>
    </row>
    <row r="190" spans="1:35" x14ac:dyDescent="0.2">
      <c r="A190" s="502" t="s">
        <v>189</v>
      </c>
      <c r="B190" s="502" t="s">
        <v>158</v>
      </c>
      <c r="C190" s="502"/>
      <c r="D190" s="502"/>
      <c r="E190" s="502"/>
      <c r="F190" s="502"/>
      <c r="G190" s="502"/>
      <c r="H190" s="502"/>
      <c r="I190" s="502"/>
      <c r="J190" s="502"/>
      <c r="K190" s="502"/>
      <c r="L190" s="502"/>
      <c r="M190" s="502"/>
      <c r="N190" s="502"/>
      <c r="O190" s="502"/>
      <c r="P190" s="502"/>
      <c r="Q190" s="502"/>
      <c r="R190" s="502"/>
      <c r="S190" s="502"/>
      <c r="T190" s="502"/>
      <c r="U190" s="502"/>
      <c r="V190" s="502"/>
      <c r="W190" s="502"/>
      <c r="X190" s="502"/>
      <c r="Y190" s="502"/>
      <c r="Z190" s="502"/>
      <c r="AA190" s="502"/>
      <c r="AB190" s="615"/>
      <c r="AC190" s="502"/>
      <c r="AD190" s="502"/>
      <c r="AE190" s="502"/>
      <c r="AF190" s="502"/>
      <c r="AG190" s="502"/>
      <c r="AH190" s="502"/>
      <c r="AI190" s="502"/>
    </row>
    <row r="191" spans="1:35" x14ac:dyDescent="0.2">
      <c r="A191" s="502" t="s">
        <v>190</v>
      </c>
      <c r="B191" s="502" t="s">
        <v>154</v>
      </c>
      <c r="C191" s="502"/>
      <c r="D191" s="502"/>
      <c r="E191" s="502"/>
      <c r="F191" s="502"/>
      <c r="G191" s="502"/>
      <c r="H191" s="502"/>
      <c r="I191" s="502"/>
      <c r="J191" s="502"/>
      <c r="K191" s="502"/>
      <c r="L191" s="502"/>
      <c r="M191" s="502"/>
      <c r="N191" s="502"/>
      <c r="O191" s="502"/>
      <c r="P191" s="502"/>
      <c r="Q191" s="502"/>
      <c r="R191" s="502"/>
      <c r="S191" s="502"/>
      <c r="T191" s="502"/>
      <c r="U191" s="502"/>
      <c r="V191" s="502"/>
      <c r="W191" s="502"/>
      <c r="X191" s="502"/>
      <c r="Y191" s="502"/>
      <c r="Z191" s="502"/>
      <c r="AA191" s="502"/>
      <c r="AB191" s="615"/>
      <c r="AC191" s="502"/>
      <c r="AD191" s="502"/>
      <c r="AE191" s="502"/>
      <c r="AF191" s="502"/>
      <c r="AG191" s="502"/>
      <c r="AH191" s="502"/>
      <c r="AI191" s="502"/>
    </row>
    <row r="192" spans="1:35" x14ac:dyDescent="0.2">
      <c r="A192" s="502"/>
      <c r="B192" s="502" t="s">
        <v>80</v>
      </c>
      <c r="C192" s="502"/>
      <c r="D192" s="502"/>
      <c r="E192" s="502"/>
      <c r="F192" s="502"/>
      <c r="G192" s="502"/>
      <c r="H192" s="502"/>
      <c r="I192" s="502"/>
      <c r="J192" s="502"/>
      <c r="K192" s="502"/>
      <c r="L192" s="502"/>
      <c r="M192" s="502"/>
      <c r="N192" s="502"/>
      <c r="O192" s="502"/>
      <c r="P192" s="502"/>
      <c r="Q192" s="502"/>
      <c r="R192" s="502"/>
      <c r="S192" s="502"/>
      <c r="T192" s="502"/>
      <c r="U192" s="502"/>
      <c r="V192" s="502"/>
      <c r="W192" s="502"/>
      <c r="X192" s="502"/>
      <c r="Y192" s="502"/>
      <c r="Z192" s="502"/>
      <c r="AA192" s="502"/>
      <c r="AB192" s="615"/>
      <c r="AC192" s="502"/>
      <c r="AD192" s="502"/>
      <c r="AE192" s="502"/>
      <c r="AF192" s="502"/>
      <c r="AG192" s="502"/>
      <c r="AH192" s="502"/>
      <c r="AI192" s="502"/>
    </row>
    <row r="193" spans="1:35" x14ac:dyDescent="0.2">
      <c r="A193" s="502"/>
      <c r="B193" s="502" t="s">
        <v>81</v>
      </c>
      <c r="C193" s="502"/>
      <c r="D193" s="502"/>
      <c r="E193" s="502"/>
      <c r="F193" s="502"/>
      <c r="G193" s="502"/>
      <c r="H193" s="502"/>
      <c r="I193" s="502"/>
      <c r="J193" s="502"/>
      <c r="K193" s="502"/>
      <c r="L193" s="502"/>
      <c r="M193" s="502"/>
      <c r="N193" s="502"/>
      <c r="O193" s="502"/>
      <c r="P193" s="502"/>
      <c r="Q193" s="502"/>
      <c r="R193" s="502"/>
      <c r="S193" s="502"/>
      <c r="T193" s="502"/>
      <c r="U193" s="502"/>
      <c r="V193" s="502"/>
      <c r="W193" s="502"/>
      <c r="X193" s="502"/>
      <c r="Y193" s="502"/>
      <c r="Z193" s="502"/>
      <c r="AA193" s="502"/>
      <c r="AB193" s="615"/>
      <c r="AC193" s="502"/>
      <c r="AD193" s="502"/>
      <c r="AE193" s="502"/>
      <c r="AF193" s="502"/>
      <c r="AG193" s="502"/>
      <c r="AH193" s="502"/>
      <c r="AI193" s="502"/>
    </row>
    <row r="194" spans="1:35" x14ac:dyDescent="0.2">
      <c r="A194" s="502"/>
      <c r="B194" s="502" t="s">
        <v>119</v>
      </c>
      <c r="C194" s="502"/>
      <c r="D194" s="502"/>
      <c r="E194" s="502"/>
      <c r="F194" s="502"/>
      <c r="G194" s="502"/>
      <c r="H194" s="502"/>
      <c r="I194" s="502"/>
      <c r="J194" s="502"/>
      <c r="K194" s="502"/>
      <c r="L194" s="502"/>
      <c r="M194" s="502"/>
      <c r="N194" s="502"/>
      <c r="O194" s="502"/>
      <c r="P194" s="502"/>
      <c r="Q194" s="502"/>
      <c r="R194" s="502"/>
      <c r="S194" s="502"/>
      <c r="T194" s="502"/>
      <c r="U194" s="502"/>
      <c r="V194" s="502"/>
      <c r="W194" s="502"/>
      <c r="X194" s="502"/>
      <c r="Y194" s="502"/>
      <c r="Z194" s="502"/>
      <c r="AA194" s="502"/>
      <c r="AB194" s="615"/>
      <c r="AC194" s="502"/>
      <c r="AD194" s="502"/>
      <c r="AE194" s="502"/>
      <c r="AF194" s="502"/>
      <c r="AG194" s="502"/>
      <c r="AH194" s="502"/>
      <c r="AI194" s="502"/>
    </row>
    <row r="195" spans="1:35" x14ac:dyDescent="0.2">
      <c r="A195" s="502" t="s">
        <v>199</v>
      </c>
      <c r="B195" s="502" t="s">
        <v>200</v>
      </c>
      <c r="C195" s="502"/>
      <c r="D195" s="502"/>
      <c r="E195" s="502"/>
      <c r="F195" s="502"/>
      <c r="G195" s="502"/>
      <c r="H195" s="502"/>
      <c r="I195" s="502"/>
      <c r="J195" s="502"/>
      <c r="K195" s="502"/>
      <c r="L195" s="502"/>
      <c r="M195" s="502"/>
      <c r="N195" s="502"/>
      <c r="O195" s="502"/>
      <c r="P195" s="502"/>
      <c r="Q195" s="502"/>
      <c r="R195" s="502"/>
      <c r="S195" s="502"/>
      <c r="T195" s="502"/>
      <c r="U195" s="502"/>
      <c r="V195" s="502"/>
      <c r="W195" s="502"/>
      <c r="X195" s="502"/>
      <c r="Y195" s="502"/>
      <c r="Z195" s="502"/>
      <c r="AA195" s="502"/>
      <c r="AB195" s="615"/>
      <c r="AC195" s="502"/>
      <c r="AD195" s="502"/>
      <c r="AE195" s="502"/>
      <c r="AF195" s="502"/>
      <c r="AG195" s="502"/>
      <c r="AH195" s="502"/>
      <c r="AI195" s="502"/>
    </row>
    <row r="196" spans="1:35" x14ac:dyDescent="0.2">
      <c r="A196" s="502" t="s">
        <v>197</v>
      </c>
      <c r="B196" s="502" t="s">
        <v>193</v>
      </c>
      <c r="C196" s="502"/>
      <c r="D196" s="502"/>
      <c r="E196" s="502"/>
      <c r="F196" s="502"/>
      <c r="G196" s="502"/>
      <c r="H196" s="502"/>
      <c r="I196" s="502"/>
      <c r="J196" s="502"/>
      <c r="K196" s="502"/>
      <c r="L196" s="502"/>
      <c r="M196" s="502"/>
      <c r="N196" s="502"/>
      <c r="O196" s="502"/>
      <c r="P196" s="502"/>
      <c r="Q196" s="502"/>
      <c r="R196" s="502"/>
      <c r="S196" s="502"/>
      <c r="T196" s="502"/>
      <c r="U196" s="502"/>
      <c r="V196" s="502"/>
      <c r="W196" s="502"/>
      <c r="X196" s="502"/>
      <c r="Y196" s="502"/>
      <c r="Z196" s="502"/>
      <c r="AA196" s="502"/>
      <c r="AB196" s="615"/>
      <c r="AC196" s="502"/>
      <c r="AD196" s="502"/>
      <c r="AE196" s="502"/>
      <c r="AF196" s="502"/>
      <c r="AG196" s="502"/>
      <c r="AH196" s="502"/>
      <c r="AI196" s="502"/>
    </row>
    <row r="197" spans="1:35" x14ac:dyDescent="0.2">
      <c r="A197" s="502" t="s">
        <v>198</v>
      </c>
      <c r="B197" s="502" t="s">
        <v>201</v>
      </c>
      <c r="C197" s="502"/>
      <c r="D197" s="502"/>
      <c r="E197" s="502"/>
      <c r="F197" s="502"/>
      <c r="G197" s="502"/>
      <c r="H197" s="502"/>
      <c r="I197" s="502"/>
      <c r="J197" s="502"/>
      <c r="K197" s="502"/>
      <c r="L197" s="502"/>
      <c r="M197" s="502"/>
      <c r="N197" s="502"/>
      <c r="O197" s="502"/>
      <c r="P197" s="502"/>
      <c r="Q197" s="502"/>
      <c r="R197" s="502"/>
      <c r="S197" s="502"/>
      <c r="T197" s="502"/>
      <c r="U197" s="502"/>
      <c r="V197" s="502"/>
      <c r="W197" s="502"/>
      <c r="X197" s="502"/>
      <c r="Y197" s="502"/>
      <c r="Z197" s="502"/>
      <c r="AA197" s="502"/>
      <c r="AB197" s="615"/>
      <c r="AC197" s="502"/>
      <c r="AD197" s="502"/>
      <c r="AE197" s="502"/>
      <c r="AF197" s="502"/>
      <c r="AG197" s="502"/>
      <c r="AH197" s="502"/>
      <c r="AI197" s="502"/>
    </row>
    <row r="198" spans="1:35" x14ac:dyDescent="0.2">
      <c r="A198" s="502"/>
      <c r="B198" s="502"/>
      <c r="C198" s="502"/>
      <c r="D198" s="502"/>
      <c r="E198" s="502"/>
      <c r="F198" s="502"/>
      <c r="G198" s="502"/>
      <c r="H198" s="502"/>
      <c r="I198" s="502"/>
      <c r="J198" s="502"/>
      <c r="K198" s="502"/>
      <c r="L198" s="502"/>
      <c r="M198" s="502"/>
      <c r="N198" s="502"/>
      <c r="O198" s="502"/>
      <c r="P198" s="502"/>
      <c r="Q198" s="502"/>
      <c r="R198" s="502"/>
      <c r="S198" s="502"/>
      <c r="T198" s="502"/>
      <c r="U198" s="502"/>
      <c r="V198" s="502"/>
      <c r="W198" s="502"/>
      <c r="X198" s="502"/>
      <c r="Y198" s="502"/>
      <c r="Z198" s="502"/>
      <c r="AA198" s="502"/>
      <c r="AB198" s="615"/>
      <c r="AC198" s="502"/>
      <c r="AD198" s="502"/>
      <c r="AE198" s="502"/>
      <c r="AF198" s="502"/>
      <c r="AG198" s="502"/>
      <c r="AH198" s="502"/>
      <c r="AI198" s="502"/>
    </row>
    <row r="201" spans="1:35" ht="12.75" thickBot="1" x14ac:dyDescent="0.25">
      <c r="A201" s="396" t="s">
        <v>683</v>
      </c>
      <c r="B201" s="391"/>
      <c r="C201" s="391"/>
      <c r="D201" s="391"/>
      <c r="E201" s="391"/>
      <c r="F201" s="391"/>
      <c r="G201" s="391"/>
      <c r="H201" s="391"/>
      <c r="I201" s="391"/>
      <c r="J201" s="391"/>
      <c r="K201" s="391"/>
      <c r="L201" s="391"/>
      <c r="M201" s="391"/>
      <c r="N201" s="391"/>
      <c r="O201" s="391"/>
      <c r="P201" s="391"/>
      <c r="Q201" s="391"/>
      <c r="R201" s="391"/>
      <c r="S201" s="391"/>
      <c r="T201" s="393"/>
      <c r="U201" s="391"/>
      <c r="V201" s="391"/>
      <c r="W201" s="391"/>
      <c r="X201" s="391"/>
      <c r="Y201" s="391"/>
      <c r="Z201" s="391"/>
      <c r="AA201" s="391"/>
      <c r="AB201" s="391"/>
      <c r="AC201" s="391"/>
      <c r="AD201" s="391"/>
      <c r="AE201" s="391"/>
      <c r="AF201" s="391"/>
      <c r="AG201" s="391"/>
      <c r="AH201" s="391"/>
      <c r="AI201" s="391"/>
    </row>
    <row r="202" spans="1:35" ht="12.75" thickBot="1" x14ac:dyDescent="0.25">
      <c r="A202" s="1463" t="s">
        <v>60</v>
      </c>
      <c r="B202" s="1487" t="s">
        <v>382</v>
      </c>
      <c r="C202" s="1487"/>
      <c r="D202" s="1487"/>
      <c r="E202" s="1487"/>
      <c r="F202" s="1487"/>
      <c r="G202" s="1487"/>
      <c r="H202" s="1487"/>
      <c r="I202" s="1487"/>
      <c r="J202" s="1487"/>
      <c r="K202" s="1487"/>
      <c r="L202" s="1487"/>
      <c r="M202" s="1487"/>
      <c r="N202" s="1487"/>
      <c r="O202" s="1487"/>
      <c r="P202" s="1487"/>
      <c r="Q202" s="1488" t="s">
        <v>406</v>
      </c>
      <c r="R202" s="1487"/>
      <c r="S202" s="1487"/>
      <c r="T202" s="1487"/>
      <c r="U202" s="1487"/>
      <c r="V202" s="1487"/>
      <c r="W202" s="1487"/>
      <c r="X202" s="1487"/>
      <c r="Y202" s="1487"/>
      <c r="Z202" s="1487"/>
      <c r="AA202" s="1487"/>
      <c r="AB202" s="1487"/>
      <c r="AC202" s="1487"/>
      <c r="AD202" s="1487"/>
      <c r="AE202" s="1489"/>
      <c r="AF202" s="1490" t="s">
        <v>407</v>
      </c>
      <c r="AG202" s="1491"/>
      <c r="AH202" s="1490" t="s">
        <v>408</v>
      </c>
      <c r="AI202" s="1491"/>
    </row>
    <row r="203" spans="1:35" ht="102.75" x14ac:dyDescent="0.2">
      <c r="A203" s="1485"/>
      <c r="B203" s="426" t="s">
        <v>11</v>
      </c>
      <c r="C203" s="427" t="s">
        <v>147</v>
      </c>
      <c r="D203" s="428" t="s">
        <v>270</v>
      </c>
      <c r="E203" s="428" t="s">
        <v>149</v>
      </c>
      <c r="F203" s="428" t="s">
        <v>183</v>
      </c>
      <c r="G203" s="428" t="s">
        <v>184</v>
      </c>
      <c r="H203" s="428" t="s">
        <v>185</v>
      </c>
      <c r="I203" s="428" t="s">
        <v>186</v>
      </c>
      <c r="J203" s="428" t="s">
        <v>150</v>
      </c>
      <c r="K203" s="428" t="s">
        <v>151</v>
      </c>
      <c r="L203" s="428" t="s">
        <v>152</v>
      </c>
      <c r="M203" s="428" t="s">
        <v>182</v>
      </c>
      <c r="N203" s="429" t="s">
        <v>121</v>
      </c>
      <c r="O203" s="430" t="s">
        <v>157</v>
      </c>
      <c r="P203" s="431" t="s">
        <v>156</v>
      </c>
      <c r="Q203" s="426" t="s">
        <v>11</v>
      </c>
      <c r="R203" s="427" t="s">
        <v>147</v>
      </c>
      <c r="S203" s="428" t="s">
        <v>148</v>
      </c>
      <c r="T203" s="428" t="s">
        <v>149</v>
      </c>
      <c r="U203" s="428" t="s">
        <v>183</v>
      </c>
      <c r="V203" s="428" t="s">
        <v>184</v>
      </c>
      <c r="W203" s="428" t="s">
        <v>185</v>
      </c>
      <c r="X203" s="428" t="s">
        <v>186</v>
      </c>
      <c r="Y203" s="428" t="s">
        <v>150</v>
      </c>
      <c r="Z203" s="428" t="s">
        <v>151</v>
      </c>
      <c r="AA203" s="428" t="s">
        <v>152</v>
      </c>
      <c r="AB203" s="428" t="s">
        <v>182</v>
      </c>
      <c r="AC203" s="429" t="s">
        <v>121</v>
      </c>
      <c r="AD203" s="430" t="s">
        <v>157</v>
      </c>
      <c r="AE203" s="431" t="s">
        <v>452</v>
      </c>
      <c r="AF203" s="432" t="s">
        <v>161</v>
      </c>
      <c r="AG203" s="432" t="s">
        <v>160</v>
      </c>
      <c r="AH203" s="432" t="s">
        <v>11</v>
      </c>
      <c r="AI203" s="431" t="s">
        <v>453</v>
      </c>
    </row>
    <row r="204" spans="1:35" ht="12.75" thickBot="1" x14ac:dyDescent="0.25">
      <c r="A204" s="1486"/>
      <c r="B204" s="433" t="s">
        <v>61</v>
      </c>
      <c r="C204" s="434" t="s">
        <v>62</v>
      </c>
      <c r="D204" s="435" t="s">
        <v>63</v>
      </c>
      <c r="E204" s="435" t="s">
        <v>64</v>
      </c>
      <c r="F204" s="436" t="s">
        <v>65</v>
      </c>
      <c r="G204" s="436" t="s">
        <v>66</v>
      </c>
      <c r="H204" s="436" t="s">
        <v>83</v>
      </c>
      <c r="I204" s="436" t="s">
        <v>120</v>
      </c>
      <c r="J204" s="436" t="s">
        <v>155</v>
      </c>
      <c r="K204" s="436" t="s">
        <v>159</v>
      </c>
      <c r="L204" s="436" t="s">
        <v>191</v>
      </c>
      <c r="M204" s="436" t="s">
        <v>192</v>
      </c>
      <c r="N204" s="437" t="s">
        <v>194</v>
      </c>
      <c r="O204" s="438" t="s">
        <v>195</v>
      </c>
      <c r="P204" s="439" t="s">
        <v>196</v>
      </c>
      <c r="Q204" s="674" t="s">
        <v>61</v>
      </c>
      <c r="R204" s="675" t="s">
        <v>62</v>
      </c>
      <c r="S204" s="676" t="s">
        <v>63</v>
      </c>
      <c r="T204" s="676" t="s">
        <v>64</v>
      </c>
      <c r="U204" s="677" t="s">
        <v>65</v>
      </c>
      <c r="V204" s="677" t="s">
        <v>66</v>
      </c>
      <c r="W204" s="677" t="s">
        <v>83</v>
      </c>
      <c r="X204" s="677" t="s">
        <v>120</v>
      </c>
      <c r="Y204" s="677" t="s">
        <v>155</v>
      </c>
      <c r="Z204" s="677" t="s">
        <v>159</v>
      </c>
      <c r="AA204" s="677" t="s">
        <v>191</v>
      </c>
      <c r="AB204" s="677" t="s">
        <v>192</v>
      </c>
      <c r="AC204" s="678" t="s">
        <v>194</v>
      </c>
      <c r="AD204" s="438" t="s">
        <v>195</v>
      </c>
      <c r="AE204" s="439" t="s">
        <v>196</v>
      </c>
      <c r="AF204" s="440"/>
      <c r="AG204" s="433"/>
      <c r="AH204" s="440"/>
      <c r="AI204" s="433"/>
    </row>
    <row r="205" spans="1:35" x14ac:dyDescent="0.2">
      <c r="A205" s="475"/>
      <c r="B205" s="464"/>
      <c r="C205" s="465"/>
      <c r="D205" s="475"/>
      <c r="E205" s="475"/>
      <c r="F205" s="307"/>
      <c r="G205" s="307"/>
      <c r="H205" s="307"/>
      <c r="I205" s="307"/>
      <c r="J205" s="307"/>
      <c r="K205" s="307"/>
      <c r="L205" s="307"/>
      <c r="M205" s="307"/>
      <c r="N205" s="465"/>
      <c r="O205" s="367"/>
      <c r="P205" s="474"/>
      <c r="Q205" s="679"/>
      <c r="R205" s="475"/>
      <c r="S205" s="680"/>
      <c r="T205" s="475"/>
      <c r="U205" s="316"/>
      <c r="V205" s="316"/>
      <c r="W205" s="316"/>
      <c r="X205" s="316"/>
      <c r="Y205" s="316"/>
      <c r="Z205" s="316"/>
      <c r="AA205" s="316"/>
      <c r="AB205" s="316"/>
      <c r="AC205" s="474"/>
      <c r="AD205" s="347"/>
      <c r="AE205" s="463"/>
      <c r="AF205" s="463"/>
      <c r="AG205" s="464"/>
      <c r="AH205" s="465"/>
      <c r="AI205" s="475"/>
    </row>
    <row r="206" spans="1:35" x14ac:dyDescent="0.2">
      <c r="A206" s="681" t="s">
        <v>684</v>
      </c>
      <c r="B206" s="464"/>
      <c r="C206" s="465"/>
      <c r="D206" s="464"/>
      <c r="E206" s="464"/>
      <c r="F206" s="307"/>
      <c r="G206" s="307"/>
      <c r="H206" s="307"/>
      <c r="I206" s="307"/>
      <c r="J206" s="307"/>
      <c r="K206" s="307"/>
      <c r="L206" s="307"/>
      <c r="M206" s="307"/>
      <c r="N206" s="465"/>
      <c r="O206" s="347"/>
      <c r="P206" s="463"/>
      <c r="Q206" s="572"/>
      <c r="R206" s="464"/>
      <c r="S206" s="465"/>
      <c r="T206" s="464"/>
      <c r="U206" s="307"/>
      <c r="V206" s="307"/>
      <c r="W206" s="307"/>
      <c r="X206" s="307"/>
      <c r="Y206" s="307"/>
      <c r="Z206" s="307"/>
      <c r="AA206" s="307"/>
      <c r="AB206" s="307"/>
      <c r="AC206" s="463"/>
      <c r="AD206" s="347"/>
      <c r="AE206" s="463"/>
      <c r="AF206" s="463"/>
      <c r="AG206" s="464"/>
      <c r="AH206" s="465"/>
      <c r="AI206" s="464"/>
    </row>
    <row r="207" spans="1:35" x14ac:dyDescent="0.2">
      <c r="A207" s="681" t="s">
        <v>685</v>
      </c>
      <c r="B207" s="464"/>
      <c r="C207" s="465"/>
      <c r="D207" s="464"/>
      <c r="E207" s="464"/>
      <c r="F207" s="307"/>
      <c r="G207" s="307"/>
      <c r="H207" s="307"/>
      <c r="I207" s="307"/>
      <c r="J207" s="307"/>
      <c r="K207" s="307"/>
      <c r="L207" s="307"/>
      <c r="M207" s="307"/>
      <c r="N207" s="465"/>
      <c r="O207" s="347"/>
      <c r="P207" s="463"/>
      <c r="Q207" s="572"/>
      <c r="R207" s="464"/>
      <c r="S207" s="465"/>
      <c r="T207" s="464"/>
      <c r="U207" s="307"/>
      <c r="V207" s="307"/>
      <c r="W207" s="307"/>
      <c r="X207" s="307"/>
      <c r="Y207" s="307"/>
      <c r="Z207" s="307"/>
      <c r="AA207" s="307"/>
      <c r="AB207" s="307"/>
      <c r="AC207" s="463"/>
      <c r="AD207" s="347"/>
      <c r="AE207" s="463"/>
      <c r="AF207" s="463"/>
      <c r="AG207" s="464"/>
      <c r="AH207" s="465"/>
      <c r="AI207" s="464"/>
    </row>
    <row r="208" spans="1:35" x14ac:dyDescent="0.2">
      <c r="A208" s="833" t="s">
        <v>7</v>
      </c>
      <c r="B208" s="968"/>
      <c r="C208" s="969"/>
      <c r="D208" s="968"/>
      <c r="E208" s="968"/>
      <c r="F208" s="970"/>
      <c r="G208" s="970"/>
      <c r="H208" s="970"/>
      <c r="I208" s="970"/>
      <c r="J208" s="970"/>
      <c r="K208" s="953"/>
      <c r="L208" s="953"/>
      <c r="M208" s="953"/>
      <c r="N208" s="954"/>
      <c r="O208" s="955"/>
      <c r="P208" s="894"/>
      <c r="Q208" s="971"/>
      <c r="R208" s="114"/>
      <c r="S208" s="954"/>
      <c r="T208" s="114"/>
      <c r="U208" s="953"/>
      <c r="V208" s="953"/>
      <c r="W208" s="953"/>
      <c r="X208" s="953"/>
      <c r="Y208" s="953"/>
      <c r="Z208" s="953"/>
      <c r="AA208" s="953"/>
      <c r="AB208" s="953"/>
      <c r="AC208" s="894"/>
      <c r="AD208" s="955"/>
      <c r="AE208" s="894"/>
      <c r="AF208" s="894"/>
      <c r="AG208" s="114"/>
      <c r="AH208" s="954"/>
      <c r="AI208" s="972"/>
    </row>
    <row r="209" spans="1:35" x14ac:dyDescent="0.2">
      <c r="A209" s="825" t="s">
        <v>646</v>
      </c>
      <c r="B209" s="973">
        <v>1</v>
      </c>
      <c r="C209" s="974">
        <v>15600</v>
      </c>
      <c r="D209" s="975"/>
      <c r="E209" s="975"/>
      <c r="F209" s="976"/>
      <c r="G209" s="976"/>
      <c r="H209" s="976"/>
      <c r="I209" s="976"/>
      <c r="J209" s="976"/>
      <c r="K209" s="960">
        <f>SUM(C209:J209)</f>
        <v>15600</v>
      </c>
      <c r="L209" s="960">
        <v>33706</v>
      </c>
      <c r="M209" s="960"/>
      <c r="N209" s="962">
        <f>+L209+M209</f>
        <v>33706</v>
      </c>
      <c r="O209" s="963">
        <f>(+K209*12)+N209</f>
        <v>220906</v>
      </c>
      <c r="P209" s="124">
        <f>+B209*O209</f>
        <v>220906</v>
      </c>
      <c r="Q209" s="973">
        <v>1</v>
      </c>
      <c r="R209" s="964">
        <v>15600</v>
      </c>
      <c r="S209" s="977"/>
      <c r="T209" s="975"/>
      <c r="U209" s="976"/>
      <c r="V209" s="976"/>
      <c r="W209" s="976"/>
      <c r="X209" s="976"/>
      <c r="Y209" s="976"/>
      <c r="Z209" s="960">
        <f>SUM(R209:Y209)</f>
        <v>15600</v>
      </c>
      <c r="AA209" s="960">
        <v>33706</v>
      </c>
      <c r="AB209" s="960"/>
      <c r="AC209" s="962">
        <f>+AA209+AB209</f>
        <v>33706</v>
      </c>
      <c r="AD209" s="963">
        <f>(+Z209*12)+AC209</f>
        <v>220906</v>
      </c>
      <c r="AE209" s="124">
        <f>+Q209*AD209</f>
        <v>220906</v>
      </c>
      <c r="AF209" s="901">
        <f>+B209-Q209</f>
        <v>0</v>
      </c>
      <c r="AG209" s="897">
        <f>+P209-AE209</f>
        <v>0</v>
      </c>
      <c r="AH209" s="978">
        <v>1</v>
      </c>
      <c r="AI209" s="964">
        <v>254103.39</v>
      </c>
    </row>
    <row r="210" spans="1:35" x14ac:dyDescent="0.2">
      <c r="A210" s="825" t="s">
        <v>645</v>
      </c>
      <c r="B210" s="973">
        <v>1</v>
      </c>
      <c r="C210" s="974">
        <v>14093</v>
      </c>
      <c r="D210" s="975"/>
      <c r="E210" s="975"/>
      <c r="F210" s="976"/>
      <c r="G210" s="976"/>
      <c r="H210" s="976"/>
      <c r="I210" s="976"/>
      <c r="J210" s="976"/>
      <c r="K210" s="960">
        <f t="shared" ref="K210:K213" si="80">SUM(C210:J210)</f>
        <v>14093</v>
      </c>
      <c r="L210" s="960">
        <v>30488.560000000001</v>
      </c>
      <c r="M210" s="960"/>
      <c r="N210" s="962">
        <f t="shared" ref="N210" si="81">+L210+M210</f>
        <v>30488.560000000001</v>
      </c>
      <c r="O210" s="963">
        <f t="shared" ref="O210:O233" si="82">(+K210*12)+N210</f>
        <v>199604.56</v>
      </c>
      <c r="P210" s="124">
        <f t="shared" ref="P210:P233" si="83">+B210*O210</f>
        <v>199604.56</v>
      </c>
      <c r="Q210" s="973">
        <v>1</v>
      </c>
      <c r="R210" s="964">
        <v>14093</v>
      </c>
      <c r="S210" s="977"/>
      <c r="T210" s="975"/>
      <c r="U210" s="976"/>
      <c r="V210" s="976"/>
      <c r="W210" s="976"/>
      <c r="X210" s="976"/>
      <c r="Y210" s="976"/>
      <c r="Z210" s="960">
        <f t="shared" ref="Z210:Z213" si="84">SUM(R210:Y210)</f>
        <v>14093</v>
      </c>
      <c r="AA210" s="960">
        <v>30488.560000000001</v>
      </c>
      <c r="AB210" s="960"/>
      <c r="AC210" s="962">
        <f t="shared" ref="AC210" si="85">+AA210+AB210</f>
        <v>30488.560000000001</v>
      </c>
      <c r="AD210" s="963">
        <f t="shared" ref="AD210:AD233" si="86">(+Z210*12)+AC210</f>
        <v>199604.56</v>
      </c>
      <c r="AE210" s="124">
        <f t="shared" ref="AE210:AE233" si="87">+Q210*AD210</f>
        <v>199604.56</v>
      </c>
      <c r="AF210" s="901">
        <f t="shared" ref="AF210:AF233" si="88">+B210-Q210</f>
        <v>0</v>
      </c>
      <c r="AG210" s="897">
        <f t="shared" ref="AG210:AG233" si="89">+P210-AE210</f>
        <v>0</v>
      </c>
      <c r="AH210" s="978">
        <v>1</v>
      </c>
      <c r="AI210" s="964">
        <v>229501.98499999999</v>
      </c>
    </row>
    <row r="211" spans="1:35" x14ac:dyDescent="0.2">
      <c r="A211" s="825" t="s">
        <v>644</v>
      </c>
      <c r="B211" s="973">
        <v>14</v>
      </c>
      <c r="C211" s="974">
        <v>12093</v>
      </c>
      <c r="D211" s="975"/>
      <c r="E211" s="975"/>
      <c r="F211" s="976"/>
      <c r="G211" s="976"/>
      <c r="H211" s="976"/>
      <c r="I211" s="976"/>
      <c r="J211" s="976"/>
      <c r="K211" s="960">
        <f t="shared" si="80"/>
        <v>12093</v>
      </c>
      <c r="L211" s="960">
        <v>367059.77</v>
      </c>
      <c r="M211" s="960"/>
      <c r="N211" s="962">
        <v>26218.560000000001</v>
      </c>
      <c r="O211" s="963">
        <f t="shared" si="82"/>
        <v>171334.56</v>
      </c>
      <c r="P211" s="124">
        <f t="shared" si="83"/>
        <v>2398683.84</v>
      </c>
      <c r="Q211" s="973">
        <v>14</v>
      </c>
      <c r="R211" s="964">
        <v>12093</v>
      </c>
      <c r="S211" s="977"/>
      <c r="T211" s="975"/>
      <c r="U211" s="976"/>
      <c r="V211" s="976"/>
      <c r="W211" s="976"/>
      <c r="X211" s="976"/>
      <c r="Y211" s="976"/>
      <c r="Z211" s="960">
        <f t="shared" si="84"/>
        <v>12093</v>
      </c>
      <c r="AA211" s="960">
        <v>367059.77</v>
      </c>
      <c r="AB211" s="960"/>
      <c r="AC211" s="962">
        <v>26218.560000000001</v>
      </c>
      <c r="AD211" s="963">
        <f t="shared" si="86"/>
        <v>171334.56</v>
      </c>
      <c r="AE211" s="124">
        <f t="shared" si="87"/>
        <v>2398683.84</v>
      </c>
      <c r="AF211" s="901">
        <f t="shared" si="88"/>
        <v>0</v>
      </c>
      <c r="AG211" s="897">
        <f t="shared" si="89"/>
        <v>0</v>
      </c>
      <c r="AH211" s="978">
        <f>9+2</f>
        <v>11</v>
      </c>
      <c r="AI211" s="964">
        <v>1854099</v>
      </c>
    </row>
    <row r="212" spans="1:35" x14ac:dyDescent="0.2">
      <c r="A212" s="825" t="s">
        <v>643</v>
      </c>
      <c r="B212" s="973">
        <v>6</v>
      </c>
      <c r="C212" s="974">
        <v>10593</v>
      </c>
      <c r="D212" s="975"/>
      <c r="E212" s="975"/>
      <c r="F212" s="976"/>
      <c r="G212" s="976"/>
      <c r="H212" s="976"/>
      <c r="I212" s="976"/>
      <c r="J212" s="976"/>
      <c r="K212" s="960">
        <f t="shared" si="80"/>
        <v>10593</v>
      </c>
      <c r="L212" s="960">
        <v>23016.06</v>
      </c>
      <c r="M212" s="960"/>
      <c r="N212" s="962">
        <f t="shared" ref="N212:N213" si="90">+L212+M212</f>
        <v>23016.06</v>
      </c>
      <c r="O212" s="963">
        <f t="shared" si="82"/>
        <v>150132.06</v>
      </c>
      <c r="P212" s="124">
        <f t="shared" si="83"/>
        <v>900792.36</v>
      </c>
      <c r="Q212" s="973">
        <v>6</v>
      </c>
      <c r="R212" s="964">
        <v>10593</v>
      </c>
      <c r="S212" s="977"/>
      <c r="T212" s="975"/>
      <c r="U212" s="976"/>
      <c r="V212" s="976"/>
      <c r="W212" s="976"/>
      <c r="X212" s="976"/>
      <c r="Y212" s="976"/>
      <c r="Z212" s="960">
        <f t="shared" si="84"/>
        <v>10593</v>
      </c>
      <c r="AA212" s="960">
        <v>23016.06</v>
      </c>
      <c r="AB212" s="960"/>
      <c r="AC212" s="962">
        <f t="shared" ref="AC212:AC213" si="91">+AA212+AB212</f>
        <v>23016.06</v>
      </c>
      <c r="AD212" s="963">
        <f t="shared" si="86"/>
        <v>150132.06</v>
      </c>
      <c r="AE212" s="124">
        <f t="shared" si="87"/>
        <v>900792.36</v>
      </c>
      <c r="AF212" s="901">
        <f t="shared" si="88"/>
        <v>0</v>
      </c>
      <c r="AG212" s="897">
        <f t="shared" si="89"/>
        <v>0</v>
      </c>
      <c r="AH212" s="978">
        <f>4+1</f>
        <v>5</v>
      </c>
      <c r="AI212" s="964">
        <v>706588</v>
      </c>
    </row>
    <row r="213" spans="1:35" x14ac:dyDescent="0.2">
      <c r="A213" s="825" t="s">
        <v>642</v>
      </c>
      <c r="B213" s="973">
        <v>14</v>
      </c>
      <c r="C213" s="974">
        <v>9593</v>
      </c>
      <c r="D213" s="975"/>
      <c r="E213" s="975"/>
      <c r="F213" s="976"/>
      <c r="G213" s="976"/>
      <c r="H213" s="976"/>
      <c r="I213" s="976"/>
      <c r="J213" s="976"/>
      <c r="K213" s="960">
        <f t="shared" si="80"/>
        <v>9593</v>
      </c>
      <c r="L213" s="960">
        <v>20881.060000000001</v>
      </c>
      <c r="M213" s="960"/>
      <c r="N213" s="962">
        <f t="shared" si="90"/>
        <v>20881.060000000001</v>
      </c>
      <c r="O213" s="963">
        <f t="shared" si="82"/>
        <v>135997.06</v>
      </c>
      <c r="P213" s="124">
        <f t="shared" si="83"/>
        <v>1903958.8399999999</v>
      </c>
      <c r="Q213" s="973">
        <v>14</v>
      </c>
      <c r="R213" s="964">
        <v>9593</v>
      </c>
      <c r="S213" s="977"/>
      <c r="T213" s="975"/>
      <c r="U213" s="976"/>
      <c r="V213" s="976"/>
      <c r="W213" s="976"/>
      <c r="X213" s="976"/>
      <c r="Y213" s="976"/>
      <c r="Z213" s="960">
        <f t="shared" si="84"/>
        <v>9593</v>
      </c>
      <c r="AA213" s="960">
        <v>20881.060000000001</v>
      </c>
      <c r="AB213" s="960"/>
      <c r="AC213" s="962">
        <f t="shared" si="91"/>
        <v>20881.060000000001</v>
      </c>
      <c r="AD213" s="963">
        <f t="shared" si="86"/>
        <v>135997.06</v>
      </c>
      <c r="AE213" s="124">
        <f t="shared" si="87"/>
        <v>1903958.8399999999</v>
      </c>
      <c r="AF213" s="901">
        <f t="shared" si="88"/>
        <v>0</v>
      </c>
      <c r="AG213" s="897">
        <f t="shared" si="89"/>
        <v>0</v>
      </c>
      <c r="AH213" s="978">
        <v>14</v>
      </c>
      <c r="AI213" s="964">
        <v>2067336.9550000001</v>
      </c>
    </row>
    <row r="214" spans="1:35" x14ac:dyDescent="0.2">
      <c r="A214" s="825" t="s">
        <v>670</v>
      </c>
      <c r="B214" s="973"/>
      <c r="C214" s="974"/>
      <c r="D214" s="975"/>
      <c r="E214" s="975"/>
      <c r="F214" s="976"/>
      <c r="G214" s="976"/>
      <c r="H214" s="976"/>
      <c r="I214" s="976"/>
      <c r="J214" s="976"/>
      <c r="K214" s="960"/>
      <c r="L214" s="960"/>
      <c r="M214" s="960"/>
      <c r="N214" s="962"/>
      <c r="O214" s="963"/>
      <c r="P214" s="124"/>
      <c r="Q214" s="973"/>
      <c r="R214" s="964"/>
      <c r="S214" s="977"/>
      <c r="T214" s="975"/>
      <c r="U214" s="976"/>
      <c r="V214" s="976"/>
      <c r="W214" s="976"/>
      <c r="X214" s="976"/>
      <c r="Y214" s="976"/>
      <c r="Z214" s="960"/>
      <c r="AA214" s="960"/>
      <c r="AB214" s="960"/>
      <c r="AC214" s="962"/>
      <c r="AD214" s="963"/>
      <c r="AE214" s="124"/>
      <c r="AF214" s="901"/>
      <c r="AG214" s="897"/>
      <c r="AH214" s="978"/>
      <c r="AI214" s="964"/>
    </row>
    <row r="215" spans="1:35" x14ac:dyDescent="0.2">
      <c r="A215" s="825"/>
      <c r="B215" s="979"/>
      <c r="C215" s="974"/>
      <c r="D215" s="975"/>
      <c r="E215" s="975"/>
      <c r="F215" s="976"/>
      <c r="G215" s="976"/>
      <c r="H215" s="976"/>
      <c r="I215" s="976"/>
      <c r="J215" s="976"/>
      <c r="K215" s="960"/>
      <c r="L215" s="960"/>
      <c r="M215" s="960"/>
      <c r="N215" s="962"/>
      <c r="O215" s="963"/>
      <c r="P215" s="124"/>
      <c r="Q215" s="979"/>
      <c r="R215" s="964"/>
      <c r="S215" s="977"/>
      <c r="T215" s="975"/>
      <c r="U215" s="976"/>
      <c r="V215" s="976"/>
      <c r="W215" s="976"/>
      <c r="X215" s="976"/>
      <c r="Y215" s="976"/>
      <c r="Z215" s="960"/>
      <c r="AA215" s="960"/>
      <c r="AB215" s="960"/>
      <c r="AC215" s="962"/>
      <c r="AD215" s="963"/>
      <c r="AE215" s="124"/>
      <c r="AF215" s="901"/>
      <c r="AG215" s="897"/>
      <c r="AH215" s="980"/>
      <c r="AI215" s="964"/>
    </row>
    <row r="216" spans="1:35" x14ac:dyDescent="0.2">
      <c r="A216" s="385"/>
      <c r="B216" s="684"/>
      <c r="C216" s="687"/>
      <c r="D216" s="546"/>
      <c r="E216" s="546"/>
      <c r="F216" s="682"/>
      <c r="G216" s="682"/>
      <c r="H216" s="682"/>
      <c r="I216" s="682"/>
      <c r="J216" s="682"/>
      <c r="K216" s="573"/>
      <c r="L216" s="573"/>
      <c r="M216" s="573"/>
      <c r="N216" s="470"/>
      <c r="O216" s="574"/>
      <c r="P216" s="468"/>
      <c r="Q216" s="684"/>
      <c r="R216" s="469"/>
      <c r="S216" s="683"/>
      <c r="T216" s="546"/>
      <c r="U216" s="682"/>
      <c r="V216" s="682"/>
      <c r="W216" s="682"/>
      <c r="X216" s="682"/>
      <c r="Y216" s="682"/>
      <c r="Z216" s="573"/>
      <c r="AA216" s="573"/>
      <c r="AB216" s="573"/>
      <c r="AC216" s="470"/>
      <c r="AD216" s="574"/>
      <c r="AE216" s="468"/>
      <c r="AF216" s="868"/>
      <c r="AG216" s="870"/>
      <c r="AH216" s="315"/>
      <c r="AI216" s="469"/>
    </row>
    <row r="217" spans="1:35" x14ac:dyDescent="0.2">
      <c r="A217" s="833" t="s">
        <v>4</v>
      </c>
      <c r="B217" s="981"/>
      <c r="C217" s="982"/>
      <c r="D217" s="983"/>
      <c r="E217" s="983"/>
      <c r="F217" s="984"/>
      <c r="G217" s="984"/>
      <c r="H217" s="984"/>
      <c r="I217" s="984"/>
      <c r="J217" s="984"/>
      <c r="K217" s="985"/>
      <c r="L217" s="985"/>
      <c r="M217" s="985"/>
      <c r="N217" s="986"/>
      <c r="O217" s="987"/>
      <c r="P217" s="121"/>
      <c r="Q217" s="981"/>
      <c r="R217" s="972"/>
      <c r="S217" s="988"/>
      <c r="T217" s="983"/>
      <c r="U217" s="984"/>
      <c r="V217" s="984"/>
      <c r="W217" s="984"/>
      <c r="X217" s="984"/>
      <c r="Y217" s="984"/>
      <c r="Z217" s="985"/>
      <c r="AA217" s="985"/>
      <c r="AB217" s="985"/>
      <c r="AC217" s="986"/>
      <c r="AD217" s="987"/>
      <c r="AE217" s="121"/>
      <c r="AF217" s="895"/>
      <c r="AG217" s="891"/>
      <c r="AH217" s="989"/>
      <c r="AI217" s="972"/>
    </row>
    <row r="218" spans="1:35" x14ac:dyDescent="0.2">
      <c r="A218" s="825" t="s">
        <v>651</v>
      </c>
      <c r="B218" s="973">
        <v>18</v>
      </c>
      <c r="C218" s="974">
        <v>6068.67</v>
      </c>
      <c r="D218" s="975"/>
      <c r="E218" s="975"/>
      <c r="F218" s="976"/>
      <c r="G218" s="976"/>
      <c r="H218" s="976"/>
      <c r="I218" s="976"/>
      <c r="J218" s="976"/>
      <c r="K218" s="960">
        <f t="shared" ref="K218" si="92">SUM(C218:J218)</f>
        <v>6068.67</v>
      </c>
      <c r="L218" s="960">
        <v>12229.68</v>
      </c>
      <c r="M218" s="960">
        <v>5540.83</v>
      </c>
      <c r="N218" s="962">
        <f t="shared" ref="N218:N221" si="93">+L218+M218</f>
        <v>17770.510000000002</v>
      </c>
      <c r="O218" s="963">
        <f t="shared" si="82"/>
        <v>90594.550000000017</v>
      </c>
      <c r="P218" s="124">
        <f t="shared" si="83"/>
        <v>1630701.9000000004</v>
      </c>
      <c r="Q218" s="973">
        <v>18</v>
      </c>
      <c r="R218" s="964">
        <v>6068.67</v>
      </c>
      <c r="S218" s="977"/>
      <c r="T218" s="975"/>
      <c r="U218" s="976"/>
      <c r="V218" s="976"/>
      <c r="W218" s="976"/>
      <c r="X218" s="976"/>
      <c r="Y218" s="976"/>
      <c r="Z218" s="960">
        <f t="shared" ref="Z218" si="94">SUM(R218:Y218)</f>
        <v>6068.67</v>
      </c>
      <c r="AA218" s="960">
        <v>12229.68</v>
      </c>
      <c r="AB218" s="960">
        <v>5540.83</v>
      </c>
      <c r="AC218" s="962">
        <f t="shared" ref="AC218:AC221" si="95">+AA218+AB218</f>
        <v>17770.510000000002</v>
      </c>
      <c r="AD218" s="963">
        <f t="shared" si="86"/>
        <v>90594.550000000017</v>
      </c>
      <c r="AE218" s="124">
        <f t="shared" si="87"/>
        <v>1630701.9000000004</v>
      </c>
      <c r="AF218" s="901">
        <f t="shared" si="88"/>
        <v>0</v>
      </c>
      <c r="AG218" s="897">
        <f t="shared" si="89"/>
        <v>0</v>
      </c>
      <c r="AH218" s="978">
        <f>10+1</f>
        <v>11</v>
      </c>
      <c r="AI218" s="964">
        <v>1171794.55</v>
      </c>
    </row>
    <row r="219" spans="1:35" x14ac:dyDescent="0.2">
      <c r="A219" s="825" t="s">
        <v>650</v>
      </c>
      <c r="B219" s="973">
        <v>19</v>
      </c>
      <c r="C219" s="974">
        <v>5863.3</v>
      </c>
      <c r="D219" s="975"/>
      <c r="E219" s="975"/>
      <c r="F219" s="976"/>
      <c r="G219" s="976"/>
      <c r="H219" s="976"/>
      <c r="I219" s="976"/>
      <c r="J219" s="976"/>
      <c r="K219" s="960">
        <f>+C219</f>
        <v>5863.3</v>
      </c>
      <c r="L219" s="960">
        <v>12918.15</v>
      </c>
      <c r="M219" s="960">
        <v>5863.3</v>
      </c>
      <c r="N219" s="962">
        <f t="shared" si="93"/>
        <v>18781.45</v>
      </c>
      <c r="O219" s="963">
        <f t="shared" si="82"/>
        <v>89141.05</v>
      </c>
      <c r="P219" s="124">
        <f t="shared" si="83"/>
        <v>1693679.95</v>
      </c>
      <c r="Q219" s="973">
        <v>19</v>
      </c>
      <c r="R219" s="964">
        <v>5863.3</v>
      </c>
      <c r="S219" s="977"/>
      <c r="T219" s="975"/>
      <c r="U219" s="976"/>
      <c r="V219" s="976"/>
      <c r="W219" s="976"/>
      <c r="X219" s="976"/>
      <c r="Y219" s="976"/>
      <c r="Z219" s="960">
        <f>+R219</f>
        <v>5863.3</v>
      </c>
      <c r="AA219" s="960">
        <v>12918.15</v>
      </c>
      <c r="AB219" s="960">
        <v>5863.3</v>
      </c>
      <c r="AC219" s="962">
        <f t="shared" si="95"/>
        <v>18781.45</v>
      </c>
      <c r="AD219" s="963">
        <f t="shared" si="86"/>
        <v>89141.05</v>
      </c>
      <c r="AE219" s="124">
        <f t="shared" si="87"/>
        <v>1693679.95</v>
      </c>
      <c r="AF219" s="901">
        <f t="shared" si="88"/>
        <v>0</v>
      </c>
      <c r="AG219" s="897">
        <f t="shared" si="89"/>
        <v>0</v>
      </c>
      <c r="AH219" s="978">
        <f>12+3</f>
        <v>15</v>
      </c>
      <c r="AI219" s="964">
        <v>1519918.3800000001</v>
      </c>
    </row>
    <row r="220" spans="1:35" x14ac:dyDescent="0.2">
      <c r="A220" s="825" t="s">
        <v>649</v>
      </c>
      <c r="B220" s="973">
        <v>9</v>
      </c>
      <c r="C220" s="974">
        <v>5540.83</v>
      </c>
      <c r="D220" s="975"/>
      <c r="E220" s="975"/>
      <c r="F220" s="976"/>
      <c r="G220" s="976"/>
      <c r="H220" s="976"/>
      <c r="I220" s="976"/>
      <c r="J220" s="976"/>
      <c r="K220" s="960">
        <f>+C220</f>
        <v>5540.83</v>
      </c>
      <c r="L220" s="960">
        <v>12229.68</v>
      </c>
      <c r="M220" s="960">
        <v>5540.83</v>
      </c>
      <c r="N220" s="962">
        <f t="shared" si="93"/>
        <v>17770.510000000002</v>
      </c>
      <c r="O220" s="963">
        <f t="shared" si="82"/>
        <v>84260.47</v>
      </c>
      <c r="P220" s="124">
        <f t="shared" si="83"/>
        <v>758344.23</v>
      </c>
      <c r="Q220" s="973">
        <v>9</v>
      </c>
      <c r="R220" s="964">
        <v>5540.83</v>
      </c>
      <c r="S220" s="977"/>
      <c r="T220" s="975"/>
      <c r="U220" s="976"/>
      <c r="V220" s="976"/>
      <c r="W220" s="976"/>
      <c r="X220" s="976"/>
      <c r="Y220" s="976"/>
      <c r="Z220" s="960">
        <f>+R220</f>
        <v>5540.83</v>
      </c>
      <c r="AA220" s="960">
        <v>12229.68</v>
      </c>
      <c r="AB220" s="960">
        <v>5540.83</v>
      </c>
      <c r="AC220" s="962">
        <f t="shared" si="95"/>
        <v>17770.510000000002</v>
      </c>
      <c r="AD220" s="963">
        <f t="shared" si="86"/>
        <v>84260.47</v>
      </c>
      <c r="AE220" s="124">
        <f t="shared" si="87"/>
        <v>758344.23</v>
      </c>
      <c r="AF220" s="901">
        <f t="shared" si="88"/>
        <v>0</v>
      </c>
      <c r="AG220" s="897">
        <f t="shared" si="89"/>
        <v>0</v>
      </c>
      <c r="AH220" s="978">
        <f>5+1</f>
        <v>6</v>
      </c>
      <c r="AI220" s="964">
        <v>577466.12</v>
      </c>
    </row>
    <row r="221" spans="1:35" x14ac:dyDescent="0.2">
      <c r="A221" s="825" t="s">
        <v>647</v>
      </c>
      <c r="B221" s="973">
        <v>4</v>
      </c>
      <c r="C221" s="974">
        <v>4969.5</v>
      </c>
      <c r="D221" s="975"/>
      <c r="E221" s="975"/>
      <c r="F221" s="976"/>
      <c r="G221" s="976"/>
      <c r="H221" s="976"/>
      <c r="I221" s="976"/>
      <c r="J221" s="976"/>
      <c r="K221" s="960">
        <f t="shared" ref="K221" si="96">SUM(C221:J221)</f>
        <v>4969.5</v>
      </c>
      <c r="L221" s="960">
        <v>11041.11</v>
      </c>
      <c r="M221" s="960">
        <v>4984.13</v>
      </c>
      <c r="N221" s="962">
        <f t="shared" si="93"/>
        <v>16025.240000000002</v>
      </c>
      <c r="O221" s="963">
        <f t="shared" si="82"/>
        <v>75659.240000000005</v>
      </c>
      <c r="P221" s="124">
        <f t="shared" si="83"/>
        <v>302636.96000000002</v>
      </c>
      <c r="Q221" s="973">
        <v>4</v>
      </c>
      <c r="R221" s="964">
        <v>4969.5</v>
      </c>
      <c r="S221" s="977"/>
      <c r="T221" s="975"/>
      <c r="U221" s="976"/>
      <c r="V221" s="976"/>
      <c r="W221" s="976"/>
      <c r="X221" s="976"/>
      <c r="Y221" s="976"/>
      <c r="Z221" s="960">
        <f t="shared" ref="Z221" si="97">SUM(R221:Y221)</f>
        <v>4969.5</v>
      </c>
      <c r="AA221" s="960">
        <v>11041.11</v>
      </c>
      <c r="AB221" s="960">
        <v>4984.13</v>
      </c>
      <c r="AC221" s="962">
        <f t="shared" si="95"/>
        <v>16025.240000000002</v>
      </c>
      <c r="AD221" s="963">
        <f t="shared" si="86"/>
        <v>75659.240000000005</v>
      </c>
      <c r="AE221" s="124">
        <f t="shared" si="87"/>
        <v>302636.96000000002</v>
      </c>
      <c r="AF221" s="901">
        <f t="shared" si="88"/>
        <v>0</v>
      </c>
      <c r="AG221" s="897">
        <f t="shared" si="89"/>
        <v>0</v>
      </c>
      <c r="AH221" s="978">
        <v>2</v>
      </c>
      <c r="AI221" s="964">
        <v>179752.06</v>
      </c>
    </row>
    <row r="222" spans="1:35" x14ac:dyDescent="0.2">
      <c r="A222" s="322"/>
      <c r="B222" s="684"/>
      <c r="C222" s="687"/>
      <c r="D222" s="546"/>
      <c r="E222" s="546"/>
      <c r="F222" s="682"/>
      <c r="G222" s="682"/>
      <c r="H222" s="682"/>
      <c r="I222" s="682"/>
      <c r="J222" s="682"/>
      <c r="K222" s="573"/>
      <c r="L222" s="573"/>
      <c r="M222" s="573"/>
      <c r="N222" s="470"/>
      <c r="O222" s="574"/>
      <c r="P222" s="468"/>
      <c r="Q222" s="684"/>
      <c r="R222" s="469"/>
      <c r="S222" s="683"/>
      <c r="T222" s="546"/>
      <c r="U222" s="682"/>
      <c r="V222" s="682"/>
      <c r="W222" s="682"/>
      <c r="X222" s="682"/>
      <c r="Y222" s="682"/>
      <c r="Z222" s="573"/>
      <c r="AA222" s="573"/>
      <c r="AB222" s="573"/>
      <c r="AC222" s="470"/>
      <c r="AD222" s="574"/>
      <c r="AE222" s="468"/>
      <c r="AF222" s="868"/>
      <c r="AG222" s="870"/>
      <c r="AH222" s="315"/>
      <c r="AI222" s="469"/>
    </row>
    <row r="223" spans="1:35" x14ac:dyDescent="0.2">
      <c r="A223" s="322"/>
      <c r="B223" s="684"/>
      <c r="C223" s="687"/>
      <c r="D223" s="546"/>
      <c r="E223" s="546"/>
      <c r="F223" s="682"/>
      <c r="G223" s="682"/>
      <c r="H223" s="682"/>
      <c r="I223" s="682"/>
      <c r="J223" s="682"/>
      <c r="K223" s="573"/>
      <c r="L223" s="573"/>
      <c r="M223" s="573"/>
      <c r="N223" s="470"/>
      <c r="O223" s="574"/>
      <c r="P223" s="468"/>
      <c r="Q223" s="684"/>
      <c r="R223" s="469"/>
      <c r="S223" s="683"/>
      <c r="T223" s="546"/>
      <c r="U223" s="682"/>
      <c r="V223" s="682"/>
      <c r="W223" s="682"/>
      <c r="X223" s="682"/>
      <c r="Y223" s="682"/>
      <c r="Z223" s="573"/>
      <c r="AA223" s="573"/>
      <c r="AB223" s="573"/>
      <c r="AC223" s="470"/>
      <c r="AD223" s="574"/>
      <c r="AE223" s="468"/>
      <c r="AF223" s="868"/>
      <c r="AG223" s="870"/>
      <c r="AH223" s="315"/>
      <c r="AI223" s="469"/>
    </row>
    <row r="224" spans="1:35" x14ac:dyDescent="0.2">
      <c r="A224" s="833" t="s">
        <v>5</v>
      </c>
      <c r="B224" s="981"/>
      <c r="C224" s="982"/>
      <c r="D224" s="983"/>
      <c r="E224" s="983"/>
      <c r="F224" s="984"/>
      <c r="G224" s="984"/>
      <c r="H224" s="984"/>
      <c r="I224" s="984"/>
      <c r="J224" s="984"/>
      <c r="K224" s="985"/>
      <c r="L224" s="985"/>
      <c r="M224" s="985"/>
      <c r="N224" s="986"/>
      <c r="O224" s="987"/>
      <c r="P224" s="121"/>
      <c r="Q224" s="981"/>
      <c r="R224" s="972"/>
      <c r="S224" s="988"/>
      <c r="T224" s="983"/>
      <c r="U224" s="984"/>
      <c r="V224" s="984"/>
      <c r="W224" s="984"/>
      <c r="X224" s="984"/>
      <c r="Y224" s="984"/>
      <c r="Z224" s="985"/>
      <c r="AA224" s="985"/>
      <c r="AB224" s="985"/>
      <c r="AC224" s="986"/>
      <c r="AD224" s="987"/>
      <c r="AE224" s="121"/>
      <c r="AF224" s="895"/>
      <c r="AG224" s="891"/>
      <c r="AH224" s="989"/>
      <c r="AI224" s="972"/>
    </row>
    <row r="225" spans="1:35" x14ac:dyDescent="0.2">
      <c r="A225" s="825" t="s">
        <v>661</v>
      </c>
      <c r="B225" s="973">
        <v>7</v>
      </c>
      <c r="C225" s="974">
        <v>4683.71</v>
      </c>
      <c r="D225" s="975"/>
      <c r="E225" s="975"/>
      <c r="F225" s="976"/>
      <c r="G225" s="976"/>
      <c r="H225" s="976"/>
      <c r="I225" s="976"/>
      <c r="J225" s="976"/>
      <c r="K225" s="960">
        <f t="shared" ref="K225:K229" si="98">+C225</f>
        <v>4683.71</v>
      </c>
      <c r="L225" s="960">
        <v>10349.73</v>
      </c>
      <c r="M225" s="960">
        <v>4683.71</v>
      </c>
      <c r="N225" s="962">
        <f t="shared" ref="N225:N229" si="99">+L225+M225</f>
        <v>15033.439999999999</v>
      </c>
      <c r="O225" s="963">
        <f t="shared" si="82"/>
        <v>71237.960000000006</v>
      </c>
      <c r="P225" s="124">
        <f t="shared" si="83"/>
        <v>498665.72000000003</v>
      </c>
      <c r="Q225" s="973">
        <v>7</v>
      </c>
      <c r="R225" s="964">
        <v>4683.71</v>
      </c>
      <c r="S225" s="977"/>
      <c r="T225" s="975"/>
      <c r="U225" s="976"/>
      <c r="V225" s="976"/>
      <c r="W225" s="976"/>
      <c r="X225" s="976"/>
      <c r="Y225" s="976"/>
      <c r="Z225" s="960">
        <f t="shared" ref="Z225:Z229" si="100">+R225</f>
        <v>4683.71</v>
      </c>
      <c r="AA225" s="960">
        <v>10349.73</v>
      </c>
      <c r="AB225" s="960">
        <v>4683.71</v>
      </c>
      <c r="AC225" s="962">
        <f t="shared" ref="AC225:AC229" si="101">+AA225+AB225</f>
        <v>15033.439999999999</v>
      </c>
      <c r="AD225" s="963">
        <f t="shared" si="86"/>
        <v>71237.960000000006</v>
      </c>
      <c r="AE225" s="124">
        <f t="shared" si="87"/>
        <v>498665.72000000003</v>
      </c>
      <c r="AF225" s="901">
        <f t="shared" si="88"/>
        <v>0</v>
      </c>
      <c r="AG225" s="897">
        <f t="shared" si="89"/>
        <v>0</v>
      </c>
      <c r="AH225" s="978">
        <f>4+1</f>
        <v>5</v>
      </c>
      <c r="AI225" s="990">
        <f>295382.32+70767.12+15880</f>
        <v>382029.44</v>
      </c>
    </row>
    <row r="226" spans="1:35" x14ac:dyDescent="0.2">
      <c r="A226" s="825" t="s">
        <v>660</v>
      </c>
      <c r="B226" s="973">
        <v>9</v>
      </c>
      <c r="C226" s="974">
        <v>3991.69</v>
      </c>
      <c r="D226" s="975"/>
      <c r="E226" s="975"/>
      <c r="F226" s="976"/>
      <c r="G226" s="976"/>
      <c r="H226" s="976"/>
      <c r="I226" s="976"/>
      <c r="J226" s="976"/>
      <c r="K226" s="960">
        <f t="shared" si="98"/>
        <v>3991.69</v>
      </c>
      <c r="L226" s="960">
        <v>8929.6200000000008</v>
      </c>
      <c r="M226" s="960">
        <v>3991.69</v>
      </c>
      <c r="N226" s="962">
        <f t="shared" si="99"/>
        <v>12921.310000000001</v>
      </c>
      <c r="O226" s="963">
        <f t="shared" si="82"/>
        <v>60821.59</v>
      </c>
      <c r="P226" s="124">
        <f t="shared" si="83"/>
        <v>547394.30999999994</v>
      </c>
      <c r="Q226" s="973">
        <v>9</v>
      </c>
      <c r="R226" s="964">
        <v>3991.69</v>
      </c>
      <c r="S226" s="977"/>
      <c r="T226" s="975"/>
      <c r="U226" s="976"/>
      <c r="V226" s="976"/>
      <c r="W226" s="976"/>
      <c r="X226" s="976"/>
      <c r="Y226" s="976"/>
      <c r="Z226" s="960">
        <f t="shared" si="100"/>
        <v>3991.69</v>
      </c>
      <c r="AA226" s="960">
        <v>8929.6200000000008</v>
      </c>
      <c r="AB226" s="960">
        <v>3991.69</v>
      </c>
      <c r="AC226" s="962">
        <f t="shared" si="101"/>
        <v>12921.310000000001</v>
      </c>
      <c r="AD226" s="963">
        <f t="shared" si="86"/>
        <v>60821.59</v>
      </c>
      <c r="AE226" s="124">
        <f t="shared" si="87"/>
        <v>547394.30999999994</v>
      </c>
      <c r="AF226" s="901">
        <f t="shared" si="88"/>
        <v>0</v>
      </c>
      <c r="AG226" s="897">
        <f t="shared" si="89"/>
        <v>0</v>
      </c>
      <c r="AH226" s="978">
        <v>8</v>
      </c>
      <c r="AI226" s="990">
        <f>530871.64+32800+35000+56683</f>
        <v>655354.64</v>
      </c>
    </row>
    <row r="227" spans="1:35" x14ac:dyDescent="0.2">
      <c r="A227" s="825" t="s">
        <v>659</v>
      </c>
      <c r="B227" s="973">
        <v>6</v>
      </c>
      <c r="C227" s="974">
        <v>3666.6</v>
      </c>
      <c r="D227" s="975"/>
      <c r="E227" s="975"/>
      <c r="F227" s="976"/>
      <c r="G227" s="976"/>
      <c r="H227" s="976"/>
      <c r="I227" s="976"/>
      <c r="J227" s="976"/>
      <c r="K227" s="960">
        <f t="shared" si="98"/>
        <v>3666.6</v>
      </c>
      <c r="L227" s="960">
        <v>5992.71</v>
      </c>
      <c r="M227" s="960">
        <v>3666.6</v>
      </c>
      <c r="N227" s="962">
        <f t="shared" si="99"/>
        <v>9659.31</v>
      </c>
      <c r="O227" s="963">
        <f t="shared" si="82"/>
        <v>53658.509999999995</v>
      </c>
      <c r="P227" s="124">
        <f t="shared" si="83"/>
        <v>321951.05999999994</v>
      </c>
      <c r="Q227" s="973">
        <v>6</v>
      </c>
      <c r="R227" s="964">
        <v>3666.6</v>
      </c>
      <c r="S227" s="977"/>
      <c r="T227" s="975"/>
      <c r="U227" s="976"/>
      <c r="V227" s="976"/>
      <c r="W227" s="976"/>
      <c r="X227" s="976"/>
      <c r="Y227" s="976"/>
      <c r="Z227" s="960">
        <f t="shared" si="100"/>
        <v>3666.6</v>
      </c>
      <c r="AA227" s="960">
        <v>5992.71</v>
      </c>
      <c r="AB227" s="960">
        <v>3666.6</v>
      </c>
      <c r="AC227" s="962">
        <f t="shared" si="101"/>
        <v>9659.31</v>
      </c>
      <c r="AD227" s="963">
        <f t="shared" si="86"/>
        <v>53658.509999999995</v>
      </c>
      <c r="AE227" s="124">
        <f t="shared" si="87"/>
        <v>321951.05999999994</v>
      </c>
      <c r="AF227" s="901">
        <f t="shared" si="88"/>
        <v>0</v>
      </c>
      <c r="AG227" s="897">
        <f t="shared" si="89"/>
        <v>0</v>
      </c>
      <c r="AH227" s="978">
        <f>3+1</f>
        <v>4</v>
      </c>
      <c r="AI227" s="990">
        <f>185034.31+56608.66</f>
        <v>241642.97</v>
      </c>
    </row>
    <row r="228" spans="1:35" x14ac:dyDescent="0.2">
      <c r="A228" s="825" t="s">
        <v>658</v>
      </c>
      <c r="B228" s="973">
        <v>5</v>
      </c>
      <c r="C228" s="974">
        <v>3607.36</v>
      </c>
      <c r="D228" s="975"/>
      <c r="E228" s="975"/>
      <c r="F228" s="976"/>
      <c r="G228" s="976"/>
      <c r="H228" s="976"/>
      <c r="I228" s="976"/>
      <c r="J228" s="976"/>
      <c r="K228" s="960">
        <f t="shared" si="98"/>
        <v>3607.36</v>
      </c>
      <c r="L228" s="960">
        <v>8101.71</v>
      </c>
      <c r="M228" s="960">
        <v>3607.36</v>
      </c>
      <c r="N228" s="962">
        <f t="shared" si="99"/>
        <v>11709.07</v>
      </c>
      <c r="O228" s="963">
        <f t="shared" si="82"/>
        <v>54997.39</v>
      </c>
      <c r="P228" s="124">
        <f t="shared" si="83"/>
        <v>274986.95</v>
      </c>
      <c r="Q228" s="973">
        <v>5</v>
      </c>
      <c r="R228" s="964">
        <v>3607.36</v>
      </c>
      <c r="S228" s="977"/>
      <c r="T228" s="975"/>
      <c r="U228" s="976"/>
      <c r="V228" s="976"/>
      <c r="W228" s="976"/>
      <c r="X228" s="976"/>
      <c r="Y228" s="976"/>
      <c r="Z228" s="960">
        <f t="shared" si="100"/>
        <v>3607.36</v>
      </c>
      <c r="AA228" s="960">
        <v>8101.71</v>
      </c>
      <c r="AB228" s="960">
        <v>3607.36</v>
      </c>
      <c r="AC228" s="962">
        <f t="shared" si="101"/>
        <v>11709.07</v>
      </c>
      <c r="AD228" s="963">
        <f t="shared" si="86"/>
        <v>54997.39</v>
      </c>
      <c r="AE228" s="124">
        <f t="shared" si="87"/>
        <v>274986.95</v>
      </c>
      <c r="AF228" s="901">
        <f t="shared" si="88"/>
        <v>0</v>
      </c>
      <c r="AG228" s="897">
        <f t="shared" si="89"/>
        <v>0</v>
      </c>
      <c r="AH228" s="978">
        <v>3</v>
      </c>
      <c r="AI228" s="990">
        <f>189577.18</f>
        <v>189577.18</v>
      </c>
    </row>
    <row r="229" spans="1:35" x14ac:dyDescent="0.2">
      <c r="A229" s="825" t="s">
        <v>672</v>
      </c>
      <c r="B229" s="973">
        <v>8</v>
      </c>
      <c r="C229" s="974">
        <v>3414.8</v>
      </c>
      <c r="D229" s="975"/>
      <c r="E229" s="975"/>
      <c r="F229" s="976"/>
      <c r="G229" s="976"/>
      <c r="H229" s="976"/>
      <c r="I229" s="976"/>
      <c r="J229" s="976"/>
      <c r="K229" s="960">
        <f t="shared" si="98"/>
        <v>3414.8</v>
      </c>
      <c r="L229" s="960">
        <v>7690.76</v>
      </c>
      <c r="M229" s="960">
        <v>3414.8</v>
      </c>
      <c r="N229" s="962">
        <f t="shared" si="99"/>
        <v>11105.560000000001</v>
      </c>
      <c r="O229" s="963">
        <f t="shared" si="82"/>
        <v>52083.16</v>
      </c>
      <c r="P229" s="124">
        <f t="shared" si="83"/>
        <v>416665.28</v>
      </c>
      <c r="Q229" s="973">
        <v>8</v>
      </c>
      <c r="R229" s="964">
        <v>3414.8</v>
      </c>
      <c r="S229" s="977"/>
      <c r="T229" s="975"/>
      <c r="U229" s="976"/>
      <c r="V229" s="976"/>
      <c r="W229" s="976"/>
      <c r="X229" s="976"/>
      <c r="Y229" s="976"/>
      <c r="Z229" s="960">
        <f t="shared" si="100"/>
        <v>3414.8</v>
      </c>
      <c r="AA229" s="960">
        <v>7690.76</v>
      </c>
      <c r="AB229" s="960">
        <v>3414.8</v>
      </c>
      <c r="AC229" s="962">
        <f t="shared" si="101"/>
        <v>11105.560000000001</v>
      </c>
      <c r="AD229" s="963">
        <f t="shared" si="86"/>
        <v>52083.16</v>
      </c>
      <c r="AE229" s="124">
        <f t="shared" si="87"/>
        <v>416665.28</v>
      </c>
      <c r="AF229" s="901">
        <f t="shared" si="88"/>
        <v>0</v>
      </c>
      <c r="AG229" s="897">
        <f t="shared" si="89"/>
        <v>0</v>
      </c>
      <c r="AH229" s="978">
        <v>5</v>
      </c>
      <c r="AI229" s="990">
        <f>280917.41</f>
        <v>280917.40999999997</v>
      </c>
    </row>
    <row r="230" spans="1:35" x14ac:dyDescent="0.2">
      <c r="A230" s="322"/>
      <c r="B230" s="684"/>
      <c r="C230" s="687"/>
      <c r="D230" s="546"/>
      <c r="E230" s="546"/>
      <c r="F230" s="682"/>
      <c r="G230" s="682"/>
      <c r="H230" s="682"/>
      <c r="I230" s="682"/>
      <c r="J230" s="682"/>
      <c r="K230" s="573"/>
      <c r="L230" s="573"/>
      <c r="M230" s="573"/>
      <c r="N230" s="470"/>
      <c r="O230" s="574"/>
      <c r="P230" s="468"/>
      <c r="Q230" s="684"/>
      <c r="R230" s="469"/>
      <c r="S230" s="683"/>
      <c r="T230" s="546"/>
      <c r="U230" s="682"/>
      <c r="V230" s="682"/>
      <c r="W230" s="682"/>
      <c r="X230" s="682"/>
      <c r="Y230" s="682"/>
      <c r="Z230" s="573"/>
      <c r="AA230" s="573"/>
      <c r="AB230" s="573"/>
      <c r="AC230" s="470"/>
      <c r="AD230" s="574"/>
      <c r="AE230" s="468"/>
      <c r="AF230" s="463"/>
      <c r="AG230" s="546"/>
      <c r="AH230" s="315"/>
      <c r="AI230" s="469"/>
    </row>
    <row r="231" spans="1:35" x14ac:dyDescent="0.2">
      <c r="A231" s="322"/>
      <c r="B231" s="684"/>
      <c r="C231" s="687"/>
      <c r="D231" s="546"/>
      <c r="E231" s="546"/>
      <c r="F231" s="682"/>
      <c r="G231" s="682"/>
      <c r="H231" s="682"/>
      <c r="I231" s="682"/>
      <c r="J231" s="682"/>
      <c r="K231" s="573"/>
      <c r="L231" s="573"/>
      <c r="M231" s="573"/>
      <c r="N231" s="470"/>
      <c r="O231" s="574"/>
      <c r="P231" s="468"/>
      <c r="Q231" s="684"/>
      <c r="R231" s="469"/>
      <c r="S231" s="683"/>
      <c r="T231" s="546"/>
      <c r="U231" s="682"/>
      <c r="V231" s="682"/>
      <c r="W231" s="682"/>
      <c r="X231" s="682"/>
      <c r="Y231" s="682"/>
      <c r="Z231" s="573"/>
      <c r="AA231" s="573"/>
      <c r="AB231" s="573"/>
      <c r="AC231" s="470"/>
      <c r="AD231" s="574"/>
      <c r="AE231" s="468"/>
      <c r="AF231" s="463"/>
      <c r="AG231" s="546"/>
      <c r="AH231" s="315"/>
      <c r="AI231" s="469"/>
    </row>
    <row r="232" spans="1:35" x14ac:dyDescent="0.2">
      <c r="A232" s="833" t="s">
        <v>6</v>
      </c>
      <c r="B232" s="981"/>
      <c r="C232" s="982"/>
      <c r="D232" s="983"/>
      <c r="E232" s="983"/>
      <c r="F232" s="984"/>
      <c r="G232" s="984"/>
      <c r="H232" s="984"/>
      <c r="I232" s="984"/>
      <c r="J232" s="984"/>
      <c r="K232" s="985"/>
      <c r="L232" s="985"/>
      <c r="M232" s="985"/>
      <c r="N232" s="986"/>
      <c r="O232" s="987"/>
      <c r="P232" s="121"/>
      <c r="Q232" s="981"/>
      <c r="R232" s="972"/>
      <c r="S232" s="988"/>
      <c r="T232" s="983"/>
      <c r="U232" s="984"/>
      <c r="V232" s="984"/>
      <c r="W232" s="984"/>
      <c r="X232" s="984"/>
      <c r="Y232" s="984"/>
      <c r="Z232" s="985"/>
      <c r="AA232" s="985"/>
      <c r="AB232" s="985"/>
      <c r="AC232" s="986"/>
      <c r="AD232" s="987"/>
      <c r="AE232" s="121"/>
      <c r="AF232" s="894"/>
      <c r="AG232" s="983"/>
      <c r="AH232" s="989"/>
      <c r="AI232" s="972"/>
    </row>
    <row r="233" spans="1:35" x14ac:dyDescent="0.2">
      <c r="A233" s="825" t="s">
        <v>666</v>
      </c>
      <c r="B233" s="120">
        <v>1</v>
      </c>
      <c r="C233" s="974">
        <v>2925</v>
      </c>
      <c r="D233" s="975"/>
      <c r="E233" s="975"/>
      <c r="F233" s="976"/>
      <c r="G233" s="976"/>
      <c r="H233" s="976"/>
      <c r="I233" s="976"/>
      <c r="J233" s="976"/>
      <c r="K233" s="960">
        <f>+C233</f>
        <v>2925</v>
      </c>
      <c r="L233" s="960">
        <v>6644.88</v>
      </c>
      <c r="M233" s="960">
        <v>2925</v>
      </c>
      <c r="N233" s="962">
        <f t="shared" ref="N233" si="102">+L233+M233</f>
        <v>9569.880000000001</v>
      </c>
      <c r="O233" s="963">
        <f t="shared" si="82"/>
        <v>44669.880000000005</v>
      </c>
      <c r="P233" s="124">
        <f t="shared" si="83"/>
        <v>44669.880000000005</v>
      </c>
      <c r="Q233" s="120">
        <v>1</v>
      </c>
      <c r="R233" s="964">
        <v>2925</v>
      </c>
      <c r="S233" s="977"/>
      <c r="T233" s="975"/>
      <c r="U233" s="976"/>
      <c r="V233" s="976"/>
      <c r="W233" s="976"/>
      <c r="X233" s="976"/>
      <c r="Y233" s="976"/>
      <c r="Z233" s="960">
        <f>+R233</f>
        <v>2925</v>
      </c>
      <c r="AA233" s="960">
        <v>6644.88</v>
      </c>
      <c r="AB233" s="960">
        <v>2925</v>
      </c>
      <c r="AC233" s="962">
        <f t="shared" ref="AC233" si="103">+AA233+AB233</f>
        <v>9569.880000000001</v>
      </c>
      <c r="AD233" s="963">
        <f t="shared" si="86"/>
        <v>44669.880000000005</v>
      </c>
      <c r="AE233" s="124">
        <f t="shared" si="87"/>
        <v>44669.880000000005</v>
      </c>
      <c r="AF233" s="901">
        <f t="shared" si="88"/>
        <v>0</v>
      </c>
      <c r="AG233" s="897">
        <f t="shared" si="89"/>
        <v>0</v>
      </c>
      <c r="AH233" s="980">
        <v>1</v>
      </c>
      <c r="AI233" s="964">
        <v>48232.92</v>
      </c>
    </row>
    <row r="234" spans="1:35" ht="12.75" thickBot="1" x14ac:dyDescent="0.25">
      <c r="A234" s="464"/>
      <c r="B234" s="464"/>
      <c r="C234" s="470"/>
      <c r="D234" s="464"/>
      <c r="E234" s="464"/>
      <c r="F234" s="307"/>
      <c r="G234" s="307"/>
      <c r="H234" s="307"/>
      <c r="I234" s="307"/>
      <c r="J234" s="307"/>
      <c r="K234" s="307"/>
      <c r="L234" s="307"/>
      <c r="M234" s="307"/>
      <c r="N234" s="465"/>
      <c r="O234" s="347"/>
      <c r="P234" s="463"/>
      <c r="Q234" s="547"/>
      <c r="R234" s="467"/>
      <c r="S234" s="685"/>
      <c r="T234" s="467"/>
      <c r="U234" s="372"/>
      <c r="V234" s="372"/>
      <c r="W234" s="372"/>
      <c r="X234" s="372"/>
      <c r="Y234" s="372"/>
      <c r="Z234" s="688"/>
      <c r="AA234" s="688"/>
      <c r="AB234" s="688"/>
      <c r="AC234" s="689"/>
      <c r="AD234" s="347"/>
      <c r="AE234" s="463"/>
      <c r="AF234" s="463"/>
      <c r="AG234" s="464"/>
      <c r="AH234" s="465"/>
      <c r="AI234" s="686"/>
    </row>
    <row r="235" spans="1:35" ht="12.75" thickBot="1" x14ac:dyDescent="0.25">
      <c r="A235" s="720" t="s">
        <v>0</v>
      </c>
      <c r="B235" s="721">
        <f>SUM(B209:B233)</f>
        <v>122</v>
      </c>
      <c r="C235" s="722">
        <f>SUM(C209:C233)</f>
        <v>106703.46000000002</v>
      </c>
      <c r="D235" s="887">
        <f t="shared" ref="D235:P235" si="104">SUM(D209:D233)</f>
        <v>0</v>
      </c>
      <c r="E235" s="887">
        <f t="shared" si="104"/>
        <v>0</v>
      </c>
      <c r="F235" s="887">
        <f t="shared" si="104"/>
        <v>0</v>
      </c>
      <c r="G235" s="887">
        <f t="shared" si="104"/>
        <v>0</v>
      </c>
      <c r="H235" s="887">
        <f t="shared" si="104"/>
        <v>0</v>
      </c>
      <c r="I235" s="887">
        <f t="shared" si="104"/>
        <v>0</v>
      </c>
      <c r="J235" s="887">
        <f t="shared" si="104"/>
        <v>0</v>
      </c>
      <c r="K235" s="722">
        <f t="shared" si="104"/>
        <v>106703.46000000002</v>
      </c>
      <c r="L235" s="722">
        <f t="shared" si="104"/>
        <v>571279.48</v>
      </c>
      <c r="M235" s="722">
        <f t="shared" si="104"/>
        <v>44218.25</v>
      </c>
      <c r="N235" s="723">
        <f t="shared" si="104"/>
        <v>274656.52</v>
      </c>
      <c r="O235" s="724">
        <f t="shared" si="104"/>
        <v>1555098.04</v>
      </c>
      <c r="P235" s="725">
        <f t="shared" si="104"/>
        <v>12113641.840000002</v>
      </c>
      <c r="Q235" s="719">
        <f>SUM(Q209:Q233)</f>
        <v>122</v>
      </c>
      <c r="R235" s="726">
        <f t="shared" ref="R235:AB235" si="105">SUM(R209:R233)</f>
        <v>106703.46000000002</v>
      </c>
      <c r="S235" s="888">
        <f t="shared" si="105"/>
        <v>0</v>
      </c>
      <c r="T235" s="888">
        <f t="shared" si="105"/>
        <v>0</v>
      </c>
      <c r="U235" s="888">
        <f t="shared" si="105"/>
        <v>0</v>
      </c>
      <c r="V235" s="888">
        <f t="shared" si="105"/>
        <v>0</v>
      </c>
      <c r="W235" s="888">
        <f t="shared" si="105"/>
        <v>0</v>
      </c>
      <c r="X235" s="888">
        <f t="shared" si="105"/>
        <v>0</v>
      </c>
      <c r="Y235" s="888">
        <f t="shared" si="105"/>
        <v>0</v>
      </c>
      <c r="Z235" s="726">
        <f t="shared" si="105"/>
        <v>106703.46000000002</v>
      </c>
      <c r="AA235" s="726">
        <f t="shared" si="105"/>
        <v>571279.48</v>
      </c>
      <c r="AB235" s="726">
        <f t="shared" si="105"/>
        <v>44218.25</v>
      </c>
      <c r="AC235" s="726">
        <f>SUM(AC209:AC233)</f>
        <v>274656.52</v>
      </c>
      <c r="AD235" s="727">
        <f t="shared" ref="AD235:AE235" si="106">SUM(AD209:AD233)</f>
        <v>1555098.04</v>
      </c>
      <c r="AE235" s="728">
        <f t="shared" si="106"/>
        <v>12113641.840000002</v>
      </c>
      <c r="AF235" s="729"/>
      <c r="AG235" s="730"/>
      <c r="AH235" s="731">
        <f>SUM(AH209:AH233)</f>
        <v>92</v>
      </c>
      <c r="AI235" s="732">
        <f>SUM(AI209:AI233)</f>
        <v>10358315</v>
      </c>
    </row>
    <row r="236" spans="1:35" x14ac:dyDescent="0.2">
      <c r="A236" s="462" t="s">
        <v>70</v>
      </c>
    </row>
    <row r="237" spans="1:35" x14ac:dyDescent="0.2">
      <c r="A237" s="462" t="s">
        <v>71</v>
      </c>
      <c r="B237" s="462" t="s">
        <v>162</v>
      </c>
    </row>
    <row r="238" spans="1:35" x14ac:dyDescent="0.2">
      <c r="A238" s="462" t="s">
        <v>72</v>
      </c>
      <c r="B238" s="462" t="s">
        <v>73</v>
      </c>
    </row>
    <row r="239" spans="1:35" x14ac:dyDescent="0.2">
      <c r="A239" s="462" t="s">
        <v>74</v>
      </c>
      <c r="B239" s="462" t="s">
        <v>75</v>
      </c>
    </row>
    <row r="240" spans="1:35" x14ac:dyDescent="0.2">
      <c r="A240" s="462" t="s">
        <v>76</v>
      </c>
      <c r="B240" s="462" t="s">
        <v>77</v>
      </c>
    </row>
    <row r="241" spans="1:2" x14ac:dyDescent="0.2">
      <c r="B241" s="462" t="s">
        <v>78</v>
      </c>
    </row>
    <row r="242" spans="1:2" x14ac:dyDescent="0.2">
      <c r="A242" s="462" t="s">
        <v>79</v>
      </c>
      <c r="B242" s="462" t="s">
        <v>153</v>
      </c>
    </row>
    <row r="243" spans="1:2" x14ac:dyDescent="0.2">
      <c r="B243" s="462" t="s">
        <v>80</v>
      </c>
    </row>
    <row r="244" spans="1:2" x14ac:dyDescent="0.2">
      <c r="B244" s="462" t="s">
        <v>81</v>
      </c>
    </row>
    <row r="245" spans="1:2" x14ac:dyDescent="0.2">
      <c r="B245" s="462" t="s">
        <v>82</v>
      </c>
    </row>
    <row r="246" spans="1:2" x14ac:dyDescent="0.2">
      <c r="A246" s="462" t="s">
        <v>187</v>
      </c>
      <c r="B246" s="462" t="s">
        <v>188</v>
      </c>
    </row>
    <row r="247" spans="1:2" x14ac:dyDescent="0.2">
      <c r="A247" s="462" t="s">
        <v>189</v>
      </c>
      <c r="B247" s="462" t="s">
        <v>158</v>
      </c>
    </row>
    <row r="248" spans="1:2" x14ac:dyDescent="0.2">
      <c r="A248" s="462" t="s">
        <v>190</v>
      </c>
      <c r="B248" s="462" t="s">
        <v>154</v>
      </c>
    </row>
    <row r="249" spans="1:2" x14ac:dyDescent="0.2">
      <c r="B249" s="462" t="s">
        <v>80</v>
      </c>
    </row>
    <row r="250" spans="1:2" x14ac:dyDescent="0.2">
      <c r="B250" s="462" t="s">
        <v>81</v>
      </c>
    </row>
    <row r="251" spans="1:2" x14ac:dyDescent="0.2">
      <c r="B251" s="462" t="s">
        <v>119</v>
      </c>
    </row>
    <row r="252" spans="1:2" x14ac:dyDescent="0.2">
      <c r="A252" s="462" t="s">
        <v>199</v>
      </c>
      <c r="B252" s="462" t="s">
        <v>200</v>
      </c>
    </row>
    <row r="253" spans="1:2" x14ac:dyDescent="0.2">
      <c r="A253" s="462" t="s">
        <v>197</v>
      </c>
      <c r="B253" s="462" t="s">
        <v>193</v>
      </c>
    </row>
    <row r="254" spans="1:2" x14ac:dyDescent="0.2">
      <c r="A254" s="462" t="s">
        <v>198</v>
      </c>
      <c r="B254" s="462" t="s">
        <v>201</v>
      </c>
    </row>
  </sheetData>
  <mergeCells count="20">
    <mergeCell ref="A75:A77"/>
    <mergeCell ref="B75:P75"/>
    <mergeCell ref="Q75:AE75"/>
    <mergeCell ref="AF75:AG75"/>
    <mergeCell ref="AH75:AI75"/>
    <mergeCell ref="A6:A8"/>
    <mergeCell ref="B6:P6"/>
    <mergeCell ref="Q6:AE6"/>
    <mergeCell ref="AF6:AG6"/>
    <mergeCell ref="AH6:AI6"/>
    <mergeCell ref="A202:A204"/>
    <mergeCell ref="B202:P202"/>
    <mergeCell ref="Q202:AE202"/>
    <mergeCell ref="AF202:AG202"/>
    <mergeCell ref="AH202:AI202"/>
    <mergeCell ref="A134:A136"/>
    <mergeCell ref="B134:P134"/>
    <mergeCell ref="Q134:AE134"/>
    <mergeCell ref="AF134:AG134"/>
    <mergeCell ref="AH134:AI134"/>
  </mergeCells>
  <printOptions horizontalCentered="1"/>
  <pageMargins left="0.23622047244094491" right="0.23622047244094491" top="0.74803149606299213" bottom="0.15748031496062992" header="0.31496062992125984" footer="0.31496062992125984"/>
  <pageSetup paperSize="9" scale="35" orientation="landscape" r:id="rId1"/>
  <headerFooter alignWithMargins="0">
    <oddHeader xml:space="preserve">&amp;C&amp;"Arial,Negrita"&amp;18PROYECTO DE PRESUPUESTO 2022
</oddHeader>
    <oddFooter>&amp;L&amp;"Arial,Negrita"&amp;8PROYECTO DE PRESUPUESTO PARA EL AÑO FISCAL 2020
INFORMACIÓN PARA LA COMISIÓN DE PRESUPUESTO Y CUENTA GENERAL DE LA REPÚBLICA DEL CONGRESO DE LA REPÚBLICA</oddFooter>
  </headerFooter>
  <rowBreaks count="3" manualBreakCount="3">
    <brk id="71" max="34" man="1"/>
    <brk id="131" max="34" man="1"/>
    <brk id="199" max="34" man="1"/>
  </rowBreaks>
  <ignoredErrors>
    <ignoredError sqref="B8:AI8"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030A0"/>
  </sheetPr>
  <dimension ref="A1:O133"/>
  <sheetViews>
    <sheetView showGridLines="0" zoomScaleNormal="100" zoomScaleSheetLayoutView="80" zoomScalePageLayoutView="85" workbookViewId="0">
      <selection activeCell="F43" sqref="F43"/>
    </sheetView>
  </sheetViews>
  <sheetFormatPr baseColWidth="10" defaultColWidth="11.42578125" defaultRowHeight="12" x14ac:dyDescent="0.2"/>
  <cols>
    <col min="1" max="1" width="57.140625" style="462" customWidth="1"/>
    <col min="2" max="4" width="12.7109375" style="462" customWidth="1"/>
    <col min="5" max="5" width="13.140625" style="462" customWidth="1"/>
    <col min="6" max="6" width="12.7109375" style="462" customWidth="1"/>
    <col min="7" max="7" width="14.28515625" style="462" customWidth="1"/>
    <col min="8" max="8" width="12.7109375" style="462" customWidth="1"/>
    <col min="9" max="9" width="15" style="462" customWidth="1"/>
    <col min="10" max="10" width="12.7109375" style="462" customWidth="1"/>
    <col min="11" max="16384" width="11.42578125" style="462"/>
  </cols>
  <sheetData>
    <row r="1" spans="1:15" s="386" customFormat="1" ht="15" x14ac:dyDescent="0.25">
      <c r="A1" s="89" t="s">
        <v>410</v>
      </c>
      <c r="B1" s="396"/>
      <c r="C1" s="396"/>
      <c r="D1" s="396"/>
      <c r="E1" s="396"/>
      <c r="F1" s="396"/>
      <c r="G1" s="396"/>
      <c r="H1" s="396"/>
      <c r="I1" s="396"/>
    </row>
    <row r="2" spans="1:15" s="656" customFormat="1" ht="15" x14ac:dyDescent="0.2">
      <c r="A2" s="889" t="s">
        <v>608</v>
      </c>
      <c r="B2" s="396"/>
      <c r="C2" s="396"/>
      <c r="D2" s="396"/>
      <c r="E2" s="396"/>
      <c r="F2" s="396"/>
      <c r="G2" s="396"/>
      <c r="H2" s="396"/>
      <c r="I2" s="396"/>
      <c r="J2" s="396"/>
      <c r="K2" s="396"/>
      <c r="L2" s="396"/>
      <c r="M2" s="396"/>
      <c r="N2" s="396"/>
      <c r="O2" s="396"/>
    </row>
    <row r="3" spans="1:15" ht="15" customHeight="1" thickBot="1" x14ac:dyDescent="0.25">
      <c r="A3" s="1355" t="s">
        <v>593</v>
      </c>
      <c r="B3" s="1356"/>
      <c r="E3" s="306"/>
    </row>
    <row r="4" spans="1:15" ht="12" customHeight="1" thickBot="1" x14ac:dyDescent="0.25">
      <c r="A4" s="1499" t="s">
        <v>35</v>
      </c>
      <c r="B4" s="1495" t="s">
        <v>409</v>
      </c>
      <c r="C4" s="1502" t="s">
        <v>457</v>
      </c>
      <c r="D4" s="1502" t="s">
        <v>411</v>
      </c>
      <c r="E4" s="1502" t="s">
        <v>412</v>
      </c>
      <c r="F4" s="1497" t="s">
        <v>413</v>
      </c>
      <c r="G4" s="1495" t="s">
        <v>381</v>
      </c>
      <c r="H4" s="1497" t="s">
        <v>380</v>
      </c>
      <c r="I4" s="1495" t="s">
        <v>414</v>
      </c>
      <c r="J4" s="1497" t="s">
        <v>380</v>
      </c>
    </row>
    <row r="5" spans="1:15" ht="24.75" customHeight="1" thickBot="1" x14ac:dyDescent="0.25">
      <c r="A5" s="1500"/>
      <c r="B5" s="1501"/>
      <c r="C5" s="1503"/>
      <c r="D5" s="1503"/>
      <c r="E5" s="1503"/>
      <c r="F5" s="1498"/>
      <c r="G5" s="1496"/>
      <c r="H5" s="1498"/>
      <c r="I5" s="1496"/>
      <c r="J5" s="1498"/>
    </row>
    <row r="6" spans="1:15" ht="12.95" customHeight="1" x14ac:dyDescent="0.2">
      <c r="A6" s="1372" t="s">
        <v>38</v>
      </c>
      <c r="B6" s="1361">
        <v>106527</v>
      </c>
      <c r="C6" s="1373">
        <v>191028</v>
      </c>
      <c r="D6" s="1373">
        <v>46240</v>
      </c>
      <c r="E6" s="1373">
        <v>88136</v>
      </c>
      <c r="F6" s="1362">
        <v>146515</v>
      </c>
      <c r="G6" s="1366">
        <v>-60287</v>
      </c>
      <c r="H6" s="1379">
        <v>-0.56593164174340782</v>
      </c>
      <c r="I6" s="1366">
        <v>100275</v>
      </c>
      <c r="J6" s="1369">
        <v>2.1685769896193769</v>
      </c>
    </row>
    <row r="7" spans="1:15" ht="12.95" customHeight="1" x14ac:dyDescent="0.2">
      <c r="A7" s="1360" t="s">
        <v>4094</v>
      </c>
      <c r="B7" s="1374">
        <v>5160</v>
      </c>
      <c r="C7" s="1375">
        <v>4290</v>
      </c>
      <c r="D7" s="1375">
        <v>4290</v>
      </c>
      <c r="E7" s="1375">
        <v>1290</v>
      </c>
      <c r="F7" s="1363">
        <v>4290</v>
      </c>
      <c r="G7" s="1367">
        <v>-870</v>
      </c>
      <c r="H7" s="1380">
        <v>-0.16860465116279069</v>
      </c>
      <c r="I7" s="1367">
        <v>0</v>
      </c>
      <c r="J7" s="1370">
        <v>0</v>
      </c>
    </row>
    <row r="8" spans="1:15" ht="12.95" customHeight="1" x14ac:dyDescent="0.2">
      <c r="A8" s="1360" t="s">
        <v>4095</v>
      </c>
      <c r="B8" s="1374">
        <v>20000</v>
      </c>
      <c r="C8" s="1375">
        <v>20000</v>
      </c>
      <c r="D8" s="1375">
        <v>12000</v>
      </c>
      <c r="E8" s="1375">
        <v>12000</v>
      </c>
      <c r="F8" s="1363">
        <v>10000</v>
      </c>
      <c r="G8" s="1367">
        <v>-8000</v>
      </c>
      <c r="H8" s="1380">
        <v>-0.4</v>
      </c>
      <c r="I8" s="1367">
        <v>-2000</v>
      </c>
      <c r="J8" s="1370">
        <v>-0.16666666666666666</v>
      </c>
    </row>
    <row r="9" spans="1:15" ht="12.95" customHeight="1" x14ac:dyDescent="0.2">
      <c r="A9" s="1360" t="s">
        <v>4096</v>
      </c>
      <c r="B9" s="1374">
        <v>198633</v>
      </c>
      <c r="C9" s="1376">
        <v>83236</v>
      </c>
      <c r="D9" s="1375">
        <v>60467</v>
      </c>
      <c r="E9" s="1375">
        <v>27285</v>
      </c>
      <c r="F9" s="1363">
        <v>41235</v>
      </c>
      <c r="G9" s="1367">
        <v>-138166</v>
      </c>
      <c r="H9" s="1380">
        <v>-0.69558431881912874</v>
      </c>
      <c r="I9" s="1367">
        <v>-19232</v>
      </c>
      <c r="J9" s="1370">
        <v>-0.31805778358443448</v>
      </c>
    </row>
    <row r="10" spans="1:15" ht="12.95" customHeight="1" x14ac:dyDescent="0.2">
      <c r="A10" s="1360" t="s">
        <v>4097</v>
      </c>
      <c r="B10" s="1374">
        <v>15000</v>
      </c>
      <c r="C10" s="1375">
        <v>15000</v>
      </c>
      <c r="D10" s="1375">
        <v>0</v>
      </c>
      <c r="E10" s="1375">
        <v>0</v>
      </c>
      <c r="F10" s="1363">
        <v>0</v>
      </c>
      <c r="G10" s="1367">
        <v>-15000</v>
      </c>
      <c r="H10" s="1380">
        <v>-1</v>
      </c>
      <c r="I10" s="1367">
        <v>0</v>
      </c>
      <c r="J10" s="1370">
        <v>0</v>
      </c>
    </row>
    <row r="11" spans="1:15" ht="12.95" customHeight="1" x14ac:dyDescent="0.2">
      <c r="A11" s="1360" t="s">
        <v>4098</v>
      </c>
      <c r="B11" s="1374">
        <v>43000</v>
      </c>
      <c r="C11" s="1375">
        <v>43000</v>
      </c>
      <c r="D11" s="1375">
        <v>40000</v>
      </c>
      <c r="E11" s="1375">
        <v>40000</v>
      </c>
      <c r="F11" s="1363">
        <v>40000</v>
      </c>
      <c r="G11" s="1367">
        <v>-3000</v>
      </c>
      <c r="H11" s="1380">
        <v>-6.9767441860465115E-2</v>
      </c>
      <c r="I11" s="1367">
        <v>0</v>
      </c>
      <c r="J11" s="1370">
        <v>0</v>
      </c>
    </row>
    <row r="12" spans="1:15" ht="12.95" customHeight="1" x14ac:dyDescent="0.2">
      <c r="A12" s="1360" t="s">
        <v>259</v>
      </c>
      <c r="B12" s="1374">
        <v>5789055</v>
      </c>
      <c r="C12" s="1375">
        <v>7868122</v>
      </c>
      <c r="D12" s="1375">
        <v>5903495</v>
      </c>
      <c r="E12" s="1375">
        <v>4959562</v>
      </c>
      <c r="F12" s="1363">
        <v>7016656</v>
      </c>
      <c r="G12" s="1367">
        <v>114440</v>
      </c>
      <c r="H12" s="1380">
        <v>1.9768338701221529E-2</v>
      </c>
      <c r="I12" s="1367">
        <v>1113161</v>
      </c>
      <c r="J12" s="1370">
        <v>0.18855965830410629</v>
      </c>
    </row>
    <row r="13" spans="1:15" ht="12.95" customHeight="1" x14ac:dyDescent="0.2">
      <c r="A13" s="1360" t="s">
        <v>4099</v>
      </c>
      <c r="B13" s="1374">
        <v>89187</v>
      </c>
      <c r="C13" s="1375">
        <v>77518</v>
      </c>
      <c r="D13" s="1375">
        <v>42597</v>
      </c>
      <c r="E13" s="1375">
        <v>41097</v>
      </c>
      <c r="F13" s="1363">
        <v>45132</v>
      </c>
      <c r="G13" s="1367">
        <v>-46590</v>
      </c>
      <c r="H13" s="1380">
        <v>-0.52238554946348681</v>
      </c>
      <c r="I13" s="1367">
        <v>2535</v>
      </c>
      <c r="J13" s="1370">
        <v>5.9511233185435594E-2</v>
      </c>
    </row>
    <row r="14" spans="1:15" ht="12.95" customHeight="1" x14ac:dyDescent="0.2">
      <c r="A14" s="1360" t="s">
        <v>4100</v>
      </c>
      <c r="B14" s="1374">
        <v>20000</v>
      </c>
      <c r="C14" s="1375">
        <v>56190</v>
      </c>
      <c r="D14" s="1375">
        <v>12000</v>
      </c>
      <c r="E14" s="1375">
        <v>12000</v>
      </c>
      <c r="F14" s="1363">
        <v>24000</v>
      </c>
      <c r="G14" s="1367">
        <v>-8000</v>
      </c>
      <c r="H14" s="1380">
        <v>-0.4</v>
      </c>
      <c r="I14" s="1367">
        <v>12000</v>
      </c>
      <c r="J14" s="1370">
        <v>1</v>
      </c>
    </row>
    <row r="15" spans="1:15" ht="12.95" customHeight="1" x14ac:dyDescent="0.2">
      <c r="A15" s="1360" t="s">
        <v>4101</v>
      </c>
      <c r="B15" s="1374">
        <v>0</v>
      </c>
      <c r="C15" s="1375">
        <v>0</v>
      </c>
      <c r="D15" s="1375">
        <v>0</v>
      </c>
      <c r="E15" s="1375">
        <v>0</v>
      </c>
      <c r="F15" s="1363">
        <v>0</v>
      </c>
      <c r="G15" s="1367">
        <v>0</v>
      </c>
      <c r="H15" s="1380">
        <v>0</v>
      </c>
      <c r="I15" s="1367">
        <v>0</v>
      </c>
      <c r="J15" s="1370">
        <v>0</v>
      </c>
    </row>
    <row r="16" spans="1:15" ht="12.95" customHeight="1" x14ac:dyDescent="0.2">
      <c r="A16" s="1360" t="s">
        <v>37</v>
      </c>
      <c r="B16" s="1374">
        <v>0</v>
      </c>
      <c r="C16" s="1376">
        <v>0</v>
      </c>
      <c r="D16" s="1375">
        <v>0</v>
      </c>
      <c r="E16" s="1375">
        <v>0</v>
      </c>
      <c r="F16" s="1363">
        <v>0</v>
      </c>
      <c r="G16" s="1367">
        <v>0</v>
      </c>
      <c r="H16" s="1380">
        <v>0</v>
      </c>
      <c r="I16" s="1367">
        <v>0</v>
      </c>
      <c r="J16" s="1370">
        <v>0</v>
      </c>
    </row>
    <row r="17" spans="1:10" ht="12.95" customHeight="1" x14ac:dyDescent="0.2">
      <c r="A17" s="1360" t="s">
        <v>31</v>
      </c>
      <c r="B17" s="1374">
        <v>0</v>
      </c>
      <c r="C17" s="1375">
        <v>0</v>
      </c>
      <c r="D17" s="1375">
        <v>0</v>
      </c>
      <c r="E17" s="1375">
        <v>0</v>
      </c>
      <c r="F17" s="1363">
        <v>0</v>
      </c>
      <c r="G17" s="1367">
        <v>0</v>
      </c>
      <c r="H17" s="1380">
        <v>0</v>
      </c>
      <c r="I17" s="1367">
        <v>0</v>
      </c>
      <c r="J17" s="1370">
        <v>0</v>
      </c>
    </row>
    <row r="18" spans="1:10" ht="12.95" customHeight="1" x14ac:dyDescent="0.2">
      <c r="A18" s="1360" t="s">
        <v>4102</v>
      </c>
      <c r="B18" s="1374">
        <v>0</v>
      </c>
      <c r="C18" s="1376">
        <v>0</v>
      </c>
      <c r="D18" s="1375">
        <v>0</v>
      </c>
      <c r="E18" s="1375">
        <v>0</v>
      </c>
      <c r="F18" s="1363">
        <v>35000</v>
      </c>
      <c r="G18" s="1367">
        <v>0</v>
      </c>
      <c r="H18" s="1380">
        <v>0</v>
      </c>
      <c r="I18" s="1367">
        <v>35000</v>
      </c>
      <c r="J18" s="1370">
        <v>0</v>
      </c>
    </row>
    <row r="19" spans="1:10" ht="12.95" customHeight="1" x14ac:dyDescent="0.2">
      <c r="A19" s="1360" t="s">
        <v>4103</v>
      </c>
      <c r="B19" s="1374">
        <v>0</v>
      </c>
      <c r="C19" s="1375">
        <v>0</v>
      </c>
      <c r="D19" s="1375">
        <v>0</v>
      </c>
      <c r="E19" s="1375">
        <v>0</v>
      </c>
      <c r="F19" s="1363">
        <v>8000</v>
      </c>
      <c r="G19" s="1367">
        <v>0</v>
      </c>
      <c r="H19" s="1380">
        <v>0</v>
      </c>
      <c r="I19" s="1367">
        <v>8000</v>
      </c>
      <c r="J19" s="1370">
        <v>0</v>
      </c>
    </row>
    <row r="20" spans="1:10" ht="12.95" customHeight="1" x14ac:dyDescent="0.2">
      <c r="A20" s="1360" t="s">
        <v>28</v>
      </c>
      <c r="B20" s="1374">
        <v>682144</v>
      </c>
      <c r="C20" s="1375">
        <v>67472</v>
      </c>
      <c r="D20" s="1375">
        <v>205000</v>
      </c>
      <c r="E20" s="1375">
        <v>231960</v>
      </c>
      <c r="F20" s="1363">
        <v>436801</v>
      </c>
      <c r="G20" s="1367">
        <v>-477144</v>
      </c>
      <c r="H20" s="1380">
        <v>-0.69947694328470233</v>
      </c>
      <c r="I20" s="1367">
        <v>231801</v>
      </c>
      <c r="J20" s="1370">
        <v>1.1307365853658538</v>
      </c>
    </row>
    <row r="21" spans="1:10" ht="12.95" customHeight="1" x14ac:dyDescent="0.2">
      <c r="A21" s="1360" t="s">
        <v>256</v>
      </c>
      <c r="B21" s="1374">
        <v>690741</v>
      </c>
      <c r="C21" s="1375">
        <v>408880</v>
      </c>
      <c r="D21" s="1375">
        <v>392295</v>
      </c>
      <c r="E21" s="1375">
        <v>390520</v>
      </c>
      <c r="F21" s="1363">
        <v>373766</v>
      </c>
      <c r="G21" s="1367">
        <v>-298446</v>
      </c>
      <c r="H21" s="1380">
        <v>-0.43206643300455599</v>
      </c>
      <c r="I21" s="1367">
        <v>-18529</v>
      </c>
      <c r="J21" s="1370">
        <v>-4.7232312417950777E-2</v>
      </c>
    </row>
    <row r="22" spans="1:10" ht="12.95" customHeight="1" x14ac:dyDescent="0.2">
      <c r="A22" s="1360" t="s">
        <v>4104</v>
      </c>
      <c r="B22" s="1374">
        <v>30000</v>
      </c>
      <c r="C22" s="1375">
        <v>39800</v>
      </c>
      <c r="D22" s="1375">
        <v>20000</v>
      </c>
      <c r="E22" s="1375">
        <v>41500</v>
      </c>
      <c r="F22" s="1363">
        <v>35000</v>
      </c>
      <c r="G22" s="1367">
        <v>-10000</v>
      </c>
      <c r="H22" s="1380">
        <v>-0.33333333333333331</v>
      </c>
      <c r="I22" s="1367">
        <v>15000</v>
      </c>
      <c r="J22" s="1370">
        <v>0.75</v>
      </c>
    </row>
    <row r="23" spans="1:10" ht="12.95" customHeight="1" x14ac:dyDescent="0.2">
      <c r="A23" s="1360" t="s">
        <v>4105</v>
      </c>
      <c r="B23" s="1374">
        <v>398400</v>
      </c>
      <c r="C23" s="1375">
        <v>454408</v>
      </c>
      <c r="D23" s="1375">
        <v>270315</v>
      </c>
      <c r="E23" s="1375">
        <v>471425</v>
      </c>
      <c r="F23" s="1363">
        <v>259868</v>
      </c>
      <c r="G23" s="1367">
        <v>-128085</v>
      </c>
      <c r="H23" s="1380">
        <v>-0.32149849397590363</v>
      </c>
      <c r="I23" s="1367">
        <v>-10447</v>
      </c>
      <c r="J23" s="1370">
        <v>-3.8647503838114793E-2</v>
      </c>
    </row>
    <row r="24" spans="1:10" ht="12.95" customHeight="1" x14ac:dyDescent="0.2">
      <c r="A24" s="1360" t="s">
        <v>269</v>
      </c>
      <c r="B24" s="1374">
        <v>2002682</v>
      </c>
      <c r="C24" s="1375">
        <v>1683031</v>
      </c>
      <c r="D24" s="1375">
        <v>1061272</v>
      </c>
      <c r="E24" s="1375">
        <v>862916</v>
      </c>
      <c r="F24" s="1363">
        <v>1588913</v>
      </c>
      <c r="G24" s="1367">
        <v>-941410</v>
      </c>
      <c r="H24" s="1380">
        <v>-0.47007462992127558</v>
      </c>
      <c r="I24" s="1367">
        <v>527641</v>
      </c>
      <c r="J24" s="1370">
        <v>0.49717791480412182</v>
      </c>
    </row>
    <row r="25" spans="1:10" ht="12.95" customHeight="1" x14ac:dyDescent="0.2">
      <c r="A25" s="1360" t="s">
        <v>4106</v>
      </c>
      <c r="B25" s="1374">
        <v>2393053</v>
      </c>
      <c r="C25" s="1375">
        <v>3977933</v>
      </c>
      <c r="D25" s="1375">
        <v>3103880</v>
      </c>
      <c r="E25" s="1375">
        <v>3723773</v>
      </c>
      <c r="F25" s="1363">
        <v>5504886</v>
      </c>
      <c r="G25" s="1367">
        <v>710827</v>
      </c>
      <c r="H25" s="1380">
        <v>0.29703771709193233</v>
      </c>
      <c r="I25" s="1367">
        <v>2401006</v>
      </c>
      <c r="J25" s="1370">
        <v>0.77354987950565102</v>
      </c>
    </row>
    <row r="26" spans="1:10" ht="12.95" customHeight="1" x14ac:dyDescent="0.2">
      <c r="A26" s="1360" t="s">
        <v>4107</v>
      </c>
      <c r="B26" s="1374">
        <v>4916040</v>
      </c>
      <c r="C26" s="1375">
        <v>415648</v>
      </c>
      <c r="D26" s="1375">
        <v>1244366</v>
      </c>
      <c r="E26" s="1375">
        <v>350416</v>
      </c>
      <c r="F26" s="1363">
        <v>1413575</v>
      </c>
      <c r="G26" s="1367">
        <v>-3671674</v>
      </c>
      <c r="H26" s="1380">
        <v>-0.74687634762939281</v>
      </c>
      <c r="I26" s="1367">
        <v>169209</v>
      </c>
      <c r="J26" s="1370">
        <v>0.13598008945921056</v>
      </c>
    </row>
    <row r="27" spans="1:10" ht="12.95" customHeight="1" x14ac:dyDescent="0.2">
      <c r="A27" s="1360" t="s">
        <v>4108</v>
      </c>
      <c r="B27" s="1374">
        <v>100000</v>
      </c>
      <c r="C27" s="1375">
        <v>100000</v>
      </c>
      <c r="D27" s="1375">
        <v>200000</v>
      </c>
      <c r="E27" s="1375">
        <v>200000</v>
      </c>
      <c r="F27" s="1363">
        <v>140000</v>
      </c>
      <c r="G27" s="1367">
        <v>100000</v>
      </c>
      <c r="H27" s="1380">
        <v>1</v>
      </c>
      <c r="I27" s="1367">
        <v>-60000</v>
      </c>
      <c r="J27" s="1370">
        <v>-0.3</v>
      </c>
    </row>
    <row r="28" spans="1:10" ht="12.95" customHeight="1" x14ac:dyDescent="0.2">
      <c r="A28" s="1360" t="s">
        <v>4109</v>
      </c>
      <c r="B28" s="1374">
        <v>390000</v>
      </c>
      <c r="C28" s="1375">
        <v>540000</v>
      </c>
      <c r="D28" s="1375">
        <v>0</v>
      </c>
      <c r="E28" s="1375">
        <v>0</v>
      </c>
      <c r="F28" s="1363">
        <v>225000</v>
      </c>
      <c r="G28" s="1367">
        <v>-390000</v>
      </c>
      <c r="H28" s="1380">
        <v>-1</v>
      </c>
      <c r="I28" s="1367">
        <v>225000</v>
      </c>
      <c r="J28" s="1370">
        <v>0</v>
      </c>
    </row>
    <row r="29" spans="1:10" ht="12.95" customHeight="1" x14ac:dyDescent="0.2">
      <c r="A29" s="1360" t="s">
        <v>33</v>
      </c>
      <c r="B29" s="1374">
        <v>0</v>
      </c>
      <c r="C29" s="1375">
        <v>0</v>
      </c>
      <c r="D29" s="1375">
        <v>0</v>
      </c>
      <c r="E29" s="1375">
        <v>0</v>
      </c>
      <c r="F29" s="1363">
        <v>0</v>
      </c>
      <c r="G29" s="1367">
        <v>0</v>
      </c>
      <c r="H29" s="1380">
        <v>0</v>
      </c>
      <c r="I29" s="1367">
        <v>0</v>
      </c>
      <c r="J29" s="1370">
        <v>0</v>
      </c>
    </row>
    <row r="30" spans="1:10" ht="12.95" customHeight="1" x14ac:dyDescent="0.2">
      <c r="A30" s="1360" t="s">
        <v>265</v>
      </c>
      <c r="B30" s="1374">
        <v>76825176</v>
      </c>
      <c r="C30" s="1375">
        <v>77631086</v>
      </c>
      <c r="D30" s="1375">
        <v>63164048</v>
      </c>
      <c r="E30" s="1375">
        <v>71839042</v>
      </c>
      <c r="F30" s="1363">
        <v>70125069</v>
      </c>
      <c r="G30" s="1367">
        <v>-13661128</v>
      </c>
      <c r="H30" s="1380">
        <v>-0.17782097889368975</v>
      </c>
      <c r="I30" s="1367">
        <v>6961021</v>
      </c>
      <c r="J30" s="1370">
        <v>0.11020542888574843</v>
      </c>
    </row>
    <row r="31" spans="1:10" ht="12.95" customHeight="1" x14ac:dyDescent="0.2">
      <c r="A31" s="1360" t="s">
        <v>4110</v>
      </c>
      <c r="B31" s="1374">
        <v>45000</v>
      </c>
      <c r="C31" s="1375">
        <v>45000</v>
      </c>
      <c r="D31" s="1375">
        <v>245000</v>
      </c>
      <c r="E31" s="1375">
        <v>56000</v>
      </c>
      <c r="F31" s="1363">
        <v>50000</v>
      </c>
      <c r="G31" s="1367">
        <v>200000</v>
      </c>
      <c r="H31" s="1380">
        <v>4.4444444444444446</v>
      </c>
      <c r="I31" s="1367">
        <v>-195000</v>
      </c>
      <c r="J31" s="1370">
        <v>-0.79591836734693877</v>
      </c>
    </row>
    <row r="32" spans="1:10" ht="12.95" customHeight="1" x14ac:dyDescent="0.2">
      <c r="A32" s="1360" t="s">
        <v>4111</v>
      </c>
      <c r="B32" s="1374">
        <v>3575322</v>
      </c>
      <c r="C32" s="1375">
        <v>1405005</v>
      </c>
      <c r="D32" s="1375">
        <v>19000</v>
      </c>
      <c r="E32" s="1375">
        <v>92894</v>
      </c>
      <c r="F32" s="1363">
        <v>34000</v>
      </c>
      <c r="G32" s="1367">
        <v>-3556322</v>
      </c>
      <c r="H32" s="1380">
        <v>-0.9946857933355373</v>
      </c>
      <c r="I32" s="1367">
        <v>15000</v>
      </c>
      <c r="J32" s="1370">
        <v>0.78947368421052633</v>
      </c>
    </row>
    <row r="33" spans="1:10" ht="12.95" customHeight="1" x14ac:dyDescent="0.2">
      <c r="A33" s="1360" t="s">
        <v>4112</v>
      </c>
      <c r="B33" s="1374">
        <v>1034810</v>
      </c>
      <c r="C33" s="1375">
        <v>473856</v>
      </c>
      <c r="D33" s="1375">
        <v>98580</v>
      </c>
      <c r="E33" s="1375">
        <v>353930</v>
      </c>
      <c r="F33" s="1363">
        <v>30000</v>
      </c>
      <c r="G33" s="1367">
        <v>-936230</v>
      </c>
      <c r="H33" s="1380">
        <v>-0.90473613513591866</v>
      </c>
      <c r="I33" s="1367">
        <v>-68580</v>
      </c>
      <c r="J33" s="1370">
        <v>-0.69567863664029217</v>
      </c>
    </row>
    <row r="34" spans="1:10" ht="12.95" customHeight="1" x14ac:dyDescent="0.2">
      <c r="A34" s="1360" t="s">
        <v>4113</v>
      </c>
      <c r="B34" s="1374">
        <v>2000</v>
      </c>
      <c r="C34" s="1375">
        <v>2600</v>
      </c>
      <c r="D34" s="1375">
        <v>0</v>
      </c>
      <c r="E34" s="1375">
        <v>0</v>
      </c>
      <c r="F34" s="1363">
        <v>0</v>
      </c>
      <c r="G34" s="1367">
        <v>-2000</v>
      </c>
      <c r="H34" s="1380">
        <v>-1</v>
      </c>
      <c r="I34" s="1367">
        <v>0</v>
      </c>
      <c r="J34" s="1370">
        <v>0</v>
      </c>
    </row>
    <row r="35" spans="1:10" ht="12.95" customHeight="1" x14ac:dyDescent="0.2">
      <c r="A35" s="1360" t="s">
        <v>4114</v>
      </c>
      <c r="B35" s="1374">
        <v>23500</v>
      </c>
      <c r="C35" s="1375">
        <v>45500</v>
      </c>
      <c r="D35" s="1375">
        <v>0</v>
      </c>
      <c r="E35" s="1375">
        <v>0</v>
      </c>
      <c r="F35" s="1363">
        <v>0</v>
      </c>
      <c r="G35" s="1367">
        <v>-23500</v>
      </c>
      <c r="H35" s="1380">
        <v>-1</v>
      </c>
      <c r="I35" s="1367">
        <v>0</v>
      </c>
      <c r="J35" s="1370">
        <v>0</v>
      </c>
    </row>
    <row r="36" spans="1:10" ht="12.95" customHeight="1" x14ac:dyDescent="0.2">
      <c r="A36" s="1360" t="s">
        <v>4115</v>
      </c>
      <c r="B36" s="1374">
        <v>388000</v>
      </c>
      <c r="C36" s="1375">
        <v>624000</v>
      </c>
      <c r="D36" s="1375">
        <v>270000</v>
      </c>
      <c r="E36" s="1375">
        <v>372250</v>
      </c>
      <c r="F36" s="1363">
        <v>317000</v>
      </c>
      <c r="G36" s="1367">
        <v>-118000</v>
      </c>
      <c r="H36" s="1380">
        <v>-0.30412371134020616</v>
      </c>
      <c r="I36" s="1367">
        <v>47000</v>
      </c>
      <c r="J36" s="1370">
        <v>0.17407407407407408</v>
      </c>
    </row>
    <row r="37" spans="1:10" x14ac:dyDescent="0.2">
      <c r="A37" s="1360" t="s">
        <v>4116</v>
      </c>
      <c r="B37" s="1368">
        <v>15000</v>
      </c>
      <c r="C37" s="1377">
        <v>15000</v>
      </c>
      <c r="D37" s="1377">
        <v>0</v>
      </c>
      <c r="E37" s="1377">
        <v>0</v>
      </c>
      <c r="F37" s="1364">
        <v>0</v>
      </c>
      <c r="G37" s="1368">
        <v>-15000</v>
      </c>
      <c r="H37" s="1381">
        <v>-1</v>
      </c>
      <c r="I37" s="1368">
        <v>0</v>
      </c>
      <c r="J37" s="1371">
        <v>0</v>
      </c>
    </row>
    <row r="38" spans="1:10" x14ac:dyDescent="0.2">
      <c r="A38" s="1360" t="s">
        <v>4117</v>
      </c>
      <c r="B38" s="1368">
        <v>104585</v>
      </c>
      <c r="C38" s="1377">
        <v>75942</v>
      </c>
      <c r="D38" s="1377">
        <v>754</v>
      </c>
      <c r="E38" s="1377">
        <v>1910</v>
      </c>
      <c r="F38" s="1364">
        <v>2257</v>
      </c>
      <c r="G38" s="1368">
        <v>-103831</v>
      </c>
      <c r="H38" s="1381">
        <v>-0.99279055313859543</v>
      </c>
      <c r="I38" s="1365">
        <v>1503</v>
      </c>
      <c r="J38" s="1371">
        <v>1.993368700265252</v>
      </c>
    </row>
    <row r="39" spans="1:10" x14ac:dyDescent="0.2">
      <c r="A39" s="1360" t="s">
        <v>263</v>
      </c>
      <c r="B39" s="1368">
        <v>296889</v>
      </c>
      <c r="C39" s="1377">
        <v>44558</v>
      </c>
      <c r="D39" s="1377">
        <v>83860</v>
      </c>
      <c r="E39" s="1377">
        <v>85705</v>
      </c>
      <c r="F39" s="1364">
        <v>52502</v>
      </c>
      <c r="G39" s="1368">
        <v>-213029</v>
      </c>
      <c r="H39" s="1381">
        <v>-0.71753753086170258</v>
      </c>
      <c r="I39" s="1365">
        <v>-31358</v>
      </c>
      <c r="J39" s="1371">
        <v>-0.37393274505127594</v>
      </c>
    </row>
    <row r="40" spans="1:10" x14ac:dyDescent="0.2">
      <c r="A40" s="1360" t="s">
        <v>4118</v>
      </c>
      <c r="B40" s="1368">
        <v>100000</v>
      </c>
      <c r="C40" s="1377">
        <v>90200</v>
      </c>
      <c r="D40" s="1377">
        <v>70000</v>
      </c>
      <c r="E40" s="1377">
        <v>70000</v>
      </c>
      <c r="F40" s="1364">
        <v>80000</v>
      </c>
      <c r="G40" s="1368">
        <v>-30000</v>
      </c>
      <c r="H40" s="1381">
        <v>-0.3</v>
      </c>
      <c r="I40" s="1365">
        <v>10000</v>
      </c>
      <c r="J40" s="1371">
        <v>0.14285714285714285</v>
      </c>
    </row>
    <row r="41" spans="1:10" x14ac:dyDescent="0.2">
      <c r="A41" s="1360" t="s">
        <v>4119</v>
      </c>
      <c r="B41" s="1368">
        <v>12000</v>
      </c>
      <c r="C41" s="1377">
        <v>8263</v>
      </c>
      <c r="D41" s="1377">
        <v>10000</v>
      </c>
      <c r="E41" s="1377">
        <v>10000</v>
      </c>
      <c r="F41" s="1364">
        <v>7392</v>
      </c>
      <c r="G41" s="1368">
        <v>-2000</v>
      </c>
      <c r="H41" s="1381">
        <v>-0.16666666666666666</v>
      </c>
      <c r="I41" s="1365">
        <v>-2608</v>
      </c>
      <c r="J41" s="1371">
        <v>-0.26079999999999998</v>
      </c>
    </row>
    <row r="42" spans="1:10" x14ac:dyDescent="0.2">
      <c r="A42" s="1360" t="s">
        <v>4120</v>
      </c>
      <c r="B42" s="1368">
        <v>0</v>
      </c>
      <c r="C42" s="1377">
        <v>0</v>
      </c>
      <c r="D42" s="1377">
        <v>691174</v>
      </c>
      <c r="E42" s="1377">
        <v>3344834</v>
      </c>
      <c r="F42" s="1364">
        <v>2080000</v>
      </c>
      <c r="G42" s="1368">
        <v>691174</v>
      </c>
      <c r="H42" s="1381">
        <v>0</v>
      </c>
      <c r="I42" s="1365">
        <v>1388826</v>
      </c>
      <c r="J42" s="1371">
        <v>2.0093724590334707</v>
      </c>
    </row>
    <row r="43" spans="1:10" x14ac:dyDescent="0.2">
      <c r="A43" s="1360" t="s">
        <v>4121</v>
      </c>
      <c r="B43" s="1368">
        <v>900000</v>
      </c>
      <c r="C43" s="1377">
        <v>875000</v>
      </c>
      <c r="D43" s="1377">
        <v>130000</v>
      </c>
      <c r="E43" s="1377">
        <v>92000</v>
      </c>
      <c r="F43" s="1364">
        <v>320000</v>
      </c>
      <c r="G43" s="1368">
        <v>-770000</v>
      </c>
      <c r="H43" s="1381">
        <v>-0.85555555555555551</v>
      </c>
      <c r="I43" s="1365">
        <v>190000</v>
      </c>
      <c r="J43" s="1371">
        <v>1.4615384615384615</v>
      </c>
    </row>
    <row r="44" spans="1:10" x14ac:dyDescent="0.2">
      <c r="A44" s="1360" t="s">
        <v>4122</v>
      </c>
      <c r="B44" s="1368">
        <v>25000</v>
      </c>
      <c r="C44" s="1377">
        <v>25000</v>
      </c>
      <c r="D44" s="1377">
        <v>40000</v>
      </c>
      <c r="E44" s="1377">
        <v>40000</v>
      </c>
      <c r="F44" s="1364">
        <v>0</v>
      </c>
      <c r="G44" s="1368">
        <v>15000</v>
      </c>
      <c r="H44" s="1381">
        <v>0.6</v>
      </c>
      <c r="I44" s="1365">
        <v>-40000</v>
      </c>
      <c r="J44" s="1371">
        <v>-1</v>
      </c>
    </row>
    <row r="45" spans="1:10" x14ac:dyDescent="0.2">
      <c r="A45" s="1360" t="s">
        <v>4123</v>
      </c>
      <c r="B45" s="1368">
        <v>20000</v>
      </c>
      <c r="C45" s="1377">
        <v>20000</v>
      </c>
      <c r="D45" s="1377">
        <v>0</v>
      </c>
      <c r="E45" s="1377">
        <v>0</v>
      </c>
      <c r="F45" s="1364">
        <v>0</v>
      </c>
      <c r="G45" s="1368">
        <v>-20000</v>
      </c>
      <c r="H45" s="1381">
        <v>-1</v>
      </c>
      <c r="I45" s="1365">
        <v>0</v>
      </c>
      <c r="J45" s="1371">
        <v>0</v>
      </c>
    </row>
    <row r="46" spans="1:10" x14ac:dyDescent="0.2">
      <c r="A46" s="1360" t="s">
        <v>4124</v>
      </c>
      <c r="B46" s="1368">
        <v>80000</v>
      </c>
      <c r="C46" s="1377">
        <v>105000</v>
      </c>
      <c r="D46" s="1377">
        <v>80000</v>
      </c>
      <c r="E46" s="1377">
        <v>80000</v>
      </c>
      <c r="F46" s="1364">
        <v>90000</v>
      </c>
      <c r="G46" s="1368">
        <v>0</v>
      </c>
      <c r="H46" s="1381">
        <v>0</v>
      </c>
      <c r="I46" s="1365">
        <v>10000</v>
      </c>
      <c r="J46" s="1371">
        <v>0.125</v>
      </c>
    </row>
    <row r="47" spans="1:10" x14ac:dyDescent="0.2">
      <c r="A47" s="1360" t="s">
        <v>4125</v>
      </c>
      <c r="B47" s="1368">
        <v>21800</v>
      </c>
      <c r="C47" s="1377">
        <v>336980</v>
      </c>
      <c r="D47" s="1377">
        <v>54688</v>
      </c>
      <c r="E47" s="1377">
        <v>131800</v>
      </c>
      <c r="F47" s="1364">
        <v>81408</v>
      </c>
      <c r="G47" s="1368">
        <v>32888</v>
      </c>
      <c r="H47" s="1381">
        <v>1.5086238532110092</v>
      </c>
      <c r="I47" s="1365">
        <v>26720</v>
      </c>
      <c r="J47" s="1371">
        <v>0.48858981860737272</v>
      </c>
    </row>
    <row r="48" spans="1:10" x14ac:dyDescent="0.2">
      <c r="A48" s="1360" t="s">
        <v>4126</v>
      </c>
      <c r="B48" s="1368">
        <v>0</v>
      </c>
      <c r="C48" s="1377">
        <v>34150</v>
      </c>
      <c r="D48" s="1377">
        <v>0</v>
      </c>
      <c r="E48" s="1377">
        <v>11500</v>
      </c>
      <c r="F48" s="1364">
        <v>25000</v>
      </c>
      <c r="G48" s="1368">
        <v>0</v>
      </c>
      <c r="H48" s="1381">
        <v>0</v>
      </c>
      <c r="I48" s="1365">
        <v>25000</v>
      </c>
      <c r="J48" s="1371">
        <v>0</v>
      </c>
    </row>
    <row r="49" spans="1:10" x14ac:dyDescent="0.2">
      <c r="A49" s="1360" t="s">
        <v>4127</v>
      </c>
      <c r="B49" s="1368">
        <v>0</v>
      </c>
      <c r="C49" s="1377">
        <v>26072</v>
      </c>
      <c r="D49" s="1377">
        <v>0</v>
      </c>
      <c r="E49" s="1377">
        <v>0</v>
      </c>
      <c r="F49" s="1364">
        <v>0</v>
      </c>
      <c r="G49" s="1368">
        <v>0</v>
      </c>
      <c r="H49" s="1381">
        <v>0</v>
      </c>
      <c r="I49" s="1365">
        <v>0</v>
      </c>
      <c r="J49" s="1371">
        <v>0</v>
      </c>
    </row>
    <row r="50" spans="1:10" x14ac:dyDescent="0.2">
      <c r="A50" s="1360" t="s">
        <v>260</v>
      </c>
      <c r="B50" s="1368">
        <v>3663855</v>
      </c>
      <c r="C50" s="1377">
        <v>2761478</v>
      </c>
      <c r="D50" s="1377">
        <v>3365200</v>
      </c>
      <c r="E50" s="1377">
        <v>2217878</v>
      </c>
      <c r="F50" s="1364">
        <v>1938148</v>
      </c>
      <c r="G50" s="1368">
        <v>-298655</v>
      </c>
      <c r="H50" s="1381">
        <v>-8.1513869953914658E-2</v>
      </c>
      <c r="I50" s="1365">
        <v>-1427052</v>
      </c>
      <c r="J50" s="1371">
        <v>-0.42406157137762984</v>
      </c>
    </row>
    <row r="51" spans="1:10" x14ac:dyDescent="0.2">
      <c r="A51" s="1360" t="s">
        <v>267</v>
      </c>
      <c r="B51" s="1368">
        <v>113830</v>
      </c>
      <c r="C51" s="1377">
        <v>20356</v>
      </c>
      <c r="D51" s="1377">
        <v>7090</v>
      </c>
      <c r="E51" s="1377">
        <v>711</v>
      </c>
      <c r="F51" s="1364">
        <v>28237</v>
      </c>
      <c r="G51" s="1368">
        <v>-106740</v>
      </c>
      <c r="H51" s="1381">
        <v>-0.93771413511376611</v>
      </c>
      <c r="I51" s="1365">
        <v>21147</v>
      </c>
      <c r="J51" s="1371">
        <v>2.982651622002821</v>
      </c>
    </row>
    <row r="52" spans="1:10" x14ac:dyDescent="0.2">
      <c r="A52" s="1360" t="s">
        <v>24</v>
      </c>
      <c r="B52" s="1368">
        <v>2000</v>
      </c>
      <c r="C52" s="1377">
        <v>810</v>
      </c>
      <c r="D52" s="1377">
        <v>1000</v>
      </c>
      <c r="E52" s="1377">
        <v>0</v>
      </c>
      <c r="F52" s="1364">
        <v>1000</v>
      </c>
      <c r="G52" s="1368">
        <v>-1000</v>
      </c>
      <c r="H52" s="1381">
        <v>-0.5</v>
      </c>
      <c r="I52" s="1365">
        <v>0</v>
      </c>
      <c r="J52" s="1371">
        <v>0</v>
      </c>
    </row>
    <row r="53" spans="1:10" x14ac:dyDescent="0.2">
      <c r="A53" s="1360" t="s">
        <v>40</v>
      </c>
      <c r="B53" s="1368">
        <v>0</v>
      </c>
      <c r="C53" s="1377">
        <v>0</v>
      </c>
      <c r="D53" s="1377">
        <v>0</v>
      </c>
      <c r="E53" s="1377">
        <v>0</v>
      </c>
      <c r="F53" s="1364">
        <v>0</v>
      </c>
      <c r="G53" s="1368">
        <v>0</v>
      </c>
      <c r="H53" s="1381">
        <v>0</v>
      </c>
      <c r="I53" s="1365">
        <v>0</v>
      </c>
      <c r="J53" s="1371">
        <v>0</v>
      </c>
    </row>
    <row r="54" spans="1:10" x14ac:dyDescent="0.2">
      <c r="A54" s="1360" t="s">
        <v>4128</v>
      </c>
      <c r="B54" s="1368">
        <v>105570</v>
      </c>
      <c r="C54" s="1377">
        <v>105570</v>
      </c>
      <c r="D54" s="1377">
        <v>0</v>
      </c>
      <c r="E54" s="1377">
        <v>0</v>
      </c>
      <c r="F54" s="1364">
        <v>0</v>
      </c>
      <c r="G54" s="1368">
        <v>-105570</v>
      </c>
      <c r="H54" s="1381">
        <v>-1</v>
      </c>
      <c r="I54" s="1365">
        <v>0</v>
      </c>
      <c r="J54" s="1371">
        <v>0</v>
      </c>
    </row>
    <row r="55" spans="1:10" x14ac:dyDescent="0.2">
      <c r="A55" s="1360" t="s">
        <v>4129</v>
      </c>
      <c r="B55" s="1368">
        <v>0</v>
      </c>
      <c r="C55" s="1377">
        <v>0</v>
      </c>
      <c r="D55" s="1377">
        <v>0</v>
      </c>
      <c r="E55" s="1377">
        <v>0</v>
      </c>
      <c r="F55" s="1364">
        <v>140000</v>
      </c>
      <c r="G55" s="1368">
        <v>0</v>
      </c>
      <c r="H55" s="1381">
        <v>0</v>
      </c>
      <c r="I55" s="1365">
        <v>140000</v>
      </c>
      <c r="J55" s="1371">
        <v>0</v>
      </c>
    </row>
    <row r="56" spans="1:10" x14ac:dyDescent="0.2">
      <c r="A56" s="1360" t="s">
        <v>4130</v>
      </c>
      <c r="B56" s="1368">
        <v>94000</v>
      </c>
      <c r="C56" s="1377">
        <v>94000</v>
      </c>
      <c r="D56" s="1377">
        <v>81773</v>
      </c>
      <c r="E56" s="1377">
        <v>65430</v>
      </c>
      <c r="F56" s="1364">
        <v>195430</v>
      </c>
      <c r="G56" s="1368">
        <v>-12227</v>
      </c>
      <c r="H56" s="1381">
        <v>-0.13007446808510639</v>
      </c>
      <c r="I56" s="1365">
        <v>113657</v>
      </c>
      <c r="J56" s="1371">
        <v>1.3899086495542539</v>
      </c>
    </row>
    <row r="57" spans="1:10" x14ac:dyDescent="0.2">
      <c r="A57" s="1360" t="s">
        <v>4131</v>
      </c>
      <c r="B57" s="1368">
        <v>162000</v>
      </c>
      <c r="C57" s="1377">
        <v>162000</v>
      </c>
      <c r="D57" s="1377">
        <v>135000</v>
      </c>
      <c r="E57" s="1377">
        <v>193497</v>
      </c>
      <c r="F57" s="1364">
        <v>140497</v>
      </c>
      <c r="G57" s="1368">
        <v>-27000</v>
      </c>
      <c r="H57" s="1381">
        <v>-0.16666666666666666</v>
      </c>
      <c r="I57" s="1365">
        <v>5497</v>
      </c>
      <c r="J57" s="1371">
        <v>4.0718518518518522E-2</v>
      </c>
    </row>
    <row r="58" spans="1:10" x14ac:dyDescent="0.2">
      <c r="A58" s="1360" t="s">
        <v>4132</v>
      </c>
      <c r="B58" s="1368">
        <v>28840216</v>
      </c>
      <c r="C58" s="1377">
        <v>5345679</v>
      </c>
      <c r="D58" s="1377">
        <v>20307140</v>
      </c>
      <c r="E58" s="1377">
        <v>7583360</v>
      </c>
      <c r="F58" s="1364">
        <v>14242920</v>
      </c>
      <c r="G58" s="1368">
        <v>-8533076</v>
      </c>
      <c r="H58" s="1381">
        <v>-0.29587420565782169</v>
      </c>
      <c r="I58" s="1365">
        <v>-6064220</v>
      </c>
      <c r="J58" s="1371">
        <v>-0.29862501563489491</v>
      </c>
    </row>
    <row r="59" spans="1:10" x14ac:dyDescent="0.2">
      <c r="A59" s="1360" t="s">
        <v>36</v>
      </c>
      <c r="B59" s="1368">
        <v>1769617</v>
      </c>
      <c r="C59" s="1377">
        <v>4618520</v>
      </c>
      <c r="D59" s="1377">
        <v>1451900</v>
      </c>
      <c r="E59" s="1377">
        <v>1303461</v>
      </c>
      <c r="F59" s="1364">
        <v>3126450</v>
      </c>
      <c r="G59" s="1368">
        <v>-317717</v>
      </c>
      <c r="H59" s="1381">
        <v>-0.17953997955489803</v>
      </c>
      <c r="I59" s="1365">
        <v>1674550</v>
      </c>
      <c r="J59" s="1371">
        <v>1.1533507817342792</v>
      </c>
    </row>
    <row r="60" spans="1:10" x14ac:dyDescent="0.2">
      <c r="A60" s="1360" t="s">
        <v>4133</v>
      </c>
      <c r="B60" s="1368">
        <v>100000</v>
      </c>
      <c r="C60" s="1377">
        <v>100000</v>
      </c>
      <c r="D60" s="1377">
        <v>100000</v>
      </c>
      <c r="E60" s="1377">
        <v>152000</v>
      </c>
      <c r="F60" s="1364">
        <v>392000</v>
      </c>
      <c r="G60" s="1368">
        <v>0</v>
      </c>
      <c r="H60" s="1381">
        <v>0</v>
      </c>
      <c r="I60" s="1365">
        <v>292000</v>
      </c>
      <c r="J60" s="1371">
        <v>2.92</v>
      </c>
    </row>
    <row r="61" spans="1:10" x14ac:dyDescent="0.2">
      <c r="A61" s="1360" t="s">
        <v>4134</v>
      </c>
      <c r="B61" s="1368">
        <v>1370362</v>
      </c>
      <c r="C61" s="1377">
        <v>1570362</v>
      </c>
      <c r="D61" s="1377">
        <v>985362</v>
      </c>
      <c r="E61" s="1377">
        <v>1357362</v>
      </c>
      <c r="F61" s="1364">
        <v>2274000</v>
      </c>
      <c r="G61" s="1368">
        <v>-385000</v>
      </c>
      <c r="H61" s="1381">
        <v>-0.28094766200463817</v>
      </c>
      <c r="I61" s="1365">
        <v>1288638</v>
      </c>
      <c r="J61" s="1371">
        <v>1.3077813027090552</v>
      </c>
    </row>
    <row r="62" spans="1:10" x14ac:dyDescent="0.2">
      <c r="A62" s="1360" t="s">
        <v>4135</v>
      </c>
      <c r="B62" s="1368">
        <v>92000</v>
      </c>
      <c r="C62" s="1377">
        <v>77741</v>
      </c>
      <c r="D62" s="1377">
        <v>70000</v>
      </c>
      <c r="E62" s="1377">
        <v>58500</v>
      </c>
      <c r="F62" s="1364">
        <v>140000</v>
      </c>
      <c r="G62" s="1368">
        <v>-22000</v>
      </c>
      <c r="H62" s="1381">
        <v>-0.2391304347826087</v>
      </c>
      <c r="I62" s="1365">
        <v>70000</v>
      </c>
      <c r="J62" s="1371">
        <v>1</v>
      </c>
    </row>
    <row r="63" spans="1:10" x14ac:dyDescent="0.2">
      <c r="A63" s="1360" t="s">
        <v>4136</v>
      </c>
      <c r="B63" s="1368">
        <v>0</v>
      </c>
      <c r="C63" s="1377">
        <v>0</v>
      </c>
      <c r="D63" s="1377">
        <v>0</v>
      </c>
      <c r="E63" s="1377">
        <v>38000</v>
      </c>
      <c r="F63" s="1364">
        <v>0</v>
      </c>
      <c r="G63" s="1368">
        <v>0</v>
      </c>
      <c r="H63" s="1381">
        <v>0</v>
      </c>
      <c r="I63" s="1365">
        <v>0</v>
      </c>
      <c r="J63" s="1371">
        <v>0</v>
      </c>
    </row>
    <row r="64" spans="1:10" x14ac:dyDescent="0.2">
      <c r="A64" s="1360" t="s">
        <v>32</v>
      </c>
      <c r="B64" s="1368">
        <v>1182755</v>
      </c>
      <c r="C64" s="1377">
        <v>270494</v>
      </c>
      <c r="D64" s="1377">
        <v>546500</v>
      </c>
      <c r="E64" s="1377">
        <v>415010</v>
      </c>
      <c r="F64" s="1364">
        <v>586661</v>
      </c>
      <c r="G64" s="1368">
        <v>-636255</v>
      </c>
      <c r="H64" s="1381">
        <v>-0.53794319195437768</v>
      </c>
      <c r="I64" s="1365">
        <v>40161</v>
      </c>
      <c r="J64" s="1371">
        <v>7.3487648673376024E-2</v>
      </c>
    </row>
    <row r="65" spans="1:10" x14ac:dyDescent="0.2">
      <c r="A65" s="1360" t="s">
        <v>4137</v>
      </c>
      <c r="B65" s="1368">
        <v>916456</v>
      </c>
      <c r="C65" s="1377">
        <v>660177</v>
      </c>
      <c r="D65" s="1377">
        <v>1026218</v>
      </c>
      <c r="E65" s="1377">
        <v>279851</v>
      </c>
      <c r="F65" s="1364">
        <v>31392</v>
      </c>
      <c r="G65" s="1368">
        <v>109762</v>
      </c>
      <c r="H65" s="1381">
        <v>0.1197678884747331</v>
      </c>
      <c r="I65" s="1365">
        <v>-994826</v>
      </c>
      <c r="J65" s="1371">
        <v>-0.96941000839977476</v>
      </c>
    </row>
    <row r="66" spans="1:10" x14ac:dyDescent="0.2">
      <c r="A66" s="1360" t="s">
        <v>30</v>
      </c>
      <c r="B66" s="1368">
        <v>373812</v>
      </c>
      <c r="C66" s="1377">
        <v>490372</v>
      </c>
      <c r="D66" s="1377">
        <v>328150</v>
      </c>
      <c r="E66" s="1377">
        <v>321910</v>
      </c>
      <c r="F66" s="1364">
        <v>275862</v>
      </c>
      <c r="G66" s="1368">
        <v>-45662</v>
      </c>
      <c r="H66" s="1381">
        <v>-0.12215231185729725</v>
      </c>
      <c r="I66" s="1365">
        <v>-52288</v>
      </c>
      <c r="J66" s="1371">
        <v>-0.15934176443699527</v>
      </c>
    </row>
    <row r="67" spans="1:10" x14ac:dyDescent="0.2">
      <c r="A67" s="1360" t="s">
        <v>4138</v>
      </c>
      <c r="B67" s="1368">
        <v>1127390</v>
      </c>
      <c r="C67" s="1377">
        <v>532324</v>
      </c>
      <c r="D67" s="1377">
        <v>29195</v>
      </c>
      <c r="E67" s="1377">
        <v>29195</v>
      </c>
      <c r="F67" s="1364">
        <v>462850</v>
      </c>
      <c r="G67" s="1368">
        <v>-1098195</v>
      </c>
      <c r="H67" s="1381">
        <v>-0.97410390370679178</v>
      </c>
      <c r="I67" s="1365">
        <v>433655</v>
      </c>
      <c r="J67" s="1371">
        <v>14.853742079123137</v>
      </c>
    </row>
    <row r="68" spans="1:10" x14ac:dyDescent="0.2">
      <c r="A68" s="1360" t="s">
        <v>4139</v>
      </c>
      <c r="B68" s="1368">
        <v>120000</v>
      </c>
      <c r="C68" s="1377">
        <v>120000</v>
      </c>
      <c r="D68" s="1377">
        <v>40000</v>
      </c>
      <c r="E68" s="1377">
        <v>40000</v>
      </c>
      <c r="F68" s="1364">
        <v>60000</v>
      </c>
      <c r="G68" s="1368">
        <v>-80000</v>
      </c>
      <c r="H68" s="1381">
        <v>-0.66666666666666663</v>
      </c>
      <c r="I68" s="1365">
        <v>20000</v>
      </c>
      <c r="J68" s="1371">
        <v>0.5</v>
      </c>
    </row>
    <row r="69" spans="1:10" x14ac:dyDescent="0.2">
      <c r="A69" s="1360" t="s">
        <v>261</v>
      </c>
      <c r="B69" s="1368">
        <v>616694</v>
      </c>
      <c r="C69" s="1377">
        <v>897272</v>
      </c>
      <c r="D69" s="1377">
        <v>544069</v>
      </c>
      <c r="E69" s="1377">
        <v>694121</v>
      </c>
      <c r="F69" s="1364">
        <v>695850</v>
      </c>
      <c r="G69" s="1368">
        <v>-72625</v>
      </c>
      <c r="H69" s="1381">
        <v>-0.11776505041398165</v>
      </c>
      <c r="I69" s="1365">
        <v>151781</v>
      </c>
      <c r="J69" s="1371">
        <v>0.27897380663114424</v>
      </c>
    </row>
    <row r="70" spans="1:10" x14ac:dyDescent="0.2">
      <c r="A70" s="1360" t="s">
        <v>4140</v>
      </c>
      <c r="B70" s="1368">
        <v>27000</v>
      </c>
      <c r="C70" s="1377">
        <v>27000</v>
      </c>
      <c r="D70" s="1377">
        <v>42000</v>
      </c>
      <c r="E70" s="1377">
        <v>51514</v>
      </c>
      <c r="F70" s="1364">
        <v>50314</v>
      </c>
      <c r="G70" s="1368">
        <v>15000</v>
      </c>
      <c r="H70" s="1381">
        <v>0.55555555555555558</v>
      </c>
      <c r="I70" s="1365">
        <v>8314</v>
      </c>
      <c r="J70" s="1371">
        <v>0.19795238095238096</v>
      </c>
    </row>
    <row r="71" spans="1:10" x14ac:dyDescent="0.2">
      <c r="A71" s="1360" t="s">
        <v>4141</v>
      </c>
      <c r="B71" s="1368">
        <v>47394</v>
      </c>
      <c r="C71" s="1377">
        <v>47394</v>
      </c>
      <c r="D71" s="1377">
        <v>56394</v>
      </c>
      <c r="E71" s="1377">
        <v>166726</v>
      </c>
      <c r="F71" s="1364">
        <v>63726</v>
      </c>
      <c r="G71" s="1368">
        <v>9000</v>
      </c>
      <c r="H71" s="1381">
        <v>0.189897455374098</v>
      </c>
      <c r="I71" s="1365">
        <v>7332</v>
      </c>
      <c r="J71" s="1371">
        <v>0.13001383125864455</v>
      </c>
    </row>
    <row r="72" spans="1:10" x14ac:dyDescent="0.2">
      <c r="A72" s="1360" t="s">
        <v>4142</v>
      </c>
      <c r="B72" s="1368">
        <v>2000</v>
      </c>
      <c r="C72" s="1377">
        <v>2000</v>
      </c>
      <c r="D72" s="1377">
        <v>1000</v>
      </c>
      <c r="E72" s="1377">
        <v>1000</v>
      </c>
      <c r="F72" s="1364">
        <v>1200</v>
      </c>
      <c r="G72" s="1368">
        <v>-1000</v>
      </c>
      <c r="H72" s="1381">
        <v>-0.5</v>
      </c>
      <c r="I72" s="1365">
        <v>200</v>
      </c>
      <c r="J72" s="1371">
        <v>0.2</v>
      </c>
    </row>
    <row r="73" spans="1:10" x14ac:dyDescent="0.2">
      <c r="A73" s="1360" t="s">
        <v>41</v>
      </c>
      <c r="B73" s="1368">
        <v>1002408</v>
      </c>
      <c r="C73" s="1377">
        <v>957370</v>
      </c>
      <c r="D73" s="1377">
        <v>1088275</v>
      </c>
      <c r="E73" s="1377">
        <v>1091400</v>
      </c>
      <c r="F73" s="1364">
        <v>1415428</v>
      </c>
      <c r="G73" s="1368">
        <v>85867</v>
      </c>
      <c r="H73" s="1381">
        <v>8.5660728964653113E-2</v>
      </c>
      <c r="I73" s="1365">
        <v>327153</v>
      </c>
      <c r="J73" s="1371">
        <v>0.30061611265534904</v>
      </c>
    </row>
    <row r="74" spans="1:10" x14ac:dyDescent="0.2">
      <c r="A74" s="1360" t="s">
        <v>4143</v>
      </c>
      <c r="B74" s="1368">
        <v>24000</v>
      </c>
      <c r="C74" s="1377">
        <v>15600</v>
      </c>
      <c r="D74" s="1377">
        <v>22000</v>
      </c>
      <c r="E74" s="1377">
        <v>14000</v>
      </c>
      <c r="F74" s="1364">
        <v>20000</v>
      </c>
      <c r="G74" s="1368">
        <v>-2000</v>
      </c>
      <c r="H74" s="1381">
        <v>-8.3333333333333329E-2</v>
      </c>
      <c r="I74" s="1365">
        <v>-2000</v>
      </c>
      <c r="J74" s="1371">
        <v>-9.0909090909090912E-2</v>
      </c>
    </row>
    <row r="75" spans="1:10" x14ac:dyDescent="0.2">
      <c r="A75" s="1360" t="s">
        <v>4144</v>
      </c>
      <c r="B75" s="1368">
        <v>259414</v>
      </c>
      <c r="C75" s="1377">
        <v>138455</v>
      </c>
      <c r="D75" s="1377">
        <v>0</v>
      </c>
      <c r="E75" s="1377">
        <v>138068</v>
      </c>
      <c r="F75" s="1364">
        <v>335470</v>
      </c>
      <c r="G75" s="1368">
        <v>-259414</v>
      </c>
      <c r="H75" s="1381">
        <v>-1</v>
      </c>
      <c r="I75" s="1365">
        <v>335470</v>
      </c>
      <c r="J75" s="1371">
        <v>0</v>
      </c>
    </row>
    <row r="76" spans="1:10" x14ac:dyDescent="0.2">
      <c r="A76" s="1360" t="s">
        <v>4145</v>
      </c>
      <c r="B76" s="1368">
        <v>9376651</v>
      </c>
      <c r="C76" s="1377">
        <v>1757092</v>
      </c>
      <c r="D76" s="1377">
        <v>7004880</v>
      </c>
      <c r="E76" s="1377">
        <v>5187801</v>
      </c>
      <c r="F76" s="1364">
        <v>6870350</v>
      </c>
      <c r="G76" s="1368">
        <v>-2371771</v>
      </c>
      <c r="H76" s="1381">
        <v>-0.25294436147831462</v>
      </c>
      <c r="I76" s="1365">
        <v>-134530</v>
      </c>
      <c r="J76" s="1371">
        <v>-1.9205182672651065E-2</v>
      </c>
    </row>
    <row r="77" spans="1:10" x14ac:dyDescent="0.2">
      <c r="A77" s="1360" t="s">
        <v>44</v>
      </c>
      <c r="B77" s="1368">
        <v>364917</v>
      </c>
      <c r="C77" s="1377">
        <v>31374</v>
      </c>
      <c r="D77" s="1377">
        <v>0</v>
      </c>
      <c r="E77" s="1377">
        <v>141508</v>
      </c>
      <c r="F77" s="1364">
        <v>123000</v>
      </c>
      <c r="G77" s="1368">
        <v>-364917</v>
      </c>
      <c r="H77" s="1381">
        <v>-1</v>
      </c>
      <c r="I77" s="1365">
        <v>123000</v>
      </c>
      <c r="J77" s="1371">
        <v>0</v>
      </c>
    </row>
    <row r="78" spans="1:10" x14ac:dyDescent="0.2">
      <c r="A78" s="1360" t="s">
        <v>4146</v>
      </c>
      <c r="B78" s="1368">
        <v>50000</v>
      </c>
      <c r="C78" s="1377">
        <v>50000</v>
      </c>
      <c r="D78" s="1377">
        <v>40000</v>
      </c>
      <c r="E78" s="1377">
        <v>40000</v>
      </c>
      <c r="F78" s="1364">
        <v>45000</v>
      </c>
      <c r="G78" s="1368">
        <v>-10000</v>
      </c>
      <c r="H78" s="1381">
        <v>-0.2</v>
      </c>
      <c r="I78" s="1365">
        <v>5000</v>
      </c>
      <c r="J78" s="1371">
        <v>0.125</v>
      </c>
    </row>
    <row r="79" spans="1:10" x14ac:dyDescent="0.2">
      <c r="A79" s="1360" t="s">
        <v>4147</v>
      </c>
      <c r="B79" s="1368">
        <v>21000</v>
      </c>
      <c r="C79" s="1377">
        <v>21000</v>
      </c>
      <c r="D79" s="1377">
        <v>19000</v>
      </c>
      <c r="E79" s="1377">
        <v>19000</v>
      </c>
      <c r="F79" s="1364">
        <v>19000</v>
      </c>
      <c r="G79" s="1368">
        <v>-2000</v>
      </c>
      <c r="H79" s="1381">
        <v>-9.5238095238095233E-2</v>
      </c>
      <c r="I79" s="1365">
        <v>0</v>
      </c>
      <c r="J79" s="1371">
        <v>0</v>
      </c>
    </row>
    <row r="80" spans="1:10" x14ac:dyDescent="0.2">
      <c r="A80" s="1360" t="s">
        <v>258</v>
      </c>
      <c r="B80" s="1368">
        <v>2117676</v>
      </c>
      <c r="C80" s="1377">
        <v>3829687</v>
      </c>
      <c r="D80" s="1377">
        <v>2502514</v>
      </c>
      <c r="E80" s="1377">
        <v>3160422</v>
      </c>
      <c r="F80" s="1364">
        <v>3121288</v>
      </c>
      <c r="G80" s="1368">
        <v>384838</v>
      </c>
      <c r="H80" s="1381">
        <v>0.1817265719590721</v>
      </c>
      <c r="I80" s="1365">
        <v>618774</v>
      </c>
      <c r="J80" s="1371">
        <v>0.24726095438427118</v>
      </c>
    </row>
    <row r="81" spans="1:10" x14ac:dyDescent="0.2">
      <c r="A81" s="1360" t="s">
        <v>4148</v>
      </c>
      <c r="B81" s="1368">
        <v>2122000</v>
      </c>
      <c r="C81" s="1377">
        <v>626473</v>
      </c>
      <c r="D81" s="1377">
        <v>260000</v>
      </c>
      <c r="E81" s="1377">
        <v>284552</v>
      </c>
      <c r="F81" s="1364">
        <v>288000</v>
      </c>
      <c r="G81" s="1368">
        <v>-1862000</v>
      </c>
      <c r="H81" s="1381">
        <v>-0.87747408105560787</v>
      </c>
      <c r="I81" s="1365">
        <v>28000</v>
      </c>
      <c r="J81" s="1371">
        <v>0.1076923076923077</v>
      </c>
    </row>
    <row r="82" spans="1:10" x14ac:dyDescent="0.2">
      <c r="A82" s="1360" t="s">
        <v>4149</v>
      </c>
      <c r="B82" s="1368">
        <v>28000</v>
      </c>
      <c r="C82" s="1377">
        <v>36400</v>
      </c>
      <c r="D82" s="1377">
        <v>28000</v>
      </c>
      <c r="E82" s="1377">
        <v>36000</v>
      </c>
      <c r="F82" s="1364">
        <v>40000</v>
      </c>
      <c r="G82" s="1368">
        <v>0</v>
      </c>
      <c r="H82" s="1381">
        <v>0</v>
      </c>
      <c r="I82" s="1365">
        <v>12000</v>
      </c>
      <c r="J82" s="1371">
        <v>0.42857142857142855</v>
      </c>
    </row>
    <row r="83" spans="1:10" x14ac:dyDescent="0.2">
      <c r="A83" s="1360" t="s">
        <v>4150</v>
      </c>
      <c r="B83" s="1368">
        <v>18000</v>
      </c>
      <c r="C83" s="1377">
        <v>18000</v>
      </c>
      <c r="D83" s="1377">
        <v>19000</v>
      </c>
      <c r="E83" s="1377">
        <v>19000</v>
      </c>
      <c r="F83" s="1364">
        <v>19000</v>
      </c>
      <c r="G83" s="1368">
        <v>1000</v>
      </c>
      <c r="H83" s="1381">
        <v>5.5555555555555552E-2</v>
      </c>
      <c r="I83" s="1365">
        <v>0</v>
      </c>
      <c r="J83" s="1371">
        <v>0</v>
      </c>
    </row>
    <row r="84" spans="1:10" x14ac:dyDescent="0.2">
      <c r="A84" s="1360" t="s">
        <v>4151</v>
      </c>
      <c r="B84" s="1368">
        <v>18000</v>
      </c>
      <c r="C84" s="1377">
        <v>18000</v>
      </c>
      <c r="D84" s="1377">
        <v>19000</v>
      </c>
      <c r="E84" s="1377">
        <v>19000</v>
      </c>
      <c r="F84" s="1364">
        <v>29000</v>
      </c>
      <c r="G84" s="1368">
        <v>1000</v>
      </c>
      <c r="H84" s="1381">
        <v>5.5555555555555552E-2</v>
      </c>
      <c r="I84" s="1365">
        <v>10000</v>
      </c>
      <c r="J84" s="1371">
        <v>0.52631578947368418</v>
      </c>
    </row>
    <row r="85" spans="1:10" x14ac:dyDescent="0.2">
      <c r="A85" s="1360" t="s">
        <v>4152</v>
      </c>
      <c r="B85" s="1368">
        <v>13905725</v>
      </c>
      <c r="C85" s="1377">
        <v>2212442</v>
      </c>
      <c r="D85" s="1377">
        <v>3929626</v>
      </c>
      <c r="E85" s="1377">
        <v>1495721</v>
      </c>
      <c r="F85" s="1364">
        <v>13107026</v>
      </c>
      <c r="G85" s="1368">
        <v>-9976099</v>
      </c>
      <c r="H85" s="1381">
        <v>-0.71740948422322459</v>
      </c>
      <c r="I85" s="1365">
        <v>9177400</v>
      </c>
      <c r="J85" s="1371">
        <v>2.3354385379168399</v>
      </c>
    </row>
    <row r="86" spans="1:10" x14ac:dyDescent="0.2">
      <c r="A86" s="1360" t="s">
        <v>4153</v>
      </c>
      <c r="B86" s="1368">
        <v>3662877</v>
      </c>
      <c r="C86" s="1377">
        <v>565817</v>
      </c>
      <c r="D86" s="1377">
        <v>220000</v>
      </c>
      <c r="E86" s="1377">
        <v>340312</v>
      </c>
      <c r="F86" s="1364">
        <v>172000</v>
      </c>
      <c r="G86" s="1368">
        <v>-3442877</v>
      </c>
      <c r="H86" s="1381">
        <v>-0.93993792311344337</v>
      </c>
      <c r="I86" s="1365">
        <v>-48000</v>
      </c>
      <c r="J86" s="1371">
        <v>-0.21818181818181817</v>
      </c>
    </row>
    <row r="87" spans="1:10" x14ac:dyDescent="0.2">
      <c r="A87" s="1360" t="s">
        <v>262</v>
      </c>
      <c r="B87" s="1368">
        <v>1676689</v>
      </c>
      <c r="C87" s="1377">
        <v>1467893</v>
      </c>
      <c r="D87" s="1377">
        <v>1713249</v>
      </c>
      <c r="E87" s="1377">
        <v>2059485</v>
      </c>
      <c r="F87" s="1364">
        <v>1900356</v>
      </c>
      <c r="G87" s="1368">
        <v>36560</v>
      </c>
      <c r="H87" s="1381">
        <v>2.1804878543367316E-2</v>
      </c>
      <c r="I87" s="1365">
        <v>187107</v>
      </c>
      <c r="J87" s="1371">
        <v>0.10921179583353033</v>
      </c>
    </row>
    <row r="88" spans="1:10" x14ac:dyDescent="0.2">
      <c r="A88" s="1360" t="s">
        <v>255</v>
      </c>
      <c r="B88" s="1368">
        <v>3058048</v>
      </c>
      <c r="C88" s="1377">
        <v>3101919</v>
      </c>
      <c r="D88" s="1377">
        <v>3744551</v>
      </c>
      <c r="E88" s="1377">
        <v>3944809</v>
      </c>
      <c r="F88" s="1364">
        <v>3824988</v>
      </c>
      <c r="G88" s="1368">
        <v>686503</v>
      </c>
      <c r="H88" s="1381">
        <v>0.22449059007576075</v>
      </c>
      <c r="I88" s="1365">
        <v>80437</v>
      </c>
      <c r="J88" s="1371">
        <v>2.1481080108135795E-2</v>
      </c>
    </row>
    <row r="89" spans="1:10" x14ac:dyDescent="0.2">
      <c r="A89" s="1360" t="s">
        <v>4154</v>
      </c>
      <c r="B89" s="1368">
        <v>0</v>
      </c>
      <c r="C89" s="1377">
        <v>53000</v>
      </c>
      <c r="D89" s="1377">
        <v>0</v>
      </c>
      <c r="E89" s="1377">
        <v>0</v>
      </c>
      <c r="F89" s="1364">
        <v>0</v>
      </c>
      <c r="G89" s="1368">
        <v>0</v>
      </c>
      <c r="H89" s="1381">
        <v>0</v>
      </c>
      <c r="I89" s="1365">
        <v>0</v>
      </c>
      <c r="J89" s="1371">
        <v>0</v>
      </c>
    </row>
    <row r="90" spans="1:10" x14ac:dyDescent="0.2">
      <c r="A90" s="1360" t="s">
        <v>4155</v>
      </c>
      <c r="B90" s="1368">
        <v>720000</v>
      </c>
      <c r="C90" s="1377">
        <v>851427</v>
      </c>
      <c r="D90" s="1377">
        <v>0</v>
      </c>
      <c r="E90" s="1377">
        <v>730997</v>
      </c>
      <c r="F90" s="1364">
        <v>300000</v>
      </c>
      <c r="G90" s="1368">
        <v>-720000</v>
      </c>
      <c r="H90" s="1381">
        <v>-1</v>
      </c>
      <c r="I90" s="1365">
        <v>300000</v>
      </c>
      <c r="J90" s="1371">
        <v>0</v>
      </c>
    </row>
    <row r="91" spans="1:10" x14ac:dyDescent="0.2">
      <c r="A91" s="1360" t="s">
        <v>4156</v>
      </c>
      <c r="B91" s="1368">
        <v>603668</v>
      </c>
      <c r="C91" s="1377">
        <v>742016</v>
      </c>
      <c r="D91" s="1377">
        <v>698580</v>
      </c>
      <c r="E91" s="1377">
        <v>698580</v>
      </c>
      <c r="F91" s="1364">
        <v>594180</v>
      </c>
      <c r="G91" s="1368">
        <v>94912</v>
      </c>
      <c r="H91" s="1381">
        <v>0.15722549480840461</v>
      </c>
      <c r="I91" s="1365">
        <v>-104400</v>
      </c>
      <c r="J91" s="1371">
        <v>-0.14944601906725072</v>
      </c>
    </row>
    <row r="92" spans="1:10" x14ac:dyDescent="0.2">
      <c r="A92" s="1360" t="s">
        <v>257</v>
      </c>
      <c r="B92" s="1368">
        <v>8812115</v>
      </c>
      <c r="C92" s="1377">
        <v>9082723</v>
      </c>
      <c r="D92" s="1377">
        <v>9073099</v>
      </c>
      <c r="E92" s="1377">
        <v>8863492</v>
      </c>
      <c r="F92" s="1364">
        <v>9591054</v>
      </c>
      <c r="G92" s="1368">
        <v>260984</v>
      </c>
      <c r="H92" s="1381">
        <v>2.9616499557711173E-2</v>
      </c>
      <c r="I92" s="1365">
        <v>517955</v>
      </c>
      <c r="J92" s="1371">
        <v>5.7086889496080664E-2</v>
      </c>
    </row>
    <row r="93" spans="1:10" x14ac:dyDescent="0.2">
      <c r="A93" s="1360" t="s">
        <v>4157</v>
      </c>
      <c r="B93" s="1368">
        <v>1426901</v>
      </c>
      <c r="C93" s="1377">
        <v>1841165</v>
      </c>
      <c r="D93" s="1377">
        <v>586560</v>
      </c>
      <c r="E93" s="1377">
        <v>1959502</v>
      </c>
      <c r="F93" s="1364">
        <v>1829103</v>
      </c>
      <c r="G93" s="1368">
        <v>-840341</v>
      </c>
      <c r="H93" s="1381">
        <v>-0.5889273327301614</v>
      </c>
      <c r="I93" s="1365">
        <v>1242543</v>
      </c>
      <c r="J93" s="1371">
        <v>2.118356178396072</v>
      </c>
    </row>
    <row r="94" spans="1:10" x14ac:dyDescent="0.2">
      <c r="A94" s="1360" t="s">
        <v>4158</v>
      </c>
      <c r="B94" s="1368">
        <v>110000</v>
      </c>
      <c r="C94" s="1377">
        <v>32000</v>
      </c>
      <c r="D94" s="1377">
        <v>250000</v>
      </c>
      <c r="E94" s="1377">
        <v>432930</v>
      </c>
      <c r="F94" s="1364">
        <v>80000</v>
      </c>
      <c r="G94" s="1368">
        <v>140000</v>
      </c>
      <c r="H94" s="1381">
        <v>1.2727272727272727</v>
      </c>
      <c r="I94" s="1365">
        <v>-170000</v>
      </c>
      <c r="J94" s="1371">
        <v>-0.68</v>
      </c>
    </row>
    <row r="95" spans="1:10" x14ac:dyDescent="0.2">
      <c r="A95" s="1360" t="s">
        <v>4159</v>
      </c>
      <c r="B95" s="1368">
        <v>5051083</v>
      </c>
      <c r="C95" s="1377">
        <v>1856507</v>
      </c>
      <c r="D95" s="1377">
        <v>1454569</v>
      </c>
      <c r="E95" s="1377">
        <v>1728822</v>
      </c>
      <c r="F95" s="1364">
        <v>3023036</v>
      </c>
      <c r="G95" s="1368">
        <v>-3596514</v>
      </c>
      <c r="H95" s="1381">
        <v>-0.71202829175446136</v>
      </c>
      <c r="I95" s="1365">
        <v>1568467</v>
      </c>
      <c r="J95" s="1371">
        <v>1.0783036074603543</v>
      </c>
    </row>
    <row r="96" spans="1:10" x14ac:dyDescent="0.2">
      <c r="A96" s="1360" t="s">
        <v>4160</v>
      </c>
      <c r="B96" s="1368">
        <v>382000</v>
      </c>
      <c r="C96" s="1377">
        <v>382000</v>
      </c>
      <c r="D96" s="1377">
        <v>400000</v>
      </c>
      <c r="E96" s="1377">
        <v>0</v>
      </c>
      <c r="F96" s="1364">
        <v>0</v>
      </c>
      <c r="G96" s="1368">
        <v>18000</v>
      </c>
      <c r="H96" s="1381">
        <v>4.712041884816754E-2</v>
      </c>
      <c r="I96" s="1365">
        <v>-400000</v>
      </c>
      <c r="J96" s="1371">
        <v>-1</v>
      </c>
    </row>
    <row r="97" spans="1:10" x14ac:dyDescent="0.2">
      <c r="A97" s="1360" t="s">
        <v>4161</v>
      </c>
      <c r="B97" s="1368">
        <v>579300</v>
      </c>
      <c r="C97" s="1377">
        <v>605300</v>
      </c>
      <c r="D97" s="1377">
        <v>408000</v>
      </c>
      <c r="E97" s="1377">
        <v>627064</v>
      </c>
      <c r="F97" s="1364">
        <v>591600</v>
      </c>
      <c r="G97" s="1368">
        <v>-171300</v>
      </c>
      <c r="H97" s="1381">
        <v>-0.29570170895908854</v>
      </c>
      <c r="I97" s="1365">
        <v>183600</v>
      </c>
      <c r="J97" s="1371">
        <v>0.45</v>
      </c>
    </row>
    <row r="98" spans="1:10" x14ac:dyDescent="0.2">
      <c r="A98" s="1360" t="s">
        <v>4162</v>
      </c>
      <c r="B98" s="1368">
        <v>0</v>
      </c>
      <c r="C98" s="1377">
        <v>0</v>
      </c>
      <c r="D98" s="1377">
        <v>0</v>
      </c>
      <c r="E98" s="1377">
        <v>0</v>
      </c>
      <c r="F98" s="1364">
        <v>195000</v>
      </c>
      <c r="G98" s="1368">
        <v>0</v>
      </c>
      <c r="H98" s="1381">
        <v>0</v>
      </c>
      <c r="I98" s="1365">
        <v>195000</v>
      </c>
      <c r="J98" s="1371">
        <v>0</v>
      </c>
    </row>
    <row r="99" spans="1:10" x14ac:dyDescent="0.2">
      <c r="A99" s="1360" t="s">
        <v>4163</v>
      </c>
      <c r="B99" s="1368">
        <v>0</v>
      </c>
      <c r="C99" s="1377">
        <v>29385</v>
      </c>
      <c r="D99" s="1377">
        <v>0</v>
      </c>
      <c r="E99" s="1377">
        <v>27000</v>
      </c>
      <c r="F99" s="1364">
        <v>0</v>
      </c>
      <c r="G99" s="1368">
        <v>0</v>
      </c>
      <c r="H99" s="1381">
        <v>0</v>
      </c>
      <c r="I99" s="1365">
        <v>0</v>
      </c>
      <c r="J99" s="1371">
        <v>0</v>
      </c>
    </row>
    <row r="100" spans="1:10" x14ac:dyDescent="0.2">
      <c r="A100" s="1360" t="s">
        <v>29</v>
      </c>
      <c r="B100" s="1368">
        <v>0</v>
      </c>
      <c r="C100" s="1377">
        <v>0</v>
      </c>
      <c r="D100" s="1377">
        <v>0</v>
      </c>
      <c r="E100" s="1377">
        <v>0</v>
      </c>
      <c r="F100" s="1364">
        <v>0</v>
      </c>
      <c r="G100" s="1368">
        <v>0</v>
      </c>
      <c r="H100" s="1381">
        <v>0</v>
      </c>
      <c r="I100" s="1365">
        <v>0</v>
      </c>
      <c r="J100" s="1371">
        <v>0</v>
      </c>
    </row>
    <row r="101" spans="1:10" x14ac:dyDescent="0.2">
      <c r="A101" s="1360" t="s">
        <v>264</v>
      </c>
      <c r="B101" s="1368">
        <v>10950056</v>
      </c>
      <c r="C101" s="1377">
        <v>6079116</v>
      </c>
      <c r="D101" s="1377">
        <v>9218030</v>
      </c>
      <c r="E101" s="1377">
        <v>10462985</v>
      </c>
      <c r="F101" s="1364">
        <v>10526200</v>
      </c>
      <c r="G101" s="1368">
        <v>-1732026</v>
      </c>
      <c r="H101" s="1381">
        <v>-0.15817508147903536</v>
      </c>
      <c r="I101" s="1365">
        <v>1308170</v>
      </c>
      <c r="J101" s="1371">
        <v>0.14191427018571212</v>
      </c>
    </row>
    <row r="102" spans="1:10" x14ac:dyDescent="0.2">
      <c r="A102" s="1360" t="s">
        <v>4164</v>
      </c>
      <c r="B102" s="1368">
        <v>6248711</v>
      </c>
      <c r="C102" s="1377">
        <v>1634272</v>
      </c>
      <c r="D102" s="1377">
        <v>1640920</v>
      </c>
      <c r="E102" s="1377">
        <v>1515400</v>
      </c>
      <c r="F102" s="1364">
        <v>3100248</v>
      </c>
      <c r="G102" s="1368">
        <v>-4607791</v>
      </c>
      <c r="H102" s="1381">
        <v>-0.7373986410957396</v>
      </c>
      <c r="I102" s="1365">
        <v>1459328</v>
      </c>
      <c r="J102" s="1371">
        <v>0.88933525095678034</v>
      </c>
    </row>
    <row r="103" spans="1:10" x14ac:dyDescent="0.2">
      <c r="A103" s="1360" t="s">
        <v>4165</v>
      </c>
      <c r="B103" s="1368">
        <v>2656890</v>
      </c>
      <c r="C103" s="1377">
        <v>526204</v>
      </c>
      <c r="D103" s="1377">
        <v>4813197</v>
      </c>
      <c r="E103" s="1377">
        <v>10467407</v>
      </c>
      <c r="F103" s="1364">
        <v>12546635</v>
      </c>
      <c r="G103" s="1368">
        <v>2156307</v>
      </c>
      <c r="H103" s="1381">
        <v>0.81159061910730212</v>
      </c>
      <c r="I103" s="1365">
        <v>7733438</v>
      </c>
      <c r="J103" s="1371">
        <v>1.6067154533670656</v>
      </c>
    </row>
    <row r="104" spans="1:10" x14ac:dyDescent="0.2">
      <c r="A104" s="1360" t="s">
        <v>4166</v>
      </c>
      <c r="B104" s="1368">
        <v>500000</v>
      </c>
      <c r="C104" s="1377">
        <v>1239275</v>
      </c>
      <c r="D104" s="1377">
        <v>381780</v>
      </c>
      <c r="E104" s="1377">
        <v>257651</v>
      </c>
      <c r="F104" s="1364">
        <v>297200</v>
      </c>
      <c r="G104" s="1368">
        <v>-118220</v>
      </c>
      <c r="H104" s="1381">
        <v>-0.23644000000000001</v>
      </c>
      <c r="I104" s="1365">
        <v>-84580</v>
      </c>
      <c r="J104" s="1371">
        <v>-0.22154120173922154</v>
      </c>
    </row>
    <row r="105" spans="1:10" x14ac:dyDescent="0.2">
      <c r="A105" s="1360" t="s">
        <v>4167</v>
      </c>
      <c r="B105" s="1368">
        <v>624245</v>
      </c>
      <c r="C105" s="1377">
        <v>2762382</v>
      </c>
      <c r="D105" s="1377">
        <v>0</v>
      </c>
      <c r="E105" s="1377">
        <v>0</v>
      </c>
      <c r="F105" s="1364">
        <v>0</v>
      </c>
      <c r="G105" s="1368">
        <v>-624245</v>
      </c>
      <c r="H105" s="1381">
        <v>-1</v>
      </c>
      <c r="I105" s="1365">
        <v>0</v>
      </c>
      <c r="J105" s="1371">
        <v>0</v>
      </c>
    </row>
    <row r="106" spans="1:10" x14ac:dyDescent="0.2">
      <c r="A106" s="1360" t="s">
        <v>4168</v>
      </c>
      <c r="B106" s="1368">
        <v>517000</v>
      </c>
      <c r="C106" s="1377">
        <v>9186151</v>
      </c>
      <c r="D106" s="1377">
        <v>0</v>
      </c>
      <c r="E106" s="1377">
        <v>0</v>
      </c>
      <c r="F106" s="1364">
        <v>0</v>
      </c>
      <c r="G106" s="1368">
        <v>-517000</v>
      </c>
      <c r="H106" s="1381">
        <v>-1</v>
      </c>
      <c r="I106" s="1365">
        <v>0</v>
      </c>
      <c r="J106" s="1371">
        <v>0</v>
      </c>
    </row>
    <row r="107" spans="1:10" x14ac:dyDescent="0.2">
      <c r="A107" s="1360" t="s">
        <v>4169</v>
      </c>
      <c r="B107" s="1368">
        <v>0</v>
      </c>
      <c r="C107" s="1377">
        <v>33850</v>
      </c>
      <c r="D107" s="1377">
        <v>0</v>
      </c>
      <c r="E107" s="1377">
        <v>0</v>
      </c>
      <c r="F107" s="1364">
        <v>0</v>
      </c>
      <c r="G107" s="1368">
        <v>0</v>
      </c>
      <c r="H107" s="1381">
        <v>0</v>
      </c>
      <c r="I107" s="1365">
        <v>0</v>
      </c>
      <c r="J107" s="1371">
        <v>0</v>
      </c>
    </row>
    <row r="108" spans="1:10" x14ac:dyDescent="0.2">
      <c r="A108" s="1360" t="s">
        <v>4170</v>
      </c>
      <c r="B108" s="1368">
        <v>0</v>
      </c>
      <c r="C108" s="1377">
        <v>970943</v>
      </c>
      <c r="D108" s="1377">
        <v>0</v>
      </c>
      <c r="E108" s="1377">
        <v>535400</v>
      </c>
      <c r="F108" s="1364">
        <v>0</v>
      </c>
      <c r="G108" s="1368">
        <v>0</v>
      </c>
      <c r="H108" s="1381">
        <v>0</v>
      </c>
      <c r="I108" s="1365">
        <v>0</v>
      </c>
      <c r="J108" s="1371">
        <v>0</v>
      </c>
    </row>
    <row r="109" spans="1:10" x14ac:dyDescent="0.2">
      <c r="A109" s="1360" t="s">
        <v>266</v>
      </c>
      <c r="B109" s="1368">
        <v>1516182</v>
      </c>
      <c r="C109" s="1377">
        <v>1545156</v>
      </c>
      <c r="D109" s="1377">
        <v>1610252</v>
      </c>
      <c r="E109" s="1377">
        <v>1133437</v>
      </c>
      <c r="F109" s="1364">
        <v>1156386</v>
      </c>
      <c r="G109" s="1368">
        <v>94070</v>
      </c>
      <c r="H109" s="1381">
        <v>6.2044002632929293E-2</v>
      </c>
      <c r="I109" s="1365">
        <v>-453866</v>
      </c>
      <c r="J109" s="1371">
        <v>-0.28186023057260601</v>
      </c>
    </row>
    <row r="110" spans="1:10" x14ac:dyDescent="0.2">
      <c r="A110" s="1360" t="s">
        <v>254</v>
      </c>
      <c r="B110" s="1368">
        <v>327211</v>
      </c>
      <c r="C110" s="1377">
        <v>538697</v>
      </c>
      <c r="D110" s="1377">
        <v>192146</v>
      </c>
      <c r="E110" s="1377">
        <v>320464</v>
      </c>
      <c r="F110" s="1364">
        <v>320428</v>
      </c>
      <c r="G110" s="1368">
        <v>-135065</v>
      </c>
      <c r="H110" s="1381">
        <v>-0.41277646533887918</v>
      </c>
      <c r="I110" s="1365">
        <v>128282</v>
      </c>
      <c r="J110" s="1371">
        <v>0.66762774140497327</v>
      </c>
    </row>
    <row r="111" spans="1:10" x14ac:dyDescent="0.2">
      <c r="A111" s="1360" t="s">
        <v>268</v>
      </c>
      <c r="B111" s="1368">
        <v>2050</v>
      </c>
      <c r="C111" s="1377">
        <v>3730</v>
      </c>
      <c r="D111" s="1377">
        <v>2050</v>
      </c>
      <c r="E111" s="1377">
        <v>11420</v>
      </c>
      <c r="F111" s="1364">
        <v>6206</v>
      </c>
      <c r="G111" s="1368">
        <v>0</v>
      </c>
      <c r="H111" s="1381">
        <v>0</v>
      </c>
      <c r="I111" s="1365">
        <v>4156</v>
      </c>
      <c r="J111" s="1371">
        <v>2.0273170731707317</v>
      </c>
    </row>
    <row r="112" spans="1:10" x14ac:dyDescent="0.2">
      <c r="A112" s="1360" t="s">
        <v>39</v>
      </c>
      <c r="B112" s="1368">
        <v>0</v>
      </c>
      <c r="C112" s="1377">
        <v>0</v>
      </c>
      <c r="D112" s="1377">
        <v>0</v>
      </c>
      <c r="E112" s="1377">
        <v>0</v>
      </c>
      <c r="F112" s="1364">
        <v>0</v>
      </c>
      <c r="G112" s="1368">
        <v>0</v>
      </c>
      <c r="H112" s="1381">
        <v>0</v>
      </c>
      <c r="I112" s="1365">
        <v>0</v>
      </c>
      <c r="J112" s="1371">
        <v>0</v>
      </c>
    </row>
    <row r="113" spans="1:10" x14ac:dyDescent="0.2">
      <c r="A113" s="1360" t="s">
        <v>4171</v>
      </c>
      <c r="B113" s="1368">
        <v>0</v>
      </c>
      <c r="C113" s="1377">
        <v>41825</v>
      </c>
      <c r="D113" s="1377">
        <v>0</v>
      </c>
      <c r="E113" s="1377">
        <v>18955</v>
      </c>
      <c r="F113" s="1364">
        <v>15000</v>
      </c>
      <c r="G113" s="1368">
        <v>0</v>
      </c>
      <c r="H113" s="1381">
        <v>0</v>
      </c>
      <c r="I113" s="1365">
        <v>15000</v>
      </c>
      <c r="J113" s="1371">
        <v>0</v>
      </c>
    </row>
    <row r="114" spans="1:10" x14ac:dyDescent="0.2">
      <c r="A114" s="1360" t="s">
        <v>4172</v>
      </c>
      <c r="B114" s="1368">
        <v>32880</v>
      </c>
      <c r="C114" s="1377">
        <v>30980</v>
      </c>
      <c r="D114" s="1377">
        <v>16020</v>
      </c>
      <c r="E114" s="1377">
        <v>14700</v>
      </c>
      <c r="F114" s="1364">
        <v>2340</v>
      </c>
      <c r="G114" s="1368">
        <v>-16860</v>
      </c>
      <c r="H114" s="1381">
        <v>-0.51277372262773724</v>
      </c>
      <c r="I114" s="1365">
        <v>-13680</v>
      </c>
      <c r="J114" s="1371">
        <v>-0.8539325842696629</v>
      </c>
    </row>
    <row r="115" spans="1:10" x14ac:dyDescent="0.2">
      <c r="A115" s="1360" t="s">
        <v>4173</v>
      </c>
      <c r="B115" s="1368">
        <v>32000</v>
      </c>
      <c r="C115" s="1377">
        <v>14950</v>
      </c>
      <c r="D115" s="1377">
        <v>23000</v>
      </c>
      <c r="E115" s="1377">
        <v>1500</v>
      </c>
      <c r="F115" s="1364">
        <v>180000</v>
      </c>
      <c r="G115" s="1368">
        <v>-9000</v>
      </c>
      <c r="H115" s="1381">
        <v>-0.28125</v>
      </c>
      <c r="I115" s="1365">
        <v>157000</v>
      </c>
      <c r="J115" s="1371">
        <v>6.8260869565217392</v>
      </c>
    </row>
    <row r="116" spans="1:10" x14ac:dyDescent="0.2">
      <c r="A116" s="1360" t="s">
        <v>4174</v>
      </c>
      <c r="B116" s="1368">
        <v>1814233</v>
      </c>
      <c r="C116" s="1377">
        <v>1511490</v>
      </c>
      <c r="D116" s="1377">
        <v>367253</v>
      </c>
      <c r="E116" s="1377">
        <v>260825</v>
      </c>
      <c r="F116" s="1364">
        <v>445855</v>
      </c>
      <c r="G116" s="1368">
        <v>-1446980</v>
      </c>
      <c r="H116" s="1381">
        <v>-0.79757120502162626</v>
      </c>
      <c r="I116" s="1365">
        <v>78602</v>
      </c>
      <c r="J116" s="1371">
        <v>0.21402684253089832</v>
      </c>
    </row>
    <row r="117" spans="1:10" x14ac:dyDescent="0.2">
      <c r="A117" s="1360" t="s">
        <v>253</v>
      </c>
      <c r="B117" s="1368">
        <v>275778</v>
      </c>
      <c r="C117" s="1377">
        <v>211607</v>
      </c>
      <c r="D117" s="1377">
        <v>303620</v>
      </c>
      <c r="E117" s="1377">
        <v>202224</v>
      </c>
      <c r="F117" s="1364">
        <v>221971</v>
      </c>
      <c r="G117" s="1368">
        <v>27842</v>
      </c>
      <c r="H117" s="1381">
        <v>0.10095801695566724</v>
      </c>
      <c r="I117" s="1365">
        <v>-81649</v>
      </c>
      <c r="J117" s="1371">
        <v>-0.26891838482313418</v>
      </c>
    </row>
    <row r="118" spans="1:10" x14ac:dyDescent="0.2">
      <c r="A118" s="1360" t="s">
        <v>4175</v>
      </c>
      <c r="B118" s="1368">
        <v>4684151</v>
      </c>
      <c r="C118" s="1377">
        <v>2848687</v>
      </c>
      <c r="D118" s="1377">
        <v>4078580</v>
      </c>
      <c r="E118" s="1377">
        <v>2484947</v>
      </c>
      <c r="F118" s="1364">
        <v>4745619</v>
      </c>
      <c r="G118" s="1368">
        <v>-605571</v>
      </c>
      <c r="H118" s="1381">
        <v>-0.12928084513073981</v>
      </c>
      <c r="I118" s="1365">
        <v>667039</v>
      </c>
      <c r="J118" s="1371">
        <v>0.16354687170534843</v>
      </c>
    </row>
    <row r="119" spans="1:10" x14ac:dyDescent="0.2">
      <c r="A119" s="1360" t="s">
        <v>4176</v>
      </c>
      <c r="B119" s="1368">
        <v>807204</v>
      </c>
      <c r="C119" s="1377">
        <v>183663</v>
      </c>
      <c r="D119" s="1377">
        <v>171453</v>
      </c>
      <c r="E119" s="1377">
        <v>78812</v>
      </c>
      <c r="F119" s="1364">
        <v>229392</v>
      </c>
      <c r="G119" s="1368">
        <v>-635751</v>
      </c>
      <c r="H119" s="1381">
        <v>-0.78759644402158557</v>
      </c>
      <c r="I119" s="1365">
        <v>57939</v>
      </c>
      <c r="J119" s="1371">
        <v>0.33792934506832778</v>
      </c>
    </row>
    <row r="120" spans="1:10" x14ac:dyDescent="0.2">
      <c r="A120" s="1360" t="s">
        <v>4177</v>
      </c>
      <c r="B120" s="1368">
        <v>40000</v>
      </c>
      <c r="C120" s="1377">
        <v>10000</v>
      </c>
      <c r="D120" s="1377">
        <v>0</v>
      </c>
      <c r="E120" s="1377">
        <v>0</v>
      </c>
      <c r="F120" s="1364">
        <v>382343</v>
      </c>
      <c r="G120" s="1368">
        <v>-40000</v>
      </c>
      <c r="H120" s="1381">
        <v>-1</v>
      </c>
      <c r="I120" s="1365">
        <v>382343</v>
      </c>
      <c r="J120" s="1371">
        <v>0</v>
      </c>
    </row>
    <row r="121" spans="1:10" x14ac:dyDescent="0.2">
      <c r="A121" s="1360" t="s">
        <v>42</v>
      </c>
      <c r="B121" s="1368">
        <v>3445558</v>
      </c>
      <c r="C121" s="1377">
        <v>321405</v>
      </c>
      <c r="D121" s="1377">
        <v>3700345</v>
      </c>
      <c r="E121" s="1377">
        <v>1394130</v>
      </c>
      <c r="F121" s="1364">
        <v>2738729</v>
      </c>
      <c r="G121" s="1368">
        <v>254787</v>
      </c>
      <c r="H121" s="1381">
        <v>7.3946513162744615E-2</v>
      </c>
      <c r="I121" s="1365">
        <v>-961616</v>
      </c>
      <c r="J121" s="1371">
        <v>-0.25987198490951519</v>
      </c>
    </row>
    <row r="122" spans="1:10" x14ac:dyDescent="0.2">
      <c r="A122" s="1360" t="s">
        <v>4178</v>
      </c>
      <c r="B122" s="1368">
        <v>0</v>
      </c>
      <c r="C122" s="1377">
        <v>50285</v>
      </c>
      <c r="D122" s="1377">
        <v>0</v>
      </c>
      <c r="E122" s="1377">
        <v>0</v>
      </c>
      <c r="F122" s="1364">
        <v>0</v>
      </c>
      <c r="G122" s="1368">
        <v>0</v>
      </c>
      <c r="H122" s="1381">
        <v>0</v>
      </c>
      <c r="I122" s="1365">
        <v>0</v>
      </c>
      <c r="J122" s="1371">
        <v>0</v>
      </c>
    </row>
    <row r="123" spans="1:10" ht="12.75" thickBot="1" x14ac:dyDescent="0.25">
      <c r="A123" s="1360"/>
      <c r="B123" s="1368">
        <v>0</v>
      </c>
      <c r="C123" s="1377">
        <v>0</v>
      </c>
      <c r="D123" s="1377">
        <v>0</v>
      </c>
      <c r="E123" s="1377">
        <v>0</v>
      </c>
      <c r="F123" s="1364">
        <v>0</v>
      </c>
      <c r="G123" s="1368"/>
      <c r="H123" s="1381"/>
      <c r="I123" s="1365"/>
      <c r="J123" s="1371"/>
    </row>
    <row r="124" spans="1:10" ht="25.5" customHeight="1" thickBot="1" x14ac:dyDescent="0.25">
      <c r="A124" s="320" t="s">
        <v>55</v>
      </c>
      <c r="B124" s="696">
        <f>SUM(B6:B123)</f>
        <v>231950276</v>
      </c>
      <c r="C124" s="1378">
        <f t="shared" ref="C124:I124" si="0">SUM(C6:C123)</f>
        <v>175900030</v>
      </c>
      <c r="D124" s="1378">
        <f t="shared" si="0"/>
        <v>166692861</v>
      </c>
      <c r="E124" s="1378">
        <f t="shared" si="0"/>
        <v>165224993</v>
      </c>
      <c r="F124" s="629">
        <f t="shared" si="0"/>
        <v>199938233</v>
      </c>
      <c r="G124" s="696">
        <f t="shared" si="0"/>
        <v>-65257415</v>
      </c>
      <c r="H124" s="1382">
        <f>IFERROR((B124-D124)/B124,0)</f>
        <v>0.28134226061451206</v>
      </c>
      <c r="I124" s="1357">
        <f t="shared" si="0"/>
        <v>33245372</v>
      </c>
      <c r="J124" s="1359">
        <f t="shared" ref="J124" si="1">IFERROR((D124-F124)/D124,0)</f>
        <v>-0.19944088667360504</v>
      </c>
    </row>
    <row r="125" spans="1:10" x14ac:dyDescent="0.2">
      <c r="A125" s="302" t="s">
        <v>57</v>
      </c>
      <c r="B125" s="303"/>
      <c r="C125" s="303"/>
      <c r="D125" s="303"/>
      <c r="E125" s="303"/>
      <c r="F125" s="303"/>
      <c r="G125" s="303"/>
      <c r="H125" s="303"/>
      <c r="I125" s="303"/>
    </row>
    <row r="126" spans="1:10" x14ac:dyDescent="0.2">
      <c r="A126" s="302" t="s">
        <v>342</v>
      </c>
      <c r="B126" s="366"/>
      <c r="C126" s="366"/>
      <c r="D126" s="366"/>
      <c r="E126" s="366"/>
      <c r="F126" s="366"/>
      <c r="G126" s="366"/>
      <c r="H126" s="366"/>
      <c r="I126" s="366"/>
    </row>
    <row r="127" spans="1:10" x14ac:dyDescent="0.2">
      <c r="A127" s="302" t="s">
        <v>163</v>
      </c>
      <c r="B127" s="303"/>
      <c r="C127" s="303"/>
      <c r="D127" s="303"/>
      <c r="E127" s="303"/>
      <c r="F127" s="303"/>
      <c r="G127" s="303"/>
      <c r="H127" s="303"/>
      <c r="I127" s="303"/>
    </row>
    <row r="128" spans="1:10" x14ac:dyDescent="0.2">
      <c r="A128" s="302"/>
      <c r="B128" s="303"/>
      <c r="C128" s="303"/>
      <c r="D128" s="303"/>
      <c r="E128" s="303"/>
      <c r="F128" s="303"/>
      <c r="G128" s="303"/>
      <c r="H128" s="303"/>
      <c r="I128" s="303"/>
    </row>
    <row r="130" spans="2:6" x14ac:dyDescent="0.2">
      <c r="B130" s="1358"/>
      <c r="C130" s="1358"/>
      <c r="D130" s="1358"/>
      <c r="E130" s="1358"/>
      <c r="F130" s="1358"/>
    </row>
    <row r="131" spans="2:6" x14ac:dyDescent="0.2">
      <c r="B131" s="544"/>
      <c r="C131" s="544"/>
      <c r="F131" s="1358"/>
    </row>
    <row r="133" spans="2:6" x14ac:dyDescent="0.2">
      <c r="B133" s="1358"/>
      <c r="C133" s="1358"/>
    </row>
  </sheetData>
  <mergeCells count="10">
    <mergeCell ref="G4:G5"/>
    <mergeCell ref="H4:H5"/>
    <mergeCell ref="I4:I5"/>
    <mergeCell ref="J4:J5"/>
    <mergeCell ref="A4:A5"/>
    <mergeCell ref="B4:B5"/>
    <mergeCell ref="C4:C5"/>
    <mergeCell ref="D4:D5"/>
    <mergeCell ref="E4:E5"/>
    <mergeCell ref="F4:F5"/>
  </mergeCells>
  <printOptions horizontalCentered="1"/>
  <pageMargins left="0.23622047244094491" right="0.23622047244094491" top="0.74803149606299213" bottom="0.74803149606299213" header="0.31496062992125984" footer="0.31496062992125984"/>
  <pageSetup paperSize="9" scale="70" orientation="landscape" r:id="rId1"/>
  <headerFooter alignWithMargins="0">
    <oddHeader xml:space="preserve">&amp;C&amp;"Arial,Negrita"&amp;18PROYECTO DE PRESUPUESTO 2022
</oddHeader>
    <oddFooter>&amp;L&amp;"Arial,Negrita"&amp;8PROYECTO DE PRESUPUESTO PARA EL AÑO FISCAL 2020
INFORMACIÓN PARA LA COMISIÓN DE PRESUPUESTO Y CUENTA GENERAL DE LA REPÚBLICA DEL CONGRESO DE LA REPÚBLICA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7030A0"/>
  </sheetPr>
  <dimension ref="A1:Y110"/>
  <sheetViews>
    <sheetView showGridLines="0" view="pageBreakPreview" zoomScale="60" zoomScaleNormal="90" zoomScalePageLayoutView="85" workbookViewId="0"/>
  </sheetViews>
  <sheetFormatPr baseColWidth="10" defaultColWidth="11.42578125" defaultRowHeight="12" x14ac:dyDescent="0.2"/>
  <cols>
    <col min="1" max="1" width="41.7109375" style="462" customWidth="1"/>
    <col min="2" max="2" width="10.42578125" style="462" customWidth="1"/>
    <col min="3" max="8" width="15.5703125" style="462" customWidth="1"/>
    <col min="9" max="9" width="12.85546875" style="462" customWidth="1"/>
    <col min="10" max="10" width="15.5703125" style="462" customWidth="1"/>
    <col min="11" max="11" width="11.85546875" style="462" customWidth="1"/>
    <col min="12" max="12" width="12.7109375" style="462" customWidth="1"/>
    <col min="13" max="13" width="11.85546875" style="462" customWidth="1"/>
    <col min="14" max="14" width="13.5703125" style="462" customWidth="1"/>
    <col min="15" max="16384" width="11.42578125" style="462"/>
  </cols>
  <sheetData>
    <row r="1" spans="1:25" s="656" customFormat="1" ht="15.75" customHeight="1" x14ac:dyDescent="0.25">
      <c r="A1" s="89" t="s">
        <v>415</v>
      </c>
      <c r="B1" s="396"/>
      <c r="C1" s="396"/>
      <c r="D1" s="396"/>
      <c r="E1" s="396"/>
      <c r="F1" s="396"/>
      <c r="G1" s="396"/>
      <c r="H1" s="396"/>
      <c r="I1" s="396"/>
      <c r="J1" s="396"/>
      <c r="K1" s="396"/>
      <c r="L1" s="396"/>
      <c r="M1" s="396"/>
      <c r="N1" s="396"/>
    </row>
    <row r="2" spans="1:25" s="656" customFormat="1" ht="15" x14ac:dyDescent="0.2">
      <c r="A2" s="90" t="s">
        <v>686</v>
      </c>
      <c r="B2" s="396"/>
      <c r="C2" s="396"/>
      <c r="D2" s="396"/>
      <c r="E2" s="396"/>
      <c r="F2" s="396"/>
      <c r="G2" s="396"/>
      <c r="H2" s="396"/>
      <c r="I2" s="396"/>
      <c r="J2" s="396"/>
      <c r="K2" s="396"/>
      <c r="L2" s="396"/>
      <c r="M2" s="396"/>
      <c r="N2" s="396"/>
      <c r="O2" s="396"/>
      <c r="P2" s="396"/>
      <c r="Q2" s="396"/>
      <c r="R2" s="396"/>
      <c r="S2" s="396"/>
      <c r="T2" s="396"/>
      <c r="U2" s="396"/>
      <c r="V2" s="396"/>
      <c r="W2" s="396"/>
      <c r="X2" s="396"/>
      <c r="Y2" s="396"/>
    </row>
    <row r="3" spans="1:25" s="656" customFormat="1" ht="12.75" thickBot="1" x14ac:dyDescent="0.25">
      <c r="A3" s="396"/>
      <c r="B3" s="396"/>
      <c r="C3" s="396"/>
      <c r="D3" s="396"/>
      <c r="E3" s="396"/>
      <c r="F3" s="396"/>
      <c r="G3" s="396"/>
      <c r="H3" s="396"/>
      <c r="I3" s="396"/>
      <c r="J3" s="396"/>
      <c r="K3" s="396"/>
      <c r="L3" s="396"/>
      <c r="M3" s="396"/>
      <c r="N3" s="396"/>
      <c r="O3" s="396"/>
      <c r="P3" s="396"/>
      <c r="Q3" s="396"/>
      <c r="R3" s="396"/>
      <c r="S3" s="396"/>
      <c r="T3" s="396"/>
      <c r="U3" s="396"/>
      <c r="V3" s="396"/>
      <c r="W3" s="396"/>
      <c r="X3" s="396"/>
      <c r="Y3" s="396"/>
    </row>
    <row r="4" spans="1:25" ht="57" customHeight="1" thickBot="1" x14ac:dyDescent="0.25">
      <c r="A4" s="441" t="s">
        <v>88</v>
      </c>
      <c r="B4" s="444" t="s">
        <v>89</v>
      </c>
      <c r="C4" s="442" t="s">
        <v>90</v>
      </c>
      <c r="D4" s="442" t="s">
        <v>203</v>
      </c>
      <c r="E4" s="442" t="s">
        <v>204</v>
      </c>
      <c r="F4" s="442" t="s">
        <v>240</v>
      </c>
      <c r="G4" s="442" t="s">
        <v>164</v>
      </c>
      <c r="H4" s="442" t="s">
        <v>202</v>
      </c>
      <c r="I4" s="442" t="s">
        <v>166</v>
      </c>
      <c r="J4" s="442" t="s">
        <v>165</v>
      </c>
      <c r="K4" s="442" t="s">
        <v>167</v>
      </c>
      <c r="L4" s="442" t="s">
        <v>168</v>
      </c>
      <c r="M4" s="442" t="s">
        <v>169</v>
      </c>
      <c r="N4" s="442" t="s">
        <v>170</v>
      </c>
    </row>
    <row r="5" spans="1:25" s="1028" customFormat="1" ht="23.25" customHeight="1" x14ac:dyDescent="0.2">
      <c r="A5" s="335" t="s">
        <v>609</v>
      </c>
      <c r="B5" s="303"/>
      <c r="C5" s="303"/>
      <c r="D5" s="303"/>
      <c r="E5" s="1025"/>
      <c r="F5" s="1025"/>
      <c r="G5" s="1025"/>
      <c r="H5" s="1025"/>
      <c r="I5" s="1025"/>
      <c r="J5" s="1025"/>
      <c r="K5" s="1025"/>
      <c r="L5" s="1025"/>
      <c r="M5" s="1025"/>
      <c r="N5" s="1026"/>
    </row>
    <row r="6" spans="1:25" s="1028" customFormat="1" ht="19.5" customHeight="1" thickBot="1" x14ac:dyDescent="0.25">
      <c r="A6" s="1043" t="s">
        <v>637</v>
      </c>
      <c r="B6" s="1044"/>
      <c r="C6" s="130"/>
      <c r="D6" s="130"/>
      <c r="E6" s="1021"/>
      <c r="F6" s="1021"/>
      <c r="G6" s="1021"/>
      <c r="H6" s="1021"/>
      <c r="I6" s="1021"/>
      <c r="J6" s="1021"/>
      <c r="K6" s="1021"/>
      <c r="L6" s="1021"/>
      <c r="M6" s="1021"/>
      <c r="N6" s="1027"/>
    </row>
    <row r="7" spans="1:25" ht="23.25" customHeight="1" thickBot="1" x14ac:dyDescent="0.25">
      <c r="A7" s="1045" t="s">
        <v>687</v>
      </c>
      <c r="B7" s="549"/>
      <c r="C7" s="549"/>
      <c r="D7" s="549"/>
      <c r="E7" s="549"/>
      <c r="F7" s="549"/>
      <c r="G7" s="549"/>
      <c r="H7" s="549"/>
      <c r="I7" s="549"/>
      <c r="J7" s="549"/>
      <c r="K7" s="549"/>
      <c r="L7" s="549"/>
      <c r="M7" s="549"/>
      <c r="N7" s="562"/>
    </row>
    <row r="8" spans="1:25" ht="72.75" thickBot="1" x14ac:dyDescent="0.25">
      <c r="A8" s="1046" t="s">
        <v>688</v>
      </c>
      <c r="B8" s="991">
        <v>371531</v>
      </c>
      <c r="C8" s="995" t="s">
        <v>689</v>
      </c>
      <c r="D8" s="994" t="s">
        <v>690</v>
      </c>
      <c r="E8" s="994" t="s">
        <v>691</v>
      </c>
      <c r="F8" s="992">
        <v>2374654.09</v>
      </c>
      <c r="G8" s="993">
        <v>43836</v>
      </c>
      <c r="H8" s="994" t="s">
        <v>692</v>
      </c>
      <c r="I8" s="995">
        <v>180</v>
      </c>
      <c r="J8" s="996">
        <f t="shared" ref="J8:J30" si="0">G8+I8</f>
        <v>44016</v>
      </c>
      <c r="K8" s="991" t="s">
        <v>693</v>
      </c>
      <c r="L8" s="997">
        <v>44194</v>
      </c>
      <c r="M8" s="998"/>
      <c r="N8" s="999"/>
    </row>
    <row r="9" spans="1:25" ht="84.75" thickBot="1" x14ac:dyDescent="0.25">
      <c r="A9" s="1046" t="s">
        <v>694</v>
      </c>
      <c r="B9" s="1000">
        <v>2386238</v>
      </c>
      <c r="C9" s="1004" t="s">
        <v>695</v>
      </c>
      <c r="D9" s="1003" t="s">
        <v>696</v>
      </c>
      <c r="E9" s="1003" t="s">
        <v>697</v>
      </c>
      <c r="F9" s="1002">
        <v>620160.26</v>
      </c>
      <c r="G9" s="129">
        <v>43839</v>
      </c>
      <c r="H9" s="1003" t="s">
        <v>698</v>
      </c>
      <c r="I9" s="1004">
        <v>300</v>
      </c>
      <c r="J9" s="1005">
        <f t="shared" si="0"/>
        <v>44139</v>
      </c>
      <c r="K9" s="1006"/>
      <c r="L9" s="1006"/>
      <c r="M9" s="1006"/>
      <c r="N9" s="361"/>
    </row>
    <row r="10" spans="1:25" ht="60.75" thickBot="1" x14ac:dyDescent="0.25">
      <c r="A10" s="1046" t="s">
        <v>699</v>
      </c>
      <c r="B10" s="1000">
        <v>385055</v>
      </c>
      <c r="C10" s="1004" t="s">
        <v>695</v>
      </c>
      <c r="D10" s="1003" t="s">
        <v>696</v>
      </c>
      <c r="E10" s="1003" t="s">
        <v>700</v>
      </c>
      <c r="F10" s="1007">
        <v>480430.81</v>
      </c>
      <c r="G10" s="129">
        <v>43857</v>
      </c>
      <c r="H10" s="1003" t="s">
        <v>701</v>
      </c>
      <c r="I10" s="1004">
        <v>270</v>
      </c>
      <c r="J10" s="1005">
        <f t="shared" si="0"/>
        <v>44127</v>
      </c>
      <c r="K10" s="1006"/>
      <c r="L10" s="1006"/>
      <c r="M10" s="1006"/>
      <c r="N10" s="361"/>
    </row>
    <row r="11" spans="1:25" ht="60.75" thickBot="1" x14ac:dyDescent="0.25">
      <c r="A11" s="1046" t="s">
        <v>702</v>
      </c>
      <c r="B11" s="1000"/>
      <c r="C11" s="1009" t="s">
        <v>703</v>
      </c>
      <c r="D11" s="1009" t="s">
        <v>704</v>
      </c>
      <c r="E11" s="1009" t="s">
        <v>705</v>
      </c>
      <c r="F11" s="1008">
        <v>397285.1</v>
      </c>
      <c r="G11" s="129">
        <v>43874</v>
      </c>
      <c r="H11" s="1009" t="s">
        <v>706</v>
      </c>
      <c r="I11" s="1004">
        <v>150</v>
      </c>
      <c r="J11" s="1005">
        <f t="shared" si="0"/>
        <v>44024</v>
      </c>
      <c r="K11" s="1006"/>
      <c r="L11" s="1006"/>
      <c r="M11" s="1006"/>
      <c r="N11" s="361"/>
    </row>
    <row r="12" spans="1:25" ht="72.75" thickBot="1" x14ac:dyDescent="0.25">
      <c r="A12" s="1046" t="s">
        <v>707</v>
      </c>
      <c r="B12" s="1000" t="s">
        <v>708</v>
      </c>
      <c r="C12" s="1009" t="s">
        <v>695</v>
      </c>
      <c r="D12" s="1009" t="s">
        <v>704</v>
      </c>
      <c r="E12" s="1009" t="s">
        <v>709</v>
      </c>
      <c r="F12" s="1008">
        <v>228025.29</v>
      </c>
      <c r="G12" s="129">
        <v>43879</v>
      </c>
      <c r="H12" s="129" t="s">
        <v>710</v>
      </c>
      <c r="I12" s="1004">
        <v>120</v>
      </c>
      <c r="J12" s="1005">
        <f t="shared" si="0"/>
        <v>43999</v>
      </c>
      <c r="K12" s="1006"/>
      <c r="L12" s="1006"/>
      <c r="M12" s="1006"/>
      <c r="N12" s="361"/>
    </row>
    <row r="13" spans="1:25" ht="60.75" thickBot="1" x14ac:dyDescent="0.25">
      <c r="A13" s="1046" t="s">
        <v>711</v>
      </c>
      <c r="B13" s="1000"/>
      <c r="C13" s="1009" t="s">
        <v>703</v>
      </c>
      <c r="D13" s="1009" t="s">
        <v>704</v>
      </c>
      <c r="E13" s="1009" t="s">
        <v>712</v>
      </c>
      <c r="F13" s="1008">
        <v>360000</v>
      </c>
      <c r="G13" s="129">
        <v>43887</v>
      </c>
      <c r="H13" s="129" t="s">
        <v>713</v>
      </c>
      <c r="I13" s="1004">
        <v>105</v>
      </c>
      <c r="J13" s="1005">
        <f t="shared" si="0"/>
        <v>43992</v>
      </c>
      <c r="K13" s="1006"/>
      <c r="L13" s="1006"/>
      <c r="M13" s="1006"/>
      <c r="N13" s="361"/>
    </row>
    <row r="14" spans="1:25" ht="72.75" thickBot="1" x14ac:dyDescent="0.25">
      <c r="A14" s="1046" t="s">
        <v>714</v>
      </c>
      <c r="B14" s="1000"/>
      <c r="C14" s="1009" t="s">
        <v>703</v>
      </c>
      <c r="D14" s="1009" t="s">
        <v>704</v>
      </c>
      <c r="E14" s="1009" t="s">
        <v>715</v>
      </c>
      <c r="F14" s="1008">
        <v>199855.35</v>
      </c>
      <c r="G14" s="129">
        <v>43887</v>
      </c>
      <c r="H14" s="1009" t="s">
        <v>706</v>
      </c>
      <c r="I14" s="1004">
        <v>105</v>
      </c>
      <c r="J14" s="1005">
        <f t="shared" si="0"/>
        <v>43992</v>
      </c>
      <c r="K14" s="1000" t="s">
        <v>716</v>
      </c>
      <c r="L14" s="1010">
        <v>44147</v>
      </c>
      <c r="M14" s="1006"/>
      <c r="N14" s="361"/>
    </row>
    <row r="15" spans="1:25" ht="96.75" thickBot="1" x14ac:dyDescent="0.25">
      <c r="A15" s="1046" t="s">
        <v>717</v>
      </c>
      <c r="B15" s="1000">
        <v>2423616</v>
      </c>
      <c r="C15" s="1009" t="s">
        <v>695</v>
      </c>
      <c r="D15" s="1009" t="s">
        <v>704</v>
      </c>
      <c r="E15" s="1009" t="s">
        <v>718</v>
      </c>
      <c r="F15" s="1008">
        <v>192451.33</v>
      </c>
      <c r="G15" s="129">
        <v>43888</v>
      </c>
      <c r="H15" s="1009" t="s">
        <v>710</v>
      </c>
      <c r="I15" s="1004">
        <v>90</v>
      </c>
      <c r="J15" s="1005">
        <f t="shared" si="0"/>
        <v>43978</v>
      </c>
      <c r="K15" s="1000"/>
      <c r="L15" s="1010"/>
      <c r="M15" s="1006"/>
      <c r="N15" s="361"/>
    </row>
    <row r="16" spans="1:25" ht="72.75" thickBot="1" x14ac:dyDescent="0.25">
      <c r="A16" s="1046" t="s">
        <v>719</v>
      </c>
      <c r="B16" s="1000" t="s">
        <v>720</v>
      </c>
      <c r="C16" s="1009" t="s">
        <v>695</v>
      </c>
      <c r="D16" s="1009" t="s">
        <v>704</v>
      </c>
      <c r="E16" s="1009" t="s">
        <v>721</v>
      </c>
      <c r="F16" s="1008">
        <v>221601.53</v>
      </c>
      <c r="G16" s="129">
        <v>43901</v>
      </c>
      <c r="H16" s="1009" t="s">
        <v>710</v>
      </c>
      <c r="I16" s="1004">
        <v>120</v>
      </c>
      <c r="J16" s="1005">
        <f t="shared" si="0"/>
        <v>44021</v>
      </c>
      <c r="K16" s="1000"/>
      <c r="L16" s="1010"/>
      <c r="M16" s="1006"/>
      <c r="N16" s="361"/>
    </row>
    <row r="17" spans="1:14" ht="48.75" thickBot="1" x14ac:dyDescent="0.25">
      <c r="A17" s="1046" t="s">
        <v>722</v>
      </c>
      <c r="B17" s="1000">
        <v>87274</v>
      </c>
      <c r="C17" s="1004" t="s">
        <v>689</v>
      </c>
      <c r="D17" s="1003" t="s">
        <v>690</v>
      </c>
      <c r="E17" s="1003" t="s">
        <v>723</v>
      </c>
      <c r="F17" s="1002">
        <v>1753486.36</v>
      </c>
      <c r="G17" s="129">
        <v>43902</v>
      </c>
      <c r="H17" s="1003" t="s">
        <v>724</v>
      </c>
      <c r="I17" s="1004">
        <v>180</v>
      </c>
      <c r="J17" s="1005">
        <f t="shared" si="0"/>
        <v>44082</v>
      </c>
      <c r="K17" s="1006"/>
      <c r="L17" s="1006"/>
      <c r="M17" s="1006"/>
      <c r="N17" s="361"/>
    </row>
    <row r="18" spans="1:14" ht="72.75" thickBot="1" x14ac:dyDescent="0.25">
      <c r="A18" s="1046" t="s">
        <v>725</v>
      </c>
      <c r="B18" s="1000">
        <v>371531</v>
      </c>
      <c r="C18" s="1004" t="s">
        <v>695</v>
      </c>
      <c r="D18" s="1003" t="s">
        <v>704</v>
      </c>
      <c r="E18" s="1003" t="s">
        <v>726</v>
      </c>
      <c r="F18" s="1011">
        <v>189870.9</v>
      </c>
      <c r="G18" s="129">
        <v>43902</v>
      </c>
      <c r="H18" s="1003" t="s">
        <v>727</v>
      </c>
      <c r="I18" s="1004">
        <v>180</v>
      </c>
      <c r="J18" s="1005">
        <f t="shared" si="0"/>
        <v>44082</v>
      </c>
      <c r="K18" s="1006"/>
      <c r="L18" s="1006"/>
      <c r="M18" s="1006"/>
      <c r="N18" s="361"/>
    </row>
    <row r="19" spans="1:14" ht="108.75" thickBot="1" x14ac:dyDescent="0.25">
      <c r="A19" s="1046" t="s">
        <v>728</v>
      </c>
      <c r="B19" s="1000">
        <v>87274</v>
      </c>
      <c r="C19" s="1004" t="s">
        <v>695</v>
      </c>
      <c r="D19" s="1003" t="s">
        <v>704</v>
      </c>
      <c r="E19" s="1003" t="s">
        <v>729</v>
      </c>
      <c r="F19" s="1002">
        <v>250854.43</v>
      </c>
      <c r="G19" s="129">
        <v>44124</v>
      </c>
      <c r="H19" s="1003" t="s">
        <v>730</v>
      </c>
      <c r="I19" s="1004">
        <v>180</v>
      </c>
      <c r="J19" s="1005">
        <f t="shared" si="0"/>
        <v>44304</v>
      </c>
      <c r="K19" s="1006"/>
      <c r="L19" s="1006"/>
      <c r="M19" s="1006"/>
      <c r="N19" s="361"/>
    </row>
    <row r="20" spans="1:14" ht="48.75" thickBot="1" x14ac:dyDescent="0.25">
      <c r="A20" s="1046" t="s">
        <v>731</v>
      </c>
      <c r="B20" s="1000">
        <v>268764</v>
      </c>
      <c r="C20" s="1004" t="s">
        <v>689</v>
      </c>
      <c r="D20" s="1003" t="s">
        <v>704</v>
      </c>
      <c r="E20" s="1003" t="s">
        <v>732</v>
      </c>
      <c r="F20" s="1011">
        <v>1054341.58</v>
      </c>
      <c r="G20" s="129">
        <v>44139</v>
      </c>
      <c r="H20" s="1003" t="s">
        <v>733</v>
      </c>
      <c r="I20" s="1004">
        <v>210</v>
      </c>
      <c r="J20" s="1005">
        <f t="shared" si="0"/>
        <v>44349</v>
      </c>
      <c r="K20" s="1006"/>
      <c r="L20" s="1006"/>
      <c r="M20" s="1006"/>
      <c r="N20" s="361"/>
    </row>
    <row r="21" spans="1:14" ht="60.75" thickBot="1" x14ac:dyDescent="0.25">
      <c r="A21" s="1046" t="s">
        <v>734</v>
      </c>
      <c r="B21" s="1000">
        <v>2436093</v>
      </c>
      <c r="C21" s="1004" t="s">
        <v>689</v>
      </c>
      <c r="D21" s="1003" t="s">
        <v>704</v>
      </c>
      <c r="E21" s="1003" t="s">
        <v>735</v>
      </c>
      <c r="F21" s="1011">
        <v>764739.23</v>
      </c>
      <c r="G21" s="129">
        <v>44146</v>
      </c>
      <c r="H21" s="1003" t="s">
        <v>736</v>
      </c>
      <c r="I21" s="1004">
        <v>150</v>
      </c>
      <c r="J21" s="1005">
        <f t="shared" si="0"/>
        <v>44296</v>
      </c>
      <c r="K21" s="1006"/>
      <c r="L21" s="1006"/>
      <c r="M21" s="1006"/>
      <c r="N21" s="361"/>
    </row>
    <row r="22" spans="1:14" ht="48.75" thickBot="1" x14ac:dyDescent="0.25">
      <c r="A22" s="1046" t="s">
        <v>737</v>
      </c>
      <c r="B22" s="1000">
        <v>385201</v>
      </c>
      <c r="C22" s="1004" t="s">
        <v>689</v>
      </c>
      <c r="D22" s="1003" t="s">
        <v>690</v>
      </c>
      <c r="E22" s="1003" t="s">
        <v>738</v>
      </c>
      <c r="F22" s="1011">
        <v>9825036.3499999996</v>
      </c>
      <c r="G22" s="129">
        <v>44147</v>
      </c>
      <c r="H22" s="1003" t="s">
        <v>739</v>
      </c>
      <c r="I22" s="1004">
        <v>300</v>
      </c>
      <c r="J22" s="1005">
        <f t="shared" si="0"/>
        <v>44447</v>
      </c>
      <c r="K22" s="1006"/>
      <c r="L22" s="1006"/>
      <c r="M22" s="1006"/>
      <c r="N22" s="361"/>
    </row>
    <row r="23" spans="1:14" ht="60.75" thickBot="1" x14ac:dyDescent="0.25">
      <c r="A23" s="1046" t="s">
        <v>740</v>
      </c>
      <c r="B23" s="1000">
        <v>385055</v>
      </c>
      <c r="C23" s="1004" t="s">
        <v>689</v>
      </c>
      <c r="D23" s="1003" t="s">
        <v>690</v>
      </c>
      <c r="E23" s="1003" t="s">
        <v>741</v>
      </c>
      <c r="F23" s="1011">
        <v>5915632.2400000002</v>
      </c>
      <c r="G23" s="129">
        <v>44165</v>
      </c>
      <c r="H23" s="1003" t="s">
        <v>739</v>
      </c>
      <c r="I23" s="1004">
        <v>270</v>
      </c>
      <c r="J23" s="1005">
        <f t="shared" si="0"/>
        <v>44435</v>
      </c>
      <c r="K23" s="1006"/>
      <c r="L23" s="1006"/>
      <c r="M23" s="1006"/>
      <c r="N23" s="361"/>
    </row>
    <row r="24" spans="1:14" ht="12.75" thickBot="1" x14ac:dyDescent="0.25">
      <c r="A24" s="1046"/>
      <c r="B24" s="1000"/>
      <c r="C24" s="1004"/>
      <c r="D24" s="1003"/>
      <c r="E24" s="1003"/>
      <c r="F24" s="1011"/>
      <c r="G24" s="129"/>
      <c r="H24" s="1003"/>
      <c r="I24" s="1004"/>
      <c r="J24" s="1005"/>
      <c r="K24" s="1006"/>
      <c r="L24" s="1006"/>
      <c r="M24" s="1006"/>
      <c r="N24" s="361"/>
    </row>
    <row r="25" spans="1:14" ht="132.75" thickBot="1" x14ac:dyDescent="0.25">
      <c r="A25" s="1046" t="s">
        <v>742</v>
      </c>
      <c r="B25" s="1000">
        <v>2386238</v>
      </c>
      <c r="C25" s="1004" t="s">
        <v>689</v>
      </c>
      <c r="D25" s="1003" t="s">
        <v>690</v>
      </c>
      <c r="E25" s="1003" t="s">
        <v>743</v>
      </c>
      <c r="F25" s="1011">
        <v>6399557.1399999997</v>
      </c>
      <c r="G25" s="129">
        <v>44167</v>
      </c>
      <c r="H25" s="1003" t="s">
        <v>744</v>
      </c>
      <c r="I25" s="1004">
        <v>300</v>
      </c>
      <c r="J25" s="1005">
        <f t="shared" si="0"/>
        <v>44467</v>
      </c>
      <c r="K25" s="1006"/>
      <c r="L25" s="1006"/>
      <c r="M25" s="1006"/>
      <c r="N25" s="361"/>
    </row>
    <row r="26" spans="1:14" ht="96.75" thickBot="1" x14ac:dyDescent="0.25">
      <c r="A26" s="1046" t="s">
        <v>745</v>
      </c>
      <c r="B26" s="1504" t="s">
        <v>746</v>
      </c>
      <c r="C26" s="1004" t="s">
        <v>689</v>
      </c>
      <c r="D26" s="1003" t="s">
        <v>690</v>
      </c>
      <c r="E26" s="1003" t="s">
        <v>747</v>
      </c>
      <c r="F26" s="1011">
        <v>4298194.49</v>
      </c>
      <c r="G26" s="129">
        <v>44186</v>
      </c>
      <c r="H26" s="1003" t="s">
        <v>748</v>
      </c>
      <c r="I26" s="1004">
        <v>270</v>
      </c>
      <c r="J26" s="1005">
        <f t="shared" si="0"/>
        <v>44456</v>
      </c>
      <c r="K26" s="1006"/>
      <c r="L26" s="1006"/>
      <c r="M26" s="1006"/>
      <c r="N26" s="361"/>
    </row>
    <row r="27" spans="1:14" ht="84.75" thickBot="1" x14ac:dyDescent="0.25">
      <c r="A27" s="1046" t="s">
        <v>749</v>
      </c>
      <c r="B27" s="1504"/>
      <c r="C27" s="1004" t="s">
        <v>689</v>
      </c>
      <c r="D27" s="1003" t="s">
        <v>690</v>
      </c>
      <c r="E27" s="1003" t="s">
        <v>747</v>
      </c>
      <c r="F27" s="1011">
        <v>2447179.5099999998</v>
      </c>
      <c r="G27" s="129">
        <v>44186</v>
      </c>
      <c r="H27" s="1003" t="s">
        <v>750</v>
      </c>
      <c r="I27" s="1004">
        <v>240</v>
      </c>
      <c r="J27" s="1005">
        <f t="shared" si="0"/>
        <v>44426</v>
      </c>
      <c r="K27" s="1006"/>
      <c r="L27" s="1006"/>
      <c r="M27" s="1006"/>
      <c r="N27" s="361"/>
    </row>
    <row r="28" spans="1:14" ht="108.75" thickBot="1" x14ac:dyDescent="0.25">
      <c r="A28" s="1046" t="s">
        <v>751</v>
      </c>
      <c r="B28" s="1504" t="s">
        <v>752</v>
      </c>
      <c r="C28" s="1004" t="s">
        <v>689</v>
      </c>
      <c r="D28" s="1003" t="s">
        <v>690</v>
      </c>
      <c r="E28" s="1003" t="s">
        <v>753</v>
      </c>
      <c r="F28" s="1002">
        <v>2460913.7799999998</v>
      </c>
      <c r="G28" s="129">
        <v>44187</v>
      </c>
      <c r="H28" s="1003" t="s">
        <v>754</v>
      </c>
      <c r="I28" s="1004">
        <v>210</v>
      </c>
      <c r="J28" s="1005">
        <f t="shared" si="0"/>
        <v>44397</v>
      </c>
      <c r="K28" s="1006"/>
      <c r="L28" s="1006"/>
      <c r="M28" s="1006"/>
      <c r="N28" s="361"/>
    </row>
    <row r="29" spans="1:14" ht="108.75" thickBot="1" x14ac:dyDescent="0.25">
      <c r="A29" s="1046" t="s">
        <v>755</v>
      </c>
      <c r="B29" s="1504"/>
      <c r="C29" s="1004" t="s">
        <v>689</v>
      </c>
      <c r="D29" s="1003" t="s">
        <v>690</v>
      </c>
      <c r="E29" s="1003" t="s">
        <v>753</v>
      </c>
      <c r="F29" s="1002">
        <v>910029.87</v>
      </c>
      <c r="G29" s="129">
        <v>44187</v>
      </c>
      <c r="H29" s="1003" t="s">
        <v>754</v>
      </c>
      <c r="I29" s="1004">
        <v>150</v>
      </c>
      <c r="J29" s="1005">
        <f t="shared" si="0"/>
        <v>44337</v>
      </c>
      <c r="K29" s="1006"/>
      <c r="L29" s="1006"/>
      <c r="M29" s="1006"/>
      <c r="N29" s="361"/>
    </row>
    <row r="30" spans="1:14" ht="108.75" thickBot="1" x14ac:dyDescent="0.25">
      <c r="A30" s="1046" t="s">
        <v>756</v>
      </c>
      <c r="B30" s="1505"/>
      <c r="C30" s="1016" t="s">
        <v>689</v>
      </c>
      <c r="D30" s="1015" t="s">
        <v>690</v>
      </c>
      <c r="E30" s="1015" t="s">
        <v>753</v>
      </c>
      <c r="F30" s="1013">
        <v>2071300.46</v>
      </c>
      <c r="G30" s="1014">
        <v>44187</v>
      </c>
      <c r="H30" s="1015" t="s">
        <v>754</v>
      </c>
      <c r="I30" s="1016">
        <v>210</v>
      </c>
      <c r="J30" s="1017">
        <f t="shared" si="0"/>
        <v>44397</v>
      </c>
      <c r="K30" s="1018"/>
      <c r="L30" s="1018"/>
      <c r="M30" s="1018"/>
      <c r="N30" s="1019"/>
    </row>
    <row r="31" spans="1:14" ht="21.75" customHeight="1" thickBot="1" x14ac:dyDescent="0.25">
      <c r="A31" s="568"/>
      <c r="B31" s="329"/>
      <c r="C31" s="568"/>
      <c r="D31" s="569"/>
      <c r="E31" s="569"/>
      <c r="F31" s="571">
        <f>SUM(F8:F30)</f>
        <v>43415600.100000001</v>
      </c>
      <c r="G31" s="339"/>
      <c r="H31" s="569"/>
      <c r="I31" s="568"/>
      <c r="J31" s="570"/>
      <c r="K31" s="339"/>
      <c r="L31" s="339"/>
      <c r="M31" s="339"/>
      <c r="N31" s="339"/>
    </row>
    <row r="32" spans="1:14" s="656" customFormat="1" x14ac:dyDescent="0.2">
      <c r="A32" s="1047"/>
      <c r="B32" s="318"/>
      <c r="C32" s="1021"/>
      <c r="D32" s="1022"/>
      <c r="E32" s="1022"/>
      <c r="F32" s="1023"/>
      <c r="G32" s="303"/>
      <c r="H32" s="1022"/>
      <c r="I32" s="1021"/>
      <c r="J32" s="1024"/>
      <c r="K32" s="303"/>
      <c r="L32" s="303"/>
      <c r="M32" s="303"/>
      <c r="N32" s="342"/>
    </row>
    <row r="33" spans="1:14" s="656" customFormat="1" x14ac:dyDescent="0.2">
      <c r="A33" s="1047"/>
      <c r="B33" s="318"/>
      <c r="C33" s="1021"/>
      <c r="D33" s="1022"/>
      <c r="E33" s="1022"/>
      <c r="F33" s="1023"/>
      <c r="G33" s="303"/>
      <c r="H33" s="1022"/>
      <c r="I33" s="1021"/>
      <c r="J33" s="1024"/>
      <c r="K33" s="303"/>
      <c r="L33" s="303"/>
      <c r="M33" s="303"/>
      <c r="N33" s="342"/>
    </row>
    <row r="34" spans="1:14" ht="12.75" thickBot="1" x14ac:dyDescent="0.25">
      <c r="A34" s="1048" t="s">
        <v>757</v>
      </c>
      <c r="B34" s="564"/>
      <c r="C34" s="563"/>
      <c r="D34" s="566"/>
      <c r="E34" s="566"/>
      <c r="F34" s="565"/>
      <c r="G34" s="324"/>
      <c r="H34" s="566"/>
      <c r="I34" s="563"/>
      <c r="J34" s="567"/>
      <c r="K34" s="324"/>
      <c r="L34" s="324"/>
      <c r="M34" s="324"/>
      <c r="N34" s="325"/>
    </row>
    <row r="35" spans="1:14" ht="156.75" thickBot="1" x14ac:dyDescent="0.25">
      <c r="A35" s="1046" t="s">
        <v>758</v>
      </c>
      <c r="B35" s="995" t="s">
        <v>759</v>
      </c>
      <c r="C35" s="995" t="s">
        <v>695</v>
      </c>
      <c r="D35" s="994" t="s">
        <v>704</v>
      </c>
      <c r="E35" s="994" t="s">
        <v>760</v>
      </c>
      <c r="F35" s="992">
        <v>272785.23</v>
      </c>
      <c r="G35" s="1020">
        <v>44202</v>
      </c>
      <c r="H35" s="994" t="s">
        <v>730</v>
      </c>
      <c r="I35" s="995" t="s">
        <v>761</v>
      </c>
      <c r="J35" s="996">
        <f>G35+150+120</f>
        <v>44472</v>
      </c>
      <c r="K35" s="998"/>
      <c r="L35" s="998"/>
      <c r="M35" s="998"/>
      <c r="N35" s="999"/>
    </row>
    <row r="36" spans="1:14" ht="134.25" customHeight="1" thickBot="1" x14ac:dyDescent="0.25">
      <c r="A36" s="1046" t="s">
        <v>762</v>
      </c>
      <c r="B36" s="1004">
        <v>2475877</v>
      </c>
      <c r="C36" s="1004" t="s">
        <v>763</v>
      </c>
      <c r="D36" s="1003" t="s">
        <v>690</v>
      </c>
      <c r="E36" s="1003" t="s">
        <v>764</v>
      </c>
      <c r="F36" s="1002">
        <v>10068058.75</v>
      </c>
      <c r="G36" s="129">
        <v>44207</v>
      </c>
      <c r="H36" s="1003" t="s">
        <v>765</v>
      </c>
      <c r="I36" s="1004" t="s">
        <v>766</v>
      </c>
      <c r="J36" s="1005">
        <f>G36+150+120</f>
        <v>44477</v>
      </c>
      <c r="K36" s="1006"/>
      <c r="L36" s="1006"/>
      <c r="M36" s="1006"/>
      <c r="N36" s="361"/>
    </row>
    <row r="37" spans="1:14" ht="48.75" thickBot="1" x14ac:dyDescent="0.25">
      <c r="A37" s="1046" t="s">
        <v>767</v>
      </c>
      <c r="B37" s="1004">
        <v>385201</v>
      </c>
      <c r="C37" s="1004" t="s">
        <v>695</v>
      </c>
      <c r="D37" s="1003" t="s">
        <v>696</v>
      </c>
      <c r="E37" s="1003" t="s">
        <v>768</v>
      </c>
      <c r="F37" s="1002">
        <v>622454.06999999995</v>
      </c>
      <c r="G37" s="129">
        <v>44223</v>
      </c>
      <c r="H37" s="1003" t="s">
        <v>769</v>
      </c>
      <c r="I37" s="1004">
        <v>300</v>
      </c>
      <c r="J37" s="1005">
        <f t="shared" ref="J37:J64" si="1">G37+I37</f>
        <v>44523</v>
      </c>
      <c r="K37" s="1006"/>
      <c r="L37" s="1006"/>
      <c r="M37" s="1006"/>
      <c r="N37" s="361"/>
    </row>
    <row r="38" spans="1:14" ht="36.75" thickBot="1" x14ac:dyDescent="0.25">
      <c r="A38" s="1046" t="s">
        <v>770</v>
      </c>
      <c r="B38" s="1004">
        <v>283927</v>
      </c>
      <c r="C38" s="1004" t="s">
        <v>689</v>
      </c>
      <c r="D38" s="1003" t="s">
        <v>690</v>
      </c>
      <c r="E38" s="1003" t="s">
        <v>771</v>
      </c>
      <c r="F38" s="1002">
        <v>12119193.67</v>
      </c>
      <c r="G38" s="129">
        <v>44229</v>
      </c>
      <c r="H38" s="1003" t="s">
        <v>772</v>
      </c>
      <c r="I38" s="1004">
        <v>300</v>
      </c>
      <c r="J38" s="1005">
        <f t="shared" si="1"/>
        <v>44529</v>
      </c>
      <c r="K38" s="1006"/>
      <c r="L38" s="1006"/>
      <c r="M38" s="1006"/>
      <c r="N38" s="361"/>
    </row>
    <row r="39" spans="1:14" ht="156.75" thickBot="1" x14ac:dyDescent="0.25">
      <c r="A39" s="1046" t="s">
        <v>773</v>
      </c>
      <c r="B39" s="1004">
        <v>229808</v>
      </c>
      <c r="C39" s="1004" t="s">
        <v>695</v>
      </c>
      <c r="D39" s="1003" t="s">
        <v>704</v>
      </c>
      <c r="E39" s="1003" t="s">
        <v>774</v>
      </c>
      <c r="F39" s="1002">
        <v>237871.21</v>
      </c>
      <c r="G39" s="129">
        <v>44271</v>
      </c>
      <c r="H39" s="1003" t="s">
        <v>775</v>
      </c>
      <c r="I39" s="1004">
        <v>180</v>
      </c>
      <c r="J39" s="1005">
        <f t="shared" si="1"/>
        <v>44451</v>
      </c>
      <c r="K39" s="1006"/>
      <c r="L39" s="1006"/>
      <c r="M39" s="1006"/>
      <c r="N39" s="361"/>
    </row>
    <row r="40" spans="1:14" ht="108.75" thickBot="1" x14ac:dyDescent="0.25">
      <c r="A40" s="1046" t="s">
        <v>776</v>
      </c>
      <c r="B40" s="1504" t="s">
        <v>752</v>
      </c>
      <c r="C40" s="1004" t="s">
        <v>695</v>
      </c>
      <c r="D40" s="1003" t="s">
        <v>696</v>
      </c>
      <c r="E40" s="1003" t="s">
        <v>777</v>
      </c>
      <c r="F40" s="1002">
        <v>162287.03</v>
      </c>
      <c r="G40" s="129">
        <v>44271</v>
      </c>
      <c r="H40" s="1003" t="s">
        <v>778</v>
      </c>
      <c r="I40" s="1004">
        <v>150</v>
      </c>
      <c r="J40" s="1005">
        <f t="shared" si="1"/>
        <v>44421</v>
      </c>
      <c r="K40" s="1006"/>
      <c r="L40" s="1006"/>
      <c r="M40" s="1006"/>
      <c r="N40" s="361"/>
    </row>
    <row r="41" spans="1:14" ht="84.75" thickBot="1" x14ac:dyDescent="0.25">
      <c r="A41" s="1046" t="s">
        <v>779</v>
      </c>
      <c r="B41" s="1504"/>
      <c r="C41" s="1004" t="s">
        <v>695</v>
      </c>
      <c r="D41" s="1003" t="s">
        <v>696</v>
      </c>
      <c r="E41" s="1003" t="s">
        <v>777</v>
      </c>
      <c r="F41" s="1002">
        <v>268147.84000000003</v>
      </c>
      <c r="G41" s="129">
        <v>44271</v>
      </c>
      <c r="H41" s="1003" t="s">
        <v>701</v>
      </c>
      <c r="I41" s="1004">
        <v>210</v>
      </c>
      <c r="J41" s="1005">
        <f t="shared" si="1"/>
        <v>44481</v>
      </c>
      <c r="K41" s="1006"/>
      <c r="L41" s="1006"/>
      <c r="M41" s="1006"/>
      <c r="N41" s="361"/>
    </row>
    <row r="42" spans="1:14" ht="108.75" thickBot="1" x14ac:dyDescent="0.25">
      <c r="A42" s="1046" t="s">
        <v>780</v>
      </c>
      <c r="B42" s="1504"/>
      <c r="C42" s="1004" t="s">
        <v>695</v>
      </c>
      <c r="D42" s="1003" t="s">
        <v>696</v>
      </c>
      <c r="E42" s="1003" t="s">
        <v>777</v>
      </c>
      <c r="F42" s="1002">
        <v>268147.84000000003</v>
      </c>
      <c r="G42" s="129">
        <v>44279</v>
      </c>
      <c r="H42" s="1003" t="s">
        <v>781</v>
      </c>
      <c r="I42" s="1004">
        <v>210</v>
      </c>
      <c r="J42" s="1005">
        <f t="shared" si="1"/>
        <v>44489</v>
      </c>
      <c r="K42" s="1006"/>
      <c r="L42" s="1006"/>
      <c r="M42" s="1006"/>
      <c r="N42" s="361"/>
    </row>
    <row r="43" spans="1:14" ht="72.75" thickBot="1" x14ac:dyDescent="0.25">
      <c r="A43" s="1046" t="s">
        <v>782</v>
      </c>
      <c r="B43" s="1504" t="s">
        <v>746</v>
      </c>
      <c r="C43" s="1004" t="s">
        <v>695</v>
      </c>
      <c r="D43" s="1003" t="s">
        <v>696</v>
      </c>
      <c r="E43" s="1003" t="s">
        <v>783</v>
      </c>
      <c r="F43" s="1002">
        <v>442911.34</v>
      </c>
      <c r="G43" s="129">
        <v>44284</v>
      </c>
      <c r="H43" s="1003" t="s">
        <v>784</v>
      </c>
      <c r="I43" s="1004">
        <v>270</v>
      </c>
      <c r="J43" s="1005">
        <f t="shared" si="1"/>
        <v>44554</v>
      </c>
      <c r="K43" s="1006"/>
      <c r="L43" s="1006"/>
      <c r="M43" s="1006"/>
      <c r="N43" s="361"/>
    </row>
    <row r="44" spans="1:14" ht="72.75" thickBot="1" x14ac:dyDescent="0.25">
      <c r="A44" s="1046" t="s">
        <v>785</v>
      </c>
      <c r="B44" s="1504"/>
      <c r="C44" s="1004" t="s">
        <v>695</v>
      </c>
      <c r="D44" s="1003" t="s">
        <v>696</v>
      </c>
      <c r="E44" s="1003" t="s">
        <v>783</v>
      </c>
      <c r="F44" s="1002">
        <v>298041.27</v>
      </c>
      <c r="G44" s="129">
        <v>44291</v>
      </c>
      <c r="H44" s="1003" t="s">
        <v>786</v>
      </c>
      <c r="I44" s="1004">
        <v>240</v>
      </c>
      <c r="J44" s="1005">
        <f t="shared" si="1"/>
        <v>44531</v>
      </c>
      <c r="K44" s="1006"/>
      <c r="L44" s="1006"/>
      <c r="M44" s="1006"/>
      <c r="N44" s="361"/>
    </row>
    <row r="45" spans="1:14" ht="72.75" thickBot="1" x14ac:dyDescent="0.25">
      <c r="A45" s="1046" t="s">
        <v>787</v>
      </c>
      <c r="B45" s="1004">
        <v>229808</v>
      </c>
      <c r="C45" s="1004" t="s">
        <v>689</v>
      </c>
      <c r="D45" s="1003" t="s">
        <v>690</v>
      </c>
      <c r="E45" s="1003" t="s">
        <v>788</v>
      </c>
      <c r="F45" s="1002">
        <v>2222739.8199999998</v>
      </c>
      <c r="G45" s="129">
        <v>44300</v>
      </c>
      <c r="H45" s="1003" t="s">
        <v>789</v>
      </c>
      <c r="I45" s="1004">
        <v>180</v>
      </c>
      <c r="J45" s="1005">
        <f t="shared" si="1"/>
        <v>44480</v>
      </c>
      <c r="K45" s="1006"/>
      <c r="L45" s="1006"/>
      <c r="M45" s="1006"/>
      <c r="N45" s="361"/>
    </row>
    <row r="46" spans="1:14" ht="132.75" thickBot="1" x14ac:dyDescent="0.25">
      <c r="A46" s="1046" t="s">
        <v>790</v>
      </c>
      <c r="B46" s="1004">
        <v>372432</v>
      </c>
      <c r="C46" s="1004" t="s">
        <v>689</v>
      </c>
      <c r="D46" s="1003" t="s">
        <v>690</v>
      </c>
      <c r="E46" s="1003" t="s">
        <v>791</v>
      </c>
      <c r="F46" s="1002">
        <v>83555239.700000003</v>
      </c>
      <c r="G46" s="129">
        <v>44305</v>
      </c>
      <c r="H46" s="1003" t="s">
        <v>792</v>
      </c>
      <c r="I46" s="1004">
        <v>540</v>
      </c>
      <c r="J46" s="1005">
        <f t="shared" si="1"/>
        <v>44845</v>
      </c>
      <c r="K46" s="1006"/>
      <c r="L46" s="1006"/>
      <c r="M46" s="1006"/>
      <c r="N46" s="361"/>
    </row>
    <row r="47" spans="1:14" ht="48.75" thickBot="1" x14ac:dyDescent="0.25">
      <c r="A47" s="1046" t="s">
        <v>793</v>
      </c>
      <c r="B47" s="1004">
        <v>283927</v>
      </c>
      <c r="C47" s="1004" t="s">
        <v>695</v>
      </c>
      <c r="D47" s="1003" t="s">
        <v>696</v>
      </c>
      <c r="E47" s="1003" t="s">
        <v>794</v>
      </c>
      <c r="F47" s="1002">
        <v>728032.96</v>
      </c>
      <c r="G47" s="129">
        <v>44309</v>
      </c>
      <c r="H47" s="1003" t="s">
        <v>795</v>
      </c>
      <c r="I47" s="1004">
        <v>300</v>
      </c>
      <c r="J47" s="1005">
        <f t="shared" si="1"/>
        <v>44609</v>
      </c>
      <c r="K47" s="1006"/>
      <c r="L47" s="1006"/>
      <c r="M47" s="1006"/>
      <c r="N47" s="361"/>
    </row>
    <row r="48" spans="1:14" ht="120.75" thickBot="1" x14ac:dyDescent="0.25">
      <c r="A48" s="1046" t="s">
        <v>796</v>
      </c>
      <c r="B48" s="1004">
        <v>180557</v>
      </c>
      <c r="C48" s="1004" t="s">
        <v>689</v>
      </c>
      <c r="D48" s="1003" t="s">
        <v>797</v>
      </c>
      <c r="E48" s="1003" t="s">
        <v>798</v>
      </c>
      <c r="F48" s="1002">
        <v>932258.18</v>
      </c>
      <c r="G48" s="129">
        <v>44312</v>
      </c>
      <c r="H48" s="1003" t="s">
        <v>799</v>
      </c>
      <c r="I48" s="1004">
        <v>120</v>
      </c>
      <c r="J48" s="1005">
        <f t="shared" si="1"/>
        <v>44432</v>
      </c>
      <c r="K48" s="1006"/>
      <c r="L48" s="1006"/>
      <c r="M48" s="1006"/>
      <c r="N48" s="361"/>
    </row>
    <row r="49" spans="1:14" ht="84.75" thickBot="1" x14ac:dyDescent="0.25">
      <c r="A49" s="1046" t="s">
        <v>800</v>
      </c>
      <c r="B49" s="1004">
        <v>2470264</v>
      </c>
      <c r="C49" s="1004" t="s">
        <v>689</v>
      </c>
      <c r="D49" s="1003" t="s">
        <v>690</v>
      </c>
      <c r="E49" s="1003" t="s">
        <v>801</v>
      </c>
      <c r="F49" s="1002">
        <v>11019261.91</v>
      </c>
      <c r="G49" s="129">
        <v>44347</v>
      </c>
      <c r="H49" s="1003" t="s">
        <v>802</v>
      </c>
      <c r="I49" s="1004">
        <v>330</v>
      </c>
      <c r="J49" s="1005">
        <f t="shared" si="1"/>
        <v>44677</v>
      </c>
      <c r="K49" s="1006"/>
      <c r="L49" s="1006"/>
      <c r="M49" s="1006"/>
      <c r="N49" s="361"/>
    </row>
    <row r="50" spans="1:14" ht="36.75" thickBot="1" x14ac:dyDescent="0.25">
      <c r="A50" s="1046" t="s">
        <v>803</v>
      </c>
      <c r="B50" s="1004">
        <v>173315</v>
      </c>
      <c r="C50" s="1004" t="s">
        <v>689</v>
      </c>
      <c r="D50" s="1003" t="s">
        <v>704</v>
      </c>
      <c r="E50" s="1003" t="s">
        <v>804</v>
      </c>
      <c r="F50" s="1002">
        <v>696778.83</v>
      </c>
      <c r="G50" s="129">
        <v>44349</v>
      </c>
      <c r="H50" s="1003" t="s">
        <v>805</v>
      </c>
      <c r="I50" s="1004">
        <v>150</v>
      </c>
      <c r="J50" s="1005">
        <f t="shared" si="1"/>
        <v>44499</v>
      </c>
      <c r="K50" s="1006"/>
      <c r="L50" s="1006"/>
      <c r="M50" s="1006"/>
      <c r="N50" s="361"/>
    </row>
    <row r="51" spans="1:14" ht="156.75" thickBot="1" x14ac:dyDescent="0.25">
      <c r="A51" s="1046" t="s">
        <v>806</v>
      </c>
      <c r="B51" s="1004">
        <v>372432</v>
      </c>
      <c r="C51" s="1004" t="s">
        <v>695</v>
      </c>
      <c r="D51" s="1003" t="s">
        <v>696</v>
      </c>
      <c r="E51" s="1003" t="s">
        <v>807</v>
      </c>
      <c r="F51" s="1002">
        <v>5959132.0899999999</v>
      </c>
      <c r="G51" s="129">
        <v>44349</v>
      </c>
      <c r="H51" s="1003" t="s">
        <v>808</v>
      </c>
      <c r="I51" s="1004">
        <v>540</v>
      </c>
      <c r="J51" s="1005">
        <f t="shared" si="1"/>
        <v>44889</v>
      </c>
      <c r="K51" s="1006"/>
      <c r="L51" s="1006"/>
      <c r="M51" s="1006"/>
      <c r="N51" s="361"/>
    </row>
    <row r="52" spans="1:14" ht="156.75" thickBot="1" x14ac:dyDescent="0.25">
      <c r="A52" s="1046" t="s">
        <v>809</v>
      </c>
      <c r="B52" s="1004">
        <v>340909</v>
      </c>
      <c r="C52" s="1004" t="s">
        <v>689</v>
      </c>
      <c r="D52" s="1003" t="s">
        <v>690</v>
      </c>
      <c r="E52" s="1003" t="s">
        <v>810</v>
      </c>
      <c r="F52" s="1002">
        <v>6994545.3499999996</v>
      </c>
      <c r="G52" s="129">
        <v>44362</v>
      </c>
      <c r="H52" s="1003" t="s">
        <v>811</v>
      </c>
      <c r="I52" s="1004">
        <v>240</v>
      </c>
      <c r="J52" s="1005">
        <f t="shared" si="1"/>
        <v>44602</v>
      </c>
      <c r="K52" s="1006"/>
      <c r="L52" s="1006"/>
      <c r="M52" s="1006"/>
      <c r="N52" s="361"/>
    </row>
    <row r="53" spans="1:14" ht="144.75" thickBot="1" x14ac:dyDescent="0.25">
      <c r="A53" s="1046" t="s">
        <v>812</v>
      </c>
      <c r="B53" s="1004">
        <v>2436548</v>
      </c>
      <c r="C53" s="1004" t="s">
        <v>689</v>
      </c>
      <c r="D53" s="1003" t="s">
        <v>690</v>
      </c>
      <c r="E53" s="1003" t="s">
        <v>813</v>
      </c>
      <c r="F53" s="1002">
        <v>7218389.8600000003</v>
      </c>
      <c r="G53" s="129">
        <v>44368</v>
      </c>
      <c r="H53" s="1003" t="s">
        <v>814</v>
      </c>
      <c r="I53" s="1004">
        <v>240</v>
      </c>
      <c r="J53" s="1005">
        <f t="shared" si="1"/>
        <v>44608</v>
      </c>
      <c r="K53" s="1006"/>
      <c r="L53" s="1006"/>
      <c r="M53" s="1006"/>
      <c r="N53" s="361"/>
    </row>
    <row r="54" spans="1:14" ht="132.75" thickBot="1" x14ac:dyDescent="0.25">
      <c r="A54" s="1046" t="s">
        <v>815</v>
      </c>
      <c r="B54" s="1004">
        <v>2403635</v>
      </c>
      <c r="C54" s="1004" t="s">
        <v>689</v>
      </c>
      <c r="D54" s="1003" t="s">
        <v>704</v>
      </c>
      <c r="E54" s="1003" t="s">
        <v>816</v>
      </c>
      <c r="F54" s="1002">
        <v>771102.58</v>
      </c>
      <c r="G54" s="129">
        <v>44375</v>
      </c>
      <c r="H54" s="1003" t="s">
        <v>817</v>
      </c>
      <c r="I54" s="1004">
        <v>120</v>
      </c>
      <c r="J54" s="1005">
        <f t="shared" si="1"/>
        <v>44495</v>
      </c>
      <c r="K54" s="1006"/>
      <c r="L54" s="1006"/>
      <c r="M54" s="1006"/>
      <c r="N54" s="361"/>
    </row>
    <row r="55" spans="1:14" ht="72" x14ac:dyDescent="0.2">
      <c r="A55" s="1046" t="s">
        <v>818</v>
      </c>
      <c r="B55" s="1004">
        <v>2456867</v>
      </c>
      <c r="C55" s="1004" t="s">
        <v>689</v>
      </c>
      <c r="D55" s="1003" t="s">
        <v>704</v>
      </c>
      <c r="E55" s="1003" t="s">
        <v>819</v>
      </c>
      <c r="F55" s="1002">
        <v>884186.28</v>
      </c>
      <c r="G55" s="129">
        <v>44385</v>
      </c>
      <c r="H55" s="1003" t="s">
        <v>820</v>
      </c>
      <c r="I55" s="1004">
        <v>150</v>
      </c>
      <c r="J55" s="1005">
        <f t="shared" si="1"/>
        <v>44535</v>
      </c>
      <c r="K55" s="1006"/>
      <c r="L55" s="1006"/>
      <c r="M55" s="1006"/>
      <c r="N55" s="361"/>
    </row>
    <row r="56" spans="1:14" ht="132.75" thickBot="1" x14ac:dyDescent="0.25">
      <c r="A56" s="1049" t="s">
        <v>821</v>
      </c>
      <c r="B56" s="1504" t="s">
        <v>822</v>
      </c>
      <c r="C56" s="1004" t="s">
        <v>689</v>
      </c>
      <c r="D56" s="1003" t="s">
        <v>690</v>
      </c>
      <c r="E56" s="1003" t="s">
        <v>823</v>
      </c>
      <c r="F56" s="1002">
        <v>1624841.8</v>
      </c>
      <c r="G56" s="129">
        <v>44389</v>
      </c>
      <c r="H56" s="1003" t="s">
        <v>824</v>
      </c>
      <c r="I56" s="1004">
        <v>180</v>
      </c>
      <c r="J56" s="1005">
        <f t="shared" si="1"/>
        <v>44569</v>
      </c>
      <c r="K56" s="1006"/>
      <c r="L56" s="1006"/>
      <c r="M56" s="1006"/>
      <c r="N56" s="361"/>
    </row>
    <row r="57" spans="1:14" ht="120.75" thickBot="1" x14ac:dyDescent="0.25">
      <c r="A57" s="1046" t="s">
        <v>825</v>
      </c>
      <c r="B57" s="1504"/>
      <c r="C57" s="1004" t="s">
        <v>689</v>
      </c>
      <c r="D57" s="1003" t="s">
        <v>690</v>
      </c>
      <c r="E57" s="1003" t="s">
        <v>823</v>
      </c>
      <c r="F57" s="1002">
        <v>263194.83</v>
      </c>
      <c r="G57" s="129">
        <v>44389</v>
      </c>
      <c r="H57" s="1003" t="s">
        <v>824</v>
      </c>
      <c r="I57" s="1004">
        <v>90</v>
      </c>
      <c r="J57" s="1005">
        <f t="shared" si="1"/>
        <v>44479</v>
      </c>
      <c r="K57" s="1006"/>
      <c r="L57" s="1006"/>
      <c r="M57" s="1006"/>
      <c r="N57" s="361"/>
    </row>
    <row r="58" spans="1:14" ht="132.75" thickBot="1" x14ac:dyDescent="0.25">
      <c r="A58" s="1046" t="s">
        <v>826</v>
      </c>
      <c r="B58" s="1504"/>
      <c r="C58" s="1004" t="s">
        <v>689</v>
      </c>
      <c r="D58" s="1003" t="s">
        <v>690</v>
      </c>
      <c r="E58" s="1003" t="s">
        <v>823</v>
      </c>
      <c r="F58" s="1002">
        <v>1106024.1000000001</v>
      </c>
      <c r="G58" s="129">
        <v>44389</v>
      </c>
      <c r="H58" s="1003" t="s">
        <v>824</v>
      </c>
      <c r="I58" s="1004">
        <v>180</v>
      </c>
      <c r="J58" s="1005">
        <f t="shared" si="1"/>
        <v>44569</v>
      </c>
      <c r="K58" s="1006"/>
      <c r="L58" s="1006"/>
      <c r="M58" s="1006"/>
      <c r="N58" s="361"/>
    </row>
    <row r="59" spans="1:14" ht="132.75" thickBot="1" x14ac:dyDescent="0.25">
      <c r="A59" s="1046" t="s">
        <v>827</v>
      </c>
      <c r="B59" s="1504"/>
      <c r="C59" s="1004" t="s">
        <v>689</v>
      </c>
      <c r="D59" s="1003" t="s">
        <v>690</v>
      </c>
      <c r="E59" s="1003" t="s">
        <v>823</v>
      </c>
      <c r="F59" s="1002">
        <v>288374.90000000002</v>
      </c>
      <c r="G59" s="129">
        <v>44389</v>
      </c>
      <c r="H59" s="1003" t="s">
        <v>824</v>
      </c>
      <c r="I59" s="1004">
        <v>120</v>
      </c>
      <c r="J59" s="1005">
        <f t="shared" si="1"/>
        <v>44509</v>
      </c>
      <c r="K59" s="1006"/>
      <c r="L59" s="1006"/>
      <c r="M59" s="1006"/>
      <c r="N59" s="361"/>
    </row>
    <row r="60" spans="1:14" ht="120.75" thickBot="1" x14ac:dyDescent="0.25">
      <c r="A60" s="1046" t="s">
        <v>828</v>
      </c>
      <c r="B60" s="1504"/>
      <c r="C60" s="1004" t="s">
        <v>689</v>
      </c>
      <c r="D60" s="1003" t="s">
        <v>690</v>
      </c>
      <c r="E60" s="1003" t="s">
        <v>823</v>
      </c>
      <c r="F60" s="1002">
        <v>22010675.41</v>
      </c>
      <c r="G60" s="129">
        <v>44389</v>
      </c>
      <c r="H60" s="1003" t="s">
        <v>824</v>
      </c>
      <c r="I60" s="1004">
        <v>360</v>
      </c>
      <c r="J60" s="1005">
        <f t="shared" si="1"/>
        <v>44749</v>
      </c>
      <c r="K60" s="1006"/>
      <c r="L60" s="1006"/>
      <c r="M60" s="1006"/>
      <c r="N60" s="361"/>
    </row>
    <row r="61" spans="1:14" ht="96.75" thickBot="1" x14ac:dyDescent="0.25">
      <c r="A61" s="1046" t="s">
        <v>829</v>
      </c>
      <c r="B61" s="1004">
        <v>336345</v>
      </c>
      <c r="C61" s="1004" t="s">
        <v>689</v>
      </c>
      <c r="D61" s="1003" t="s">
        <v>690</v>
      </c>
      <c r="E61" s="1003" t="s">
        <v>830</v>
      </c>
      <c r="F61" s="1002">
        <v>4224349.1900000004</v>
      </c>
      <c r="G61" s="129">
        <v>44396</v>
      </c>
      <c r="H61" s="1003" t="s">
        <v>831</v>
      </c>
      <c r="I61" s="1004">
        <v>300</v>
      </c>
      <c r="J61" s="1005">
        <f t="shared" si="1"/>
        <v>44696</v>
      </c>
      <c r="K61" s="1006"/>
      <c r="L61" s="1006"/>
      <c r="M61" s="1006"/>
      <c r="N61" s="361"/>
    </row>
    <row r="62" spans="1:14" ht="156.75" thickBot="1" x14ac:dyDescent="0.25">
      <c r="A62" s="1046" t="s">
        <v>832</v>
      </c>
      <c r="B62" s="1004">
        <v>186915</v>
      </c>
      <c r="C62" s="1004" t="s">
        <v>689</v>
      </c>
      <c r="D62" s="1003" t="s">
        <v>704</v>
      </c>
      <c r="E62" s="1003" t="s">
        <v>833</v>
      </c>
      <c r="F62" s="1002">
        <v>1200316.28</v>
      </c>
      <c r="G62" s="129">
        <v>44410</v>
      </c>
      <c r="H62" s="1003" t="s">
        <v>834</v>
      </c>
      <c r="I62" s="1004">
        <v>210</v>
      </c>
      <c r="J62" s="1005">
        <f t="shared" si="1"/>
        <v>44620</v>
      </c>
      <c r="K62" s="1006"/>
      <c r="L62" s="1006"/>
      <c r="M62" s="1006"/>
      <c r="N62" s="361"/>
    </row>
    <row r="63" spans="1:14" ht="132.75" thickBot="1" x14ac:dyDescent="0.25">
      <c r="A63" s="1046" t="s">
        <v>835</v>
      </c>
      <c r="B63" s="1004">
        <v>2403635</v>
      </c>
      <c r="C63" s="1004" t="s">
        <v>695</v>
      </c>
      <c r="D63" s="1003" t="s">
        <v>704</v>
      </c>
      <c r="E63" s="1003" t="s">
        <v>836</v>
      </c>
      <c r="F63" s="1002">
        <v>184044.36</v>
      </c>
      <c r="G63" s="129">
        <v>44418</v>
      </c>
      <c r="H63" s="1003" t="s">
        <v>837</v>
      </c>
      <c r="I63" s="1004">
        <v>120</v>
      </c>
      <c r="J63" s="1005">
        <f t="shared" si="1"/>
        <v>44538</v>
      </c>
      <c r="K63" s="1006"/>
      <c r="L63" s="1006"/>
      <c r="M63" s="1006"/>
      <c r="N63" s="361"/>
    </row>
    <row r="64" spans="1:14" ht="108.75" thickBot="1" x14ac:dyDescent="0.25">
      <c r="A64" s="1046" t="s">
        <v>838</v>
      </c>
      <c r="B64" s="1004">
        <v>173315</v>
      </c>
      <c r="C64" s="1004" t="s">
        <v>695</v>
      </c>
      <c r="D64" s="1003" t="s">
        <v>704</v>
      </c>
      <c r="E64" s="1003" t="s">
        <v>839</v>
      </c>
      <c r="F64" s="1002">
        <v>144638.03</v>
      </c>
      <c r="G64" s="129">
        <v>44420</v>
      </c>
      <c r="H64" s="1003" t="s">
        <v>840</v>
      </c>
      <c r="I64" s="1004">
        <v>150</v>
      </c>
      <c r="J64" s="1005">
        <f t="shared" si="1"/>
        <v>44570</v>
      </c>
      <c r="K64" s="1006"/>
      <c r="L64" s="1006"/>
      <c r="M64" s="1006"/>
      <c r="N64" s="361"/>
    </row>
    <row r="65" spans="1:14" ht="12.75" thickBot="1" x14ac:dyDescent="0.25">
      <c r="A65" s="1046"/>
      <c r="B65" s="1004"/>
      <c r="C65" s="1004"/>
      <c r="D65" s="1003"/>
      <c r="E65" s="1003"/>
      <c r="F65" s="1002"/>
      <c r="G65" s="129"/>
      <c r="H65" s="1003"/>
      <c r="I65" s="1004"/>
      <c r="J65" s="1005"/>
      <c r="K65" s="1006"/>
      <c r="L65" s="1006"/>
      <c r="M65" s="1006"/>
      <c r="N65" s="361"/>
    </row>
    <row r="66" spans="1:14" ht="168" x14ac:dyDescent="0.2">
      <c r="A66" s="1046" t="s">
        <v>841</v>
      </c>
      <c r="B66" s="1504" t="s">
        <v>842</v>
      </c>
      <c r="C66" s="1004" t="s">
        <v>763</v>
      </c>
      <c r="D66" s="1003" t="s">
        <v>690</v>
      </c>
      <c r="E66" s="1003" t="s">
        <v>843</v>
      </c>
      <c r="F66" s="1002">
        <v>38987937.520000003</v>
      </c>
      <c r="G66" s="129">
        <v>44435</v>
      </c>
      <c r="H66" s="1003" t="s">
        <v>844</v>
      </c>
      <c r="I66" s="1004" t="s">
        <v>845</v>
      </c>
      <c r="J66" s="1005">
        <f>G66+120+420</f>
        <v>44975</v>
      </c>
      <c r="K66" s="1006"/>
      <c r="L66" s="1006"/>
      <c r="M66" s="1006"/>
      <c r="N66" s="361"/>
    </row>
    <row r="67" spans="1:14" ht="132" x14ac:dyDescent="0.2">
      <c r="A67" s="1049" t="s">
        <v>846</v>
      </c>
      <c r="B67" s="1504"/>
      <c r="C67" s="1004" t="s">
        <v>763</v>
      </c>
      <c r="D67" s="1003" t="s">
        <v>690</v>
      </c>
      <c r="E67" s="1003" t="s">
        <v>843</v>
      </c>
      <c r="F67" s="1002">
        <v>21154323.289999999</v>
      </c>
      <c r="G67" s="129">
        <v>44435</v>
      </c>
      <c r="H67" s="1003" t="s">
        <v>844</v>
      </c>
      <c r="I67" s="1004" t="s">
        <v>845</v>
      </c>
      <c r="J67" s="1005">
        <f>G67+120+420</f>
        <v>44975</v>
      </c>
      <c r="K67" s="1006"/>
      <c r="L67" s="1006"/>
      <c r="M67" s="1006"/>
      <c r="N67" s="361"/>
    </row>
    <row r="68" spans="1:14" ht="180" x14ac:dyDescent="0.2">
      <c r="A68" s="1049" t="s">
        <v>847</v>
      </c>
      <c r="B68" s="1004">
        <v>2470264</v>
      </c>
      <c r="C68" s="1004" t="s">
        <v>695</v>
      </c>
      <c r="D68" s="1003" t="s">
        <v>696</v>
      </c>
      <c r="E68" s="1003" t="s">
        <v>848</v>
      </c>
      <c r="F68" s="1002">
        <v>874292.29</v>
      </c>
      <c r="G68" s="129">
        <v>44442</v>
      </c>
      <c r="H68" s="1003" t="s">
        <v>849</v>
      </c>
      <c r="I68" s="1004">
        <v>330</v>
      </c>
      <c r="J68" s="1005">
        <f>G68+I68</f>
        <v>44772</v>
      </c>
      <c r="K68" s="1006"/>
      <c r="L68" s="1006"/>
      <c r="M68" s="1006"/>
      <c r="N68" s="361"/>
    </row>
    <row r="69" spans="1:14" ht="72.75" thickBot="1" x14ac:dyDescent="0.25">
      <c r="A69" s="1049" t="s">
        <v>850</v>
      </c>
      <c r="B69" s="1004" t="s">
        <v>822</v>
      </c>
      <c r="C69" s="1004" t="s">
        <v>695</v>
      </c>
      <c r="D69" s="1003" t="s">
        <v>696</v>
      </c>
      <c r="E69" s="1003" t="s">
        <v>851</v>
      </c>
      <c r="F69" s="1002">
        <v>2760905.16</v>
      </c>
      <c r="G69" s="129">
        <v>44446</v>
      </c>
      <c r="H69" s="1003" t="s">
        <v>784</v>
      </c>
      <c r="I69" s="1004" t="s">
        <v>852</v>
      </c>
      <c r="J69" s="1005"/>
      <c r="K69" s="1006"/>
      <c r="L69" s="1006"/>
      <c r="M69" s="1006"/>
      <c r="N69" s="361"/>
    </row>
    <row r="70" spans="1:14" ht="156.75" thickBot="1" x14ac:dyDescent="0.25">
      <c r="A70" s="1046" t="s">
        <v>853</v>
      </c>
      <c r="B70" s="1004">
        <v>2384757</v>
      </c>
      <c r="C70" s="1004" t="s">
        <v>695</v>
      </c>
      <c r="D70" s="1003" t="s">
        <v>696</v>
      </c>
      <c r="E70" s="1003" t="s">
        <v>854</v>
      </c>
      <c r="F70" s="1008">
        <v>1423986.37</v>
      </c>
      <c r="G70" s="129">
        <v>44448</v>
      </c>
      <c r="H70" s="1009" t="s">
        <v>855</v>
      </c>
      <c r="I70" s="1004">
        <v>180</v>
      </c>
      <c r="J70" s="1005">
        <f>G70+I70</f>
        <v>44628</v>
      </c>
      <c r="K70" s="1006"/>
      <c r="L70" s="1006"/>
      <c r="M70" s="1006"/>
      <c r="N70" s="361"/>
    </row>
    <row r="71" spans="1:14" ht="180.75" thickBot="1" x14ac:dyDescent="0.25">
      <c r="A71" s="1046" t="s">
        <v>856</v>
      </c>
      <c r="B71" s="1004">
        <v>325161</v>
      </c>
      <c r="C71" s="1004" t="s">
        <v>695</v>
      </c>
      <c r="D71" s="1003" t="s">
        <v>696</v>
      </c>
      <c r="E71" s="1003" t="s">
        <v>857</v>
      </c>
      <c r="F71" s="1002">
        <v>8437297.5299999993</v>
      </c>
      <c r="G71" s="129">
        <v>44452</v>
      </c>
      <c r="H71" s="1003" t="s">
        <v>858</v>
      </c>
      <c r="I71" s="1004">
        <v>540</v>
      </c>
      <c r="J71" s="1005">
        <f>G71+I71</f>
        <v>44992</v>
      </c>
      <c r="K71" s="1006"/>
      <c r="L71" s="1006"/>
      <c r="M71" s="1006"/>
      <c r="N71" s="361"/>
    </row>
    <row r="72" spans="1:14" ht="132.75" thickBot="1" x14ac:dyDescent="0.25">
      <c r="A72" s="1046" t="s">
        <v>859</v>
      </c>
      <c r="B72" s="1016">
        <v>2436548</v>
      </c>
      <c r="C72" s="1016" t="s">
        <v>695</v>
      </c>
      <c r="D72" s="1015" t="s">
        <v>696</v>
      </c>
      <c r="E72" s="1015" t="s">
        <v>860</v>
      </c>
      <c r="F72" s="1013">
        <v>672148.35</v>
      </c>
      <c r="G72" s="1014">
        <v>44453</v>
      </c>
      <c r="H72" s="1015" t="s">
        <v>861</v>
      </c>
      <c r="I72" s="1016">
        <v>240</v>
      </c>
      <c r="J72" s="1017">
        <f>G72+I72</f>
        <v>44693</v>
      </c>
      <c r="K72" s="1018"/>
      <c r="L72" s="1018"/>
      <c r="M72" s="1018"/>
      <c r="N72" s="1019"/>
    </row>
    <row r="73" spans="1:14" ht="21" customHeight="1" thickBot="1" x14ac:dyDescent="0.25">
      <c r="A73" s="376" t="s">
        <v>0</v>
      </c>
      <c r="B73" s="343"/>
      <c r="C73" s="376"/>
      <c r="D73" s="556"/>
      <c r="E73" s="556"/>
      <c r="F73" s="557">
        <f>SUM(F35:F72)</f>
        <v>251098915.22000006</v>
      </c>
      <c r="G73" s="558"/>
      <c r="H73" s="559"/>
      <c r="I73" s="560"/>
      <c r="J73" s="561"/>
      <c r="K73" s="558"/>
      <c r="L73" s="558"/>
      <c r="M73" s="558"/>
      <c r="N73" s="558"/>
    </row>
    <row r="74" spans="1:14" x14ac:dyDescent="0.2">
      <c r="A74" s="302" t="s">
        <v>344</v>
      </c>
      <c r="B74" s="303"/>
      <c r="C74" s="303"/>
      <c r="D74" s="303"/>
      <c r="E74" s="303"/>
      <c r="F74" s="303"/>
      <c r="G74" s="303"/>
      <c r="H74" s="303"/>
      <c r="I74" s="303"/>
      <c r="J74" s="303"/>
      <c r="K74" s="303"/>
      <c r="L74" s="303"/>
    </row>
    <row r="75" spans="1:14" x14ac:dyDescent="0.2">
      <c r="A75" s="312"/>
      <c r="B75" s="312"/>
    </row>
    <row r="76" spans="1:14" x14ac:dyDescent="0.2">
      <c r="A76" s="312"/>
    </row>
    <row r="77" spans="1:14" x14ac:dyDescent="0.2">
      <c r="A77" s="312"/>
    </row>
    <row r="78" spans="1:14" x14ac:dyDescent="0.2">
      <c r="A78" s="659" t="s">
        <v>641</v>
      </c>
    </row>
    <row r="79" spans="1:14" ht="12.75" thickBot="1" x14ac:dyDescent="0.25"/>
    <row r="80" spans="1:14" ht="75" customHeight="1" x14ac:dyDescent="0.2">
      <c r="A80" s="1029" t="s">
        <v>862</v>
      </c>
      <c r="B80" s="1030">
        <v>2252487</v>
      </c>
      <c r="C80" s="1031" t="s">
        <v>690</v>
      </c>
      <c r="D80" s="1031" t="s">
        <v>863</v>
      </c>
      <c r="E80" s="1032" t="s">
        <v>864</v>
      </c>
      <c r="F80" s="1033">
        <v>8050052.96</v>
      </c>
      <c r="G80" s="1034">
        <v>44306</v>
      </c>
      <c r="H80" s="1031" t="s">
        <v>865</v>
      </c>
      <c r="I80" s="1031" t="s">
        <v>866</v>
      </c>
      <c r="J80" s="1035">
        <v>44594</v>
      </c>
      <c r="K80" s="1030" t="s">
        <v>527</v>
      </c>
      <c r="L80" s="1030" t="s">
        <v>527</v>
      </c>
      <c r="M80" s="1036" t="s">
        <v>527</v>
      </c>
      <c r="N80" s="1037">
        <v>44684</v>
      </c>
    </row>
    <row r="81" spans="1:14" x14ac:dyDescent="0.2">
      <c r="A81" s="340"/>
      <c r="B81" s="359"/>
      <c r="C81" s="342"/>
      <c r="D81" s="342"/>
      <c r="E81" s="342"/>
      <c r="F81" s="538"/>
      <c r="G81" s="342"/>
      <c r="H81" s="342"/>
      <c r="I81" s="342"/>
      <c r="J81" s="342"/>
      <c r="K81" s="342"/>
      <c r="L81" s="342"/>
      <c r="M81" s="341"/>
      <c r="N81" s="341"/>
    </row>
    <row r="82" spans="1:14" ht="12.75" thickBot="1" x14ac:dyDescent="0.25">
      <c r="A82" s="365" t="s">
        <v>99</v>
      </c>
      <c r="B82" s="363"/>
      <c r="C82" s="327"/>
      <c r="D82" s="327"/>
      <c r="E82" s="327"/>
      <c r="F82" s="539"/>
      <c r="G82" s="327"/>
      <c r="H82" s="327"/>
      <c r="I82" s="327"/>
      <c r="J82" s="327"/>
      <c r="K82" s="327"/>
      <c r="L82" s="327"/>
      <c r="M82" s="338"/>
      <c r="N82" s="338"/>
    </row>
    <row r="83" spans="1:14" ht="24" customHeight="1" thickBot="1" x14ac:dyDescent="0.25">
      <c r="A83" s="376" t="s">
        <v>0</v>
      </c>
      <c r="B83" s="343"/>
      <c r="C83" s="339"/>
      <c r="D83" s="333"/>
      <c r="E83" s="333"/>
      <c r="F83" s="540">
        <f>SUM(F80:F82)</f>
        <v>8050052.96</v>
      </c>
      <c r="G83" s="339"/>
      <c r="H83" s="339"/>
      <c r="I83" s="339"/>
      <c r="J83" s="339"/>
      <c r="K83" s="339"/>
      <c r="L83" s="339"/>
      <c r="M83" s="339"/>
      <c r="N83" s="339"/>
    </row>
    <row r="87" spans="1:14" ht="12.75" thickBot="1" x14ac:dyDescent="0.25">
      <c r="A87" s="396" t="s">
        <v>683</v>
      </c>
      <c r="B87" s="306"/>
      <c r="G87" s="306"/>
      <c r="H87" s="306"/>
    </row>
    <row r="88" spans="1:14" x14ac:dyDescent="0.2">
      <c r="A88" s="1038">
        <v>1</v>
      </c>
      <c r="B88" s="1039"/>
      <c r="C88" s="1040"/>
      <c r="D88" s="1040"/>
      <c r="E88" s="1040"/>
      <c r="F88" s="1040"/>
      <c r="G88" s="1040"/>
      <c r="H88" s="1040"/>
      <c r="I88" s="1040"/>
      <c r="J88" s="1040"/>
      <c r="K88" s="1040"/>
      <c r="L88" s="1040"/>
      <c r="M88" s="1041"/>
      <c r="N88" s="1041"/>
    </row>
    <row r="89" spans="1:14" x14ac:dyDescent="0.2">
      <c r="A89" s="345">
        <v>2</v>
      </c>
      <c r="B89" s="359"/>
      <c r="C89" s="342"/>
      <c r="D89" s="342"/>
      <c r="E89" s="342"/>
      <c r="F89" s="342"/>
      <c r="G89" s="342"/>
      <c r="H89" s="342"/>
      <c r="I89" s="342"/>
      <c r="J89" s="342"/>
      <c r="K89" s="342"/>
      <c r="L89" s="342"/>
      <c r="M89" s="341"/>
      <c r="N89" s="341"/>
    </row>
    <row r="90" spans="1:14" x14ac:dyDescent="0.2">
      <c r="A90" s="345">
        <v>3</v>
      </c>
      <c r="B90" s="359"/>
      <c r="C90" s="342"/>
      <c r="D90" s="342"/>
      <c r="E90" s="342"/>
      <c r="F90" s="342"/>
      <c r="G90" s="342"/>
      <c r="H90" s="342"/>
      <c r="I90" s="342"/>
      <c r="J90" s="342"/>
      <c r="K90" s="342"/>
      <c r="L90" s="342"/>
      <c r="M90" s="341"/>
      <c r="N90" s="341"/>
    </row>
    <row r="91" spans="1:14" x14ac:dyDescent="0.2">
      <c r="A91" s="345">
        <v>4</v>
      </c>
      <c r="B91" s="359"/>
      <c r="C91" s="342"/>
      <c r="D91" s="342"/>
      <c r="E91" s="342"/>
      <c r="F91" s="342"/>
      <c r="G91" s="342"/>
      <c r="H91" s="342"/>
      <c r="I91" s="342"/>
      <c r="J91" s="342"/>
      <c r="K91" s="342"/>
      <c r="L91" s="342"/>
      <c r="M91" s="341"/>
      <c r="N91" s="341"/>
    </row>
    <row r="92" spans="1:14" x14ac:dyDescent="0.2">
      <c r="A92" s="345">
        <v>5</v>
      </c>
      <c r="B92" s="359"/>
      <c r="C92" s="342"/>
      <c r="D92" s="342"/>
      <c r="E92" s="342"/>
      <c r="F92" s="342"/>
      <c r="G92" s="342"/>
      <c r="H92" s="342"/>
      <c r="I92" s="342"/>
      <c r="J92" s="342"/>
      <c r="K92" s="342"/>
      <c r="L92" s="342"/>
      <c r="M92" s="341"/>
      <c r="N92" s="341"/>
    </row>
    <row r="93" spans="1:14" x14ac:dyDescent="0.2">
      <c r="A93" s="345">
        <v>6</v>
      </c>
      <c r="B93" s="359"/>
      <c r="C93" s="342"/>
      <c r="D93" s="342"/>
      <c r="E93" s="342"/>
      <c r="F93" s="342"/>
      <c r="G93" s="342"/>
      <c r="H93" s="342"/>
      <c r="I93" s="342"/>
      <c r="J93" s="342"/>
      <c r="K93" s="342"/>
      <c r="L93" s="342"/>
      <c r="M93" s="341"/>
      <c r="N93" s="341"/>
    </row>
    <row r="94" spans="1:14" x14ac:dyDescent="0.2">
      <c r="A94" s="345">
        <v>7</v>
      </c>
      <c r="B94" s="359"/>
      <c r="C94" s="342"/>
      <c r="D94" s="342"/>
      <c r="E94" s="342"/>
      <c r="F94" s="342"/>
      <c r="G94" s="342"/>
      <c r="H94" s="342"/>
      <c r="I94" s="342"/>
      <c r="J94" s="342"/>
      <c r="K94" s="342"/>
      <c r="L94" s="342"/>
      <c r="M94" s="341"/>
      <c r="N94" s="341"/>
    </row>
    <row r="95" spans="1:14" x14ac:dyDescent="0.2">
      <c r="A95" s="345">
        <v>8</v>
      </c>
      <c r="B95" s="359"/>
      <c r="C95" s="342"/>
      <c r="D95" s="342"/>
      <c r="E95" s="342"/>
      <c r="F95" s="342"/>
      <c r="G95" s="342"/>
      <c r="H95" s="342"/>
      <c r="I95" s="342"/>
      <c r="J95" s="342"/>
      <c r="K95" s="342"/>
      <c r="L95" s="342"/>
      <c r="M95" s="341"/>
      <c r="N95" s="341"/>
    </row>
    <row r="96" spans="1:14" x14ac:dyDescent="0.2">
      <c r="A96" s="345">
        <v>9</v>
      </c>
      <c r="B96" s="359"/>
      <c r="C96" s="342"/>
      <c r="D96" s="342"/>
      <c r="E96" s="342"/>
      <c r="F96" s="342"/>
      <c r="G96" s="342"/>
      <c r="H96" s="342"/>
      <c r="I96" s="342"/>
      <c r="J96" s="342"/>
      <c r="K96" s="342"/>
      <c r="L96" s="342"/>
      <c r="M96" s="341"/>
      <c r="N96" s="341"/>
    </row>
    <row r="97" spans="1:14" x14ac:dyDescent="0.2">
      <c r="A97" s="345">
        <v>10</v>
      </c>
      <c r="B97" s="359"/>
      <c r="C97" s="342"/>
      <c r="D97" s="342"/>
      <c r="E97" s="342"/>
      <c r="F97" s="342"/>
      <c r="G97" s="342"/>
      <c r="H97" s="342"/>
      <c r="I97" s="342"/>
      <c r="J97" s="342"/>
      <c r="K97" s="342"/>
      <c r="L97" s="342"/>
      <c r="M97" s="341"/>
      <c r="N97" s="341"/>
    </row>
    <row r="98" spans="1:14" x14ac:dyDescent="0.2">
      <c r="A98" s="345">
        <v>11</v>
      </c>
      <c r="B98" s="359"/>
      <c r="C98" s="342"/>
      <c r="D98" s="342"/>
      <c r="E98" s="342"/>
      <c r="F98" s="342"/>
      <c r="G98" s="342"/>
      <c r="H98" s="342"/>
      <c r="I98" s="342"/>
      <c r="J98" s="342"/>
      <c r="K98" s="342"/>
      <c r="L98" s="342"/>
      <c r="M98" s="341"/>
      <c r="N98" s="341"/>
    </row>
    <row r="99" spans="1:14" x14ac:dyDescent="0.2">
      <c r="A99" s="345">
        <v>12</v>
      </c>
      <c r="B99" s="359"/>
      <c r="C99" s="342"/>
      <c r="D99" s="342"/>
      <c r="E99" s="342"/>
      <c r="F99" s="342"/>
      <c r="G99" s="342"/>
      <c r="H99" s="342"/>
      <c r="I99" s="342"/>
      <c r="J99" s="342"/>
      <c r="K99" s="342"/>
      <c r="L99" s="342"/>
      <c r="M99" s="341"/>
      <c r="N99" s="341"/>
    </row>
    <row r="100" spans="1:14" x14ac:dyDescent="0.2">
      <c r="A100" s="345">
        <v>13</v>
      </c>
      <c r="B100" s="359"/>
      <c r="C100" s="342"/>
      <c r="D100" s="342"/>
      <c r="E100" s="342"/>
      <c r="F100" s="342"/>
      <c r="G100" s="342"/>
      <c r="H100" s="342"/>
      <c r="I100" s="342"/>
      <c r="J100" s="342"/>
      <c r="K100" s="342"/>
      <c r="L100" s="342"/>
      <c r="M100" s="341"/>
      <c r="N100" s="341"/>
    </row>
    <row r="101" spans="1:14" x14ac:dyDescent="0.2">
      <c r="A101" s="345">
        <v>14</v>
      </c>
      <c r="B101" s="359"/>
      <c r="C101" s="342"/>
      <c r="D101" s="342"/>
      <c r="E101" s="342"/>
      <c r="F101" s="342"/>
      <c r="G101" s="342"/>
      <c r="H101" s="342"/>
      <c r="I101" s="342"/>
      <c r="J101" s="342"/>
      <c r="K101" s="342"/>
      <c r="L101" s="342"/>
      <c r="M101" s="341"/>
      <c r="N101" s="341"/>
    </row>
    <row r="102" spans="1:14" x14ac:dyDescent="0.2">
      <c r="A102" s="345">
        <v>15</v>
      </c>
      <c r="B102" s="359"/>
      <c r="C102" s="342"/>
      <c r="D102" s="342"/>
      <c r="E102" s="342"/>
      <c r="F102" s="342"/>
      <c r="G102" s="342"/>
      <c r="H102" s="342"/>
      <c r="I102" s="342"/>
      <c r="J102" s="342"/>
      <c r="K102" s="342"/>
      <c r="L102" s="342"/>
      <c r="M102" s="341"/>
      <c r="N102" s="341"/>
    </row>
    <row r="103" spans="1:14" x14ac:dyDescent="0.2">
      <c r="A103" s="345">
        <v>16</v>
      </c>
      <c r="B103" s="359"/>
      <c r="C103" s="342"/>
      <c r="D103" s="342"/>
      <c r="E103" s="342"/>
      <c r="F103" s="342"/>
      <c r="G103" s="342"/>
      <c r="H103" s="342"/>
      <c r="I103" s="342"/>
      <c r="J103" s="342"/>
      <c r="K103" s="342"/>
      <c r="L103" s="342"/>
      <c r="M103" s="341"/>
      <c r="N103" s="341"/>
    </row>
    <row r="104" spans="1:14" x14ac:dyDescent="0.2">
      <c r="A104" s="345">
        <v>17</v>
      </c>
      <c r="B104" s="359"/>
      <c r="C104" s="342"/>
      <c r="D104" s="342"/>
      <c r="E104" s="342"/>
      <c r="F104" s="342"/>
      <c r="G104" s="342"/>
      <c r="H104" s="342"/>
      <c r="I104" s="342"/>
      <c r="J104" s="342"/>
      <c r="K104" s="342"/>
      <c r="L104" s="342"/>
      <c r="M104" s="341"/>
      <c r="N104" s="341"/>
    </row>
    <row r="105" spans="1:14" x14ac:dyDescent="0.2">
      <c r="A105" s="345">
        <v>18</v>
      </c>
      <c r="B105" s="359"/>
      <c r="C105" s="342"/>
      <c r="D105" s="342"/>
      <c r="E105" s="342"/>
      <c r="F105" s="342"/>
      <c r="G105" s="342"/>
      <c r="H105" s="342"/>
      <c r="I105" s="342"/>
      <c r="J105" s="342"/>
      <c r="K105" s="342"/>
      <c r="L105" s="342"/>
      <c r="M105" s="341"/>
      <c r="N105" s="341"/>
    </row>
    <row r="106" spans="1:14" x14ac:dyDescent="0.2">
      <c r="A106" s="345">
        <v>19</v>
      </c>
      <c r="B106" s="359"/>
      <c r="C106" s="342"/>
      <c r="D106" s="342"/>
      <c r="E106" s="342"/>
      <c r="F106" s="342"/>
      <c r="G106" s="342"/>
      <c r="H106" s="342"/>
      <c r="I106" s="342"/>
      <c r="J106" s="342"/>
      <c r="K106" s="342"/>
      <c r="L106" s="342"/>
      <c r="M106" s="341"/>
      <c r="N106" s="341"/>
    </row>
    <row r="107" spans="1:14" x14ac:dyDescent="0.2">
      <c r="A107" s="345">
        <v>20</v>
      </c>
      <c r="B107" s="359"/>
      <c r="C107" s="342"/>
      <c r="D107" s="342"/>
      <c r="E107" s="342"/>
      <c r="F107" s="342"/>
      <c r="G107" s="342"/>
      <c r="H107" s="342"/>
      <c r="I107" s="342"/>
      <c r="J107" s="342"/>
      <c r="K107" s="342"/>
      <c r="L107" s="342"/>
      <c r="M107" s="341"/>
      <c r="N107" s="341"/>
    </row>
    <row r="108" spans="1:14" ht="12.75" thickBot="1" x14ac:dyDescent="0.25">
      <c r="A108" s="365" t="s">
        <v>99</v>
      </c>
      <c r="B108" s="363"/>
      <c r="C108" s="672"/>
      <c r="D108" s="672"/>
      <c r="E108" s="672"/>
      <c r="F108" s="672"/>
      <c r="G108" s="672"/>
      <c r="H108" s="672"/>
      <c r="I108" s="672"/>
      <c r="J108" s="672"/>
      <c r="K108" s="672"/>
      <c r="L108" s="672"/>
      <c r="M108" s="1042"/>
      <c r="N108" s="1042"/>
    </row>
    <row r="109" spans="1:14" ht="26.25" customHeight="1" thickBot="1" x14ac:dyDescent="0.25">
      <c r="A109" s="376" t="s">
        <v>0</v>
      </c>
      <c r="B109" s="343"/>
      <c r="C109" s="339"/>
      <c r="D109" s="333"/>
      <c r="E109" s="333"/>
      <c r="F109" s="333"/>
      <c r="G109" s="339"/>
      <c r="H109" s="339"/>
      <c r="I109" s="339"/>
      <c r="J109" s="339"/>
      <c r="K109" s="339"/>
      <c r="L109" s="339"/>
      <c r="M109" s="339"/>
      <c r="N109" s="339"/>
    </row>
    <row r="110" spans="1:14" x14ac:dyDescent="0.2">
      <c r="A110" s="302" t="s">
        <v>344</v>
      </c>
      <c r="B110" s="303"/>
      <c r="C110" s="303"/>
      <c r="D110" s="303"/>
      <c r="E110" s="303"/>
      <c r="F110" s="303"/>
      <c r="G110" s="303"/>
      <c r="H110" s="303"/>
      <c r="I110" s="303"/>
      <c r="J110" s="303"/>
      <c r="K110" s="303"/>
      <c r="L110" s="303"/>
    </row>
  </sheetData>
  <mergeCells count="6">
    <mergeCell ref="B66:B67"/>
    <mergeCell ref="B26:B27"/>
    <mergeCell ref="B28:B30"/>
    <mergeCell ref="B40:B42"/>
    <mergeCell ref="B43:B44"/>
    <mergeCell ref="B56:B60"/>
  </mergeCells>
  <printOptions horizontalCentered="1"/>
  <pageMargins left="0.23622047244094491" right="0.23622047244094491" top="0.74803149606299213" bottom="0.74803149606299213" header="0.31496062992125984" footer="0.31496062992125984"/>
  <pageSetup paperSize="9" scale="60" orientation="landscape" r:id="rId1"/>
  <headerFooter alignWithMargins="0">
    <oddHeader xml:space="preserve">&amp;C&amp;"Arial,Negrita"&amp;18PROYECTO DE PRESUPUESTO 2022
</oddHeader>
    <oddFooter>&amp;L&amp;"Arial,Negrita"&amp;8PROYECTO DE PRESUPUESTO PARA EL AÑO FISCAL 2020
INFORMACIÓN PARA LA COMISIÓN DE PRESUPUESTO Y CUENTA GENERAL DE LA REPÚBLICA DEL CONGRESO DE LA REPÚBLICA</oddFooter>
  </headerFooter>
  <rowBreaks count="5" manualBreakCount="5">
    <brk id="24" max="13" man="1"/>
    <brk id="32" max="13" man="1"/>
    <brk id="39" max="13" man="1"/>
    <brk id="76" max="13" man="1"/>
    <brk id="85" max="1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7030A0"/>
  </sheetPr>
  <dimension ref="A1:U188"/>
  <sheetViews>
    <sheetView showGridLines="0" view="pageBreakPreview" zoomScaleNormal="100" zoomScaleSheetLayoutView="100" zoomScalePageLayoutView="85" workbookViewId="0">
      <selection sqref="A1:A2"/>
    </sheetView>
  </sheetViews>
  <sheetFormatPr baseColWidth="10" defaultColWidth="11.42578125" defaultRowHeight="12" x14ac:dyDescent="0.2"/>
  <cols>
    <col min="1" max="1" width="49.42578125" style="462" customWidth="1"/>
    <col min="2" max="3" width="20.28515625" style="462" customWidth="1"/>
    <col min="4" max="4" width="22.28515625" style="462" customWidth="1"/>
    <col min="5" max="5" width="13.85546875" style="462" customWidth="1"/>
    <col min="6" max="6" width="25.85546875" style="462" customWidth="1"/>
    <col min="7" max="7" width="14.140625" style="462" customWidth="1"/>
    <col min="8" max="9" width="17.7109375" style="462" customWidth="1"/>
    <col min="10" max="10" width="26.140625" style="462" customWidth="1"/>
    <col min="11" max="16384" width="11.42578125" style="462"/>
  </cols>
  <sheetData>
    <row r="1" spans="1:21" s="656" customFormat="1" ht="15.75" customHeight="1" x14ac:dyDescent="0.25">
      <c r="A1" s="89" t="s">
        <v>416</v>
      </c>
      <c r="B1" s="396"/>
      <c r="C1" s="396"/>
      <c r="D1" s="396"/>
      <c r="E1" s="396"/>
      <c r="F1" s="396"/>
      <c r="G1" s="396"/>
      <c r="H1" s="396"/>
      <c r="I1" s="396"/>
      <c r="J1" s="396"/>
    </row>
    <row r="2" spans="1:21" s="656" customFormat="1" ht="15" x14ac:dyDescent="0.2">
      <c r="A2" s="90" t="s">
        <v>867</v>
      </c>
      <c r="B2" s="396"/>
      <c r="C2" s="396"/>
      <c r="D2" s="396"/>
      <c r="E2" s="396"/>
      <c r="F2" s="396"/>
      <c r="G2" s="396"/>
      <c r="H2" s="396"/>
      <c r="I2" s="396"/>
      <c r="J2" s="396"/>
      <c r="K2" s="396"/>
      <c r="L2" s="396"/>
      <c r="M2" s="396"/>
      <c r="N2" s="396"/>
      <c r="O2" s="396"/>
      <c r="P2" s="396"/>
      <c r="Q2" s="396"/>
      <c r="R2" s="396"/>
      <c r="S2" s="396"/>
      <c r="T2" s="396"/>
      <c r="U2" s="396"/>
    </row>
    <row r="3" spans="1:21" ht="14.25" customHeight="1" thickBot="1" x14ac:dyDescent="0.25">
      <c r="A3" s="305"/>
      <c r="B3" s="305"/>
      <c r="C3" s="305"/>
      <c r="D3" s="491"/>
      <c r="E3" s="491"/>
      <c r="F3" s="491"/>
      <c r="G3" s="311"/>
    </row>
    <row r="4" spans="1:21" ht="13.5" hidden="1" customHeight="1" x14ac:dyDescent="0.2">
      <c r="A4" s="360" t="s">
        <v>84</v>
      </c>
      <c r="B4" s="364"/>
      <c r="C4" s="364"/>
      <c r="D4" s="321"/>
      <c r="E4" s="321"/>
      <c r="F4" s="321"/>
      <c r="G4" s="321" t="s">
        <v>43</v>
      </c>
      <c r="H4" s="321" t="s">
        <v>85</v>
      </c>
      <c r="I4" s="344"/>
      <c r="J4" s="344"/>
    </row>
    <row r="5" spans="1:21" ht="36.75" thickBot="1" x14ac:dyDescent="0.25">
      <c r="A5" s="443" t="s">
        <v>91</v>
      </c>
      <c r="B5" s="444" t="s">
        <v>90</v>
      </c>
      <c r="C5" s="444" t="s">
        <v>203</v>
      </c>
      <c r="D5" s="442" t="s">
        <v>204</v>
      </c>
      <c r="E5" s="442" t="s">
        <v>2</v>
      </c>
      <c r="F5" s="442" t="s">
        <v>202</v>
      </c>
      <c r="G5" s="444" t="s">
        <v>93</v>
      </c>
      <c r="H5" s="442" t="s">
        <v>164</v>
      </c>
      <c r="I5" s="442" t="s">
        <v>169</v>
      </c>
      <c r="J5" s="442" t="s">
        <v>92</v>
      </c>
    </row>
    <row r="6" spans="1:21" s="395" customFormat="1" ht="21" customHeight="1" thickBot="1" x14ac:dyDescent="0.25">
      <c r="A6" s="1060" t="s">
        <v>609</v>
      </c>
      <c r="B6" s="1061"/>
      <c r="C6" s="1061"/>
      <c r="D6" s="1061"/>
      <c r="E6" s="1061"/>
      <c r="F6" s="1061"/>
      <c r="G6" s="1061"/>
      <c r="H6" s="1061"/>
      <c r="I6" s="1061"/>
      <c r="J6" s="1062"/>
    </row>
    <row r="7" spans="1:21" x14ac:dyDescent="0.2">
      <c r="A7" s="699" t="s">
        <v>868</v>
      </c>
      <c r="B7" s="549"/>
      <c r="C7" s="549"/>
      <c r="D7" s="549"/>
      <c r="E7" s="549"/>
      <c r="F7" s="549"/>
      <c r="G7" s="549"/>
      <c r="H7" s="549"/>
      <c r="I7" s="549"/>
      <c r="J7" s="562"/>
    </row>
    <row r="8" spans="1:21" x14ac:dyDescent="0.2">
      <c r="A8" s="548" t="s">
        <v>687</v>
      </c>
      <c r="B8" s="551"/>
      <c r="C8" s="551"/>
      <c r="D8" s="551"/>
      <c r="E8" s="1050">
        <f>SUM(E9:E37)</f>
        <v>26878200.790000003</v>
      </c>
      <c r="F8" s="551"/>
      <c r="G8" s="551"/>
      <c r="H8" s="551"/>
      <c r="I8" s="551"/>
      <c r="J8" s="550"/>
    </row>
    <row r="9" spans="1:21" ht="33.75" x14ac:dyDescent="0.2">
      <c r="A9" s="1080" t="s">
        <v>869</v>
      </c>
      <c r="B9" s="1081" t="s">
        <v>870</v>
      </c>
      <c r="C9" s="1082" t="s">
        <v>871</v>
      </c>
      <c r="D9" s="1083" t="s">
        <v>872</v>
      </c>
      <c r="E9" s="1084">
        <v>1498000</v>
      </c>
      <c r="F9" s="1085" t="s">
        <v>873</v>
      </c>
      <c r="G9" s="1086" t="s">
        <v>874</v>
      </c>
      <c r="H9" s="1087">
        <v>43852</v>
      </c>
      <c r="I9" s="1087">
        <v>44961</v>
      </c>
      <c r="J9" s="1086" t="s">
        <v>875</v>
      </c>
    </row>
    <row r="10" spans="1:21" ht="22.5" x14ac:dyDescent="0.2">
      <c r="A10" s="1088" t="s">
        <v>876</v>
      </c>
      <c r="B10" s="1089" t="s">
        <v>877</v>
      </c>
      <c r="C10" s="1090" t="s">
        <v>871</v>
      </c>
      <c r="D10" s="1091" t="s">
        <v>878</v>
      </c>
      <c r="E10" s="1092">
        <v>75563.759999999995</v>
      </c>
      <c r="F10" s="1093" t="s">
        <v>879</v>
      </c>
      <c r="G10" s="1094" t="s">
        <v>880</v>
      </c>
      <c r="H10" s="1095">
        <v>43859</v>
      </c>
      <c r="I10" s="1095">
        <v>44234</v>
      </c>
      <c r="J10" s="1094" t="s">
        <v>881</v>
      </c>
    </row>
    <row r="11" spans="1:21" ht="45" x14ac:dyDescent="0.2">
      <c r="A11" s="1088" t="s">
        <v>882</v>
      </c>
      <c r="B11" s="1089" t="s">
        <v>883</v>
      </c>
      <c r="C11" s="1090" t="s">
        <v>871</v>
      </c>
      <c r="D11" s="1091" t="s">
        <v>884</v>
      </c>
      <c r="E11" s="1092">
        <v>542428.18000000005</v>
      </c>
      <c r="F11" s="1093" t="s">
        <v>885</v>
      </c>
      <c r="G11" s="1094" t="s">
        <v>886</v>
      </c>
      <c r="H11" s="1095">
        <v>43861</v>
      </c>
      <c r="I11" s="1095">
        <v>43922</v>
      </c>
      <c r="J11" s="1094" t="s">
        <v>887</v>
      </c>
    </row>
    <row r="12" spans="1:21" ht="33.75" x14ac:dyDescent="0.2">
      <c r="A12" s="1088" t="s">
        <v>888</v>
      </c>
      <c r="B12" s="1089" t="s">
        <v>870</v>
      </c>
      <c r="C12" s="1090" t="s">
        <v>871</v>
      </c>
      <c r="D12" s="1091" t="s">
        <v>889</v>
      </c>
      <c r="E12" s="1092">
        <v>54903.44</v>
      </c>
      <c r="F12" s="1093" t="s">
        <v>890</v>
      </c>
      <c r="G12" s="1094" t="s">
        <v>880</v>
      </c>
      <c r="H12" s="1095">
        <v>43865</v>
      </c>
      <c r="I12" s="1095">
        <v>43951</v>
      </c>
      <c r="J12" s="1094" t="s">
        <v>891</v>
      </c>
    </row>
    <row r="13" spans="1:21" ht="56.25" x14ac:dyDescent="0.2">
      <c r="A13" s="1088" t="s">
        <v>892</v>
      </c>
      <c r="B13" s="1089" t="s">
        <v>893</v>
      </c>
      <c r="C13" s="1090" t="s">
        <v>871</v>
      </c>
      <c r="D13" s="1091" t="s">
        <v>894</v>
      </c>
      <c r="E13" s="1092">
        <v>1939657.7</v>
      </c>
      <c r="F13" s="1093" t="s">
        <v>895</v>
      </c>
      <c r="G13" s="1094" t="s">
        <v>874</v>
      </c>
      <c r="H13" s="1095">
        <v>43878</v>
      </c>
      <c r="I13" s="1095">
        <v>44167</v>
      </c>
      <c r="J13" s="1094" t="s">
        <v>896</v>
      </c>
    </row>
    <row r="14" spans="1:21" ht="33.75" x14ac:dyDescent="0.2">
      <c r="A14" s="1088" t="s">
        <v>897</v>
      </c>
      <c r="B14" s="1089" t="s">
        <v>690</v>
      </c>
      <c r="C14" s="1090" t="s">
        <v>871</v>
      </c>
      <c r="D14" s="1091" t="s">
        <v>898</v>
      </c>
      <c r="E14" s="1092">
        <v>408000</v>
      </c>
      <c r="F14" s="1093" t="s">
        <v>899</v>
      </c>
      <c r="G14" s="1094" t="s">
        <v>880</v>
      </c>
      <c r="H14" s="1095">
        <v>43895</v>
      </c>
      <c r="I14" s="1095">
        <v>44038</v>
      </c>
      <c r="J14" s="1094" t="s">
        <v>900</v>
      </c>
    </row>
    <row r="15" spans="1:21" ht="22.5" x14ac:dyDescent="0.2">
      <c r="A15" s="1088" t="s">
        <v>901</v>
      </c>
      <c r="B15" s="1089" t="s">
        <v>902</v>
      </c>
      <c r="C15" s="1090" t="s">
        <v>871</v>
      </c>
      <c r="D15" s="1091" t="s">
        <v>898</v>
      </c>
      <c r="E15" s="1092">
        <v>438998</v>
      </c>
      <c r="F15" s="1093" t="s">
        <v>903</v>
      </c>
      <c r="G15" s="1094" t="s">
        <v>880</v>
      </c>
      <c r="H15" s="1095">
        <v>43902</v>
      </c>
      <c r="I15" s="1095">
        <v>44087</v>
      </c>
      <c r="J15" s="1094" t="s">
        <v>904</v>
      </c>
    </row>
    <row r="16" spans="1:21" ht="22.5" x14ac:dyDescent="0.2">
      <c r="A16" s="1088" t="s">
        <v>905</v>
      </c>
      <c r="B16" s="1089" t="s">
        <v>883</v>
      </c>
      <c r="C16" s="1090" t="s">
        <v>871</v>
      </c>
      <c r="D16" s="1091" t="s">
        <v>906</v>
      </c>
      <c r="E16" s="1092">
        <v>283203.98</v>
      </c>
      <c r="F16" s="1093" t="s">
        <v>890</v>
      </c>
      <c r="G16" s="1094" t="s">
        <v>880</v>
      </c>
      <c r="H16" s="1095">
        <v>43908</v>
      </c>
      <c r="I16" s="1095">
        <v>44316</v>
      </c>
      <c r="J16" s="1094" t="s">
        <v>907</v>
      </c>
    </row>
    <row r="17" spans="1:10" ht="112.5" x14ac:dyDescent="0.2">
      <c r="A17" s="1088" t="s">
        <v>908</v>
      </c>
      <c r="B17" s="1089" t="s">
        <v>909</v>
      </c>
      <c r="C17" s="1090" t="s">
        <v>871</v>
      </c>
      <c r="D17" s="1091" t="s">
        <v>906</v>
      </c>
      <c r="E17" s="1092">
        <v>2150000</v>
      </c>
      <c r="F17" s="1093" t="s">
        <v>910</v>
      </c>
      <c r="G17" s="1094" t="s">
        <v>880</v>
      </c>
      <c r="H17" s="1095">
        <v>43945</v>
      </c>
      <c r="I17" s="1095">
        <v>44317</v>
      </c>
      <c r="J17" s="1094" t="s">
        <v>911</v>
      </c>
    </row>
    <row r="18" spans="1:10" ht="33.75" x14ac:dyDescent="0.2">
      <c r="A18" s="1088" t="s">
        <v>912</v>
      </c>
      <c r="B18" s="1089" t="s">
        <v>913</v>
      </c>
      <c r="C18" s="1090" t="s">
        <v>871</v>
      </c>
      <c r="D18" s="1096" t="s">
        <v>914</v>
      </c>
      <c r="E18" s="1092">
        <v>1287406.6200000001</v>
      </c>
      <c r="F18" s="1093" t="s">
        <v>915</v>
      </c>
      <c r="G18" s="1094" t="s">
        <v>880</v>
      </c>
      <c r="H18" s="1095">
        <v>44033</v>
      </c>
      <c r="I18" s="1095">
        <v>44124</v>
      </c>
      <c r="J18" s="1094" t="s">
        <v>916</v>
      </c>
    </row>
    <row r="19" spans="1:10" ht="45" x14ac:dyDescent="0.2">
      <c r="A19" s="1088" t="s">
        <v>917</v>
      </c>
      <c r="B19" s="1089" t="s">
        <v>913</v>
      </c>
      <c r="C19" s="1090" t="s">
        <v>871</v>
      </c>
      <c r="D19" s="1096" t="s">
        <v>918</v>
      </c>
      <c r="E19" s="1092">
        <v>89579.48</v>
      </c>
      <c r="F19" s="1093" t="s">
        <v>919</v>
      </c>
      <c r="G19" s="1094" t="s">
        <v>880</v>
      </c>
      <c r="H19" s="1095">
        <v>44070</v>
      </c>
      <c r="I19" s="1095">
        <v>44191</v>
      </c>
      <c r="J19" s="1094" t="s">
        <v>920</v>
      </c>
    </row>
    <row r="20" spans="1:10" ht="45" x14ac:dyDescent="0.2">
      <c r="A20" s="1088" t="s">
        <v>921</v>
      </c>
      <c r="B20" s="1089" t="s">
        <v>909</v>
      </c>
      <c r="C20" s="1090" t="s">
        <v>871</v>
      </c>
      <c r="D20" s="1096" t="s">
        <v>922</v>
      </c>
      <c r="E20" s="1092">
        <v>289041</v>
      </c>
      <c r="F20" s="1093" t="s">
        <v>923</v>
      </c>
      <c r="G20" s="1094" t="s">
        <v>880</v>
      </c>
      <c r="H20" s="1095">
        <v>44071</v>
      </c>
      <c r="I20" s="1095">
        <v>44250</v>
      </c>
      <c r="J20" s="1094" t="s">
        <v>924</v>
      </c>
    </row>
    <row r="21" spans="1:10" ht="22.5" x14ac:dyDescent="0.2">
      <c r="A21" s="1088" t="s">
        <v>925</v>
      </c>
      <c r="B21" s="1089" t="s">
        <v>926</v>
      </c>
      <c r="C21" s="1090" t="s">
        <v>871</v>
      </c>
      <c r="D21" s="1091" t="s">
        <v>927</v>
      </c>
      <c r="E21" s="1092">
        <v>450000</v>
      </c>
      <c r="F21" s="1093" t="s">
        <v>928</v>
      </c>
      <c r="G21" s="1094" t="s">
        <v>874</v>
      </c>
      <c r="H21" s="1095">
        <v>44076</v>
      </c>
      <c r="I21" s="1095" t="s">
        <v>929</v>
      </c>
      <c r="J21" s="1094" t="s">
        <v>930</v>
      </c>
    </row>
    <row r="22" spans="1:10" ht="22.5" x14ac:dyDescent="0.2">
      <c r="A22" s="1088" t="s">
        <v>931</v>
      </c>
      <c r="B22" s="1089" t="s">
        <v>797</v>
      </c>
      <c r="C22" s="1090" t="s">
        <v>871</v>
      </c>
      <c r="D22" s="1091" t="s">
        <v>932</v>
      </c>
      <c r="E22" s="1092">
        <v>104000</v>
      </c>
      <c r="F22" s="1093" t="s">
        <v>933</v>
      </c>
      <c r="G22" s="1094" t="s">
        <v>874</v>
      </c>
      <c r="H22" s="1095">
        <v>44098</v>
      </c>
      <c r="I22" s="1095" t="s">
        <v>929</v>
      </c>
      <c r="J22" s="1094" t="s">
        <v>934</v>
      </c>
    </row>
    <row r="23" spans="1:10" ht="33.75" x14ac:dyDescent="0.2">
      <c r="A23" s="1088" t="s">
        <v>935</v>
      </c>
      <c r="B23" s="1089" t="s">
        <v>870</v>
      </c>
      <c r="C23" s="1090" t="s">
        <v>871</v>
      </c>
      <c r="D23" s="1091" t="s">
        <v>936</v>
      </c>
      <c r="E23" s="1092">
        <v>330883.8</v>
      </c>
      <c r="F23" s="1093" t="s">
        <v>937</v>
      </c>
      <c r="G23" s="1094" t="s">
        <v>880</v>
      </c>
      <c r="H23" s="1095">
        <v>44105</v>
      </c>
      <c r="I23" s="1095">
        <v>44195</v>
      </c>
      <c r="J23" s="1094" t="s">
        <v>938</v>
      </c>
    </row>
    <row r="24" spans="1:10" ht="22.5" x14ac:dyDescent="0.2">
      <c r="A24" s="1088" t="s">
        <v>939</v>
      </c>
      <c r="B24" s="1089" t="s">
        <v>870</v>
      </c>
      <c r="C24" s="1090" t="s">
        <v>871</v>
      </c>
      <c r="D24" s="1091" t="s">
        <v>940</v>
      </c>
      <c r="E24" s="1092">
        <v>309168</v>
      </c>
      <c r="F24" s="1093" t="s">
        <v>941</v>
      </c>
      <c r="G24" s="1094" t="s">
        <v>874</v>
      </c>
      <c r="H24" s="1095">
        <v>44118</v>
      </c>
      <c r="I24" s="1095">
        <v>44913</v>
      </c>
      <c r="J24" s="1094" t="s">
        <v>942</v>
      </c>
    </row>
    <row r="25" spans="1:10" ht="22.5" x14ac:dyDescent="0.2">
      <c r="A25" s="1088" t="s">
        <v>943</v>
      </c>
      <c r="B25" s="1089" t="s">
        <v>870</v>
      </c>
      <c r="C25" s="1090" t="s">
        <v>871</v>
      </c>
      <c r="D25" s="1091" t="s">
        <v>944</v>
      </c>
      <c r="E25" s="1092">
        <v>3594000</v>
      </c>
      <c r="F25" s="1093" t="s">
        <v>945</v>
      </c>
      <c r="G25" s="1094" t="s">
        <v>874</v>
      </c>
      <c r="H25" s="1095">
        <v>44126</v>
      </c>
      <c r="I25" s="1095">
        <v>45341</v>
      </c>
      <c r="J25" s="1094" t="s">
        <v>946</v>
      </c>
    </row>
    <row r="26" spans="1:10" ht="33.75" x14ac:dyDescent="0.2">
      <c r="A26" s="1088" t="s">
        <v>947</v>
      </c>
      <c r="B26" s="1089" t="s">
        <v>870</v>
      </c>
      <c r="C26" s="1090" t="s">
        <v>871</v>
      </c>
      <c r="D26" s="1091" t="s">
        <v>932</v>
      </c>
      <c r="E26" s="1092">
        <v>11116214.880000001</v>
      </c>
      <c r="F26" s="1093" t="s">
        <v>915</v>
      </c>
      <c r="G26" s="1094" t="s">
        <v>874</v>
      </c>
      <c r="H26" s="1095">
        <v>44127</v>
      </c>
      <c r="I26" s="1095">
        <v>44857</v>
      </c>
      <c r="J26" s="1094" t="s">
        <v>948</v>
      </c>
    </row>
    <row r="27" spans="1:10" ht="45" x14ac:dyDescent="0.2">
      <c r="A27" s="1088" t="s">
        <v>949</v>
      </c>
      <c r="B27" s="1089" t="s">
        <v>950</v>
      </c>
      <c r="C27" s="1090" t="s">
        <v>871</v>
      </c>
      <c r="D27" s="1091" t="s">
        <v>951</v>
      </c>
      <c r="E27" s="1092">
        <v>44700</v>
      </c>
      <c r="F27" s="1093" t="s">
        <v>952</v>
      </c>
      <c r="G27" s="1094" t="s">
        <v>880</v>
      </c>
      <c r="H27" s="1095">
        <v>44130</v>
      </c>
      <c r="I27" s="1095">
        <v>44133</v>
      </c>
      <c r="J27" s="1094" t="s">
        <v>953</v>
      </c>
    </row>
    <row r="28" spans="1:10" ht="22.5" x14ac:dyDescent="0.2">
      <c r="A28" s="1088" t="s">
        <v>954</v>
      </c>
      <c r="B28" s="1089" t="s">
        <v>870</v>
      </c>
      <c r="C28" s="1090" t="s">
        <v>871</v>
      </c>
      <c r="D28" s="1091" t="s">
        <v>955</v>
      </c>
      <c r="E28" s="1092">
        <v>313484</v>
      </c>
      <c r="F28" s="1093" t="s">
        <v>956</v>
      </c>
      <c r="G28" s="1094" t="s">
        <v>874</v>
      </c>
      <c r="H28" s="1095">
        <v>44132</v>
      </c>
      <c r="I28" s="1095">
        <v>44497</v>
      </c>
      <c r="J28" s="1094" t="s">
        <v>957</v>
      </c>
    </row>
    <row r="29" spans="1:10" ht="22.5" x14ac:dyDescent="0.2">
      <c r="A29" s="1088" t="s">
        <v>958</v>
      </c>
      <c r="B29" s="1089" t="s">
        <v>870</v>
      </c>
      <c r="C29" s="1090" t="s">
        <v>871</v>
      </c>
      <c r="D29" s="1091" t="s">
        <v>959</v>
      </c>
      <c r="E29" s="1092">
        <v>262883.75</v>
      </c>
      <c r="F29" s="1093" t="s">
        <v>960</v>
      </c>
      <c r="G29" s="1094" t="s">
        <v>880</v>
      </c>
      <c r="H29" s="1095">
        <v>44158</v>
      </c>
      <c r="I29" s="1095">
        <v>44369</v>
      </c>
      <c r="J29" s="1094" t="s">
        <v>961</v>
      </c>
    </row>
    <row r="30" spans="1:10" ht="22.5" x14ac:dyDescent="0.2">
      <c r="A30" s="1088" t="s">
        <v>962</v>
      </c>
      <c r="B30" s="1089" t="s">
        <v>963</v>
      </c>
      <c r="C30" s="1090" t="s">
        <v>871</v>
      </c>
      <c r="D30" s="1091" t="s">
        <v>964</v>
      </c>
      <c r="E30" s="1092">
        <v>282197.38</v>
      </c>
      <c r="F30" s="1093" t="s">
        <v>965</v>
      </c>
      <c r="G30" s="1094" t="s">
        <v>880</v>
      </c>
      <c r="H30" s="1095">
        <v>44162</v>
      </c>
      <c r="I30" s="1095">
        <v>44527</v>
      </c>
      <c r="J30" s="1094" t="s">
        <v>966</v>
      </c>
    </row>
    <row r="31" spans="1:10" ht="45" x14ac:dyDescent="0.2">
      <c r="A31" s="1088" t="s">
        <v>967</v>
      </c>
      <c r="B31" s="1089" t="s">
        <v>877</v>
      </c>
      <c r="C31" s="1090" t="s">
        <v>871</v>
      </c>
      <c r="D31" s="1091" t="s">
        <v>878</v>
      </c>
      <c r="E31" s="1092">
        <v>22670</v>
      </c>
      <c r="F31" s="1093" t="s">
        <v>879</v>
      </c>
      <c r="G31" s="1094" t="s">
        <v>880</v>
      </c>
      <c r="H31" s="1095">
        <v>44168</v>
      </c>
      <c r="I31" s="1095">
        <v>44258</v>
      </c>
      <c r="J31" s="1094" t="s">
        <v>968</v>
      </c>
    </row>
    <row r="32" spans="1:10" ht="45" x14ac:dyDescent="0.2">
      <c r="A32" s="1088" t="s">
        <v>969</v>
      </c>
      <c r="B32" s="1089" t="s">
        <v>704</v>
      </c>
      <c r="C32" s="1090" t="s">
        <v>871</v>
      </c>
      <c r="D32" s="1091" t="s">
        <v>970</v>
      </c>
      <c r="E32" s="1092">
        <v>110250</v>
      </c>
      <c r="F32" s="1093" t="s">
        <v>971</v>
      </c>
      <c r="G32" s="1094" t="s">
        <v>880</v>
      </c>
      <c r="H32" s="1095">
        <v>44172</v>
      </c>
      <c r="I32" s="1095">
        <v>44547</v>
      </c>
      <c r="J32" s="1094" t="s">
        <v>972</v>
      </c>
    </row>
    <row r="33" spans="1:10" ht="22.5" x14ac:dyDescent="0.2">
      <c r="A33" s="1088" t="s">
        <v>973</v>
      </c>
      <c r="B33" s="1089" t="s">
        <v>974</v>
      </c>
      <c r="C33" s="1090" t="s">
        <v>871</v>
      </c>
      <c r="D33" s="1091" t="s">
        <v>975</v>
      </c>
      <c r="E33" s="1092">
        <v>94968</v>
      </c>
      <c r="F33" s="1093" t="s">
        <v>879</v>
      </c>
      <c r="G33" s="1094" t="s">
        <v>874</v>
      </c>
      <c r="H33" s="1095">
        <v>44174</v>
      </c>
      <c r="I33" s="1095">
        <v>44539</v>
      </c>
      <c r="J33" s="1094" t="s">
        <v>976</v>
      </c>
    </row>
    <row r="34" spans="1:10" ht="22.5" x14ac:dyDescent="0.2">
      <c r="A34" s="1088" t="s">
        <v>977</v>
      </c>
      <c r="B34" s="1089" t="s">
        <v>870</v>
      </c>
      <c r="C34" s="1090" t="s">
        <v>871</v>
      </c>
      <c r="D34" s="1091" t="s">
        <v>978</v>
      </c>
      <c r="E34" s="1092">
        <v>146382.12</v>
      </c>
      <c r="F34" s="1093" t="s">
        <v>923</v>
      </c>
      <c r="G34" s="1094" t="s">
        <v>880</v>
      </c>
      <c r="H34" s="1095">
        <v>44179</v>
      </c>
      <c r="I34" s="1095">
        <v>44394</v>
      </c>
      <c r="J34" s="1094" t="s">
        <v>979</v>
      </c>
    </row>
    <row r="35" spans="1:10" ht="33.75" x14ac:dyDescent="0.2">
      <c r="A35" s="1088" t="s">
        <v>980</v>
      </c>
      <c r="B35" s="1089" t="s">
        <v>950</v>
      </c>
      <c r="C35" s="1090" t="s">
        <v>871</v>
      </c>
      <c r="D35" s="1091" t="s">
        <v>981</v>
      </c>
      <c r="E35" s="1092">
        <v>93291</v>
      </c>
      <c r="F35" s="1093" t="s">
        <v>982</v>
      </c>
      <c r="G35" s="1094" t="s">
        <v>880</v>
      </c>
      <c r="H35" s="1095">
        <v>44193</v>
      </c>
      <c r="I35" s="1095">
        <v>44197</v>
      </c>
      <c r="J35" s="1094" t="s">
        <v>983</v>
      </c>
    </row>
    <row r="36" spans="1:10" ht="22.5" x14ac:dyDescent="0.2">
      <c r="A36" s="1088" t="s">
        <v>984</v>
      </c>
      <c r="B36" s="1089" t="s">
        <v>926</v>
      </c>
      <c r="C36" s="1090" t="s">
        <v>871</v>
      </c>
      <c r="D36" s="1091" t="s">
        <v>985</v>
      </c>
      <c r="E36" s="1092">
        <v>50000</v>
      </c>
      <c r="F36" s="1093" t="s">
        <v>986</v>
      </c>
      <c r="G36" s="1094" t="s">
        <v>874</v>
      </c>
      <c r="H36" s="1095">
        <v>44194</v>
      </c>
      <c r="I36" s="1095" t="s">
        <v>929</v>
      </c>
      <c r="J36" s="1094" t="s">
        <v>987</v>
      </c>
    </row>
    <row r="37" spans="1:10" ht="33.75" x14ac:dyDescent="0.2">
      <c r="A37" s="1088" t="s">
        <v>988</v>
      </c>
      <c r="B37" s="1089" t="s">
        <v>926</v>
      </c>
      <c r="C37" s="1090" t="s">
        <v>871</v>
      </c>
      <c r="D37" s="1091" t="s">
        <v>989</v>
      </c>
      <c r="E37" s="1092">
        <v>496325.7</v>
      </c>
      <c r="F37" s="1093" t="s">
        <v>937</v>
      </c>
      <c r="G37" s="1094" t="s">
        <v>880</v>
      </c>
      <c r="H37" s="1095">
        <v>44195</v>
      </c>
      <c r="I37" s="1095">
        <v>44345</v>
      </c>
      <c r="J37" s="1094" t="s">
        <v>990</v>
      </c>
    </row>
    <row r="38" spans="1:10" x14ac:dyDescent="0.2">
      <c r="A38" s="1056"/>
      <c r="B38" s="359"/>
      <c r="C38" s="345"/>
      <c r="D38" s="336"/>
      <c r="E38" s="346"/>
      <c r="F38" s="1067"/>
      <c r="G38" s="341"/>
      <c r="H38" s="342"/>
      <c r="I38" s="342"/>
      <c r="J38" s="341"/>
    </row>
    <row r="39" spans="1:10" x14ac:dyDescent="0.2">
      <c r="A39" s="1057" t="s">
        <v>757</v>
      </c>
      <c r="B39" s="551"/>
      <c r="C39" s="551"/>
      <c r="D39" s="551"/>
      <c r="E39" s="1050">
        <f>SUM(E40:E67)</f>
        <v>19549367.789999995</v>
      </c>
      <c r="F39" s="1068"/>
      <c r="G39" s="551"/>
      <c r="H39" s="551"/>
      <c r="I39" s="551"/>
      <c r="J39" s="550"/>
    </row>
    <row r="40" spans="1:10" ht="78.75" x14ac:dyDescent="0.2">
      <c r="A40" s="1080" t="s">
        <v>991</v>
      </c>
      <c r="B40" s="1081" t="s">
        <v>963</v>
      </c>
      <c r="C40" s="1082" t="s">
        <v>871</v>
      </c>
      <c r="D40" s="1083" t="s">
        <v>992</v>
      </c>
      <c r="E40" s="1097">
        <v>224719</v>
      </c>
      <c r="F40" s="1098" t="s">
        <v>993</v>
      </c>
      <c r="G40" s="1086" t="s">
        <v>880</v>
      </c>
      <c r="H40" s="1087">
        <v>44210</v>
      </c>
      <c r="I40" s="1087">
        <v>44230</v>
      </c>
      <c r="J40" s="1086" t="s">
        <v>994</v>
      </c>
    </row>
    <row r="41" spans="1:10" ht="45" x14ac:dyDescent="0.2">
      <c r="A41" s="1088" t="s">
        <v>995</v>
      </c>
      <c r="B41" s="1089" t="s">
        <v>950</v>
      </c>
      <c r="C41" s="1090" t="s">
        <v>871</v>
      </c>
      <c r="D41" s="1091" t="s">
        <v>996</v>
      </c>
      <c r="E41" s="1099">
        <v>1994200</v>
      </c>
      <c r="F41" s="1093" t="s">
        <v>997</v>
      </c>
      <c r="G41" s="1094" t="s">
        <v>874</v>
      </c>
      <c r="H41" s="1095">
        <v>44222</v>
      </c>
      <c r="I41" s="1095">
        <v>44552</v>
      </c>
      <c r="J41" s="1094" t="s">
        <v>998</v>
      </c>
    </row>
    <row r="42" spans="1:10" ht="33.75" x14ac:dyDescent="0.2">
      <c r="A42" s="1088" t="s">
        <v>999</v>
      </c>
      <c r="B42" s="1089" t="s">
        <v>950</v>
      </c>
      <c r="C42" s="1090" t="s">
        <v>871</v>
      </c>
      <c r="D42" s="1091" t="s">
        <v>1000</v>
      </c>
      <c r="E42" s="1099">
        <v>123600</v>
      </c>
      <c r="F42" s="1093" t="s">
        <v>1001</v>
      </c>
      <c r="G42" s="1094" t="s">
        <v>880</v>
      </c>
      <c r="H42" s="1095">
        <v>44228</v>
      </c>
      <c r="I42" s="1095">
        <v>44308</v>
      </c>
      <c r="J42" s="1094" t="s">
        <v>1002</v>
      </c>
    </row>
    <row r="43" spans="1:10" ht="33.75" x14ac:dyDescent="0.2">
      <c r="A43" s="1088" t="s">
        <v>1003</v>
      </c>
      <c r="B43" s="1089" t="s">
        <v>950</v>
      </c>
      <c r="C43" s="1090" t="s">
        <v>871</v>
      </c>
      <c r="D43" s="1091" t="s">
        <v>1004</v>
      </c>
      <c r="E43" s="1099">
        <v>394000</v>
      </c>
      <c r="F43" s="1093">
        <v>20600981430</v>
      </c>
      <c r="G43" s="1094" t="s">
        <v>874</v>
      </c>
      <c r="H43" s="1095">
        <v>44236</v>
      </c>
      <c r="I43" s="1095">
        <v>45366</v>
      </c>
      <c r="J43" s="1094" t="s">
        <v>1005</v>
      </c>
    </row>
    <row r="44" spans="1:10" ht="33.75" x14ac:dyDescent="0.2">
      <c r="A44" s="1088" t="s">
        <v>1006</v>
      </c>
      <c r="B44" s="1089" t="s">
        <v>950</v>
      </c>
      <c r="C44" s="1090" t="s">
        <v>871</v>
      </c>
      <c r="D44" s="1091" t="s">
        <v>1007</v>
      </c>
      <c r="E44" s="1099">
        <v>200116</v>
      </c>
      <c r="F44" s="1093" t="s">
        <v>1008</v>
      </c>
      <c r="G44" s="1094" t="s">
        <v>874</v>
      </c>
      <c r="H44" s="1095">
        <v>44245</v>
      </c>
      <c r="I44" s="1095">
        <v>44975</v>
      </c>
      <c r="J44" s="1094" t="s">
        <v>1009</v>
      </c>
    </row>
    <row r="45" spans="1:10" ht="22.5" x14ac:dyDescent="0.2">
      <c r="A45" s="1088" t="s">
        <v>1010</v>
      </c>
      <c r="B45" s="1089" t="s">
        <v>870</v>
      </c>
      <c r="C45" s="1090" t="s">
        <v>871</v>
      </c>
      <c r="D45" s="1091" t="s">
        <v>1011</v>
      </c>
      <c r="E45" s="1099">
        <v>1145448</v>
      </c>
      <c r="F45" s="1093">
        <v>20524179025</v>
      </c>
      <c r="G45" s="1094" t="s">
        <v>874</v>
      </c>
      <c r="H45" s="1095">
        <v>44266</v>
      </c>
      <c r="I45" s="1095">
        <v>44996</v>
      </c>
      <c r="J45" s="1094" t="s">
        <v>1012</v>
      </c>
    </row>
    <row r="46" spans="1:10" ht="123.75" x14ac:dyDescent="0.2">
      <c r="A46" s="1088" t="s">
        <v>1013</v>
      </c>
      <c r="B46" s="1089" t="s">
        <v>870</v>
      </c>
      <c r="C46" s="1090" t="s">
        <v>871</v>
      </c>
      <c r="D46" s="1091" t="s">
        <v>970</v>
      </c>
      <c r="E46" s="1099">
        <v>4938069.34</v>
      </c>
      <c r="F46" s="1093" t="s">
        <v>1014</v>
      </c>
      <c r="G46" s="1094" t="s">
        <v>874</v>
      </c>
      <c r="H46" s="1095">
        <v>44270</v>
      </c>
      <c r="I46" s="1095">
        <v>45000</v>
      </c>
      <c r="J46" s="1094" t="s">
        <v>1015</v>
      </c>
    </row>
    <row r="47" spans="1:10" ht="33.75" x14ac:dyDescent="0.2">
      <c r="A47" s="1088" t="s">
        <v>1016</v>
      </c>
      <c r="B47" s="1089" t="s">
        <v>1017</v>
      </c>
      <c r="C47" s="1090" t="s">
        <v>871</v>
      </c>
      <c r="D47" s="1091" t="s">
        <v>1018</v>
      </c>
      <c r="E47" s="1099">
        <v>59350</v>
      </c>
      <c r="F47" s="1093" t="s">
        <v>1019</v>
      </c>
      <c r="G47" s="1094" t="s">
        <v>874</v>
      </c>
      <c r="H47" s="1095">
        <v>44294</v>
      </c>
      <c r="I47" s="1095">
        <v>44744</v>
      </c>
      <c r="J47" s="1094" t="s">
        <v>1020</v>
      </c>
    </row>
    <row r="48" spans="1:10" ht="22.5" x14ac:dyDescent="0.2">
      <c r="A48" s="1088" t="s">
        <v>1021</v>
      </c>
      <c r="B48" s="1089" t="s">
        <v>870</v>
      </c>
      <c r="C48" s="1090" t="s">
        <v>871</v>
      </c>
      <c r="D48" s="1091" t="s">
        <v>1022</v>
      </c>
      <c r="E48" s="1099">
        <v>767328</v>
      </c>
      <c r="F48" s="1093" t="s">
        <v>923</v>
      </c>
      <c r="G48" s="1094" t="s">
        <v>874</v>
      </c>
      <c r="H48" s="1095">
        <v>44298</v>
      </c>
      <c r="I48" s="1095">
        <v>45057</v>
      </c>
      <c r="J48" s="1094" t="s">
        <v>1023</v>
      </c>
    </row>
    <row r="49" spans="1:10" ht="33.75" x14ac:dyDescent="0.2">
      <c r="A49" s="1088" t="s">
        <v>1024</v>
      </c>
      <c r="B49" s="1089" t="s">
        <v>870</v>
      </c>
      <c r="C49" s="1090" t="s">
        <v>871</v>
      </c>
      <c r="D49" s="1091" t="s">
        <v>1025</v>
      </c>
      <c r="E49" s="1099">
        <v>84659.199999999997</v>
      </c>
      <c r="F49" s="1093" t="s">
        <v>890</v>
      </c>
      <c r="G49" s="1094" t="s">
        <v>880</v>
      </c>
      <c r="H49" s="1095">
        <v>44315</v>
      </c>
      <c r="I49" s="1095">
        <v>44417</v>
      </c>
      <c r="J49" s="1094" t="s">
        <v>1026</v>
      </c>
    </row>
    <row r="50" spans="1:10" ht="101.25" x14ac:dyDescent="0.2">
      <c r="A50" s="1088" t="s">
        <v>1027</v>
      </c>
      <c r="B50" s="1089" t="s">
        <v>870</v>
      </c>
      <c r="C50" s="1090" t="s">
        <v>871</v>
      </c>
      <c r="D50" s="1091" t="s">
        <v>1025</v>
      </c>
      <c r="E50" s="1099">
        <v>176712.34</v>
      </c>
      <c r="F50" s="1093" t="s">
        <v>1028</v>
      </c>
      <c r="G50" s="1094" t="s">
        <v>880</v>
      </c>
      <c r="H50" s="1095">
        <v>44316</v>
      </c>
      <c r="I50" s="1095">
        <v>44347</v>
      </c>
      <c r="J50" s="1094" t="s">
        <v>1029</v>
      </c>
    </row>
    <row r="51" spans="1:10" ht="22.5" x14ac:dyDescent="0.2">
      <c r="A51" s="1088" t="s">
        <v>1030</v>
      </c>
      <c r="B51" s="1089" t="s">
        <v>1017</v>
      </c>
      <c r="C51" s="1090" t="s">
        <v>871</v>
      </c>
      <c r="D51" s="1091" t="s">
        <v>1031</v>
      </c>
      <c r="E51" s="1099">
        <v>59799</v>
      </c>
      <c r="F51" s="1093" t="s">
        <v>1032</v>
      </c>
      <c r="G51" s="1094" t="s">
        <v>874</v>
      </c>
      <c r="H51" s="1095">
        <v>44333</v>
      </c>
      <c r="I51" s="1095">
        <v>44698</v>
      </c>
      <c r="J51" s="1094" t="s">
        <v>1033</v>
      </c>
    </row>
    <row r="52" spans="1:10" ht="33.75" x14ac:dyDescent="0.2">
      <c r="A52" s="1088" t="s">
        <v>1034</v>
      </c>
      <c r="B52" s="1089" t="s">
        <v>1017</v>
      </c>
      <c r="C52" s="1090" t="s">
        <v>871</v>
      </c>
      <c r="D52" s="1091" t="s">
        <v>1035</v>
      </c>
      <c r="E52" s="1099">
        <v>255000</v>
      </c>
      <c r="F52" s="1093" t="s">
        <v>1032</v>
      </c>
      <c r="G52" s="1094" t="s">
        <v>874</v>
      </c>
      <c r="H52" s="1095">
        <v>44333</v>
      </c>
      <c r="I52" s="1095">
        <v>45063</v>
      </c>
      <c r="J52" s="1094" t="s">
        <v>1036</v>
      </c>
    </row>
    <row r="53" spans="1:10" ht="33.75" x14ac:dyDescent="0.2">
      <c r="A53" s="1088" t="s">
        <v>1037</v>
      </c>
      <c r="B53" s="1089" t="s">
        <v>1038</v>
      </c>
      <c r="C53" s="1090" t="s">
        <v>871</v>
      </c>
      <c r="D53" s="1091" t="s">
        <v>1039</v>
      </c>
      <c r="E53" s="1099">
        <v>668707.6</v>
      </c>
      <c r="F53" s="1093" t="s">
        <v>945</v>
      </c>
      <c r="G53" s="1094" t="s">
        <v>874</v>
      </c>
      <c r="H53" s="1095">
        <v>44337</v>
      </c>
      <c r="I53" s="1095">
        <v>44382</v>
      </c>
      <c r="J53" s="1094" t="s">
        <v>1040</v>
      </c>
    </row>
    <row r="54" spans="1:10" ht="22.5" x14ac:dyDescent="0.2">
      <c r="A54" s="1088" t="s">
        <v>1041</v>
      </c>
      <c r="B54" s="1089" t="s">
        <v>1038</v>
      </c>
      <c r="C54" s="1090" t="s">
        <v>871</v>
      </c>
      <c r="D54" s="1091" t="s">
        <v>1042</v>
      </c>
      <c r="E54" s="1099">
        <v>371401.5</v>
      </c>
      <c r="F54" s="1093" t="s">
        <v>945</v>
      </c>
      <c r="G54" s="1094" t="s">
        <v>874</v>
      </c>
      <c r="H54" s="1095">
        <v>44337</v>
      </c>
      <c r="I54" s="1095">
        <v>44382</v>
      </c>
      <c r="J54" s="1094" t="s">
        <v>1043</v>
      </c>
    </row>
    <row r="55" spans="1:10" ht="33.75" x14ac:dyDescent="0.2">
      <c r="A55" s="1088" t="s">
        <v>1044</v>
      </c>
      <c r="B55" s="1089" t="s">
        <v>1038</v>
      </c>
      <c r="C55" s="1090" t="s">
        <v>871</v>
      </c>
      <c r="D55" s="1091" t="s">
        <v>1045</v>
      </c>
      <c r="E55" s="1099">
        <v>280664.36</v>
      </c>
      <c r="F55" s="1093" t="s">
        <v>945</v>
      </c>
      <c r="G55" s="1094" t="s">
        <v>874</v>
      </c>
      <c r="H55" s="1095">
        <v>44341</v>
      </c>
      <c r="I55" s="1095">
        <v>44386</v>
      </c>
      <c r="J55" s="1094" t="s">
        <v>1046</v>
      </c>
    </row>
    <row r="56" spans="1:10" ht="22.5" x14ac:dyDescent="0.2">
      <c r="A56" s="1088" t="s">
        <v>1047</v>
      </c>
      <c r="B56" s="1089" t="s">
        <v>704</v>
      </c>
      <c r="C56" s="1090" t="s">
        <v>871</v>
      </c>
      <c r="D56" s="1091" t="s">
        <v>1048</v>
      </c>
      <c r="E56" s="1099">
        <v>37984</v>
      </c>
      <c r="F56" s="1093" t="s">
        <v>1049</v>
      </c>
      <c r="G56" s="1094" t="s">
        <v>874</v>
      </c>
      <c r="H56" s="1095">
        <v>44347</v>
      </c>
      <c r="I56" s="1095">
        <v>44592</v>
      </c>
      <c r="J56" s="1094" t="s">
        <v>1050</v>
      </c>
    </row>
    <row r="57" spans="1:10" ht="101.25" x14ac:dyDescent="0.2">
      <c r="A57" s="1088" t="s">
        <v>1051</v>
      </c>
      <c r="B57" s="1089" t="s">
        <v>926</v>
      </c>
      <c r="C57" s="1090" t="s">
        <v>871</v>
      </c>
      <c r="D57" s="1091" t="s">
        <v>1052</v>
      </c>
      <c r="E57" s="1099">
        <v>592662.01</v>
      </c>
      <c r="F57" s="1093" t="s">
        <v>1028</v>
      </c>
      <c r="G57" s="1094" t="s">
        <v>874</v>
      </c>
      <c r="H57" s="1095">
        <v>44347</v>
      </c>
      <c r="I57" s="1095">
        <v>44409</v>
      </c>
      <c r="J57" s="1094" t="s">
        <v>1053</v>
      </c>
    </row>
    <row r="58" spans="1:10" ht="45" x14ac:dyDescent="0.2">
      <c r="A58" s="1088" t="s">
        <v>1054</v>
      </c>
      <c r="B58" s="1089" t="s">
        <v>950</v>
      </c>
      <c r="C58" s="1090" t="s">
        <v>871</v>
      </c>
      <c r="D58" s="1091" t="s">
        <v>1055</v>
      </c>
      <c r="E58" s="1099">
        <v>9283.2000000000007</v>
      </c>
      <c r="F58" s="1093" t="s">
        <v>1056</v>
      </c>
      <c r="G58" s="1094" t="s">
        <v>874</v>
      </c>
      <c r="H58" s="1095">
        <v>44357</v>
      </c>
      <c r="I58" s="1095">
        <v>44500</v>
      </c>
      <c r="J58" s="1094" t="s">
        <v>1057</v>
      </c>
    </row>
    <row r="59" spans="1:10" ht="33.75" x14ac:dyDescent="0.2">
      <c r="A59" s="1088" t="s">
        <v>1058</v>
      </c>
      <c r="B59" s="1089" t="s">
        <v>696</v>
      </c>
      <c r="C59" s="1090" t="s">
        <v>871</v>
      </c>
      <c r="D59" s="1091" t="s">
        <v>1059</v>
      </c>
      <c r="E59" s="1099">
        <v>78865.13</v>
      </c>
      <c r="F59" s="1093" t="s">
        <v>960</v>
      </c>
      <c r="G59" s="1094" t="s">
        <v>874</v>
      </c>
      <c r="H59" s="1095">
        <v>44369</v>
      </c>
      <c r="I59" s="1095">
        <v>44489</v>
      </c>
      <c r="J59" s="1094" t="s">
        <v>1060</v>
      </c>
    </row>
    <row r="60" spans="1:10" ht="56.25" x14ac:dyDescent="0.2">
      <c r="A60" s="1088" t="s">
        <v>1061</v>
      </c>
      <c r="B60" s="1089" t="s">
        <v>1062</v>
      </c>
      <c r="C60" s="1090" t="s">
        <v>871</v>
      </c>
      <c r="D60" s="1091" t="s">
        <v>1063</v>
      </c>
      <c r="E60" s="1099">
        <v>75998</v>
      </c>
      <c r="F60" s="1093" t="s">
        <v>1064</v>
      </c>
      <c r="G60" s="1094" t="s">
        <v>880</v>
      </c>
      <c r="H60" s="1095">
        <v>44386</v>
      </c>
      <c r="I60" s="1095">
        <v>44756</v>
      </c>
      <c r="J60" s="1094" t="s">
        <v>1065</v>
      </c>
    </row>
    <row r="61" spans="1:10" ht="101.25" x14ac:dyDescent="0.2">
      <c r="A61" s="1088" t="s">
        <v>1066</v>
      </c>
      <c r="B61" s="1089" t="s">
        <v>870</v>
      </c>
      <c r="C61" s="1090" t="s">
        <v>871</v>
      </c>
      <c r="D61" s="1091" t="s">
        <v>1067</v>
      </c>
      <c r="E61" s="1099">
        <v>2742106.3</v>
      </c>
      <c r="F61" s="1093" t="s">
        <v>1028</v>
      </c>
      <c r="G61" s="1094" t="s">
        <v>874</v>
      </c>
      <c r="H61" s="1095">
        <v>44399</v>
      </c>
      <c r="I61" s="1095">
        <v>44773</v>
      </c>
      <c r="J61" s="1094" t="s">
        <v>1068</v>
      </c>
    </row>
    <row r="62" spans="1:10" ht="22.5" x14ac:dyDescent="0.2">
      <c r="A62" s="1088" t="s">
        <v>1069</v>
      </c>
      <c r="B62" s="1089" t="s">
        <v>926</v>
      </c>
      <c r="C62" s="1090" t="s">
        <v>871</v>
      </c>
      <c r="D62" s="1091" t="s">
        <v>1070</v>
      </c>
      <c r="E62" s="1099">
        <v>40000</v>
      </c>
      <c r="F62" s="1100" t="s">
        <v>1071</v>
      </c>
      <c r="G62" s="1094" t="s">
        <v>874</v>
      </c>
      <c r="H62" s="1095">
        <v>44399</v>
      </c>
      <c r="I62" s="1095" t="s">
        <v>929</v>
      </c>
      <c r="J62" s="1094" t="s">
        <v>1072</v>
      </c>
    </row>
    <row r="63" spans="1:10" ht="22.5" x14ac:dyDescent="0.2">
      <c r="A63" s="1088" t="s">
        <v>1073</v>
      </c>
      <c r="B63" s="1089" t="s">
        <v>926</v>
      </c>
      <c r="C63" s="1090" t="s">
        <v>871</v>
      </c>
      <c r="D63" s="1091" t="s">
        <v>1074</v>
      </c>
      <c r="E63" s="1099">
        <v>40000</v>
      </c>
      <c r="F63" s="1093" t="s">
        <v>1071</v>
      </c>
      <c r="G63" s="1094" t="s">
        <v>874</v>
      </c>
      <c r="H63" s="1095">
        <v>44399</v>
      </c>
      <c r="I63" s="1095" t="s">
        <v>929</v>
      </c>
      <c r="J63" s="1094" t="s">
        <v>1075</v>
      </c>
    </row>
    <row r="64" spans="1:10" ht="22.5" x14ac:dyDescent="0.2">
      <c r="A64" s="1088" t="s">
        <v>1076</v>
      </c>
      <c r="B64" s="1089" t="s">
        <v>1077</v>
      </c>
      <c r="C64" s="1090" t="s">
        <v>871</v>
      </c>
      <c r="D64" s="1091" t="s">
        <v>1078</v>
      </c>
      <c r="E64" s="1099">
        <v>299690.77</v>
      </c>
      <c r="F64" s="1093" t="s">
        <v>890</v>
      </c>
      <c r="G64" s="1094" t="s">
        <v>874</v>
      </c>
      <c r="H64" s="1095">
        <v>44400</v>
      </c>
      <c r="I64" s="1095">
        <v>44782</v>
      </c>
      <c r="J64" s="1094" t="s">
        <v>1079</v>
      </c>
    </row>
    <row r="65" spans="1:10" ht="33.75" x14ac:dyDescent="0.2">
      <c r="A65" s="1088" t="s">
        <v>1080</v>
      </c>
      <c r="B65" s="1089" t="s">
        <v>870</v>
      </c>
      <c r="C65" s="1090" t="s">
        <v>871</v>
      </c>
      <c r="D65" s="1091" t="s">
        <v>1081</v>
      </c>
      <c r="E65" s="1099">
        <v>3676164.04</v>
      </c>
      <c r="F65" s="1093" t="s">
        <v>945</v>
      </c>
      <c r="G65" s="1094" t="s">
        <v>874</v>
      </c>
      <c r="H65" s="1095">
        <v>44400</v>
      </c>
      <c r="I65" s="1095">
        <v>44773</v>
      </c>
      <c r="J65" s="1094" t="s">
        <v>1082</v>
      </c>
    </row>
    <row r="66" spans="1:10" ht="22.5" x14ac:dyDescent="0.2">
      <c r="A66" s="1088" t="s">
        <v>1083</v>
      </c>
      <c r="B66" s="1089" t="s">
        <v>926</v>
      </c>
      <c r="C66" s="1090" t="s">
        <v>871</v>
      </c>
      <c r="D66" s="1091" t="s">
        <v>1084</v>
      </c>
      <c r="E66" s="1099">
        <v>66000</v>
      </c>
      <c r="F66" s="1093" t="s">
        <v>933</v>
      </c>
      <c r="G66" s="1094" t="s">
        <v>874</v>
      </c>
      <c r="H66" s="1095">
        <v>44403</v>
      </c>
      <c r="I66" s="1095" t="s">
        <v>929</v>
      </c>
      <c r="J66" s="1094" t="s">
        <v>1085</v>
      </c>
    </row>
    <row r="67" spans="1:10" ht="22.5" x14ac:dyDescent="0.2">
      <c r="A67" s="1088" t="s">
        <v>1086</v>
      </c>
      <c r="B67" s="1089" t="s">
        <v>950</v>
      </c>
      <c r="C67" s="1090" t="s">
        <v>871</v>
      </c>
      <c r="D67" s="1091" t="s">
        <v>1087</v>
      </c>
      <c r="E67" s="1099">
        <v>146840</v>
      </c>
      <c r="F67" s="1093" t="s">
        <v>1056</v>
      </c>
      <c r="G67" s="1094" t="s">
        <v>874</v>
      </c>
      <c r="H67" s="1095">
        <v>44403</v>
      </c>
      <c r="I67" s="1095">
        <v>45167</v>
      </c>
      <c r="J67" s="1094" t="s">
        <v>1088</v>
      </c>
    </row>
    <row r="68" spans="1:10" x14ac:dyDescent="0.2">
      <c r="A68" s="1056"/>
      <c r="B68" s="359"/>
      <c r="C68" s="345"/>
      <c r="D68" s="336"/>
      <c r="E68" s="1051"/>
      <c r="F68" s="1067"/>
      <c r="G68" s="341"/>
      <c r="H68" s="342"/>
      <c r="I68" s="342"/>
      <c r="J68" s="341"/>
    </row>
    <row r="69" spans="1:10" x14ac:dyDescent="0.2">
      <c r="A69" s="1057" t="s">
        <v>1089</v>
      </c>
      <c r="B69" s="551"/>
      <c r="C69" s="551"/>
      <c r="D69" s="551"/>
      <c r="E69" s="1050">
        <f>SUM(E70:E87)</f>
        <v>6608389</v>
      </c>
      <c r="F69" s="1068"/>
      <c r="G69" s="551"/>
      <c r="H69" s="551"/>
      <c r="I69" s="551"/>
      <c r="J69" s="550"/>
    </row>
    <row r="70" spans="1:10" ht="22.5" x14ac:dyDescent="0.2">
      <c r="A70" s="1080" t="s">
        <v>1090</v>
      </c>
      <c r="B70" s="1081" t="s">
        <v>704</v>
      </c>
      <c r="C70" s="1082" t="s">
        <v>871</v>
      </c>
      <c r="D70" s="1101"/>
      <c r="E70" s="1097">
        <v>111000</v>
      </c>
      <c r="F70" s="1102"/>
      <c r="G70" s="1103"/>
      <c r="H70" s="1104"/>
      <c r="I70" s="1104"/>
      <c r="J70" s="1103"/>
    </row>
    <row r="71" spans="1:10" ht="22.5" x14ac:dyDescent="0.2">
      <c r="A71" s="1088" t="s">
        <v>1091</v>
      </c>
      <c r="B71" s="1089" t="s">
        <v>704</v>
      </c>
      <c r="C71" s="1090" t="s">
        <v>871</v>
      </c>
      <c r="D71" s="1105"/>
      <c r="E71" s="1099">
        <v>225000</v>
      </c>
      <c r="F71" s="1106"/>
      <c r="G71" s="1107"/>
      <c r="H71" s="1108"/>
      <c r="I71" s="1108"/>
      <c r="J71" s="1107"/>
    </row>
    <row r="72" spans="1:10" ht="22.5" x14ac:dyDescent="0.2">
      <c r="A72" s="1088" t="s">
        <v>1092</v>
      </c>
      <c r="B72" s="1089" t="s">
        <v>1093</v>
      </c>
      <c r="C72" s="1090" t="s">
        <v>871</v>
      </c>
      <c r="D72" s="1105"/>
      <c r="E72" s="1092">
        <v>1600000</v>
      </c>
      <c r="F72" s="1106"/>
      <c r="G72" s="1107"/>
      <c r="H72" s="1108"/>
      <c r="I72" s="1108"/>
      <c r="J72" s="1107"/>
    </row>
    <row r="73" spans="1:10" ht="22.5" x14ac:dyDescent="0.2">
      <c r="A73" s="1088" t="s">
        <v>962</v>
      </c>
      <c r="B73" s="1089" t="s">
        <v>704</v>
      </c>
      <c r="C73" s="1090" t="s">
        <v>871</v>
      </c>
      <c r="D73" s="1105"/>
      <c r="E73" s="1092">
        <v>283000</v>
      </c>
      <c r="F73" s="1106"/>
      <c r="G73" s="1107"/>
      <c r="H73" s="1108"/>
      <c r="I73" s="1108"/>
      <c r="J73" s="1107"/>
    </row>
    <row r="74" spans="1:10" ht="22.5" x14ac:dyDescent="0.2">
      <c r="A74" s="1088" t="s">
        <v>1094</v>
      </c>
      <c r="B74" s="1089" t="s">
        <v>704</v>
      </c>
      <c r="C74" s="1090" t="s">
        <v>871</v>
      </c>
      <c r="D74" s="1105"/>
      <c r="E74" s="1092">
        <v>309168</v>
      </c>
      <c r="F74" s="1106"/>
      <c r="G74" s="1107"/>
      <c r="H74" s="1108"/>
      <c r="I74" s="1108"/>
      <c r="J74" s="1107"/>
    </row>
    <row r="75" spans="1:10" ht="22.5" x14ac:dyDescent="0.2">
      <c r="A75" s="1088" t="s">
        <v>1095</v>
      </c>
      <c r="B75" s="1089" t="s">
        <v>1093</v>
      </c>
      <c r="C75" s="1090" t="s">
        <v>871</v>
      </c>
      <c r="D75" s="1105"/>
      <c r="E75" s="1092">
        <v>1894893</v>
      </c>
      <c r="F75" s="1106"/>
      <c r="G75" s="1107"/>
      <c r="H75" s="1108"/>
      <c r="I75" s="1108"/>
      <c r="J75" s="1107"/>
    </row>
    <row r="76" spans="1:10" ht="33.75" x14ac:dyDescent="0.2">
      <c r="A76" s="1088" t="s">
        <v>1096</v>
      </c>
      <c r="B76" s="1089" t="s">
        <v>704</v>
      </c>
      <c r="C76" s="1090" t="s">
        <v>871</v>
      </c>
      <c r="D76" s="1105"/>
      <c r="E76" s="1092">
        <v>66000</v>
      </c>
      <c r="F76" s="1106"/>
      <c r="G76" s="1107"/>
      <c r="H76" s="1108"/>
      <c r="I76" s="1108"/>
      <c r="J76" s="1107"/>
    </row>
    <row r="77" spans="1:10" ht="33.75" x14ac:dyDescent="0.2">
      <c r="A77" s="1088" t="s">
        <v>1097</v>
      </c>
      <c r="B77" s="1089" t="s">
        <v>704</v>
      </c>
      <c r="C77" s="1090" t="s">
        <v>871</v>
      </c>
      <c r="D77" s="1105"/>
      <c r="E77" s="1092">
        <v>50000</v>
      </c>
      <c r="F77" s="1106"/>
      <c r="G77" s="1107"/>
      <c r="H77" s="1108"/>
      <c r="I77" s="1108"/>
      <c r="J77" s="1107"/>
    </row>
    <row r="78" spans="1:10" ht="22.5" x14ac:dyDescent="0.2">
      <c r="A78" s="1088" t="s">
        <v>1098</v>
      </c>
      <c r="B78" s="1089" t="s">
        <v>704</v>
      </c>
      <c r="C78" s="1090" t="s">
        <v>871</v>
      </c>
      <c r="D78" s="1105" t="s">
        <v>527</v>
      </c>
      <c r="E78" s="1092">
        <v>30000</v>
      </c>
      <c r="F78" s="1106"/>
      <c r="G78" s="1107"/>
      <c r="H78" s="1108"/>
      <c r="I78" s="1108"/>
      <c r="J78" s="1107"/>
    </row>
    <row r="79" spans="1:10" ht="22.5" x14ac:dyDescent="0.2">
      <c r="A79" s="1088" t="s">
        <v>1099</v>
      </c>
      <c r="B79" s="1089" t="s">
        <v>704</v>
      </c>
      <c r="C79" s="1090" t="s">
        <v>871</v>
      </c>
      <c r="D79" s="1105" t="s">
        <v>527</v>
      </c>
      <c r="E79" s="1092">
        <v>30000</v>
      </c>
      <c r="F79" s="1106"/>
      <c r="G79" s="1107"/>
      <c r="H79" s="1108"/>
      <c r="I79" s="1108"/>
      <c r="J79" s="1107"/>
    </row>
    <row r="80" spans="1:10" ht="22.5" x14ac:dyDescent="0.2">
      <c r="A80" s="1088" t="s">
        <v>1100</v>
      </c>
      <c r="B80" s="1089" t="s">
        <v>797</v>
      </c>
      <c r="C80" s="1090" t="s">
        <v>871</v>
      </c>
      <c r="D80" s="1105"/>
      <c r="E80" s="1092">
        <v>70000</v>
      </c>
      <c r="F80" s="1106"/>
      <c r="G80" s="1107"/>
      <c r="H80" s="1108"/>
      <c r="I80" s="1108"/>
      <c r="J80" s="1107"/>
    </row>
    <row r="81" spans="1:10" ht="22.5" x14ac:dyDescent="0.2">
      <c r="A81" s="1088" t="s">
        <v>1101</v>
      </c>
      <c r="B81" s="1089" t="s">
        <v>797</v>
      </c>
      <c r="C81" s="1090" t="s">
        <v>871</v>
      </c>
      <c r="D81" s="1105"/>
      <c r="E81" s="1092">
        <v>294328</v>
      </c>
      <c r="F81" s="1106"/>
      <c r="G81" s="1107"/>
      <c r="H81" s="1108"/>
      <c r="I81" s="1108"/>
      <c r="J81" s="1107"/>
    </row>
    <row r="82" spans="1:10" ht="33.75" x14ac:dyDescent="0.2">
      <c r="A82" s="1088" t="s">
        <v>1102</v>
      </c>
      <c r="B82" s="1089" t="s">
        <v>797</v>
      </c>
      <c r="C82" s="1090" t="s">
        <v>871</v>
      </c>
      <c r="D82" s="1105"/>
      <c r="E82" s="1092">
        <v>105000</v>
      </c>
      <c r="F82" s="1106"/>
      <c r="G82" s="1107"/>
      <c r="H82" s="1108"/>
      <c r="I82" s="1108"/>
      <c r="J82" s="1107"/>
    </row>
    <row r="83" spans="1:10" ht="22.5" x14ac:dyDescent="0.2">
      <c r="A83" s="1088" t="s">
        <v>1103</v>
      </c>
      <c r="B83" s="1089" t="s">
        <v>797</v>
      </c>
      <c r="C83" s="1090" t="s">
        <v>871</v>
      </c>
      <c r="D83" s="1105"/>
      <c r="E83" s="1092">
        <v>240000</v>
      </c>
      <c r="F83" s="1106"/>
      <c r="G83" s="1107"/>
      <c r="H83" s="1108"/>
      <c r="I83" s="1108"/>
      <c r="J83" s="1107"/>
    </row>
    <row r="84" spans="1:10" ht="22.5" x14ac:dyDescent="0.2">
      <c r="A84" s="1088" t="s">
        <v>1104</v>
      </c>
      <c r="B84" s="1089" t="s">
        <v>797</v>
      </c>
      <c r="C84" s="1090" t="s">
        <v>871</v>
      </c>
      <c r="D84" s="1109"/>
      <c r="E84" s="1092">
        <v>400000</v>
      </c>
      <c r="F84" s="1106"/>
      <c r="G84" s="1107"/>
      <c r="H84" s="1108"/>
      <c r="I84" s="1108"/>
      <c r="J84" s="1107"/>
    </row>
    <row r="85" spans="1:10" ht="22.5" x14ac:dyDescent="0.2">
      <c r="A85" s="1088" t="s">
        <v>1105</v>
      </c>
      <c r="B85" s="1089" t="s">
        <v>797</v>
      </c>
      <c r="C85" s="1090" t="s">
        <v>871</v>
      </c>
      <c r="D85" s="1109"/>
      <c r="E85" s="1092">
        <v>340000</v>
      </c>
      <c r="F85" s="1106"/>
      <c r="G85" s="1107"/>
      <c r="H85" s="1108"/>
      <c r="I85" s="1108"/>
      <c r="J85" s="1107"/>
    </row>
    <row r="86" spans="1:10" ht="22.5" x14ac:dyDescent="0.2">
      <c r="A86" s="1088" t="s">
        <v>1106</v>
      </c>
      <c r="B86" s="1089" t="s">
        <v>797</v>
      </c>
      <c r="C86" s="1090" t="s">
        <v>871</v>
      </c>
      <c r="D86" s="1109"/>
      <c r="E86" s="1092">
        <v>500000</v>
      </c>
      <c r="F86" s="1106"/>
      <c r="G86" s="1107"/>
      <c r="H86" s="1108"/>
      <c r="I86" s="1108"/>
      <c r="J86" s="1107"/>
    </row>
    <row r="87" spans="1:10" ht="23.25" thickBot="1" x14ac:dyDescent="0.25">
      <c r="A87" s="1110" t="s">
        <v>1107</v>
      </c>
      <c r="B87" s="1111" t="s">
        <v>797</v>
      </c>
      <c r="C87" s="1112" t="s">
        <v>871</v>
      </c>
      <c r="D87" s="1113"/>
      <c r="E87" s="1114">
        <v>60000</v>
      </c>
      <c r="F87" s="1115"/>
      <c r="G87" s="1116"/>
      <c r="H87" s="1117"/>
      <c r="I87" s="1117"/>
      <c r="J87" s="1116"/>
    </row>
    <row r="88" spans="1:10" ht="12.75" thickBot="1" x14ac:dyDescent="0.25">
      <c r="A88" s="1058" t="s">
        <v>0</v>
      </c>
      <c r="B88" s="329"/>
      <c r="C88" s="329"/>
      <c r="D88" s="375"/>
      <c r="E88" s="1052">
        <f>+E8+E39+E69</f>
        <v>53035957.579999998</v>
      </c>
      <c r="F88" s="1069"/>
      <c r="G88" s="339"/>
      <c r="H88" s="333"/>
      <c r="I88" s="333"/>
      <c r="J88" s="339"/>
    </row>
    <row r="89" spans="1:10" x14ac:dyDescent="0.2">
      <c r="A89" s="1059"/>
      <c r="B89" s="336"/>
      <c r="C89" s="336"/>
      <c r="D89" s="336"/>
      <c r="E89" s="336"/>
      <c r="F89" s="1059"/>
      <c r="G89" s="303"/>
      <c r="H89" s="303"/>
      <c r="I89" s="303"/>
      <c r="J89" s="303"/>
    </row>
    <row r="90" spans="1:10" x14ac:dyDescent="0.2">
      <c r="A90" s="1059"/>
      <c r="B90" s="336"/>
      <c r="C90" s="336"/>
      <c r="D90" s="336"/>
      <c r="E90" s="336"/>
      <c r="F90" s="1059"/>
      <c r="G90" s="303"/>
      <c r="H90" s="303"/>
      <c r="I90" s="303"/>
      <c r="J90" s="303"/>
    </row>
    <row r="91" spans="1:10" ht="13.5" thickBot="1" x14ac:dyDescent="0.25">
      <c r="A91" s="1060" t="s">
        <v>609</v>
      </c>
      <c r="B91" s="697"/>
      <c r="C91" s="697"/>
      <c r="D91" s="697"/>
      <c r="E91" s="697"/>
      <c r="F91" s="1070"/>
      <c r="G91" s="698"/>
      <c r="H91" s="698"/>
      <c r="I91" s="698"/>
      <c r="J91" s="698"/>
    </row>
    <row r="92" spans="1:10" ht="12.75" customHeight="1" x14ac:dyDescent="0.2">
      <c r="A92" s="1506" t="s">
        <v>1108</v>
      </c>
      <c r="B92" s="1507"/>
      <c r="C92" s="549"/>
      <c r="D92" s="549"/>
      <c r="E92" s="549"/>
      <c r="F92" s="1071"/>
      <c r="G92" s="549"/>
      <c r="H92" s="549"/>
      <c r="I92" s="549"/>
      <c r="J92" s="550"/>
    </row>
    <row r="93" spans="1:10" x14ac:dyDescent="0.2">
      <c r="A93" s="1057" t="s">
        <v>687</v>
      </c>
      <c r="B93" s="551"/>
      <c r="C93" s="551"/>
      <c r="D93" s="551"/>
      <c r="E93" s="661">
        <f>SUM(E94:E96)</f>
        <v>2031789.66</v>
      </c>
      <c r="F93" s="1068"/>
      <c r="G93" s="551"/>
      <c r="H93" s="551"/>
      <c r="I93" s="551"/>
      <c r="J93" s="550"/>
    </row>
    <row r="94" spans="1:10" ht="33.75" x14ac:dyDescent="0.2">
      <c r="A94" s="1118" t="s">
        <v>1109</v>
      </c>
      <c r="B94" s="1119" t="s">
        <v>1110</v>
      </c>
      <c r="C94" s="1120" t="s">
        <v>704</v>
      </c>
      <c r="D94" s="1121" t="s">
        <v>1111</v>
      </c>
      <c r="E94" s="1122">
        <v>118695</v>
      </c>
      <c r="F94" s="1123" t="s">
        <v>1112</v>
      </c>
      <c r="G94" s="1119" t="s">
        <v>874</v>
      </c>
      <c r="H94" s="1124">
        <v>44088</v>
      </c>
      <c r="I94" s="1119" t="s">
        <v>1113</v>
      </c>
      <c r="J94" s="1125"/>
    </row>
    <row r="95" spans="1:10" ht="33.75" x14ac:dyDescent="0.2">
      <c r="A95" s="1093" t="s">
        <v>1114</v>
      </c>
      <c r="B95" s="1094" t="s">
        <v>1115</v>
      </c>
      <c r="C95" s="1126" t="s">
        <v>690</v>
      </c>
      <c r="D95" s="1090" t="s">
        <v>1116</v>
      </c>
      <c r="E95" s="1127">
        <v>1488314</v>
      </c>
      <c r="F95" s="1088" t="s">
        <v>1117</v>
      </c>
      <c r="G95" s="1094" t="s">
        <v>1118</v>
      </c>
      <c r="H95" s="1128">
        <v>44120</v>
      </c>
      <c r="I95" s="1094" t="s">
        <v>1119</v>
      </c>
      <c r="J95" s="1129" t="s">
        <v>1120</v>
      </c>
    </row>
    <row r="96" spans="1:10" ht="33.75" x14ac:dyDescent="0.2">
      <c r="A96" s="1130" t="s">
        <v>1121</v>
      </c>
      <c r="B96" s="1131" t="s">
        <v>1115</v>
      </c>
      <c r="C96" s="1132" t="s">
        <v>690</v>
      </c>
      <c r="D96" s="1133" t="s">
        <v>1116</v>
      </c>
      <c r="E96" s="1134">
        <v>424780.66</v>
      </c>
      <c r="F96" s="1135" t="s">
        <v>1117</v>
      </c>
      <c r="G96" s="1131" t="s">
        <v>1118</v>
      </c>
      <c r="H96" s="1136">
        <v>44120</v>
      </c>
      <c r="I96" s="1131" t="s">
        <v>1119</v>
      </c>
      <c r="J96" s="1137" t="s">
        <v>1120</v>
      </c>
    </row>
    <row r="97" spans="1:10" ht="17.25" customHeight="1" x14ac:dyDescent="0.2">
      <c r="A97" s="1063" t="s">
        <v>757</v>
      </c>
      <c r="B97" s="1064"/>
      <c r="C97" s="1064"/>
      <c r="D97" s="1064"/>
      <c r="E97" s="1065">
        <f>SUM(E98:E99)</f>
        <v>673238.49</v>
      </c>
      <c r="F97" s="1064"/>
      <c r="G97" s="1064"/>
      <c r="H97" s="1064"/>
      <c r="I97" s="1064"/>
      <c r="J97" s="1066"/>
    </row>
    <row r="98" spans="1:10" ht="78.75" x14ac:dyDescent="0.2">
      <c r="A98" s="1118" t="s">
        <v>1122</v>
      </c>
      <c r="B98" s="1119" t="s">
        <v>1110</v>
      </c>
      <c r="C98" s="1120" t="s">
        <v>696</v>
      </c>
      <c r="D98" s="1121" t="s">
        <v>1123</v>
      </c>
      <c r="E98" s="1122">
        <v>160716.82</v>
      </c>
      <c r="F98" s="1123" t="s">
        <v>1124</v>
      </c>
      <c r="G98" s="1119" t="s">
        <v>1125</v>
      </c>
      <c r="H98" s="1124">
        <v>44307</v>
      </c>
      <c r="I98" s="1138">
        <f>H98+130</f>
        <v>44437</v>
      </c>
      <c r="J98" s="1139"/>
    </row>
    <row r="99" spans="1:10" ht="79.5" thickBot="1" x14ac:dyDescent="0.25">
      <c r="A99" s="1140" t="s">
        <v>1126</v>
      </c>
      <c r="B99" s="1141" t="s">
        <v>1110</v>
      </c>
      <c r="C99" s="1142" t="s">
        <v>696</v>
      </c>
      <c r="D99" s="1141" t="s">
        <v>1127</v>
      </c>
      <c r="E99" s="1143">
        <v>512521.67</v>
      </c>
      <c r="F99" s="1110" t="s">
        <v>1128</v>
      </c>
      <c r="G99" s="1141" t="s">
        <v>874</v>
      </c>
      <c r="H99" s="1144">
        <v>44379</v>
      </c>
      <c r="I99" s="1145">
        <f>H99+730</f>
        <v>45109</v>
      </c>
      <c r="J99" s="1146" t="s">
        <v>1129</v>
      </c>
    </row>
    <row r="100" spans="1:10" ht="15" customHeight="1" thickBot="1" x14ac:dyDescent="0.25">
      <c r="A100" s="329" t="s">
        <v>0</v>
      </c>
      <c r="B100" s="329"/>
      <c r="C100" s="329"/>
      <c r="D100" s="375"/>
      <c r="E100" s="1052">
        <f>+E93+E97</f>
        <v>2705028.15</v>
      </c>
      <c r="F100" s="320"/>
      <c r="G100" s="339"/>
      <c r="H100" s="333"/>
      <c r="I100" s="333"/>
      <c r="J100" s="339"/>
    </row>
    <row r="101" spans="1:10" x14ac:dyDescent="0.2">
      <c r="A101" s="318"/>
      <c r="B101" s="318"/>
      <c r="C101" s="318"/>
      <c r="D101" s="318"/>
      <c r="E101" s="318"/>
      <c r="F101" s="318"/>
      <c r="G101" s="303"/>
    </row>
    <row r="102" spans="1:10" x14ac:dyDescent="0.2">
      <c r="A102" s="312"/>
      <c r="B102" s="312"/>
      <c r="C102" s="312"/>
      <c r="D102" s="312"/>
      <c r="E102" s="312"/>
      <c r="F102" s="312"/>
      <c r="G102" s="303"/>
    </row>
    <row r="103" spans="1:10" x14ac:dyDescent="0.2">
      <c r="A103" s="312"/>
    </row>
    <row r="104" spans="1:10" x14ac:dyDescent="0.2">
      <c r="A104" s="312"/>
    </row>
    <row r="105" spans="1:10" s="111" customFormat="1" ht="21" customHeight="1" thickBot="1" x14ac:dyDescent="0.25">
      <c r="A105" s="1079" t="s">
        <v>641</v>
      </c>
      <c r="B105" s="396"/>
      <c r="C105" s="396"/>
      <c r="D105" s="396"/>
      <c r="E105" s="396"/>
      <c r="F105" s="396"/>
      <c r="G105" s="396"/>
      <c r="H105" s="396"/>
      <c r="I105" s="396"/>
      <c r="J105" s="396"/>
    </row>
    <row r="106" spans="1:10" ht="18.75" customHeight="1" x14ac:dyDescent="0.2">
      <c r="A106" s="1072">
        <v>2020</v>
      </c>
      <c r="B106" s="1073"/>
      <c r="C106" s="1073"/>
      <c r="D106" s="1073"/>
      <c r="E106" s="1074">
        <f>SUM(E107:E126)</f>
        <v>10619223.74</v>
      </c>
      <c r="F106" s="1073"/>
      <c r="G106" s="1075"/>
      <c r="H106" s="1076"/>
      <c r="I106" s="1077"/>
      <c r="J106" s="1078"/>
    </row>
    <row r="107" spans="1:10" ht="33.75" x14ac:dyDescent="0.2">
      <c r="A107" s="1085" t="s">
        <v>1130</v>
      </c>
      <c r="B107" s="1147" t="s">
        <v>1131</v>
      </c>
      <c r="C107" s="1148" t="s">
        <v>1132</v>
      </c>
      <c r="D107" s="1086"/>
      <c r="E107" s="1149">
        <v>56556.22</v>
      </c>
      <c r="F107" s="1150"/>
      <c r="G107" s="1151"/>
      <c r="H107" s="1152"/>
      <c r="I107" s="1153"/>
      <c r="J107" s="1086" t="s">
        <v>1133</v>
      </c>
    </row>
    <row r="108" spans="1:10" ht="33.75" x14ac:dyDescent="0.2">
      <c r="A108" s="1093" t="s">
        <v>1134</v>
      </c>
      <c r="B108" s="1126" t="s">
        <v>1131</v>
      </c>
      <c r="C108" s="1154" t="s">
        <v>1132</v>
      </c>
      <c r="D108" s="1094"/>
      <c r="E108" s="1155">
        <v>55165</v>
      </c>
      <c r="F108" s="1156"/>
      <c r="G108" s="1157"/>
      <c r="H108" s="1158"/>
      <c r="I108" s="1159"/>
      <c r="J108" s="1094" t="s">
        <v>1135</v>
      </c>
    </row>
    <row r="109" spans="1:10" ht="13.5" x14ac:dyDescent="0.3">
      <c r="A109" s="1100" t="s">
        <v>1136</v>
      </c>
      <c r="B109" s="1126" t="s">
        <v>1137</v>
      </c>
      <c r="C109" s="1154" t="s">
        <v>1132</v>
      </c>
      <c r="D109" s="1160" t="s">
        <v>1138</v>
      </c>
      <c r="E109" s="1155">
        <v>140000</v>
      </c>
      <c r="F109" s="1156"/>
      <c r="G109" s="1157"/>
      <c r="H109" s="1158"/>
      <c r="I109" s="1159"/>
      <c r="J109" s="1094" t="s">
        <v>1135</v>
      </c>
    </row>
    <row r="110" spans="1:10" x14ac:dyDescent="0.2">
      <c r="A110" s="1100" t="s">
        <v>1139</v>
      </c>
      <c r="B110" s="1126" t="s">
        <v>1137</v>
      </c>
      <c r="C110" s="1154" t="s">
        <v>1132</v>
      </c>
      <c r="D110" s="1094"/>
      <c r="E110" s="1155">
        <v>2042574</v>
      </c>
      <c r="F110" s="1156"/>
      <c r="G110" s="1157"/>
      <c r="H110" s="1158"/>
      <c r="I110" s="1159"/>
      <c r="J110" s="1094" t="s">
        <v>1135</v>
      </c>
    </row>
    <row r="111" spans="1:10" x14ac:dyDescent="0.2">
      <c r="A111" s="1100" t="s">
        <v>1140</v>
      </c>
      <c r="B111" s="1126" t="s">
        <v>1137</v>
      </c>
      <c r="C111" s="1154" t="s">
        <v>1132</v>
      </c>
      <c r="D111" s="1094"/>
      <c r="E111" s="1155">
        <v>1000000</v>
      </c>
      <c r="F111" s="1156"/>
      <c r="G111" s="1157"/>
      <c r="H111" s="1158"/>
      <c r="I111" s="1159"/>
      <c r="J111" s="1094" t="s">
        <v>1141</v>
      </c>
    </row>
    <row r="112" spans="1:10" ht="22.5" x14ac:dyDescent="0.2">
      <c r="A112" s="1093" t="s">
        <v>1142</v>
      </c>
      <c r="B112" s="1161" t="s">
        <v>1143</v>
      </c>
      <c r="C112" s="1154"/>
      <c r="D112" s="1094"/>
      <c r="E112" s="1155">
        <v>78665.19</v>
      </c>
      <c r="F112" s="1156"/>
      <c r="G112" s="1157"/>
      <c r="H112" s="1158"/>
      <c r="I112" s="1159"/>
      <c r="J112" s="1094" t="s">
        <v>1135</v>
      </c>
    </row>
    <row r="113" spans="1:10" ht="22.5" x14ac:dyDescent="0.2">
      <c r="A113" s="1100" t="s">
        <v>1144</v>
      </c>
      <c r="B113" s="1161" t="s">
        <v>1143</v>
      </c>
      <c r="C113" s="1154"/>
      <c r="D113" s="1094"/>
      <c r="E113" s="1155">
        <v>58000</v>
      </c>
      <c r="F113" s="1156"/>
      <c r="G113" s="1157"/>
      <c r="H113" s="1158"/>
      <c r="I113" s="1159"/>
      <c r="J113" s="1094" t="s">
        <v>1135</v>
      </c>
    </row>
    <row r="114" spans="1:10" ht="33.75" x14ac:dyDescent="0.2">
      <c r="A114" s="1093" t="s">
        <v>1145</v>
      </c>
      <c r="B114" s="1126" t="s">
        <v>1137</v>
      </c>
      <c r="C114" s="1154" t="s">
        <v>1132</v>
      </c>
      <c r="D114" s="1094"/>
      <c r="E114" s="1155">
        <v>2548800</v>
      </c>
      <c r="F114" s="1156"/>
      <c r="G114" s="1157"/>
      <c r="H114" s="1158"/>
      <c r="I114" s="1159"/>
      <c r="J114" s="1094" t="s">
        <v>1146</v>
      </c>
    </row>
    <row r="115" spans="1:10" ht="22.5" x14ac:dyDescent="0.2">
      <c r="A115" s="1093" t="s">
        <v>1147</v>
      </c>
      <c r="B115" s="1126" t="s">
        <v>1131</v>
      </c>
      <c r="C115" s="1154" t="s">
        <v>1132</v>
      </c>
      <c r="D115" s="1094"/>
      <c r="E115" s="1155">
        <v>395553</v>
      </c>
      <c r="F115" s="1156"/>
      <c r="G115" s="1157"/>
      <c r="H115" s="1158"/>
      <c r="I115" s="1159"/>
      <c r="J115" s="1094" t="s">
        <v>1133</v>
      </c>
    </row>
    <row r="116" spans="1:10" ht="13.5" x14ac:dyDescent="0.3">
      <c r="A116" s="1100" t="s">
        <v>1148</v>
      </c>
      <c r="B116" s="1126" t="s">
        <v>1149</v>
      </c>
      <c r="C116" s="1154" t="s">
        <v>1132</v>
      </c>
      <c r="D116" s="1160" t="s">
        <v>1150</v>
      </c>
      <c r="E116" s="1155">
        <v>447168</v>
      </c>
      <c r="F116" s="1156"/>
      <c r="G116" s="1157"/>
      <c r="H116" s="1158"/>
      <c r="I116" s="1159"/>
      <c r="J116" s="1094" t="s">
        <v>1146</v>
      </c>
    </row>
    <row r="117" spans="1:10" ht="33.75" x14ac:dyDescent="0.2">
      <c r="A117" s="1093" t="s">
        <v>1151</v>
      </c>
      <c r="B117" s="1126" t="s">
        <v>1131</v>
      </c>
      <c r="C117" s="1154" t="s">
        <v>1132</v>
      </c>
      <c r="D117" s="1094"/>
      <c r="E117" s="1155">
        <v>667417.37</v>
      </c>
      <c r="F117" s="1156"/>
      <c r="G117" s="1157"/>
      <c r="H117" s="1158"/>
      <c r="I117" s="1159"/>
      <c r="J117" s="1094" t="s">
        <v>1133</v>
      </c>
    </row>
    <row r="118" spans="1:10" ht="67.5" x14ac:dyDescent="0.2">
      <c r="A118" s="1093" t="s">
        <v>1152</v>
      </c>
      <c r="B118" s="1126" t="s">
        <v>1153</v>
      </c>
      <c r="C118" s="1154" t="s">
        <v>1132</v>
      </c>
      <c r="D118" s="1094"/>
      <c r="E118" s="1155">
        <v>174191.6</v>
      </c>
      <c r="F118" s="1156"/>
      <c r="G118" s="1157"/>
      <c r="H118" s="1158"/>
      <c r="I118" s="1159"/>
      <c r="J118" s="1094" t="s">
        <v>1133</v>
      </c>
    </row>
    <row r="119" spans="1:10" ht="33.75" x14ac:dyDescent="0.2">
      <c r="A119" s="1093" t="s">
        <v>1154</v>
      </c>
      <c r="B119" s="1126" t="s">
        <v>1131</v>
      </c>
      <c r="C119" s="1154" t="s">
        <v>1132</v>
      </c>
      <c r="D119" s="1126"/>
      <c r="E119" s="1155">
        <v>278480</v>
      </c>
      <c r="F119" s="1156"/>
      <c r="G119" s="1157"/>
      <c r="H119" s="1158"/>
      <c r="I119" s="1159"/>
      <c r="J119" s="1094" t="s">
        <v>1133</v>
      </c>
    </row>
    <row r="120" spans="1:10" ht="28.5" customHeight="1" x14ac:dyDescent="0.2">
      <c r="A120" s="1093" t="s">
        <v>1155</v>
      </c>
      <c r="B120" s="1126" t="s">
        <v>1156</v>
      </c>
      <c r="C120" s="1154" t="s">
        <v>1132</v>
      </c>
      <c r="D120" s="1126"/>
      <c r="E120" s="1155">
        <v>1979384.01</v>
      </c>
      <c r="F120" s="1156"/>
      <c r="G120" s="1157"/>
      <c r="H120" s="1158"/>
      <c r="I120" s="1159"/>
      <c r="J120" s="1094" t="s">
        <v>1133</v>
      </c>
    </row>
    <row r="121" spans="1:10" ht="33.75" x14ac:dyDescent="0.2">
      <c r="A121" s="1093" t="s">
        <v>1157</v>
      </c>
      <c r="B121" s="1126" t="s">
        <v>1131</v>
      </c>
      <c r="C121" s="1154" t="s">
        <v>1132</v>
      </c>
      <c r="D121" s="1126"/>
      <c r="E121" s="1155">
        <v>35400</v>
      </c>
      <c r="F121" s="1156"/>
      <c r="G121" s="1157"/>
      <c r="H121" s="1158"/>
      <c r="I121" s="1159"/>
      <c r="J121" s="1094" t="s">
        <v>1133</v>
      </c>
    </row>
    <row r="122" spans="1:10" ht="33.75" x14ac:dyDescent="0.2">
      <c r="A122" s="1093" t="s">
        <v>1158</v>
      </c>
      <c r="B122" s="1126" t="s">
        <v>1131</v>
      </c>
      <c r="C122" s="1154" t="s">
        <v>1132</v>
      </c>
      <c r="D122" s="1126"/>
      <c r="E122" s="1155">
        <v>386036.5</v>
      </c>
      <c r="F122" s="1156"/>
      <c r="G122" s="1157"/>
      <c r="H122" s="1158"/>
      <c r="I122" s="1159"/>
      <c r="J122" s="1094" t="s">
        <v>1133</v>
      </c>
    </row>
    <row r="123" spans="1:10" ht="67.5" x14ac:dyDescent="0.2">
      <c r="A123" s="1093" t="s">
        <v>1159</v>
      </c>
      <c r="B123" s="1126" t="s">
        <v>1131</v>
      </c>
      <c r="C123" s="1154" t="s">
        <v>1132</v>
      </c>
      <c r="D123" s="1126"/>
      <c r="E123" s="1155">
        <v>161117.10999999999</v>
      </c>
      <c r="F123" s="1156"/>
      <c r="G123" s="1157"/>
      <c r="H123" s="1158"/>
      <c r="I123" s="1159"/>
      <c r="J123" s="1094" t="s">
        <v>1135</v>
      </c>
    </row>
    <row r="124" spans="1:10" ht="22.5" x14ac:dyDescent="0.2">
      <c r="A124" s="1093" t="s">
        <v>1160</v>
      </c>
      <c r="B124" s="1126" t="s">
        <v>1161</v>
      </c>
      <c r="C124" s="1154" t="s">
        <v>1132</v>
      </c>
      <c r="D124" s="1094" t="s">
        <v>1162</v>
      </c>
      <c r="E124" s="1155">
        <v>34400</v>
      </c>
      <c r="F124" s="1162" t="s">
        <v>1163</v>
      </c>
      <c r="G124" s="1163"/>
      <c r="H124" s="1164">
        <v>43892</v>
      </c>
      <c r="I124" s="1159"/>
      <c r="J124" s="1094" t="s">
        <v>1133</v>
      </c>
    </row>
    <row r="125" spans="1:10" ht="22.5" x14ac:dyDescent="0.2">
      <c r="A125" s="1093" t="s">
        <v>1164</v>
      </c>
      <c r="B125" s="1126" t="s">
        <v>1161</v>
      </c>
      <c r="C125" s="1154" t="s">
        <v>1132</v>
      </c>
      <c r="D125" s="1094" t="s">
        <v>1165</v>
      </c>
      <c r="E125" s="1155">
        <v>65170</v>
      </c>
      <c r="F125" s="1162" t="s">
        <v>1166</v>
      </c>
      <c r="G125" s="1165"/>
      <c r="H125" s="1164">
        <v>43941</v>
      </c>
      <c r="I125" s="1159"/>
      <c r="J125" s="1094" t="s">
        <v>1141</v>
      </c>
    </row>
    <row r="126" spans="1:10" ht="22.5" x14ac:dyDescent="0.2">
      <c r="A126" s="1100" t="s">
        <v>1167</v>
      </c>
      <c r="B126" s="1126" t="s">
        <v>1161</v>
      </c>
      <c r="C126" s="1154" t="s">
        <v>1132</v>
      </c>
      <c r="D126" s="1094" t="s">
        <v>1168</v>
      </c>
      <c r="E126" s="1155">
        <v>15145.74</v>
      </c>
      <c r="F126" s="1162" t="s">
        <v>1169</v>
      </c>
      <c r="G126" s="1165"/>
      <c r="H126" s="1164">
        <v>43949</v>
      </c>
      <c r="I126" s="1159"/>
      <c r="J126" s="1094" t="s">
        <v>1141</v>
      </c>
    </row>
    <row r="127" spans="1:10" x14ac:dyDescent="0.2">
      <c r="A127" s="346"/>
      <c r="B127" s="345"/>
      <c r="C127" s="345"/>
      <c r="D127" s="345"/>
      <c r="E127" s="1053"/>
      <c r="F127" s="345"/>
      <c r="G127" s="303"/>
      <c r="H127" s="341"/>
      <c r="I127" s="342"/>
      <c r="J127" s="525"/>
    </row>
    <row r="128" spans="1:10" x14ac:dyDescent="0.2">
      <c r="A128" s="532">
        <v>2021</v>
      </c>
      <c r="B128" s="533"/>
      <c r="C128" s="533"/>
      <c r="D128" s="533"/>
      <c r="E128" s="1054">
        <f>SUM(E129:E147)</f>
        <v>2424417</v>
      </c>
      <c r="F128" s="533"/>
      <c r="G128" s="534"/>
      <c r="H128" s="535"/>
      <c r="I128" s="536"/>
      <c r="J128" s="537"/>
    </row>
    <row r="129" spans="1:10" x14ac:dyDescent="0.2">
      <c r="A129" s="1166" t="s">
        <v>1170</v>
      </c>
      <c r="B129" s="1147" t="s">
        <v>1137</v>
      </c>
      <c r="C129" s="1148" t="s">
        <v>1132</v>
      </c>
      <c r="D129" s="1147" t="s">
        <v>1171</v>
      </c>
      <c r="E129" s="1167">
        <v>360421</v>
      </c>
      <c r="F129" s="1147" t="s">
        <v>1172</v>
      </c>
      <c r="G129" s="1168" t="s">
        <v>1173</v>
      </c>
      <c r="H129" s="1169">
        <v>44294</v>
      </c>
      <c r="I129" s="1087"/>
      <c r="J129" s="1086" t="s">
        <v>1174</v>
      </c>
    </row>
    <row r="130" spans="1:10" x14ac:dyDescent="0.2">
      <c r="A130" s="1170" t="s">
        <v>1175</v>
      </c>
      <c r="B130" s="1126" t="s">
        <v>1176</v>
      </c>
      <c r="C130" s="1154"/>
      <c r="D130" s="1126"/>
      <c r="E130" s="1171">
        <v>609600</v>
      </c>
      <c r="F130" s="1126"/>
      <c r="G130" s="1165"/>
      <c r="H130" s="1094"/>
      <c r="I130" s="1172"/>
      <c r="J130" s="1094" t="s">
        <v>1146</v>
      </c>
    </row>
    <row r="131" spans="1:10" x14ac:dyDescent="0.2">
      <c r="A131" s="1170" t="s">
        <v>1177</v>
      </c>
      <c r="B131" s="1126" t="s">
        <v>1176</v>
      </c>
      <c r="C131" s="1154"/>
      <c r="D131" s="1126"/>
      <c r="E131" s="1171">
        <v>38400</v>
      </c>
      <c r="F131" s="1126"/>
      <c r="G131" s="1165"/>
      <c r="H131" s="1094"/>
      <c r="I131" s="1172"/>
      <c r="J131" s="1094" t="s">
        <v>1146</v>
      </c>
    </row>
    <row r="132" spans="1:10" x14ac:dyDescent="0.2">
      <c r="A132" s="1170" t="s">
        <v>1178</v>
      </c>
      <c r="B132" s="1126" t="s">
        <v>1131</v>
      </c>
      <c r="C132" s="1154" t="s">
        <v>1132</v>
      </c>
      <c r="D132" s="1126" t="s">
        <v>1179</v>
      </c>
      <c r="E132" s="1171">
        <v>131666</v>
      </c>
      <c r="F132" s="1126" t="s">
        <v>1180</v>
      </c>
      <c r="G132" s="1165" t="s">
        <v>1181</v>
      </c>
      <c r="H132" s="1164">
        <v>44229</v>
      </c>
      <c r="I132" s="1172"/>
      <c r="J132" s="1094" t="s">
        <v>1146</v>
      </c>
    </row>
    <row r="133" spans="1:10" x14ac:dyDescent="0.2">
      <c r="A133" s="1170" t="s">
        <v>1182</v>
      </c>
      <c r="B133" s="1126" t="s">
        <v>1183</v>
      </c>
      <c r="C133" s="1154" t="s">
        <v>1132</v>
      </c>
      <c r="D133" s="1126"/>
      <c r="E133" s="1171">
        <v>100000</v>
      </c>
      <c r="F133" s="1126"/>
      <c r="G133" s="1165"/>
      <c r="H133" s="1094"/>
      <c r="I133" s="1172"/>
      <c r="J133" s="1094" t="s">
        <v>1141</v>
      </c>
    </row>
    <row r="134" spans="1:10" x14ac:dyDescent="0.2">
      <c r="A134" s="1170" t="s">
        <v>1184</v>
      </c>
      <c r="B134" s="1126" t="s">
        <v>1183</v>
      </c>
      <c r="C134" s="1154" t="s">
        <v>1132</v>
      </c>
      <c r="D134" s="1126"/>
      <c r="E134" s="1171">
        <v>50000</v>
      </c>
      <c r="F134" s="1126"/>
      <c r="G134" s="1165"/>
      <c r="H134" s="1094"/>
      <c r="I134" s="1172"/>
      <c r="J134" s="1094" t="s">
        <v>1141</v>
      </c>
    </row>
    <row r="135" spans="1:10" x14ac:dyDescent="0.2">
      <c r="A135" s="1170" t="s">
        <v>1185</v>
      </c>
      <c r="B135" s="1126" t="s">
        <v>1131</v>
      </c>
      <c r="C135" s="1154" t="s">
        <v>1132</v>
      </c>
      <c r="D135" s="1126"/>
      <c r="E135" s="1171">
        <v>100000</v>
      </c>
      <c r="F135" s="1126"/>
      <c r="G135" s="1165"/>
      <c r="H135" s="1094"/>
      <c r="I135" s="1172"/>
      <c r="J135" s="1094" t="s">
        <v>1141</v>
      </c>
    </row>
    <row r="136" spans="1:10" x14ac:dyDescent="0.2">
      <c r="A136" s="1170" t="s">
        <v>1186</v>
      </c>
      <c r="B136" s="1126" t="s">
        <v>1131</v>
      </c>
      <c r="C136" s="1154" t="s">
        <v>1132</v>
      </c>
      <c r="D136" s="1126"/>
      <c r="E136" s="1171">
        <v>160000</v>
      </c>
      <c r="F136" s="1126"/>
      <c r="G136" s="1165"/>
      <c r="H136" s="1094"/>
      <c r="I136" s="1172"/>
      <c r="J136" s="1094" t="s">
        <v>1141</v>
      </c>
    </row>
    <row r="137" spans="1:10" x14ac:dyDescent="0.2">
      <c r="A137" s="1170" t="s">
        <v>1187</v>
      </c>
      <c r="B137" s="1126" t="s">
        <v>1131</v>
      </c>
      <c r="C137" s="1154" t="s">
        <v>1132</v>
      </c>
      <c r="D137" s="1126"/>
      <c r="E137" s="1171">
        <v>85000</v>
      </c>
      <c r="F137" s="1126"/>
      <c r="G137" s="1165"/>
      <c r="H137" s="1094"/>
      <c r="I137" s="1172"/>
      <c r="J137" s="1094" t="s">
        <v>1141</v>
      </c>
    </row>
    <row r="138" spans="1:10" x14ac:dyDescent="0.2">
      <c r="A138" s="1170" t="s">
        <v>1188</v>
      </c>
      <c r="B138" s="1126" t="s">
        <v>1176</v>
      </c>
      <c r="C138" s="1173"/>
      <c r="D138" s="1126"/>
      <c r="E138" s="1171">
        <v>28005</v>
      </c>
      <c r="F138" s="1126"/>
      <c r="G138" s="1165"/>
      <c r="H138" s="1094"/>
      <c r="I138" s="1172"/>
      <c r="J138" s="1094" t="s">
        <v>1141</v>
      </c>
    </row>
    <row r="139" spans="1:10" x14ac:dyDescent="0.2">
      <c r="A139" s="1170" t="s">
        <v>1189</v>
      </c>
      <c r="B139" s="1126" t="s">
        <v>1131</v>
      </c>
      <c r="C139" s="1173" t="s">
        <v>1132</v>
      </c>
      <c r="D139" s="1126"/>
      <c r="E139" s="1171">
        <v>189325</v>
      </c>
      <c r="F139" s="1126"/>
      <c r="G139" s="1165"/>
      <c r="H139" s="1094"/>
      <c r="I139" s="1172"/>
      <c r="J139" s="1094" t="s">
        <v>1141</v>
      </c>
    </row>
    <row r="140" spans="1:10" x14ac:dyDescent="0.2">
      <c r="A140" s="1170" t="s">
        <v>1190</v>
      </c>
      <c r="B140" s="1126" t="s">
        <v>1131</v>
      </c>
      <c r="C140" s="1173" t="s">
        <v>1132</v>
      </c>
      <c r="D140" s="1126"/>
      <c r="E140" s="1171">
        <v>125000</v>
      </c>
      <c r="F140" s="1126"/>
      <c r="G140" s="1165"/>
      <c r="H140" s="1094"/>
      <c r="I140" s="1172"/>
      <c r="J140" s="1094" t="s">
        <v>1141</v>
      </c>
    </row>
    <row r="141" spans="1:10" x14ac:dyDescent="0.2">
      <c r="A141" s="1170" t="s">
        <v>1191</v>
      </c>
      <c r="B141" s="1126" t="s">
        <v>1131</v>
      </c>
      <c r="C141" s="1154" t="s">
        <v>1132</v>
      </c>
      <c r="D141" s="1126"/>
      <c r="E141" s="1171">
        <v>75000</v>
      </c>
      <c r="F141" s="1126"/>
      <c r="G141" s="1165"/>
      <c r="H141" s="1094"/>
      <c r="I141" s="1172"/>
      <c r="J141" s="1094" t="s">
        <v>1141</v>
      </c>
    </row>
    <row r="142" spans="1:10" x14ac:dyDescent="0.2">
      <c r="A142" s="1170" t="s">
        <v>1192</v>
      </c>
      <c r="B142" s="1126" t="s">
        <v>1131</v>
      </c>
      <c r="C142" s="1154" t="s">
        <v>1132</v>
      </c>
      <c r="D142" s="1126"/>
      <c r="E142" s="1171">
        <v>60000</v>
      </c>
      <c r="F142" s="1126"/>
      <c r="G142" s="1165"/>
      <c r="H142" s="1094"/>
      <c r="I142" s="1172"/>
      <c r="J142" s="1094" t="s">
        <v>1141</v>
      </c>
    </row>
    <row r="143" spans="1:10" x14ac:dyDescent="0.2">
      <c r="A143" s="1170" t="s">
        <v>1193</v>
      </c>
      <c r="B143" s="1126" t="s">
        <v>1176</v>
      </c>
      <c r="C143" s="1173"/>
      <c r="D143" s="1126"/>
      <c r="E143" s="1171">
        <v>70000</v>
      </c>
      <c r="F143" s="1126"/>
      <c r="G143" s="1165"/>
      <c r="H143" s="1094"/>
      <c r="I143" s="1172"/>
      <c r="J143" s="1094" t="s">
        <v>1141</v>
      </c>
    </row>
    <row r="144" spans="1:10" x14ac:dyDescent="0.2">
      <c r="A144" s="1170" t="s">
        <v>1194</v>
      </c>
      <c r="B144" s="1126" t="s">
        <v>1131</v>
      </c>
      <c r="C144" s="1154" t="s">
        <v>1132</v>
      </c>
      <c r="D144" s="1126"/>
      <c r="E144" s="1171">
        <v>60000</v>
      </c>
      <c r="F144" s="1126"/>
      <c r="G144" s="1165"/>
      <c r="H144" s="1094"/>
      <c r="I144" s="1172"/>
      <c r="J144" s="1094" t="s">
        <v>1141</v>
      </c>
    </row>
    <row r="145" spans="1:10" x14ac:dyDescent="0.2">
      <c r="A145" s="1170" t="s">
        <v>1195</v>
      </c>
      <c r="B145" s="1126" t="s">
        <v>1161</v>
      </c>
      <c r="C145" s="1154" t="s">
        <v>1132</v>
      </c>
      <c r="D145" s="1126"/>
      <c r="E145" s="1171">
        <v>40000</v>
      </c>
      <c r="F145" s="1126"/>
      <c r="G145" s="1165"/>
      <c r="H145" s="1094"/>
      <c r="I145" s="1172"/>
      <c r="J145" s="1094" t="s">
        <v>1141</v>
      </c>
    </row>
    <row r="146" spans="1:10" x14ac:dyDescent="0.2">
      <c r="A146" s="1170" t="s">
        <v>1196</v>
      </c>
      <c r="B146" s="1126" t="s">
        <v>1176</v>
      </c>
      <c r="C146" s="1154"/>
      <c r="D146" s="1126"/>
      <c r="E146" s="1171">
        <v>92000</v>
      </c>
      <c r="F146" s="1126"/>
      <c r="G146" s="1165"/>
      <c r="H146" s="1094"/>
      <c r="I146" s="1172"/>
      <c r="J146" s="1094" t="s">
        <v>1141</v>
      </c>
    </row>
    <row r="147" spans="1:10" x14ac:dyDescent="0.2">
      <c r="A147" s="1170" t="s">
        <v>1197</v>
      </c>
      <c r="B147" s="1126" t="s">
        <v>1131</v>
      </c>
      <c r="C147" s="1154" t="s">
        <v>1132</v>
      </c>
      <c r="D147" s="1126"/>
      <c r="E147" s="1171">
        <v>50000</v>
      </c>
      <c r="F147" s="1126"/>
      <c r="G147" s="1165"/>
      <c r="H147" s="1094"/>
      <c r="I147" s="1172"/>
      <c r="J147" s="1094" t="s">
        <v>1141</v>
      </c>
    </row>
    <row r="148" spans="1:10" x14ac:dyDescent="0.2">
      <c r="A148" s="346"/>
      <c r="B148" s="345"/>
      <c r="C148" s="345"/>
      <c r="D148" s="345"/>
      <c r="E148" s="1053"/>
      <c r="F148" s="345"/>
      <c r="G148" s="303"/>
      <c r="H148" s="341"/>
      <c r="I148" s="342"/>
      <c r="J148" s="525"/>
    </row>
    <row r="149" spans="1:10" x14ac:dyDescent="0.2">
      <c r="A149" s="532">
        <v>2022</v>
      </c>
      <c r="B149" s="533"/>
      <c r="C149" s="533"/>
      <c r="D149" s="533"/>
      <c r="E149" s="1054">
        <f>SUM(E150:E169)</f>
        <v>4835820</v>
      </c>
      <c r="F149" s="533"/>
      <c r="G149" s="534"/>
      <c r="H149" s="535"/>
      <c r="I149" s="536"/>
      <c r="J149" s="537"/>
    </row>
    <row r="150" spans="1:10" ht="22.5" x14ac:dyDescent="0.2">
      <c r="A150" s="1166" t="s">
        <v>1198</v>
      </c>
      <c r="B150" s="1147" t="s">
        <v>1137</v>
      </c>
      <c r="C150" s="1148" t="s">
        <v>1132</v>
      </c>
      <c r="D150" s="1147" t="s">
        <v>1199</v>
      </c>
      <c r="E150" s="1167">
        <v>1117218</v>
      </c>
      <c r="F150" s="1174" t="s">
        <v>1172</v>
      </c>
      <c r="G150" s="1168" t="s">
        <v>1181</v>
      </c>
      <c r="H150" s="1169">
        <v>44344</v>
      </c>
      <c r="I150" s="1087"/>
      <c r="J150" s="1086" t="s">
        <v>1174</v>
      </c>
    </row>
    <row r="151" spans="1:10" ht="22.5" x14ac:dyDescent="0.2">
      <c r="A151" s="1170" t="s">
        <v>1200</v>
      </c>
      <c r="B151" s="1126" t="s">
        <v>1137</v>
      </c>
      <c r="C151" s="1154" t="s">
        <v>1132</v>
      </c>
      <c r="D151" s="1126" t="s">
        <v>1199</v>
      </c>
      <c r="E151" s="1171">
        <v>1254891</v>
      </c>
      <c r="F151" s="1175" t="s">
        <v>1172</v>
      </c>
      <c r="G151" s="1165" t="s">
        <v>1181</v>
      </c>
      <c r="H151" s="1164">
        <v>44344</v>
      </c>
      <c r="I151" s="1095"/>
      <c r="J151" s="1094" t="s">
        <v>1146</v>
      </c>
    </row>
    <row r="152" spans="1:10" x14ac:dyDescent="0.2">
      <c r="A152" s="1170" t="s">
        <v>1201</v>
      </c>
      <c r="B152" s="1126" t="s">
        <v>1176</v>
      </c>
      <c r="C152" s="1154"/>
      <c r="D152" s="1126"/>
      <c r="E152" s="1171">
        <v>609600</v>
      </c>
      <c r="F152" s="1126"/>
      <c r="G152" s="1165"/>
      <c r="H152" s="1094"/>
      <c r="I152" s="1172"/>
      <c r="J152" s="1094" t="s">
        <v>1146</v>
      </c>
    </row>
    <row r="153" spans="1:10" x14ac:dyDescent="0.2">
      <c r="A153" s="1170" t="s">
        <v>1202</v>
      </c>
      <c r="B153" s="1126" t="s">
        <v>1176</v>
      </c>
      <c r="C153" s="1154"/>
      <c r="D153" s="1126"/>
      <c r="E153" s="1171">
        <v>38400</v>
      </c>
      <c r="F153" s="1126"/>
      <c r="G153" s="1165"/>
      <c r="H153" s="1094"/>
      <c r="I153" s="1172"/>
      <c r="J153" s="1094" t="s">
        <v>1146</v>
      </c>
    </row>
    <row r="154" spans="1:10" x14ac:dyDescent="0.2">
      <c r="A154" s="1170" t="s">
        <v>1203</v>
      </c>
      <c r="B154" s="1126" t="s">
        <v>1131</v>
      </c>
      <c r="C154" s="1154" t="s">
        <v>1132</v>
      </c>
      <c r="D154" s="1126" t="s">
        <v>1179</v>
      </c>
      <c r="E154" s="1171">
        <v>131666</v>
      </c>
      <c r="F154" s="1126" t="s">
        <v>1180</v>
      </c>
      <c r="G154" s="1165" t="s">
        <v>1181</v>
      </c>
      <c r="H154" s="1164">
        <v>44229</v>
      </c>
      <c r="I154" s="1172"/>
      <c r="J154" s="1094" t="s">
        <v>1146</v>
      </c>
    </row>
    <row r="155" spans="1:10" ht="22.5" x14ac:dyDescent="0.2">
      <c r="A155" s="1170" t="s">
        <v>1204</v>
      </c>
      <c r="B155" s="1126" t="s">
        <v>1137</v>
      </c>
      <c r="C155" s="1094" t="s">
        <v>1132</v>
      </c>
      <c r="D155" s="1126" t="s">
        <v>1205</v>
      </c>
      <c r="E155" s="1171">
        <v>444720</v>
      </c>
      <c r="F155" s="1175" t="s">
        <v>1206</v>
      </c>
      <c r="G155" s="1165" t="s">
        <v>1181</v>
      </c>
      <c r="H155" s="1164">
        <v>44256</v>
      </c>
      <c r="I155" s="1159"/>
      <c r="J155" s="1094" t="s">
        <v>1146</v>
      </c>
    </row>
    <row r="156" spans="1:10" ht="22.5" x14ac:dyDescent="0.2">
      <c r="A156" s="1170" t="s">
        <v>1207</v>
      </c>
      <c r="B156" s="1126" t="s">
        <v>1208</v>
      </c>
      <c r="C156" s="1094" t="s">
        <v>1132</v>
      </c>
      <c r="D156" s="1126" t="s">
        <v>1209</v>
      </c>
      <c r="E156" s="1171">
        <v>200000</v>
      </c>
      <c r="F156" s="1175" t="s">
        <v>1210</v>
      </c>
      <c r="G156" s="1165" t="s">
        <v>1181</v>
      </c>
      <c r="H156" s="1164">
        <v>44098</v>
      </c>
      <c r="I156" s="1159"/>
      <c r="J156" s="1094" t="s">
        <v>1146</v>
      </c>
    </row>
    <row r="157" spans="1:10" x14ac:dyDescent="0.2">
      <c r="A157" s="1170" t="s">
        <v>1211</v>
      </c>
      <c r="B157" s="1126" t="s">
        <v>1183</v>
      </c>
      <c r="C157" s="1154" t="s">
        <v>1132</v>
      </c>
      <c r="D157" s="1126"/>
      <c r="E157" s="1171">
        <v>50000</v>
      </c>
      <c r="F157" s="1126"/>
      <c r="G157" s="1165"/>
      <c r="H157" s="1094"/>
      <c r="I157" s="1172"/>
      <c r="J157" s="1094" t="s">
        <v>1141</v>
      </c>
    </row>
    <row r="158" spans="1:10" x14ac:dyDescent="0.2">
      <c r="A158" s="1170" t="s">
        <v>1212</v>
      </c>
      <c r="B158" s="1126" t="s">
        <v>1183</v>
      </c>
      <c r="C158" s="1154" t="s">
        <v>1132</v>
      </c>
      <c r="D158" s="1126"/>
      <c r="E158" s="1171">
        <v>50000</v>
      </c>
      <c r="F158" s="1126"/>
      <c r="G158" s="1165"/>
      <c r="H158" s="1094"/>
      <c r="I158" s="1172"/>
      <c r="J158" s="1094" t="s">
        <v>1141</v>
      </c>
    </row>
    <row r="159" spans="1:10" x14ac:dyDescent="0.2">
      <c r="A159" s="1170" t="s">
        <v>1213</v>
      </c>
      <c r="B159" s="1126" t="s">
        <v>1131</v>
      </c>
      <c r="C159" s="1154" t="s">
        <v>1132</v>
      </c>
      <c r="D159" s="1126"/>
      <c r="E159" s="1171">
        <v>100000</v>
      </c>
      <c r="F159" s="1126"/>
      <c r="G159" s="1165"/>
      <c r="H159" s="1094"/>
      <c r="I159" s="1172"/>
      <c r="J159" s="1094" t="s">
        <v>1141</v>
      </c>
    </row>
    <row r="160" spans="1:10" x14ac:dyDescent="0.2">
      <c r="A160" s="1170" t="s">
        <v>1214</v>
      </c>
      <c r="B160" s="1126" t="s">
        <v>1131</v>
      </c>
      <c r="C160" s="1154" t="s">
        <v>1132</v>
      </c>
      <c r="D160" s="1126"/>
      <c r="E160" s="1171">
        <v>85000</v>
      </c>
      <c r="F160" s="1126"/>
      <c r="G160" s="1165"/>
      <c r="H160" s="1094"/>
      <c r="I160" s="1172"/>
      <c r="J160" s="1094" t="s">
        <v>1141</v>
      </c>
    </row>
    <row r="161" spans="1:10" x14ac:dyDescent="0.2">
      <c r="A161" s="1170" t="s">
        <v>1215</v>
      </c>
      <c r="B161" s="1126" t="s">
        <v>1176</v>
      </c>
      <c r="C161" s="1173"/>
      <c r="D161" s="1126"/>
      <c r="E161" s="1171">
        <v>35000</v>
      </c>
      <c r="F161" s="1126"/>
      <c r="G161" s="1165"/>
      <c r="H161" s="1094"/>
      <c r="I161" s="1172"/>
      <c r="J161" s="1094" t="s">
        <v>1141</v>
      </c>
    </row>
    <row r="162" spans="1:10" x14ac:dyDescent="0.2">
      <c r="A162" s="1170" t="s">
        <v>1216</v>
      </c>
      <c r="B162" s="1126" t="s">
        <v>1131</v>
      </c>
      <c r="C162" s="1173" t="s">
        <v>1132</v>
      </c>
      <c r="D162" s="1126"/>
      <c r="E162" s="1171">
        <v>189325</v>
      </c>
      <c r="F162" s="1126"/>
      <c r="G162" s="1165"/>
      <c r="H162" s="1094"/>
      <c r="I162" s="1172"/>
      <c r="J162" s="1094" t="s">
        <v>1141</v>
      </c>
    </row>
    <row r="163" spans="1:10" x14ac:dyDescent="0.2">
      <c r="A163" s="1170" t="s">
        <v>1217</v>
      </c>
      <c r="B163" s="1126" t="s">
        <v>1131</v>
      </c>
      <c r="C163" s="1173" t="s">
        <v>1132</v>
      </c>
      <c r="D163" s="1126"/>
      <c r="E163" s="1171">
        <v>125000</v>
      </c>
      <c r="F163" s="1126"/>
      <c r="G163" s="1165"/>
      <c r="H163" s="1094"/>
      <c r="I163" s="1172"/>
      <c r="J163" s="1094" t="s">
        <v>1141</v>
      </c>
    </row>
    <row r="164" spans="1:10" x14ac:dyDescent="0.2">
      <c r="A164" s="1170" t="s">
        <v>1218</v>
      </c>
      <c r="B164" s="1126" t="s">
        <v>1131</v>
      </c>
      <c r="C164" s="1154" t="s">
        <v>1132</v>
      </c>
      <c r="D164" s="1126"/>
      <c r="E164" s="1171">
        <v>75000</v>
      </c>
      <c r="F164" s="1126"/>
      <c r="G164" s="1165"/>
      <c r="H164" s="1094"/>
      <c r="I164" s="1172"/>
      <c r="J164" s="1094" t="s">
        <v>1141</v>
      </c>
    </row>
    <row r="165" spans="1:10" x14ac:dyDescent="0.2">
      <c r="A165" s="1170" t="s">
        <v>1219</v>
      </c>
      <c r="B165" s="1126" t="s">
        <v>1131</v>
      </c>
      <c r="C165" s="1154" t="s">
        <v>1132</v>
      </c>
      <c r="D165" s="1126"/>
      <c r="E165" s="1171">
        <v>60000</v>
      </c>
      <c r="F165" s="1126"/>
      <c r="G165" s="1165"/>
      <c r="H165" s="1094"/>
      <c r="I165" s="1172"/>
      <c r="J165" s="1094" t="s">
        <v>1141</v>
      </c>
    </row>
    <row r="166" spans="1:10" x14ac:dyDescent="0.2">
      <c r="A166" s="1170" t="s">
        <v>1220</v>
      </c>
      <c r="B166" s="1126" t="s">
        <v>1176</v>
      </c>
      <c r="C166" s="1173"/>
      <c r="D166" s="1126"/>
      <c r="E166" s="1171">
        <v>70000</v>
      </c>
      <c r="F166" s="1126"/>
      <c r="G166" s="1165"/>
      <c r="H166" s="1094"/>
      <c r="I166" s="1172"/>
      <c r="J166" s="1094" t="s">
        <v>1141</v>
      </c>
    </row>
    <row r="167" spans="1:10" x14ac:dyDescent="0.2">
      <c r="A167" s="1170" t="s">
        <v>1221</v>
      </c>
      <c r="B167" s="1126" t="s">
        <v>1131</v>
      </c>
      <c r="C167" s="1154" t="s">
        <v>1132</v>
      </c>
      <c r="D167" s="1126"/>
      <c r="E167" s="1171">
        <v>75000</v>
      </c>
      <c r="F167" s="1126"/>
      <c r="G167" s="1165"/>
      <c r="H167" s="1094"/>
      <c r="I167" s="1172"/>
      <c r="J167" s="1094" t="s">
        <v>1141</v>
      </c>
    </row>
    <row r="168" spans="1:10" x14ac:dyDescent="0.2">
      <c r="A168" s="1170" t="s">
        <v>1222</v>
      </c>
      <c r="B168" s="1126" t="s">
        <v>1161</v>
      </c>
      <c r="C168" s="1154" t="s">
        <v>1132</v>
      </c>
      <c r="D168" s="1126"/>
      <c r="E168" s="1171">
        <v>50000</v>
      </c>
      <c r="F168" s="1126"/>
      <c r="G168" s="1165"/>
      <c r="H168" s="1094"/>
      <c r="I168" s="1172"/>
      <c r="J168" s="1094" t="s">
        <v>1141</v>
      </c>
    </row>
    <row r="169" spans="1:10" x14ac:dyDescent="0.2">
      <c r="A169" s="1170" t="s">
        <v>1197</v>
      </c>
      <c r="B169" s="1126" t="s">
        <v>1131</v>
      </c>
      <c r="C169" s="1154" t="s">
        <v>1132</v>
      </c>
      <c r="D169" s="1126"/>
      <c r="E169" s="1171">
        <v>75000</v>
      </c>
      <c r="F169" s="1126"/>
      <c r="G169" s="1165"/>
      <c r="H169" s="1094"/>
      <c r="I169" s="1172"/>
      <c r="J169" s="1094" t="s">
        <v>1141</v>
      </c>
    </row>
    <row r="170" spans="1:10" ht="12.75" thickBot="1" x14ac:dyDescent="0.25">
      <c r="A170" s="526"/>
      <c r="B170" s="527"/>
      <c r="C170" s="527"/>
      <c r="D170" s="527"/>
      <c r="E170" s="1055"/>
      <c r="F170" s="527"/>
      <c r="G170" s="531"/>
      <c r="H170" s="528"/>
      <c r="I170" s="529"/>
      <c r="J170" s="530"/>
    </row>
    <row r="171" spans="1:10" ht="19.5" customHeight="1" thickBot="1" x14ac:dyDescent="0.25">
      <c r="A171" s="329" t="s">
        <v>0</v>
      </c>
      <c r="B171" s="329"/>
      <c r="C171" s="329"/>
      <c r="D171" s="375"/>
      <c r="E171" s="660">
        <f>+E106+E128+E149</f>
        <v>17879460.740000002</v>
      </c>
      <c r="F171" s="320"/>
      <c r="G171" s="339"/>
      <c r="H171" s="333"/>
      <c r="I171" s="333"/>
      <c r="J171" s="329"/>
    </row>
    <row r="174" spans="1:10" ht="13.5" thickBot="1" x14ac:dyDescent="0.25">
      <c r="A174" s="460" t="s">
        <v>683</v>
      </c>
      <c r="B174" s="305"/>
      <c r="C174" s="305"/>
      <c r="D174" s="491"/>
      <c r="E174" s="491"/>
      <c r="F174" s="491"/>
      <c r="G174" s="311"/>
    </row>
    <row r="175" spans="1:10" ht="22.5" x14ac:dyDescent="0.2">
      <c r="A175" s="1176" t="s">
        <v>1223</v>
      </c>
      <c r="B175" s="1177" t="s">
        <v>1224</v>
      </c>
      <c r="C175" s="1178" t="s">
        <v>1225</v>
      </c>
      <c r="D175" s="1179" t="s">
        <v>1226</v>
      </c>
      <c r="E175" s="1180">
        <v>1315000</v>
      </c>
      <c r="F175" s="1181" t="s">
        <v>1227</v>
      </c>
      <c r="G175" s="1182" t="s">
        <v>1228</v>
      </c>
      <c r="H175" s="1183">
        <v>44271</v>
      </c>
      <c r="I175" s="1183">
        <v>44294</v>
      </c>
      <c r="J175" s="1182"/>
    </row>
    <row r="176" spans="1:10" x14ac:dyDescent="0.2">
      <c r="A176" s="1184" t="s">
        <v>1229</v>
      </c>
      <c r="B176" s="1089" t="s">
        <v>1224</v>
      </c>
      <c r="C176" s="1126" t="s">
        <v>1225</v>
      </c>
      <c r="D176" s="1185" t="s">
        <v>1230</v>
      </c>
      <c r="E176" s="1186">
        <v>474950</v>
      </c>
      <c r="F176" s="1170" t="s">
        <v>1227</v>
      </c>
      <c r="G176" s="1158" t="s">
        <v>1228</v>
      </c>
      <c r="H176" s="1187">
        <v>44251</v>
      </c>
      <c r="I176" s="1187">
        <v>44324</v>
      </c>
      <c r="J176" s="1158"/>
    </row>
    <row r="177" spans="1:10" x14ac:dyDescent="0.2">
      <c r="A177" s="1184" t="s">
        <v>1231</v>
      </c>
      <c r="B177" s="1089" t="s">
        <v>1224</v>
      </c>
      <c r="C177" s="1126"/>
      <c r="D177" s="1185" t="s">
        <v>1232</v>
      </c>
      <c r="E177" s="1186">
        <v>398880</v>
      </c>
      <c r="F177" s="1188" t="s">
        <v>1233</v>
      </c>
      <c r="G177" s="1158" t="s">
        <v>1228</v>
      </c>
      <c r="H177" s="1187">
        <v>44327</v>
      </c>
      <c r="I177" s="1187">
        <v>44384</v>
      </c>
      <c r="J177" s="1158"/>
    </row>
    <row r="178" spans="1:10" ht="22.5" x14ac:dyDescent="0.2">
      <c r="A178" s="1189" t="s">
        <v>1234</v>
      </c>
      <c r="B178" s="1089" t="s">
        <v>696</v>
      </c>
      <c r="C178" s="1126"/>
      <c r="D178" s="1185" t="s">
        <v>1232</v>
      </c>
      <c r="E178" s="1186">
        <v>1590000</v>
      </c>
      <c r="F178" s="1188" t="s">
        <v>1235</v>
      </c>
      <c r="G178" s="1158" t="s">
        <v>1228</v>
      </c>
      <c r="H178" s="1187">
        <v>44251</v>
      </c>
      <c r="I178" s="1159"/>
      <c r="J178" s="1158" t="s">
        <v>1236</v>
      </c>
    </row>
    <row r="179" spans="1:10" ht="22.5" x14ac:dyDescent="0.2">
      <c r="A179" s="1189" t="s">
        <v>1237</v>
      </c>
      <c r="B179" s="1089" t="s">
        <v>1062</v>
      </c>
      <c r="C179" s="1126"/>
      <c r="D179" s="1105" t="s">
        <v>1238</v>
      </c>
      <c r="E179" s="1186">
        <v>322204</v>
      </c>
      <c r="F179" s="1170" t="s">
        <v>1239</v>
      </c>
      <c r="G179" s="1190" t="s">
        <v>1228</v>
      </c>
      <c r="H179" s="1187">
        <v>44245</v>
      </c>
      <c r="I179" s="1159"/>
      <c r="J179" s="1158" t="s">
        <v>1236</v>
      </c>
    </row>
    <row r="180" spans="1:10" ht="22.5" x14ac:dyDescent="0.2">
      <c r="A180" s="1189" t="s">
        <v>1240</v>
      </c>
      <c r="B180" s="1089" t="s">
        <v>1062</v>
      </c>
      <c r="C180" s="1126"/>
      <c r="D180" s="1105"/>
      <c r="E180" s="1186">
        <v>234000</v>
      </c>
      <c r="F180" s="1170"/>
      <c r="G180" s="1190" t="s">
        <v>1241</v>
      </c>
      <c r="H180" s="1159"/>
      <c r="I180" s="1159"/>
      <c r="J180" s="1158" t="s">
        <v>1242</v>
      </c>
    </row>
    <row r="181" spans="1:10" ht="22.5" x14ac:dyDescent="0.2">
      <c r="A181" s="1189" t="s">
        <v>1243</v>
      </c>
      <c r="B181" s="1089" t="s">
        <v>797</v>
      </c>
      <c r="C181" s="1126"/>
      <c r="D181" s="1105"/>
      <c r="E181" s="1186">
        <v>668129.62</v>
      </c>
      <c r="F181" s="1170"/>
      <c r="G181" s="1190" t="s">
        <v>1241</v>
      </c>
      <c r="H181" s="1159"/>
      <c r="I181" s="1159"/>
      <c r="J181" s="1158" t="s">
        <v>1242</v>
      </c>
    </row>
    <row r="182" spans="1:10" ht="22.5" x14ac:dyDescent="0.2">
      <c r="A182" s="1189" t="s">
        <v>1244</v>
      </c>
      <c r="B182" s="1089" t="s">
        <v>797</v>
      </c>
      <c r="C182" s="1126"/>
      <c r="D182" s="1165"/>
      <c r="E182" s="1186">
        <v>1097667</v>
      </c>
      <c r="F182" s="1191"/>
      <c r="G182" s="1190" t="s">
        <v>1241</v>
      </c>
      <c r="H182" s="1159"/>
      <c r="I182" s="1159"/>
      <c r="J182" s="1158" t="s">
        <v>1242</v>
      </c>
    </row>
    <row r="183" spans="1:10" ht="22.5" x14ac:dyDescent="0.2">
      <c r="A183" s="1189" t="s">
        <v>1245</v>
      </c>
      <c r="B183" s="1089" t="s">
        <v>696</v>
      </c>
      <c r="C183" s="1126"/>
      <c r="D183" s="1105"/>
      <c r="E183" s="1186">
        <v>582827</v>
      </c>
      <c r="F183" s="1170"/>
      <c r="G183" s="1190" t="s">
        <v>1241</v>
      </c>
      <c r="H183" s="1159"/>
      <c r="I183" s="1159"/>
      <c r="J183" s="1158" t="s">
        <v>1236</v>
      </c>
    </row>
    <row r="184" spans="1:10" ht="22.5" x14ac:dyDescent="0.2">
      <c r="A184" s="1189" t="s">
        <v>1246</v>
      </c>
      <c r="B184" s="1089" t="s">
        <v>1062</v>
      </c>
      <c r="C184" s="1126"/>
      <c r="D184" s="1105"/>
      <c r="E184" s="1186">
        <v>114724</v>
      </c>
      <c r="F184" s="1170"/>
      <c r="G184" s="1190" t="s">
        <v>1241</v>
      </c>
      <c r="H184" s="1159"/>
      <c r="I184" s="1159"/>
      <c r="J184" s="1158" t="s">
        <v>1247</v>
      </c>
    </row>
    <row r="185" spans="1:10" ht="22.5" x14ac:dyDescent="0.2">
      <c r="A185" s="1189" t="s">
        <v>1248</v>
      </c>
      <c r="B185" s="1089" t="s">
        <v>696</v>
      </c>
      <c r="C185" s="1126"/>
      <c r="D185" s="1105"/>
      <c r="E185" s="1186">
        <v>1464650</v>
      </c>
      <c r="F185" s="1170"/>
      <c r="G185" s="1190" t="s">
        <v>1241</v>
      </c>
      <c r="H185" s="1159"/>
      <c r="I185" s="1159"/>
      <c r="J185" s="1158" t="s">
        <v>1236</v>
      </c>
    </row>
    <row r="186" spans="1:10" ht="22.5" x14ac:dyDescent="0.2">
      <c r="A186" s="1189" t="s">
        <v>1249</v>
      </c>
      <c r="B186" s="1089" t="s">
        <v>696</v>
      </c>
      <c r="C186" s="1126"/>
      <c r="D186" s="1105"/>
      <c r="E186" s="1186">
        <v>990000</v>
      </c>
      <c r="F186" s="1170"/>
      <c r="G186" s="1190" t="s">
        <v>1241</v>
      </c>
      <c r="H186" s="1159"/>
      <c r="I186" s="1159"/>
      <c r="J186" s="1158" t="s">
        <v>1236</v>
      </c>
    </row>
    <row r="187" spans="1:10" ht="12.75" thickBot="1" x14ac:dyDescent="0.25">
      <c r="A187" s="365"/>
      <c r="B187" s="363"/>
      <c r="C187" s="322"/>
      <c r="D187" s="354"/>
      <c r="E187" s="337"/>
      <c r="F187" s="337"/>
      <c r="G187" s="338"/>
      <c r="H187" s="327"/>
      <c r="I187" s="327"/>
      <c r="J187" s="338"/>
    </row>
    <row r="188" spans="1:10" ht="19.5" customHeight="1" thickBot="1" x14ac:dyDescent="0.25">
      <c r="A188" s="376" t="s">
        <v>0</v>
      </c>
      <c r="B188" s="343"/>
      <c r="C188" s="329"/>
      <c r="D188" s="375"/>
      <c r="E188" s="660">
        <f>SUM(E175:E187)</f>
        <v>9253031.620000001</v>
      </c>
      <c r="F188" s="320"/>
      <c r="G188" s="339"/>
      <c r="H188" s="333"/>
      <c r="I188" s="333"/>
      <c r="J188" s="339"/>
    </row>
  </sheetData>
  <mergeCells count="1">
    <mergeCell ref="A92:B92"/>
  </mergeCells>
  <printOptions horizontalCentered="1"/>
  <pageMargins left="0.23622047244094491" right="0.23622047244094491" top="0.74803149606299213" bottom="0.74803149606299213" header="0.31496062992125984" footer="0.31496062992125984"/>
  <pageSetup paperSize="9" scale="60" orientation="landscape" r:id="rId1"/>
  <headerFooter alignWithMargins="0">
    <oddHeader>&amp;C&amp;"Arial,Negrita"&amp;18PROYECTO DE PRESUPUESTO 2022</oddHeader>
    <oddFooter>&amp;L&amp;"Arial,Negrita"&amp;8PROYECTO DE PRESUPUESTO PARA EL AÑO FISCAL 2020
INFORMACIÓN PARA LA COMISIÓN DE PRESUPUESTO Y CUENTA GENERAL DE LA REPÚBLICA DEL CONGRESO DE LA REPÚBLICA</oddFooter>
  </headerFooter>
  <rowBreaks count="3" manualBreakCount="3">
    <brk id="89" max="9" man="1"/>
    <brk id="103" max="9" man="1"/>
    <brk id="172" max="9" man="1"/>
  </rowBreak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7030A0"/>
  </sheetPr>
  <dimension ref="A1:W155"/>
  <sheetViews>
    <sheetView view="pageBreakPreview" zoomScaleNormal="90" zoomScaleSheetLayoutView="100" zoomScalePageLayoutView="85" workbookViewId="0">
      <selection sqref="A1:A2"/>
    </sheetView>
  </sheetViews>
  <sheetFormatPr baseColWidth="10" defaultColWidth="11.42578125" defaultRowHeight="12" x14ac:dyDescent="0.2"/>
  <cols>
    <col min="1" max="1" width="66.7109375" style="462" customWidth="1"/>
    <col min="2" max="2" width="20.5703125" style="462" customWidth="1"/>
    <col min="3" max="3" width="16.140625" style="462" customWidth="1"/>
    <col min="4" max="4" width="20" style="462" customWidth="1"/>
    <col min="5" max="5" width="20.140625" style="462" customWidth="1"/>
    <col min="6" max="6" width="20.7109375" style="462" customWidth="1"/>
    <col min="7" max="7" width="17" style="462" customWidth="1"/>
    <col min="8" max="8" width="25.140625" style="462" customWidth="1"/>
    <col min="9" max="16384" width="11.42578125" style="462"/>
  </cols>
  <sheetData>
    <row r="1" spans="1:23" s="656" customFormat="1" ht="15" x14ac:dyDescent="0.25">
      <c r="A1" s="89" t="s">
        <v>417</v>
      </c>
      <c r="B1" s="396"/>
      <c r="C1" s="396"/>
      <c r="D1" s="396"/>
      <c r="E1" s="396"/>
      <c r="F1" s="396"/>
      <c r="G1" s="396"/>
    </row>
    <row r="2" spans="1:23" s="656" customFormat="1" ht="15" x14ac:dyDescent="0.2">
      <c r="A2" s="90" t="s">
        <v>608</v>
      </c>
      <c r="B2" s="396"/>
      <c r="C2" s="396"/>
      <c r="D2" s="396"/>
      <c r="E2" s="396"/>
      <c r="F2" s="396"/>
      <c r="G2" s="396"/>
      <c r="H2" s="396"/>
      <c r="I2" s="396"/>
      <c r="J2" s="396"/>
      <c r="K2" s="396"/>
      <c r="L2" s="396"/>
      <c r="M2" s="396"/>
      <c r="N2" s="396"/>
      <c r="O2" s="396"/>
      <c r="P2" s="396"/>
      <c r="Q2" s="396"/>
      <c r="R2" s="396"/>
      <c r="S2" s="396"/>
      <c r="T2" s="396"/>
      <c r="U2" s="396"/>
      <c r="V2" s="396"/>
      <c r="W2" s="396"/>
    </row>
    <row r="3" spans="1:23" ht="12.75" thickBot="1" x14ac:dyDescent="0.25">
      <c r="A3" s="491"/>
      <c r="B3" s="491"/>
      <c r="C3" s="491"/>
      <c r="D3" s="311"/>
      <c r="E3" s="311"/>
      <c r="F3" s="311"/>
    </row>
    <row r="4" spans="1:23" ht="24.75" thickBot="1" x14ac:dyDescent="0.25">
      <c r="A4" s="1508" t="s">
        <v>45</v>
      </c>
      <c r="B4" s="1510" t="s">
        <v>345</v>
      </c>
      <c r="C4" s="1510" t="s">
        <v>346</v>
      </c>
      <c r="D4" s="445" t="s">
        <v>444</v>
      </c>
      <c r="E4" s="445" t="s">
        <v>445</v>
      </c>
      <c r="F4" s="422" t="s">
        <v>1252</v>
      </c>
      <c r="G4" s="1510" t="s">
        <v>58</v>
      </c>
      <c r="H4" s="1508" t="s">
        <v>122</v>
      </c>
    </row>
    <row r="5" spans="1:23" ht="22.5" customHeight="1" thickBot="1" x14ac:dyDescent="0.25">
      <c r="A5" s="1509"/>
      <c r="B5" s="1511"/>
      <c r="C5" s="1511"/>
      <c r="D5" s="446" t="s">
        <v>343</v>
      </c>
      <c r="E5" s="446" t="s">
        <v>343</v>
      </c>
      <c r="F5" s="446" t="s">
        <v>343</v>
      </c>
      <c r="G5" s="1512"/>
      <c r="H5" s="1513"/>
    </row>
    <row r="6" spans="1:23" s="1028" customFormat="1" ht="22.5" customHeight="1" x14ac:dyDescent="0.2">
      <c r="A6" s="396" t="s">
        <v>1250</v>
      </c>
      <c r="B6" s="1021"/>
      <c r="C6" s="1021"/>
      <c r="D6" s="318"/>
      <c r="E6" s="318"/>
      <c r="F6" s="318"/>
      <c r="G6" s="1021"/>
      <c r="H6" s="1247"/>
    </row>
    <row r="7" spans="1:23" s="1028" customFormat="1" ht="22.5" customHeight="1" thickBot="1" x14ac:dyDescent="0.25">
      <c r="A7" s="131" t="s">
        <v>1251</v>
      </c>
      <c r="B7" s="1021"/>
      <c r="C7" s="1021"/>
      <c r="D7" s="318"/>
      <c r="E7" s="318"/>
      <c r="F7" s="318"/>
      <c r="G7" s="1021"/>
      <c r="H7" s="1247"/>
    </row>
    <row r="8" spans="1:23" ht="19.5" customHeight="1" x14ac:dyDescent="0.2">
      <c r="A8" s="1248" t="s">
        <v>687</v>
      </c>
      <c r="B8" s="1249"/>
      <c r="C8" s="1250"/>
      <c r="D8" s="1251">
        <f>SUM(D9:D18)</f>
        <v>1248075</v>
      </c>
      <c r="E8" s="1251">
        <f t="shared" ref="E8:F8" si="0">SUM(E9:E18)</f>
        <v>264000</v>
      </c>
      <c r="F8" s="1252">
        <f t="shared" si="0"/>
        <v>0</v>
      </c>
      <c r="G8" s="1253"/>
      <c r="H8" s="1254"/>
    </row>
    <row r="9" spans="1:23" ht="22.5" x14ac:dyDescent="0.2">
      <c r="A9" s="1080" t="s">
        <v>1253</v>
      </c>
      <c r="B9" s="1086" t="s">
        <v>527</v>
      </c>
      <c r="C9" s="1200" t="s">
        <v>1254</v>
      </c>
      <c r="D9" s="1201">
        <v>56000</v>
      </c>
      <c r="E9" s="1201">
        <v>0</v>
      </c>
      <c r="F9" s="1201">
        <v>0</v>
      </c>
      <c r="G9" s="1202" t="s">
        <v>1255</v>
      </c>
      <c r="H9" s="1203" t="s">
        <v>1256</v>
      </c>
    </row>
    <row r="10" spans="1:23" ht="22.5" x14ac:dyDescent="0.2">
      <c r="A10" s="1088" t="s">
        <v>1257</v>
      </c>
      <c r="B10" s="1094" t="s">
        <v>527</v>
      </c>
      <c r="C10" s="1204" t="s">
        <v>1258</v>
      </c>
      <c r="D10" s="1186">
        <v>54250</v>
      </c>
      <c r="E10" s="1186">
        <v>0</v>
      </c>
      <c r="F10" s="1186">
        <v>0</v>
      </c>
      <c r="G10" s="1172" t="s">
        <v>1255</v>
      </c>
      <c r="H10" s="1205" t="s">
        <v>1256</v>
      </c>
    </row>
    <row r="11" spans="1:23" ht="22.5" x14ac:dyDescent="0.2">
      <c r="A11" s="1088" t="s">
        <v>1259</v>
      </c>
      <c r="B11" s="1094" t="s">
        <v>527</v>
      </c>
      <c r="C11" s="1204" t="s">
        <v>1260</v>
      </c>
      <c r="D11" s="1186">
        <v>48125</v>
      </c>
      <c r="E11" s="1186">
        <v>0</v>
      </c>
      <c r="F11" s="1186">
        <v>0</v>
      </c>
      <c r="G11" s="1172" t="s">
        <v>1255</v>
      </c>
      <c r="H11" s="1205" t="s">
        <v>1261</v>
      </c>
    </row>
    <row r="12" spans="1:23" ht="22.5" x14ac:dyDescent="0.2">
      <c r="A12" s="1088" t="s">
        <v>1262</v>
      </c>
      <c r="B12" s="1094" t="s">
        <v>1263</v>
      </c>
      <c r="C12" s="1204" t="s">
        <v>527</v>
      </c>
      <c r="D12" s="1186">
        <v>468200</v>
      </c>
      <c r="E12" s="1186">
        <v>0</v>
      </c>
      <c r="F12" s="1186">
        <v>0</v>
      </c>
      <c r="G12" s="1172" t="s">
        <v>1255</v>
      </c>
      <c r="H12" s="1205" t="s">
        <v>1261</v>
      </c>
    </row>
    <row r="13" spans="1:23" ht="33.75" x14ac:dyDescent="0.2">
      <c r="A13" s="1088" t="s">
        <v>1264</v>
      </c>
      <c r="B13" s="1094">
        <v>20514853780</v>
      </c>
      <c r="C13" s="1204" t="s">
        <v>527</v>
      </c>
      <c r="D13" s="1186">
        <v>163500</v>
      </c>
      <c r="E13" s="1186">
        <v>109000</v>
      </c>
      <c r="F13" s="1186">
        <v>0</v>
      </c>
      <c r="G13" s="1172" t="s">
        <v>1255</v>
      </c>
      <c r="H13" s="1205" t="s">
        <v>1265</v>
      </c>
    </row>
    <row r="14" spans="1:23" ht="45" x14ac:dyDescent="0.2">
      <c r="A14" s="1088" t="s">
        <v>1266</v>
      </c>
      <c r="B14" s="1094">
        <v>20521268191</v>
      </c>
      <c r="C14" s="1204" t="s">
        <v>527</v>
      </c>
      <c r="D14" s="1186">
        <v>104000</v>
      </c>
      <c r="E14" s="1186">
        <v>0</v>
      </c>
      <c r="F14" s="1186">
        <v>0</v>
      </c>
      <c r="G14" s="1172" t="s">
        <v>1255</v>
      </c>
      <c r="H14" s="1205" t="s">
        <v>1265</v>
      </c>
    </row>
    <row r="15" spans="1:23" ht="22.5" x14ac:dyDescent="0.2">
      <c r="A15" s="1088" t="s">
        <v>1267</v>
      </c>
      <c r="B15" s="1094">
        <v>20106636011</v>
      </c>
      <c r="C15" s="1204" t="s">
        <v>527</v>
      </c>
      <c r="D15" s="1186">
        <v>54000</v>
      </c>
      <c r="E15" s="1186">
        <v>30000</v>
      </c>
      <c r="F15" s="1186">
        <v>0</v>
      </c>
      <c r="G15" s="1172" t="s">
        <v>1255</v>
      </c>
      <c r="H15" s="1205" t="s">
        <v>1261</v>
      </c>
    </row>
    <row r="16" spans="1:23" ht="33.75" x14ac:dyDescent="0.2">
      <c r="A16" s="1088" t="s">
        <v>1268</v>
      </c>
      <c r="B16" s="1094" t="s">
        <v>527</v>
      </c>
      <c r="C16" s="1204" t="s">
        <v>1269</v>
      </c>
      <c r="D16" s="1186">
        <v>140000</v>
      </c>
      <c r="E16" s="1186">
        <v>0</v>
      </c>
      <c r="F16" s="1186">
        <v>0</v>
      </c>
      <c r="G16" s="1172" t="s">
        <v>1255</v>
      </c>
      <c r="H16" s="1205" t="s">
        <v>1261</v>
      </c>
    </row>
    <row r="17" spans="1:8" ht="22.5" x14ac:dyDescent="0.2">
      <c r="A17" s="1088" t="s">
        <v>1270</v>
      </c>
      <c r="B17" s="1094">
        <v>20600111109</v>
      </c>
      <c r="C17" s="1204" t="s">
        <v>527</v>
      </c>
      <c r="D17" s="1186">
        <v>125000</v>
      </c>
      <c r="E17" s="1186">
        <v>125000</v>
      </c>
      <c r="F17" s="1186">
        <v>0</v>
      </c>
      <c r="G17" s="1172" t="s">
        <v>1255</v>
      </c>
      <c r="H17" s="1205" t="s">
        <v>1261</v>
      </c>
    </row>
    <row r="18" spans="1:8" ht="22.5" x14ac:dyDescent="0.2">
      <c r="A18" s="1088" t="s">
        <v>1271</v>
      </c>
      <c r="B18" s="1094">
        <v>20106636011</v>
      </c>
      <c r="C18" s="1204" t="s">
        <v>527</v>
      </c>
      <c r="D18" s="1186">
        <v>35000</v>
      </c>
      <c r="E18" s="1186">
        <v>0</v>
      </c>
      <c r="F18" s="1186">
        <v>0</v>
      </c>
      <c r="G18" s="1172" t="s">
        <v>1255</v>
      </c>
      <c r="H18" s="1205" t="s">
        <v>1261</v>
      </c>
    </row>
    <row r="19" spans="1:8" x14ac:dyDescent="0.2">
      <c r="A19" s="1206" t="s">
        <v>757</v>
      </c>
      <c r="B19" s="1207"/>
      <c r="C19" s="1207"/>
      <c r="D19" s="1208">
        <f>SUM(D20:D24)</f>
        <v>0</v>
      </c>
      <c r="E19" s="1208">
        <f>SUM(E20:E24)</f>
        <v>256573</v>
      </c>
      <c r="F19" s="1208">
        <f>SUM(F20:F24)</f>
        <v>0</v>
      </c>
      <c r="G19" s="1209"/>
      <c r="H19" s="1209"/>
    </row>
    <row r="20" spans="1:8" ht="33.75" x14ac:dyDescent="0.2">
      <c r="A20" s="1088" t="s">
        <v>1272</v>
      </c>
      <c r="B20" s="1094">
        <v>20155945860</v>
      </c>
      <c r="C20" s="1204" t="s">
        <v>527</v>
      </c>
      <c r="D20" s="1186">
        <v>0</v>
      </c>
      <c r="E20" s="1186"/>
      <c r="F20" s="1186">
        <v>0</v>
      </c>
      <c r="G20" s="1172" t="s">
        <v>1273</v>
      </c>
      <c r="H20" s="1205" t="s">
        <v>1265</v>
      </c>
    </row>
    <row r="21" spans="1:8" ht="33.75" x14ac:dyDescent="0.2">
      <c r="A21" s="1088" t="s">
        <v>1274</v>
      </c>
      <c r="B21" s="1094">
        <v>20601038596</v>
      </c>
      <c r="C21" s="1204" t="s">
        <v>527</v>
      </c>
      <c r="D21" s="1186">
        <v>0</v>
      </c>
      <c r="E21" s="1186">
        <v>70000</v>
      </c>
      <c r="F21" s="1186">
        <v>0</v>
      </c>
      <c r="G21" s="1172" t="s">
        <v>1255</v>
      </c>
      <c r="H21" s="1205" t="s">
        <v>1261</v>
      </c>
    </row>
    <row r="22" spans="1:8" ht="22.5" x14ac:dyDescent="0.2">
      <c r="A22" s="1088" t="s">
        <v>1275</v>
      </c>
      <c r="B22" s="1094">
        <v>20604559686</v>
      </c>
      <c r="C22" s="1204" t="s">
        <v>527</v>
      </c>
      <c r="D22" s="1186">
        <v>0</v>
      </c>
      <c r="E22" s="1186">
        <v>54000</v>
      </c>
      <c r="F22" s="1186">
        <v>0</v>
      </c>
      <c r="G22" s="1172" t="s">
        <v>1255</v>
      </c>
      <c r="H22" s="1205" t="s">
        <v>1261</v>
      </c>
    </row>
    <row r="23" spans="1:8" ht="33.75" x14ac:dyDescent="0.2">
      <c r="A23" s="1088" t="s">
        <v>1276</v>
      </c>
      <c r="B23" s="1094" t="s">
        <v>527</v>
      </c>
      <c r="C23" s="1204" t="s">
        <v>1269</v>
      </c>
      <c r="D23" s="1186">
        <v>0</v>
      </c>
      <c r="E23" s="1186">
        <v>132573</v>
      </c>
      <c r="F23" s="1186">
        <v>0</v>
      </c>
      <c r="G23" s="1172" t="s">
        <v>1277</v>
      </c>
      <c r="H23" s="1205" t="s">
        <v>1261</v>
      </c>
    </row>
    <row r="24" spans="1:8" ht="22.5" x14ac:dyDescent="0.2">
      <c r="A24" s="1088" t="s">
        <v>1278</v>
      </c>
      <c r="B24" s="1094">
        <v>20102074018</v>
      </c>
      <c r="C24" s="1204" t="s">
        <v>527</v>
      </c>
      <c r="D24" s="1186">
        <v>0</v>
      </c>
      <c r="E24" s="1186"/>
      <c r="F24" s="1186">
        <v>0</v>
      </c>
      <c r="G24" s="1172" t="s">
        <v>1255</v>
      </c>
      <c r="H24" s="1205" t="s">
        <v>1261</v>
      </c>
    </row>
    <row r="25" spans="1:8" x14ac:dyDescent="0.2">
      <c r="A25" s="1210" t="s">
        <v>1089</v>
      </c>
      <c r="B25" s="1211"/>
      <c r="C25" s="1212"/>
      <c r="D25" s="1213"/>
      <c r="E25" s="1213"/>
      <c r="F25" s="1214">
        <f>SUM(F26:F68)</f>
        <v>5801800</v>
      </c>
      <c r="G25" s="1215"/>
      <c r="H25" s="1215"/>
    </row>
    <row r="26" spans="1:8" ht="22.5" x14ac:dyDescent="0.2">
      <c r="A26" s="1088" t="s">
        <v>1279</v>
      </c>
      <c r="B26" s="1126" t="s">
        <v>527</v>
      </c>
      <c r="C26" s="1204" t="s">
        <v>527</v>
      </c>
      <c r="D26" s="1216" t="s">
        <v>527</v>
      </c>
      <c r="E26" s="1216" t="s">
        <v>527</v>
      </c>
      <c r="F26" s="1186">
        <v>35400</v>
      </c>
      <c r="G26" s="1172" t="s">
        <v>1255</v>
      </c>
      <c r="H26" s="1205" t="s">
        <v>1256</v>
      </c>
    </row>
    <row r="27" spans="1:8" ht="22.5" x14ac:dyDescent="0.2">
      <c r="A27" s="1088" t="s">
        <v>1280</v>
      </c>
      <c r="B27" s="1126" t="s">
        <v>527</v>
      </c>
      <c r="C27" s="1204" t="s">
        <v>527</v>
      </c>
      <c r="D27" s="1216" t="s">
        <v>527</v>
      </c>
      <c r="E27" s="1216" t="s">
        <v>527</v>
      </c>
      <c r="F27" s="1186">
        <v>35400</v>
      </c>
      <c r="G27" s="1172" t="s">
        <v>1255</v>
      </c>
      <c r="H27" s="1205" t="s">
        <v>1256</v>
      </c>
    </row>
    <row r="28" spans="1:8" ht="22.5" x14ac:dyDescent="0.2">
      <c r="A28" s="1088" t="s">
        <v>1281</v>
      </c>
      <c r="B28" s="1126" t="s">
        <v>527</v>
      </c>
      <c r="C28" s="1204" t="s">
        <v>527</v>
      </c>
      <c r="D28" s="1216" t="s">
        <v>527</v>
      </c>
      <c r="E28" s="1216" t="s">
        <v>527</v>
      </c>
      <c r="F28" s="1186">
        <v>35400</v>
      </c>
      <c r="G28" s="1172" t="s">
        <v>1255</v>
      </c>
      <c r="H28" s="1205" t="s">
        <v>1256</v>
      </c>
    </row>
    <row r="29" spans="1:8" ht="22.5" x14ac:dyDescent="0.2">
      <c r="A29" s="1088" t="s">
        <v>1282</v>
      </c>
      <c r="B29" s="1126" t="s">
        <v>527</v>
      </c>
      <c r="C29" s="1204" t="s">
        <v>527</v>
      </c>
      <c r="D29" s="1216" t="s">
        <v>527</v>
      </c>
      <c r="E29" s="1216" t="s">
        <v>527</v>
      </c>
      <c r="F29" s="1186">
        <v>27000</v>
      </c>
      <c r="G29" s="1172" t="s">
        <v>1255</v>
      </c>
      <c r="H29" s="1205" t="s">
        <v>1283</v>
      </c>
    </row>
    <row r="30" spans="1:8" ht="22.5" x14ac:dyDescent="0.2">
      <c r="A30" s="1088" t="s">
        <v>1284</v>
      </c>
      <c r="B30" s="1126" t="s">
        <v>527</v>
      </c>
      <c r="C30" s="1204" t="s">
        <v>527</v>
      </c>
      <c r="D30" s="1216" t="s">
        <v>527</v>
      </c>
      <c r="E30" s="1216" t="s">
        <v>527</v>
      </c>
      <c r="F30" s="1186">
        <v>27000</v>
      </c>
      <c r="G30" s="1172" t="s">
        <v>1255</v>
      </c>
      <c r="H30" s="1205" t="s">
        <v>1283</v>
      </c>
    </row>
    <row r="31" spans="1:8" ht="22.5" x14ac:dyDescent="0.2">
      <c r="A31" s="1088" t="s">
        <v>1285</v>
      </c>
      <c r="B31" s="1126" t="s">
        <v>527</v>
      </c>
      <c r="C31" s="1204" t="s">
        <v>527</v>
      </c>
      <c r="D31" s="1216" t="s">
        <v>527</v>
      </c>
      <c r="E31" s="1216" t="s">
        <v>527</v>
      </c>
      <c r="F31" s="1186">
        <v>30000</v>
      </c>
      <c r="G31" s="1172" t="s">
        <v>1255</v>
      </c>
      <c r="H31" s="1205" t="s">
        <v>1283</v>
      </c>
    </row>
    <row r="32" spans="1:8" ht="22.5" x14ac:dyDescent="0.2">
      <c r="A32" s="1088" t="s">
        <v>1286</v>
      </c>
      <c r="B32" s="1126" t="s">
        <v>527</v>
      </c>
      <c r="C32" s="1204" t="s">
        <v>527</v>
      </c>
      <c r="D32" s="1216" t="s">
        <v>527</v>
      </c>
      <c r="E32" s="1216" t="s">
        <v>527</v>
      </c>
      <c r="F32" s="1186">
        <v>35000</v>
      </c>
      <c r="G32" s="1172" t="s">
        <v>1255</v>
      </c>
      <c r="H32" s="1205" t="s">
        <v>1283</v>
      </c>
    </row>
    <row r="33" spans="1:8" ht="33.75" x14ac:dyDescent="0.2">
      <c r="A33" s="1088" t="s">
        <v>1287</v>
      </c>
      <c r="B33" s="1126" t="s">
        <v>527</v>
      </c>
      <c r="C33" s="1204" t="s">
        <v>527</v>
      </c>
      <c r="D33" s="1216" t="s">
        <v>527</v>
      </c>
      <c r="E33" s="1216" t="s">
        <v>527</v>
      </c>
      <c r="F33" s="1186">
        <v>30000</v>
      </c>
      <c r="G33" s="1172" t="s">
        <v>1255</v>
      </c>
      <c r="H33" s="1205" t="s">
        <v>1283</v>
      </c>
    </row>
    <row r="34" spans="1:8" ht="33.75" x14ac:dyDescent="0.2">
      <c r="A34" s="1088" t="s">
        <v>1288</v>
      </c>
      <c r="B34" s="1126" t="s">
        <v>527</v>
      </c>
      <c r="C34" s="1204" t="s">
        <v>527</v>
      </c>
      <c r="D34" s="1216" t="s">
        <v>527</v>
      </c>
      <c r="E34" s="1216" t="s">
        <v>527</v>
      </c>
      <c r="F34" s="1186">
        <v>30000</v>
      </c>
      <c r="G34" s="1172" t="s">
        <v>1255</v>
      </c>
      <c r="H34" s="1205" t="s">
        <v>1283</v>
      </c>
    </row>
    <row r="35" spans="1:8" ht="22.5" x14ac:dyDescent="0.2">
      <c r="A35" s="1088" t="s">
        <v>1289</v>
      </c>
      <c r="B35" s="1126" t="s">
        <v>527</v>
      </c>
      <c r="C35" s="1204" t="s">
        <v>527</v>
      </c>
      <c r="D35" s="1216" t="s">
        <v>527</v>
      </c>
      <c r="E35" s="1216" t="s">
        <v>527</v>
      </c>
      <c r="F35" s="1186">
        <v>30000</v>
      </c>
      <c r="G35" s="1172" t="s">
        <v>1255</v>
      </c>
      <c r="H35" s="1205" t="s">
        <v>1283</v>
      </c>
    </row>
    <row r="36" spans="1:8" ht="22.5" x14ac:dyDescent="0.2">
      <c r="A36" s="1088" t="s">
        <v>1290</v>
      </c>
      <c r="B36" s="1126" t="s">
        <v>527</v>
      </c>
      <c r="C36" s="1204" t="s">
        <v>527</v>
      </c>
      <c r="D36" s="1216" t="s">
        <v>527</v>
      </c>
      <c r="E36" s="1216" t="s">
        <v>527</v>
      </c>
      <c r="F36" s="1186">
        <v>35000</v>
      </c>
      <c r="G36" s="1172" t="s">
        <v>1255</v>
      </c>
      <c r="H36" s="1205" t="s">
        <v>1283</v>
      </c>
    </row>
    <row r="37" spans="1:8" ht="22.5" x14ac:dyDescent="0.2">
      <c r="A37" s="1088" t="s">
        <v>1291</v>
      </c>
      <c r="B37" s="1126" t="s">
        <v>527</v>
      </c>
      <c r="C37" s="1204" t="s">
        <v>527</v>
      </c>
      <c r="D37" s="1216" t="s">
        <v>527</v>
      </c>
      <c r="E37" s="1216" t="s">
        <v>527</v>
      </c>
      <c r="F37" s="1186">
        <v>35000</v>
      </c>
      <c r="G37" s="1172" t="s">
        <v>1255</v>
      </c>
      <c r="H37" s="1205" t="s">
        <v>1283</v>
      </c>
    </row>
    <row r="38" spans="1:8" ht="22.5" x14ac:dyDescent="0.2">
      <c r="A38" s="1088" t="s">
        <v>1292</v>
      </c>
      <c r="B38" s="1126" t="s">
        <v>527</v>
      </c>
      <c r="C38" s="1204" t="s">
        <v>527</v>
      </c>
      <c r="D38" s="1216" t="s">
        <v>527</v>
      </c>
      <c r="E38" s="1216" t="s">
        <v>527</v>
      </c>
      <c r="F38" s="1186">
        <v>35000</v>
      </c>
      <c r="G38" s="1172" t="s">
        <v>1255</v>
      </c>
      <c r="H38" s="1205" t="s">
        <v>1283</v>
      </c>
    </row>
    <row r="39" spans="1:8" ht="22.5" x14ac:dyDescent="0.2">
      <c r="A39" s="1088" t="s">
        <v>1293</v>
      </c>
      <c r="B39" s="1126" t="s">
        <v>527</v>
      </c>
      <c r="C39" s="1204" t="s">
        <v>527</v>
      </c>
      <c r="D39" s="1216" t="s">
        <v>527</v>
      </c>
      <c r="E39" s="1216" t="s">
        <v>527</v>
      </c>
      <c r="F39" s="1186">
        <v>34000</v>
      </c>
      <c r="G39" s="1172" t="s">
        <v>1255</v>
      </c>
      <c r="H39" s="1205" t="s">
        <v>1283</v>
      </c>
    </row>
    <row r="40" spans="1:8" ht="22.5" x14ac:dyDescent="0.2">
      <c r="A40" s="1088" t="s">
        <v>1294</v>
      </c>
      <c r="B40" s="1126" t="s">
        <v>527</v>
      </c>
      <c r="C40" s="1204" t="s">
        <v>527</v>
      </c>
      <c r="D40" s="1216" t="s">
        <v>527</v>
      </c>
      <c r="E40" s="1216" t="s">
        <v>527</v>
      </c>
      <c r="F40" s="1186">
        <v>30000</v>
      </c>
      <c r="G40" s="1172" t="s">
        <v>1255</v>
      </c>
      <c r="H40" s="1205" t="s">
        <v>1283</v>
      </c>
    </row>
    <row r="41" spans="1:8" ht="22.5" x14ac:dyDescent="0.2">
      <c r="A41" s="1088" t="s">
        <v>1295</v>
      </c>
      <c r="B41" s="1126" t="s">
        <v>527</v>
      </c>
      <c r="C41" s="1204" t="s">
        <v>527</v>
      </c>
      <c r="D41" s="1216" t="s">
        <v>527</v>
      </c>
      <c r="E41" s="1216" t="s">
        <v>527</v>
      </c>
      <c r="F41" s="1186">
        <v>35000</v>
      </c>
      <c r="G41" s="1172" t="s">
        <v>1255</v>
      </c>
      <c r="H41" s="1205" t="s">
        <v>1283</v>
      </c>
    </row>
    <row r="42" spans="1:8" ht="22.5" x14ac:dyDescent="0.2">
      <c r="A42" s="1088" t="s">
        <v>1296</v>
      </c>
      <c r="B42" s="1126" t="s">
        <v>527</v>
      </c>
      <c r="C42" s="1204" t="s">
        <v>527</v>
      </c>
      <c r="D42" s="1216" t="s">
        <v>527</v>
      </c>
      <c r="E42" s="1216" t="s">
        <v>527</v>
      </c>
      <c r="F42" s="1186">
        <v>26266</v>
      </c>
      <c r="G42" s="1172" t="s">
        <v>1255</v>
      </c>
      <c r="H42" s="1205" t="s">
        <v>1283</v>
      </c>
    </row>
    <row r="43" spans="1:8" ht="22.5" x14ac:dyDescent="0.2">
      <c r="A43" s="1088" t="s">
        <v>1297</v>
      </c>
      <c r="B43" s="1126" t="s">
        <v>527</v>
      </c>
      <c r="C43" s="1204" t="s">
        <v>527</v>
      </c>
      <c r="D43" s="1216" t="s">
        <v>527</v>
      </c>
      <c r="E43" s="1216" t="s">
        <v>527</v>
      </c>
      <c r="F43" s="1186">
        <v>25000</v>
      </c>
      <c r="G43" s="1172" t="s">
        <v>1298</v>
      </c>
      <c r="H43" s="1205" t="s">
        <v>1283</v>
      </c>
    </row>
    <row r="44" spans="1:8" ht="22.5" x14ac:dyDescent="0.2">
      <c r="A44" s="1088" t="s">
        <v>1299</v>
      </c>
      <c r="B44" s="1126" t="s">
        <v>527</v>
      </c>
      <c r="C44" s="1204" t="s">
        <v>527</v>
      </c>
      <c r="D44" s="1216" t="s">
        <v>527</v>
      </c>
      <c r="E44" s="1216" t="s">
        <v>527</v>
      </c>
      <c r="F44" s="1186">
        <v>35000</v>
      </c>
      <c r="G44" s="1172" t="s">
        <v>1255</v>
      </c>
      <c r="H44" s="1205" t="s">
        <v>1283</v>
      </c>
    </row>
    <row r="45" spans="1:8" x14ac:dyDescent="0.2">
      <c r="A45" s="1088" t="s">
        <v>1300</v>
      </c>
      <c r="B45" s="1126" t="s">
        <v>527</v>
      </c>
      <c r="C45" s="1204" t="s">
        <v>527</v>
      </c>
      <c r="D45" s="1216" t="s">
        <v>527</v>
      </c>
      <c r="E45" s="1216" t="s">
        <v>527</v>
      </c>
      <c r="F45" s="1186">
        <v>134734</v>
      </c>
      <c r="G45" s="1172" t="s">
        <v>1255</v>
      </c>
      <c r="H45" s="1205" t="s">
        <v>1283</v>
      </c>
    </row>
    <row r="46" spans="1:8" ht="33.75" x14ac:dyDescent="0.2">
      <c r="A46" s="1088" t="s">
        <v>1301</v>
      </c>
      <c r="B46" s="1126" t="s">
        <v>527</v>
      </c>
      <c r="C46" s="1204" t="s">
        <v>527</v>
      </c>
      <c r="D46" s="1216" t="s">
        <v>527</v>
      </c>
      <c r="E46" s="1216" t="s">
        <v>527</v>
      </c>
      <c r="F46" s="1186">
        <v>70000</v>
      </c>
      <c r="G46" s="1172" t="s">
        <v>1302</v>
      </c>
      <c r="H46" s="1205" t="s">
        <v>1283</v>
      </c>
    </row>
    <row r="47" spans="1:8" ht="33.75" x14ac:dyDescent="0.2">
      <c r="A47" s="1088" t="s">
        <v>1303</v>
      </c>
      <c r="B47" s="1126" t="s">
        <v>527</v>
      </c>
      <c r="C47" s="1204" t="s">
        <v>527</v>
      </c>
      <c r="D47" s="1216" t="s">
        <v>527</v>
      </c>
      <c r="E47" s="1216" t="s">
        <v>527</v>
      </c>
      <c r="F47" s="1186">
        <v>100000</v>
      </c>
      <c r="G47" s="1172" t="s">
        <v>1302</v>
      </c>
      <c r="H47" s="1205" t="s">
        <v>1283</v>
      </c>
    </row>
    <row r="48" spans="1:8" ht="33.75" x14ac:dyDescent="0.2">
      <c r="A48" s="1088" t="s">
        <v>1304</v>
      </c>
      <c r="B48" s="1126" t="s">
        <v>527</v>
      </c>
      <c r="C48" s="1204" t="s">
        <v>527</v>
      </c>
      <c r="D48" s="1216" t="s">
        <v>527</v>
      </c>
      <c r="E48" s="1216" t="s">
        <v>527</v>
      </c>
      <c r="F48" s="1186">
        <v>60000</v>
      </c>
      <c r="G48" s="1172" t="s">
        <v>1305</v>
      </c>
      <c r="H48" s="1205" t="s">
        <v>1283</v>
      </c>
    </row>
    <row r="49" spans="1:8" x14ac:dyDescent="0.2">
      <c r="A49" s="1088" t="s">
        <v>1306</v>
      </c>
      <c r="B49" s="1126" t="s">
        <v>527</v>
      </c>
      <c r="C49" s="1204" t="s">
        <v>527</v>
      </c>
      <c r="D49" s="1216" t="s">
        <v>527</v>
      </c>
      <c r="E49" s="1216" t="s">
        <v>527</v>
      </c>
      <c r="F49" s="1186">
        <v>400000</v>
      </c>
      <c r="G49" s="1172" t="s">
        <v>1307</v>
      </c>
      <c r="H49" s="1205" t="s">
        <v>1283</v>
      </c>
    </row>
    <row r="50" spans="1:8" ht="22.5" x14ac:dyDescent="0.2">
      <c r="A50" s="1088" t="s">
        <v>1308</v>
      </c>
      <c r="B50" s="1126" t="s">
        <v>527</v>
      </c>
      <c r="C50" s="1204" t="s">
        <v>527</v>
      </c>
      <c r="D50" s="1216" t="s">
        <v>527</v>
      </c>
      <c r="E50" s="1216" t="s">
        <v>527</v>
      </c>
      <c r="F50" s="1186">
        <v>70000</v>
      </c>
      <c r="G50" s="1172" t="s">
        <v>1273</v>
      </c>
      <c r="H50" s="1205" t="s">
        <v>1256</v>
      </c>
    </row>
    <row r="51" spans="1:8" x14ac:dyDescent="0.2">
      <c r="A51" s="1088" t="s">
        <v>1309</v>
      </c>
      <c r="B51" s="1126" t="s">
        <v>527</v>
      </c>
      <c r="C51" s="1204" t="s">
        <v>527</v>
      </c>
      <c r="D51" s="1216" t="s">
        <v>527</v>
      </c>
      <c r="E51" s="1216" t="s">
        <v>527</v>
      </c>
      <c r="F51" s="1186">
        <v>810000</v>
      </c>
      <c r="G51" s="1172" t="s">
        <v>1310</v>
      </c>
      <c r="H51" s="1205" t="s">
        <v>1283</v>
      </c>
    </row>
    <row r="52" spans="1:8" ht="22.5" x14ac:dyDescent="0.2">
      <c r="A52" s="1088" t="s">
        <v>1311</v>
      </c>
      <c r="B52" s="1126" t="s">
        <v>527</v>
      </c>
      <c r="C52" s="1204" t="s">
        <v>527</v>
      </c>
      <c r="D52" s="1216" t="s">
        <v>527</v>
      </c>
      <c r="E52" s="1216" t="s">
        <v>527</v>
      </c>
      <c r="F52" s="1186">
        <v>144000</v>
      </c>
      <c r="G52" s="1172" t="s">
        <v>1255</v>
      </c>
      <c r="H52" s="1205" t="s">
        <v>1283</v>
      </c>
    </row>
    <row r="53" spans="1:8" ht="22.5" x14ac:dyDescent="0.2">
      <c r="A53" s="1088" t="s">
        <v>1312</v>
      </c>
      <c r="B53" s="1126" t="s">
        <v>527</v>
      </c>
      <c r="C53" s="1204" t="s">
        <v>527</v>
      </c>
      <c r="D53" s="1216" t="s">
        <v>527</v>
      </c>
      <c r="E53" s="1216" t="s">
        <v>527</v>
      </c>
      <c r="F53" s="1186">
        <v>132000</v>
      </c>
      <c r="G53" s="1172" t="s">
        <v>1255</v>
      </c>
      <c r="H53" s="1205" t="s">
        <v>1283</v>
      </c>
    </row>
    <row r="54" spans="1:8" ht="22.5" x14ac:dyDescent="0.2">
      <c r="A54" s="1088" t="s">
        <v>1313</v>
      </c>
      <c r="B54" s="1126" t="s">
        <v>527</v>
      </c>
      <c r="C54" s="1204" t="s">
        <v>527</v>
      </c>
      <c r="D54" s="1216" t="s">
        <v>527</v>
      </c>
      <c r="E54" s="1216" t="s">
        <v>527</v>
      </c>
      <c r="F54" s="1186">
        <v>120000</v>
      </c>
      <c r="G54" s="1172" t="s">
        <v>1255</v>
      </c>
      <c r="H54" s="1205" t="s">
        <v>1283</v>
      </c>
    </row>
    <row r="55" spans="1:8" ht="22.5" x14ac:dyDescent="0.2">
      <c r="A55" s="1088" t="s">
        <v>1314</v>
      </c>
      <c r="B55" s="1126" t="s">
        <v>527</v>
      </c>
      <c r="C55" s="1204" t="s">
        <v>527</v>
      </c>
      <c r="D55" s="1216" t="s">
        <v>527</v>
      </c>
      <c r="E55" s="1216" t="s">
        <v>527</v>
      </c>
      <c r="F55" s="1186">
        <v>96000</v>
      </c>
      <c r="G55" s="1172" t="s">
        <v>1255</v>
      </c>
      <c r="H55" s="1205" t="s">
        <v>1283</v>
      </c>
    </row>
    <row r="56" spans="1:8" ht="22.5" x14ac:dyDescent="0.2">
      <c r="A56" s="1088" t="s">
        <v>1315</v>
      </c>
      <c r="B56" s="1126" t="s">
        <v>527</v>
      </c>
      <c r="C56" s="1204" t="s">
        <v>527</v>
      </c>
      <c r="D56" s="1216" t="s">
        <v>527</v>
      </c>
      <c r="E56" s="1216" t="s">
        <v>527</v>
      </c>
      <c r="F56" s="1186">
        <v>132000</v>
      </c>
      <c r="G56" s="1172" t="s">
        <v>1255</v>
      </c>
      <c r="H56" s="1205" t="s">
        <v>1283</v>
      </c>
    </row>
    <row r="57" spans="1:8" ht="22.5" x14ac:dyDescent="0.2">
      <c r="A57" s="1088" t="s">
        <v>1316</v>
      </c>
      <c r="B57" s="1126" t="s">
        <v>527</v>
      </c>
      <c r="C57" s="1204" t="s">
        <v>527</v>
      </c>
      <c r="D57" s="1216" t="s">
        <v>527</v>
      </c>
      <c r="E57" s="1216" t="s">
        <v>527</v>
      </c>
      <c r="F57" s="1186">
        <v>60000</v>
      </c>
      <c r="G57" s="1094" t="s">
        <v>1255</v>
      </c>
      <c r="H57" s="1205" t="s">
        <v>1283</v>
      </c>
    </row>
    <row r="58" spans="1:8" ht="22.5" x14ac:dyDescent="0.2">
      <c r="A58" s="1088" t="s">
        <v>1317</v>
      </c>
      <c r="B58" s="1126" t="s">
        <v>527</v>
      </c>
      <c r="C58" s="1204" t="s">
        <v>527</v>
      </c>
      <c r="D58" s="1216" t="s">
        <v>527</v>
      </c>
      <c r="E58" s="1216" t="s">
        <v>527</v>
      </c>
      <c r="F58" s="1186">
        <v>45600</v>
      </c>
      <c r="G58" s="1094" t="s">
        <v>1255</v>
      </c>
      <c r="H58" s="1205" t="s">
        <v>1283</v>
      </c>
    </row>
    <row r="59" spans="1:8" ht="22.5" x14ac:dyDescent="0.2">
      <c r="A59" s="1088" t="s">
        <v>1318</v>
      </c>
      <c r="B59" s="1126" t="s">
        <v>527</v>
      </c>
      <c r="C59" s="1204" t="s">
        <v>527</v>
      </c>
      <c r="D59" s="1216" t="s">
        <v>527</v>
      </c>
      <c r="E59" s="1216" t="s">
        <v>527</v>
      </c>
      <c r="F59" s="1186">
        <v>320000</v>
      </c>
      <c r="G59" s="1094" t="s">
        <v>1298</v>
      </c>
      <c r="H59" s="1205" t="s">
        <v>1319</v>
      </c>
    </row>
    <row r="60" spans="1:8" ht="22.5" x14ac:dyDescent="0.2">
      <c r="A60" s="1088" t="s">
        <v>1320</v>
      </c>
      <c r="B60" s="1126" t="s">
        <v>527</v>
      </c>
      <c r="C60" s="1204" t="s">
        <v>527</v>
      </c>
      <c r="D60" s="1216" t="s">
        <v>527</v>
      </c>
      <c r="E60" s="1216" t="s">
        <v>527</v>
      </c>
      <c r="F60" s="1186">
        <v>280000</v>
      </c>
      <c r="G60" s="1094" t="s">
        <v>1298</v>
      </c>
      <c r="H60" s="1205" t="s">
        <v>1319</v>
      </c>
    </row>
    <row r="61" spans="1:8" ht="45" x14ac:dyDescent="0.2">
      <c r="A61" s="1088" t="s">
        <v>1321</v>
      </c>
      <c r="B61" s="1126" t="s">
        <v>527</v>
      </c>
      <c r="C61" s="1204" t="s">
        <v>527</v>
      </c>
      <c r="D61" s="1216" t="s">
        <v>527</v>
      </c>
      <c r="E61" s="1216" t="s">
        <v>527</v>
      </c>
      <c r="F61" s="1186">
        <v>174000</v>
      </c>
      <c r="G61" s="1094" t="s">
        <v>1298</v>
      </c>
      <c r="H61" s="1205" t="s">
        <v>1319</v>
      </c>
    </row>
    <row r="62" spans="1:8" ht="33.75" x14ac:dyDescent="0.2">
      <c r="A62" s="1088" t="s">
        <v>1322</v>
      </c>
      <c r="B62" s="1126" t="s">
        <v>527</v>
      </c>
      <c r="C62" s="1204" t="s">
        <v>527</v>
      </c>
      <c r="D62" s="1216" t="s">
        <v>527</v>
      </c>
      <c r="E62" s="1216" t="s">
        <v>527</v>
      </c>
      <c r="F62" s="1186">
        <v>174000</v>
      </c>
      <c r="G62" s="1094" t="s">
        <v>1298</v>
      </c>
      <c r="H62" s="1205" t="s">
        <v>1319</v>
      </c>
    </row>
    <row r="63" spans="1:8" ht="45" x14ac:dyDescent="0.2">
      <c r="A63" s="1088" t="s">
        <v>1323</v>
      </c>
      <c r="B63" s="1126" t="s">
        <v>527</v>
      </c>
      <c r="C63" s="1204" t="s">
        <v>527</v>
      </c>
      <c r="D63" s="1216" t="s">
        <v>527</v>
      </c>
      <c r="E63" s="1216" t="s">
        <v>527</v>
      </c>
      <c r="F63" s="1186">
        <v>174000</v>
      </c>
      <c r="G63" s="1094" t="s">
        <v>1298</v>
      </c>
      <c r="H63" s="1205" t="s">
        <v>1319</v>
      </c>
    </row>
    <row r="64" spans="1:8" ht="22.5" x14ac:dyDescent="0.2">
      <c r="A64" s="1088" t="s">
        <v>1324</v>
      </c>
      <c r="B64" s="1126" t="s">
        <v>527</v>
      </c>
      <c r="C64" s="1204" t="s">
        <v>527</v>
      </c>
      <c r="D64" s="1216" t="s">
        <v>527</v>
      </c>
      <c r="E64" s="1216" t="s">
        <v>527</v>
      </c>
      <c r="F64" s="1186">
        <v>750000</v>
      </c>
      <c r="G64" s="1094" t="s">
        <v>1255</v>
      </c>
      <c r="H64" s="1205" t="s">
        <v>1319</v>
      </c>
    </row>
    <row r="65" spans="1:8" ht="33.75" x14ac:dyDescent="0.2">
      <c r="A65" s="1088" t="s">
        <v>1325</v>
      </c>
      <c r="B65" s="1126" t="s">
        <v>527</v>
      </c>
      <c r="C65" s="1204" t="s">
        <v>527</v>
      </c>
      <c r="D65" s="1216" t="s">
        <v>527</v>
      </c>
      <c r="E65" s="1216" t="s">
        <v>527</v>
      </c>
      <c r="F65" s="1186">
        <v>310000</v>
      </c>
      <c r="G65" s="1094" t="s">
        <v>1273</v>
      </c>
      <c r="H65" s="1205" t="s">
        <v>1319</v>
      </c>
    </row>
    <row r="66" spans="1:8" ht="22.5" x14ac:dyDescent="0.2">
      <c r="A66" s="1088" t="s">
        <v>1326</v>
      </c>
      <c r="B66" s="1126" t="s">
        <v>527</v>
      </c>
      <c r="C66" s="1204" t="s">
        <v>527</v>
      </c>
      <c r="D66" s="1216" t="s">
        <v>527</v>
      </c>
      <c r="E66" s="1216" t="s">
        <v>527</v>
      </c>
      <c r="F66" s="1186">
        <v>60000</v>
      </c>
      <c r="G66" s="1094" t="s">
        <v>1273</v>
      </c>
      <c r="H66" s="1205" t="s">
        <v>1319</v>
      </c>
    </row>
    <row r="67" spans="1:8" ht="41.25" customHeight="1" x14ac:dyDescent="0.2">
      <c r="A67" s="1088" t="s">
        <v>1327</v>
      </c>
      <c r="B67" s="1126" t="s">
        <v>527</v>
      </c>
      <c r="C67" s="1204" t="s">
        <v>527</v>
      </c>
      <c r="D67" s="1216" t="s">
        <v>527</v>
      </c>
      <c r="E67" s="1216" t="s">
        <v>527</v>
      </c>
      <c r="F67" s="1186">
        <v>180000</v>
      </c>
      <c r="G67" s="1094" t="s">
        <v>1273</v>
      </c>
      <c r="H67" s="1205" t="s">
        <v>1319</v>
      </c>
    </row>
    <row r="68" spans="1:8" ht="26.25" customHeight="1" thickBot="1" x14ac:dyDescent="0.25">
      <c r="A68" s="1110" t="s">
        <v>1104</v>
      </c>
      <c r="B68" s="1142" t="s">
        <v>527</v>
      </c>
      <c r="C68" s="1217" t="s">
        <v>527</v>
      </c>
      <c r="D68" s="1218" t="s">
        <v>527</v>
      </c>
      <c r="E68" s="1218" t="s">
        <v>527</v>
      </c>
      <c r="F68" s="1219">
        <v>400000</v>
      </c>
      <c r="G68" s="1141" t="s">
        <v>1255</v>
      </c>
      <c r="H68" s="1220" t="s">
        <v>1319</v>
      </c>
    </row>
    <row r="69" spans="1:8" ht="24.75" customHeight="1" thickBot="1" x14ac:dyDescent="0.25">
      <c r="A69" s="329" t="s">
        <v>46</v>
      </c>
      <c r="B69" s="320"/>
      <c r="C69" s="329"/>
      <c r="D69" s="696">
        <f>+D8+D19+D25</f>
        <v>1248075</v>
      </c>
      <c r="E69" s="696">
        <f t="shared" ref="E69:F69" si="1">+E8+E19+E25</f>
        <v>520573</v>
      </c>
      <c r="F69" s="696">
        <f t="shared" si="1"/>
        <v>5801800</v>
      </c>
      <c r="G69" s="334"/>
      <c r="H69" s="334"/>
    </row>
    <row r="70" spans="1:8" x14ac:dyDescent="0.2">
      <c r="A70" s="318"/>
      <c r="B70" s="318"/>
      <c r="C70" s="318"/>
      <c r="D70" s="303"/>
      <c r="E70" s="303"/>
      <c r="F70" s="303"/>
    </row>
    <row r="71" spans="1:8" x14ac:dyDescent="0.2">
      <c r="A71" s="312" t="s">
        <v>59</v>
      </c>
      <c r="B71" s="312"/>
      <c r="C71" s="312"/>
      <c r="D71" s="303"/>
      <c r="E71" s="303"/>
      <c r="F71" s="303"/>
    </row>
    <row r="72" spans="1:8" x14ac:dyDescent="0.2">
      <c r="A72" s="302" t="s">
        <v>123</v>
      </c>
      <c r="B72" s="302"/>
      <c r="C72" s="302"/>
      <c r="D72" s="303"/>
      <c r="E72" s="303"/>
      <c r="F72" s="303"/>
    </row>
    <row r="76" spans="1:8" s="111" customFormat="1" ht="20.100000000000001" customHeight="1" x14ac:dyDescent="0.2">
      <c r="A76" s="396" t="s">
        <v>1250</v>
      </c>
      <c r="B76" s="396"/>
      <c r="C76" s="396"/>
      <c r="D76" s="396"/>
      <c r="E76" s="396"/>
      <c r="F76" s="396"/>
      <c r="G76" s="396"/>
      <c r="H76" s="396"/>
    </row>
    <row r="77" spans="1:8" s="111" customFormat="1" ht="20.100000000000001" customHeight="1" thickBot="1" x14ac:dyDescent="0.25">
      <c r="A77" s="131" t="s">
        <v>1108</v>
      </c>
      <c r="B77" s="131"/>
      <c r="C77" s="131"/>
      <c r="D77" s="311"/>
      <c r="E77" s="311"/>
      <c r="F77" s="311"/>
    </row>
    <row r="78" spans="1:8" ht="67.5" x14ac:dyDescent="0.2">
      <c r="A78" s="1221" t="s">
        <v>1328</v>
      </c>
      <c r="B78" s="1222" t="s">
        <v>1329</v>
      </c>
      <c r="C78" s="1222"/>
      <c r="D78" s="1223">
        <v>170453.84999999998</v>
      </c>
      <c r="E78" s="1223">
        <v>172063.3</v>
      </c>
      <c r="F78" s="1224"/>
      <c r="G78" s="1225" t="s">
        <v>1330</v>
      </c>
      <c r="H78" s="1235" t="s">
        <v>1331</v>
      </c>
    </row>
    <row r="79" spans="1:8" ht="54" customHeight="1" x14ac:dyDescent="0.2">
      <c r="A79" s="1226" t="s">
        <v>1332</v>
      </c>
      <c r="B79" s="1227" t="s">
        <v>1333</v>
      </c>
      <c r="C79" s="1227"/>
      <c r="D79" s="1228">
        <v>220055.27</v>
      </c>
      <c r="E79" s="1228">
        <v>110027.64</v>
      </c>
      <c r="F79" s="1229"/>
      <c r="G79" s="1094" t="s">
        <v>1330</v>
      </c>
      <c r="H79" s="1089" t="s">
        <v>1331</v>
      </c>
    </row>
    <row r="80" spans="1:8" ht="33.75" x14ac:dyDescent="0.2">
      <c r="A80" s="1226" t="s">
        <v>1334</v>
      </c>
      <c r="B80" s="1227"/>
      <c r="C80" s="1227" t="s">
        <v>1335</v>
      </c>
      <c r="D80" s="1228">
        <v>310017.51</v>
      </c>
      <c r="E80" s="1228">
        <v>323578.93</v>
      </c>
      <c r="F80" s="1229"/>
      <c r="G80" s="1094" t="s">
        <v>1330</v>
      </c>
      <c r="H80" s="1089" t="s">
        <v>1331</v>
      </c>
    </row>
    <row r="81" spans="1:8" ht="22.5" x14ac:dyDescent="0.2">
      <c r="A81" s="1226" t="s">
        <v>1336</v>
      </c>
      <c r="B81" s="1227" t="s">
        <v>1337</v>
      </c>
      <c r="C81" s="1227"/>
      <c r="D81" s="1228">
        <v>336985.72000000003</v>
      </c>
      <c r="E81" s="1228">
        <v>11907.92</v>
      </c>
      <c r="F81" s="1229"/>
      <c r="G81" s="1094" t="s">
        <v>1330</v>
      </c>
      <c r="H81" s="1089" t="s">
        <v>1331</v>
      </c>
    </row>
    <row r="82" spans="1:8" ht="56.25" x14ac:dyDescent="0.2">
      <c r="A82" s="1226" t="s">
        <v>1338</v>
      </c>
      <c r="B82" s="1227" t="s">
        <v>1339</v>
      </c>
      <c r="C82" s="1227"/>
      <c r="D82" s="1228">
        <v>337400</v>
      </c>
      <c r="E82" s="1228"/>
      <c r="F82" s="1229"/>
      <c r="G82" s="1094" t="s">
        <v>1330</v>
      </c>
      <c r="H82" s="1089" t="s">
        <v>1331</v>
      </c>
    </row>
    <row r="83" spans="1:8" ht="22.5" x14ac:dyDescent="0.2">
      <c r="A83" s="1226" t="s">
        <v>1340</v>
      </c>
      <c r="B83" s="1227" t="s">
        <v>1333</v>
      </c>
      <c r="C83" s="1227"/>
      <c r="D83" s="1228"/>
      <c r="E83" s="1228">
        <v>183482.84999999998</v>
      </c>
      <c r="F83" s="1229"/>
      <c r="G83" s="1094" t="s">
        <v>1330</v>
      </c>
      <c r="H83" s="1089" t="s">
        <v>1331</v>
      </c>
    </row>
    <row r="84" spans="1:8" ht="45" x14ac:dyDescent="0.2">
      <c r="A84" s="1226" t="s">
        <v>1341</v>
      </c>
      <c r="B84" s="1227"/>
      <c r="C84" s="1227" t="s">
        <v>1342</v>
      </c>
      <c r="D84" s="1228">
        <v>264147</v>
      </c>
      <c r="E84" s="1228">
        <v>6385.64</v>
      </c>
      <c r="F84" s="1229"/>
      <c r="G84" s="1094" t="s">
        <v>1330</v>
      </c>
      <c r="H84" s="1089" t="s">
        <v>1331</v>
      </c>
    </row>
    <row r="85" spans="1:8" ht="45" x14ac:dyDescent="0.2">
      <c r="A85" s="1226" t="s">
        <v>1343</v>
      </c>
      <c r="B85" s="1227" t="s">
        <v>1337</v>
      </c>
      <c r="C85" s="1227"/>
      <c r="D85" s="1228">
        <v>109958.5</v>
      </c>
      <c r="E85" s="1228"/>
      <c r="F85" s="1229"/>
      <c r="G85" s="1094" t="s">
        <v>1330</v>
      </c>
      <c r="H85" s="1089" t="s">
        <v>1331</v>
      </c>
    </row>
    <row r="86" spans="1:8" ht="33.75" x14ac:dyDescent="0.2">
      <c r="A86" s="1226" t="s">
        <v>1344</v>
      </c>
      <c r="B86" s="1227" t="s">
        <v>1345</v>
      </c>
      <c r="C86" s="1227"/>
      <c r="D86" s="1228">
        <v>129905.98000000001</v>
      </c>
      <c r="E86" s="1228"/>
      <c r="F86" s="1229"/>
      <c r="G86" s="1094" t="s">
        <v>1346</v>
      </c>
      <c r="H86" s="1089" t="s">
        <v>1331</v>
      </c>
    </row>
    <row r="87" spans="1:8" ht="33.75" x14ac:dyDescent="0.2">
      <c r="A87" s="1226" t="s">
        <v>1347</v>
      </c>
      <c r="B87" s="1227" t="s">
        <v>1348</v>
      </c>
      <c r="C87" s="1227"/>
      <c r="D87" s="1228">
        <v>72000</v>
      </c>
      <c r="E87" s="1228"/>
      <c r="F87" s="1229"/>
      <c r="G87" s="1094" t="s">
        <v>1346</v>
      </c>
      <c r="H87" s="1089" t="s">
        <v>1331</v>
      </c>
    </row>
    <row r="88" spans="1:8" ht="33.75" x14ac:dyDescent="0.2">
      <c r="A88" s="1226" t="s">
        <v>1349</v>
      </c>
      <c r="B88" s="1227" t="s">
        <v>1345</v>
      </c>
      <c r="C88" s="1227"/>
      <c r="D88" s="1228">
        <v>101584.03</v>
      </c>
      <c r="E88" s="1228">
        <v>169301.56</v>
      </c>
      <c r="F88" s="1229"/>
      <c r="G88" s="1094" t="s">
        <v>1346</v>
      </c>
      <c r="H88" s="1089" t="s">
        <v>1331</v>
      </c>
    </row>
    <row r="89" spans="1:8" ht="22.5" x14ac:dyDescent="0.2">
      <c r="A89" s="1226" t="s">
        <v>1350</v>
      </c>
      <c r="B89" s="1227"/>
      <c r="C89" s="1227"/>
      <c r="D89" s="1228"/>
      <c r="E89" s="1228"/>
      <c r="F89" s="1228">
        <v>1185793.72</v>
      </c>
      <c r="G89" s="1094" t="s">
        <v>1330</v>
      </c>
      <c r="H89" s="1089" t="s">
        <v>1331</v>
      </c>
    </row>
    <row r="90" spans="1:8" ht="78.75" x14ac:dyDescent="0.2">
      <c r="A90" s="1226" t="s">
        <v>1351</v>
      </c>
      <c r="B90" s="1227"/>
      <c r="C90" s="1227"/>
      <c r="D90" s="1228"/>
      <c r="E90" s="1228"/>
      <c r="F90" s="1228">
        <v>295707.59999999998</v>
      </c>
      <c r="G90" s="1094" t="s">
        <v>1330</v>
      </c>
      <c r="H90" s="1089" t="s">
        <v>1331</v>
      </c>
    </row>
    <row r="91" spans="1:8" ht="33.75" x14ac:dyDescent="0.2">
      <c r="A91" s="1226" t="s">
        <v>1352</v>
      </c>
      <c r="B91" s="1227"/>
      <c r="C91" s="1227"/>
      <c r="D91" s="1228"/>
      <c r="E91" s="1228"/>
      <c r="F91" s="1228">
        <v>1423986.37</v>
      </c>
      <c r="G91" s="1094" t="s">
        <v>1330</v>
      </c>
      <c r="H91" s="1089" t="s">
        <v>1331</v>
      </c>
    </row>
    <row r="92" spans="1:8" ht="33.75" x14ac:dyDescent="0.2">
      <c r="A92" s="1226" t="s">
        <v>1353</v>
      </c>
      <c r="B92" s="1227"/>
      <c r="C92" s="1227"/>
      <c r="D92" s="1228"/>
      <c r="E92" s="1228"/>
      <c r="F92" s="1228">
        <v>1063206.1000000001</v>
      </c>
      <c r="G92" s="1094" t="s">
        <v>1330</v>
      </c>
      <c r="H92" s="1089" t="s">
        <v>1331</v>
      </c>
    </row>
    <row r="93" spans="1:8" ht="45" x14ac:dyDescent="0.2">
      <c r="A93" s="1226" t="s">
        <v>1354</v>
      </c>
      <c r="B93" s="1227"/>
      <c r="C93" s="1227"/>
      <c r="D93" s="1228"/>
      <c r="E93" s="1228"/>
      <c r="F93" s="1228">
        <v>346673.82</v>
      </c>
      <c r="G93" s="1094" t="s">
        <v>1330</v>
      </c>
      <c r="H93" s="1089" t="s">
        <v>1331</v>
      </c>
    </row>
    <row r="94" spans="1:8" ht="45" x14ac:dyDescent="0.2">
      <c r="A94" s="1226" t="s">
        <v>1355</v>
      </c>
      <c r="B94" s="1227"/>
      <c r="C94" s="1227"/>
      <c r="D94" s="1228"/>
      <c r="E94" s="1228"/>
      <c r="F94" s="1228">
        <v>165857.68</v>
      </c>
      <c r="G94" s="1094" t="s">
        <v>1330</v>
      </c>
      <c r="H94" s="1089" t="s">
        <v>1331</v>
      </c>
    </row>
    <row r="95" spans="1:8" ht="22.5" x14ac:dyDescent="0.2">
      <c r="A95" s="1226" t="s">
        <v>1356</v>
      </c>
      <c r="B95" s="1227"/>
      <c r="C95" s="1227"/>
      <c r="D95" s="1228"/>
      <c r="E95" s="1228"/>
      <c r="F95" s="1228">
        <v>1846953.82</v>
      </c>
      <c r="G95" s="1094" t="s">
        <v>1346</v>
      </c>
      <c r="H95" s="1089" t="s">
        <v>1331</v>
      </c>
    </row>
    <row r="96" spans="1:8" ht="33.75" x14ac:dyDescent="0.2">
      <c r="A96" s="1226" t="s">
        <v>1357</v>
      </c>
      <c r="B96" s="1227"/>
      <c r="C96" s="1227"/>
      <c r="D96" s="1228"/>
      <c r="E96" s="1228"/>
      <c r="F96" s="1228">
        <v>392757.49</v>
      </c>
      <c r="G96" s="1094" t="s">
        <v>1346</v>
      </c>
      <c r="H96" s="1089" t="s">
        <v>1331</v>
      </c>
    </row>
    <row r="97" spans="1:8" ht="33.75" x14ac:dyDescent="0.2">
      <c r="A97" s="1226" t="s">
        <v>1358</v>
      </c>
      <c r="B97" s="1227"/>
      <c r="C97" s="1227"/>
      <c r="D97" s="1228"/>
      <c r="E97" s="1228"/>
      <c r="F97" s="1228">
        <v>270622.39</v>
      </c>
      <c r="G97" s="1094" t="s">
        <v>1346</v>
      </c>
      <c r="H97" s="1089" t="s">
        <v>1331</v>
      </c>
    </row>
    <row r="98" spans="1:8" ht="45" x14ac:dyDescent="0.2">
      <c r="A98" s="1226" t="s">
        <v>1359</v>
      </c>
      <c r="B98" s="1227"/>
      <c r="C98" s="1227" t="s">
        <v>1360</v>
      </c>
      <c r="D98" s="1228">
        <v>33000</v>
      </c>
      <c r="E98" s="1228"/>
      <c r="F98" s="1228"/>
      <c r="G98" s="1094" t="s">
        <v>1255</v>
      </c>
      <c r="H98" s="1089" t="s">
        <v>1331</v>
      </c>
    </row>
    <row r="99" spans="1:8" ht="56.25" x14ac:dyDescent="0.2">
      <c r="A99" s="1226" t="s">
        <v>1361</v>
      </c>
      <c r="B99" s="1227"/>
      <c r="C99" s="1227" t="s">
        <v>1362</v>
      </c>
      <c r="D99" s="1228">
        <v>33600</v>
      </c>
      <c r="E99" s="1228"/>
      <c r="F99" s="1228"/>
      <c r="G99" s="1094" t="s">
        <v>1255</v>
      </c>
      <c r="H99" s="1089" t="s">
        <v>1331</v>
      </c>
    </row>
    <row r="100" spans="1:8" ht="33.75" x14ac:dyDescent="0.2">
      <c r="A100" s="1226" t="s">
        <v>1363</v>
      </c>
      <c r="B100" s="1227"/>
      <c r="C100" s="1227" t="s">
        <v>1364</v>
      </c>
      <c r="D100" s="1228">
        <v>32000</v>
      </c>
      <c r="E100" s="1228"/>
      <c r="F100" s="1228"/>
      <c r="G100" s="1094" t="s">
        <v>1255</v>
      </c>
      <c r="H100" s="1089" t="s">
        <v>1331</v>
      </c>
    </row>
    <row r="101" spans="1:8" ht="56.25" x14ac:dyDescent="0.2">
      <c r="A101" s="1226" t="s">
        <v>1365</v>
      </c>
      <c r="B101" s="1227"/>
      <c r="C101" s="1227" t="s">
        <v>1366</v>
      </c>
      <c r="D101" s="1228">
        <v>33500</v>
      </c>
      <c r="E101" s="1228"/>
      <c r="F101" s="1228"/>
      <c r="G101" s="1094" t="s">
        <v>1255</v>
      </c>
      <c r="H101" s="1089" t="s">
        <v>1331</v>
      </c>
    </row>
    <row r="102" spans="1:8" ht="135" x14ac:dyDescent="0.2">
      <c r="A102" s="1226" t="s">
        <v>1367</v>
      </c>
      <c r="B102" s="1227"/>
      <c r="C102" s="1227" t="s">
        <v>1368</v>
      </c>
      <c r="D102" s="1228">
        <v>24000</v>
      </c>
      <c r="E102" s="1228"/>
      <c r="F102" s="1228"/>
      <c r="G102" s="1094" t="s">
        <v>1255</v>
      </c>
      <c r="H102" s="1089" t="s">
        <v>1331</v>
      </c>
    </row>
    <row r="103" spans="1:8" ht="22.5" x14ac:dyDescent="0.2">
      <c r="A103" s="1226" t="s">
        <v>1369</v>
      </c>
      <c r="B103" s="1230"/>
      <c r="C103" s="1227" t="s">
        <v>1370</v>
      </c>
      <c r="D103" s="1228">
        <v>31500</v>
      </c>
      <c r="E103" s="1228"/>
      <c r="F103" s="1228"/>
      <c r="G103" s="1094" t="s">
        <v>1255</v>
      </c>
      <c r="H103" s="1089" t="s">
        <v>1331</v>
      </c>
    </row>
    <row r="104" spans="1:8" ht="33.75" x14ac:dyDescent="0.2">
      <c r="A104" s="1226" t="s">
        <v>1371</v>
      </c>
      <c r="B104" s="1230"/>
      <c r="C104" s="1227" t="s">
        <v>1362</v>
      </c>
      <c r="D104" s="1228">
        <v>34400</v>
      </c>
      <c r="E104" s="1228"/>
      <c r="F104" s="1228"/>
      <c r="G104" s="1094" t="s">
        <v>1255</v>
      </c>
      <c r="H104" s="1089" t="s">
        <v>1331</v>
      </c>
    </row>
    <row r="105" spans="1:8" ht="22.5" x14ac:dyDescent="0.2">
      <c r="A105" s="1226" t="s">
        <v>1372</v>
      </c>
      <c r="B105" s="1230"/>
      <c r="C105" s="1227" t="s">
        <v>1373</v>
      </c>
      <c r="D105" s="1228">
        <v>24000</v>
      </c>
      <c r="E105" s="1228"/>
      <c r="F105" s="1228"/>
      <c r="G105" s="1094" t="s">
        <v>1255</v>
      </c>
      <c r="H105" s="1089" t="s">
        <v>1331</v>
      </c>
    </row>
    <row r="106" spans="1:8" ht="33.75" x14ac:dyDescent="0.2">
      <c r="A106" s="1226" t="s">
        <v>1374</v>
      </c>
      <c r="B106" s="1230"/>
      <c r="C106" s="1227" t="s">
        <v>1375</v>
      </c>
      <c r="D106" s="1228">
        <v>20000</v>
      </c>
      <c r="E106" s="1228"/>
      <c r="F106" s="1228"/>
      <c r="G106" s="1094" t="s">
        <v>1255</v>
      </c>
      <c r="H106" s="1089" t="s">
        <v>1331</v>
      </c>
    </row>
    <row r="107" spans="1:8" ht="33.75" x14ac:dyDescent="0.2">
      <c r="A107" s="1226" t="s">
        <v>1376</v>
      </c>
      <c r="B107" s="1230"/>
      <c r="C107" s="1227" t="s">
        <v>1377</v>
      </c>
      <c r="D107" s="1228">
        <v>3200</v>
      </c>
      <c r="E107" s="1228"/>
      <c r="F107" s="1228"/>
      <c r="G107" s="1094" t="s">
        <v>1255</v>
      </c>
      <c r="H107" s="1089" t="s">
        <v>1331</v>
      </c>
    </row>
    <row r="108" spans="1:8" ht="33.75" x14ac:dyDescent="0.2">
      <c r="A108" s="1226" t="s">
        <v>1378</v>
      </c>
      <c r="B108" s="1230"/>
      <c r="C108" s="1227" t="s">
        <v>1379</v>
      </c>
      <c r="D108" s="1228">
        <v>25500</v>
      </c>
      <c r="E108" s="1228"/>
      <c r="F108" s="1228"/>
      <c r="G108" s="1094" t="s">
        <v>1255</v>
      </c>
      <c r="H108" s="1089" t="s">
        <v>1331</v>
      </c>
    </row>
    <row r="109" spans="1:8" ht="45" x14ac:dyDescent="0.2">
      <c r="A109" s="1226" t="s">
        <v>1380</v>
      </c>
      <c r="B109" s="1230"/>
      <c r="C109" s="1227" t="s">
        <v>1366</v>
      </c>
      <c r="D109" s="1228">
        <v>30600</v>
      </c>
      <c r="E109" s="1228"/>
      <c r="F109" s="1228"/>
      <c r="G109" s="1094" t="s">
        <v>1255</v>
      </c>
      <c r="H109" s="1089" t="s">
        <v>1331</v>
      </c>
    </row>
    <row r="110" spans="1:8" ht="67.5" x14ac:dyDescent="0.2">
      <c r="A110" s="1226" t="s">
        <v>1381</v>
      </c>
      <c r="B110" s="1230"/>
      <c r="C110" s="1227" t="s">
        <v>1382</v>
      </c>
      <c r="D110" s="1228">
        <v>33600</v>
      </c>
      <c r="E110" s="1228"/>
      <c r="F110" s="1228"/>
      <c r="G110" s="1094" t="s">
        <v>1255</v>
      </c>
      <c r="H110" s="1089" t="s">
        <v>1331</v>
      </c>
    </row>
    <row r="111" spans="1:8" ht="33.75" x14ac:dyDescent="0.2">
      <c r="A111" s="1226" t="s">
        <v>1383</v>
      </c>
      <c r="B111" s="1227"/>
      <c r="C111" s="1227" t="s">
        <v>1384</v>
      </c>
      <c r="D111" s="1228">
        <v>28000</v>
      </c>
      <c r="E111" s="1228"/>
      <c r="F111" s="1229"/>
      <c r="G111" s="1094" t="s">
        <v>1255</v>
      </c>
      <c r="H111" s="1089" t="s">
        <v>1331</v>
      </c>
    </row>
    <row r="112" spans="1:8" ht="45" x14ac:dyDescent="0.2">
      <c r="A112" s="1226" t="s">
        <v>1385</v>
      </c>
      <c r="B112" s="1227"/>
      <c r="C112" s="1227" t="s">
        <v>1386</v>
      </c>
      <c r="D112" s="1228">
        <v>7560</v>
      </c>
      <c r="E112" s="1228"/>
      <c r="F112" s="1229"/>
      <c r="G112" s="1094" t="s">
        <v>1255</v>
      </c>
      <c r="H112" s="1089" t="s">
        <v>1331</v>
      </c>
    </row>
    <row r="113" spans="1:11" ht="45" x14ac:dyDescent="0.2">
      <c r="A113" s="1226" t="s">
        <v>1387</v>
      </c>
      <c r="B113" s="1227" t="s">
        <v>1388</v>
      </c>
      <c r="C113" s="1227"/>
      <c r="D113" s="1228">
        <v>34000</v>
      </c>
      <c r="E113" s="1228"/>
      <c r="F113" s="1229"/>
      <c r="G113" s="1094" t="s">
        <v>1255</v>
      </c>
      <c r="H113" s="1089" t="s">
        <v>1331</v>
      </c>
    </row>
    <row r="114" spans="1:11" ht="22.5" x14ac:dyDescent="0.2">
      <c r="A114" s="1226" t="s">
        <v>1389</v>
      </c>
      <c r="B114" s="1227" t="s">
        <v>1390</v>
      </c>
      <c r="C114" s="1227"/>
      <c r="D114" s="1228">
        <v>32450</v>
      </c>
      <c r="E114" s="1228"/>
      <c r="F114" s="1229"/>
      <c r="G114" s="1094" t="s">
        <v>1255</v>
      </c>
      <c r="H114" s="1089" t="s">
        <v>1331</v>
      </c>
    </row>
    <row r="115" spans="1:11" ht="33.75" x14ac:dyDescent="0.2">
      <c r="A115" s="1226" t="s">
        <v>1391</v>
      </c>
      <c r="B115" s="1227" t="s">
        <v>1392</v>
      </c>
      <c r="C115" s="1227"/>
      <c r="D115" s="1228">
        <v>20060</v>
      </c>
      <c r="E115" s="1228"/>
      <c r="F115" s="1229"/>
      <c r="G115" s="1094" t="s">
        <v>1255</v>
      </c>
      <c r="H115" s="1089" t="s">
        <v>1331</v>
      </c>
    </row>
    <row r="116" spans="1:11" ht="68.25" thickBot="1" x14ac:dyDescent="0.25">
      <c r="A116" s="1231" t="s">
        <v>1393</v>
      </c>
      <c r="B116" s="1232" t="s">
        <v>1392</v>
      </c>
      <c r="C116" s="1232"/>
      <c r="D116" s="1233">
        <v>10620</v>
      </c>
      <c r="E116" s="1233"/>
      <c r="F116" s="1234"/>
      <c r="G116" s="1141" t="s">
        <v>1255</v>
      </c>
      <c r="H116" s="1236" t="s">
        <v>1331</v>
      </c>
    </row>
    <row r="117" spans="1:11" ht="12.75" thickBot="1" x14ac:dyDescent="0.25">
      <c r="A117" s="691" t="s">
        <v>46</v>
      </c>
      <c r="B117" s="692"/>
      <c r="C117" s="692"/>
      <c r="D117" s="1192">
        <f>SUM(D78:D116)</f>
        <v>2544097.8600000003</v>
      </c>
      <c r="E117" s="1192">
        <f>SUM(E78:E116)</f>
        <v>976747.84000000008</v>
      </c>
      <c r="F117" s="1192">
        <f>SUM(F78:F116)</f>
        <v>6991558.9900000002</v>
      </c>
      <c r="G117" s="692"/>
      <c r="H117" s="695"/>
    </row>
    <row r="123" spans="1:11" s="111" customFormat="1" ht="21.75" customHeight="1" x14ac:dyDescent="0.2">
      <c r="A123" s="1255" t="s">
        <v>641</v>
      </c>
      <c r="B123" s="396"/>
      <c r="C123" s="396"/>
      <c r="D123" s="396"/>
      <c r="E123" s="396"/>
      <c r="F123" s="396"/>
      <c r="G123" s="396"/>
      <c r="H123" s="396"/>
      <c r="I123" s="396"/>
      <c r="J123" s="396"/>
      <c r="K123" s="396"/>
    </row>
    <row r="124" spans="1:11" ht="67.5" x14ac:dyDescent="0.2">
      <c r="A124" s="1199" t="s">
        <v>1394</v>
      </c>
      <c r="B124" s="510" t="s">
        <v>1395</v>
      </c>
      <c r="C124" s="511"/>
      <c r="D124" s="512">
        <v>312808.56</v>
      </c>
      <c r="E124" s="512">
        <v>0</v>
      </c>
      <c r="F124" s="513"/>
      <c r="G124" s="514" t="s">
        <v>1396</v>
      </c>
      <c r="H124" s="693" t="s">
        <v>1397</v>
      </c>
    </row>
    <row r="125" spans="1:11" ht="45" x14ac:dyDescent="0.2">
      <c r="A125" s="1199" t="s">
        <v>1398</v>
      </c>
      <c r="B125" s="510" t="s">
        <v>1399</v>
      </c>
      <c r="C125" s="511"/>
      <c r="D125" s="1193">
        <v>13098.44</v>
      </c>
      <c r="E125" s="1193">
        <v>0</v>
      </c>
      <c r="F125" s="1194"/>
      <c r="G125" s="515" t="s">
        <v>1400</v>
      </c>
      <c r="H125" s="693" t="s">
        <v>1397</v>
      </c>
    </row>
    <row r="126" spans="1:11" ht="45" x14ac:dyDescent="0.2">
      <c r="A126" s="1199" t="s">
        <v>1401</v>
      </c>
      <c r="B126" s="510"/>
      <c r="C126" s="510" t="s">
        <v>1402</v>
      </c>
      <c r="D126" s="1193"/>
      <c r="E126" s="1193"/>
      <c r="F126" s="1195"/>
      <c r="G126" s="515" t="s">
        <v>1400</v>
      </c>
      <c r="H126" s="693" t="s">
        <v>1397</v>
      </c>
    </row>
    <row r="127" spans="1:11" ht="45" x14ac:dyDescent="0.2">
      <c r="A127" s="1199" t="s">
        <v>1403</v>
      </c>
      <c r="B127" s="510"/>
      <c r="C127" s="510"/>
      <c r="D127" s="1193"/>
      <c r="E127" s="1193"/>
      <c r="F127" s="1196">
        <v>246292</v>
      </c>
      <c r="G127" s="515" t="s">
        <v>1400</v>
      </c>
      <c r="H127" s="693" t="s">
        <v>1397</v>
      </c>
    </row>
    <row r="128" spans="1:11" ht="56.25" x14ac:dyDescent="0.2">
      <c r="A128" s="1199" t="s">
        <v>1404</v>
      </c>
      <c r="B128" s="510"/>
      <c r="C128" s="510" t="s">
        <v>1405</v>
      </c>
      <c r="D128" s="516">
        <v>139261.12</v>
      </c>
      <c r="E128" s="1193">
        <v>208891.68</v>
      </c>
      <c r="F128" s="518"/>
      <c r="G128" s="519" t="s">
        <v>1396</v>
      </c>
      <c r="H128" s="693" t="s">
        <v>1397</v>
      </c>
    </row>
    <row r="129" spans="1:8" ht="56.25" x14ac:dyDescent="0.2">
      <c r="A129" s="1199" t="s">
        <v>1406</v>
      </c>
      <c r="B129" s="510"/>
      <c r="C129" s="510" t="s">
        <v>1407</v>
      </c>
      <c r="D129" s="516"/>
      <c r="E129" s="1193"/>
      <c r="F129" s="518"/>
      <c r="G129" s="515" t="s">
        <v>1400</v>
      </c>
      <c r="H129" s="693" t="s">
        <v>250</v>
      </c>
    </row>
    <row r="130" spans="1:8" ht="67.5" x14ac:dyDescent="0.2">
      <c r="A130" s="1199" t="s">
        <v>1408</v>
      </c>
      <c r="B130" s="510"/>
      <c r="C130" s="510" t="s">
        <v>1409</v>
      </c>
      <c r="D130" s="516"/>
      <c r="E130" s="1193"/>
      <c r="F130" s="518"/>
      <c r="G130" s="515" t="s">
        <v>1400</v>
      </c>
      <c r="H130" s="693" t="s">
        <v>250</v>
      </c>
    </row>
    <row r="131" spans="1:8" ht="56.25" x14ac:dyDescent="0.2">
      <c r="A131" s="1199" t="s">
        <v>1410</v>
      </c>
      <c r="B131" s="510"/>
      <c r="C131" s="510" t="s">
        <v>1411</v>
      </c>
      <c r="D131" s="516"/>
      <c r="E131" s="1193"/>
      <c r="F131" s="518"/>
      <c r="G131" s="515" t="s">
        <v>1400</v>
      </c>
      <c r="H131" s="693" t="s">
        <v>250</v>
      </c>
    </row>
    <row r="132" spans="1:8" ht="56.25" x14ac:dyDescent="0.2">
      <c r="A132" s="1199" t="s">
        <v>1412</v>
      </c>
      <c r="B132" s="510"/>
      <c r="C132" s="510" t="s">
        <v>1413</v>
      </c>
      <c r="D132" s="516"/>
      <c r="E132" s="1193"/>
      <c r="F132" s="518"/>
      <c r="G132" s="515" t="s">
        <v>1400</v>
      </c>
      <c r="H132" s="693" t="s">
        <v>250</v>
      </c>
    </row>
    <row r="133" spans="1:8" ht="45" x14ac:dyDescent="0.2">
      <c r="A133" s="1199" t="s">
        <v>1414</v>
      </c>
      <c r="B133" s="510"/>
      <c r="C133" s="511"/>
      <c r="D133" s="516"/>
      <c r="E133" s="516"/>
      <c r="F133" s="520">
        <v>368049</v>
      </c>
      <c r="G133" s="519" t="s">
        <v>1396</v>
      </c>
      <c r="H133" s="693" t="s">
        <v>1397</v>
      </c>
    </row>
    <row r="134" spans="1:8" ht="45" x14ac:dyDescent="0.2">
      <c r="A134" s="1199" t="s">
        <v>1415</v>
      </c>
      <c r="B134" s="510"/>
      <c r="C134" s="511"/>
      <c r="D134" s="516"/>
      <c r="E134" s="516"/>
      <c r="F134" s="520">
        <v>368049</v>
      </c>
      <c r="G134" s="519" t="s">
        <v>1396</v>
      </c>
      <c r="H134" s="693" t="s">
        <v>1416</v>
      </c>
    </row>
    <row r="135" spans="1:8" ht="67.5" x14ac:dyDescent="0.2">
      <c r="A135" s="1199" t="s">
        <v>1417</v>
      </c>
      <c r="B135" s="510"/>
      <c r="C135" s="511"/>
      <c r="D135" s="516"/>
      <c r="E135" s="516"/>
      <c r="F135" s="517">
        <v>150000</v>
      </c>
      <c r="G135" s="519" t="s">
        <v>1396</v>
      </c>
      <c r="H135" s="693" t="s">
        <v>1397</v>
      </c>
    </row>
    <row r="136" spans="1:8" ht="56.25" x14ac:dyDescent="0.2">
      <c r="A136" s="1199" t="s">
        <v>1418</v>
      </c>
      <c r="B136" s="510"/>
      <c r="C136" s="510" t="s">
        <v>1419</v>
      </c>
      <c r="D136" s="516">
        <v>53945.35</v>
      </c>
      <c r="E136" s="516"/>
      <c r="F136" s="521"/>
      <c r="G136" s="519" t="s">
        <v>1396</v>
      </c>
      <c r="H136" s="693" t="s">
        <v>1397</v>
      </c>
    </row>
    <row r="137" spans="1:8" ht="56.25" x14ac:dyDescent="0.2">
      <c r="A137" s="1199" t="s">
        <v>1420</v>
      </c>
      <c r="B137" s="510"/>
      <c r="C137" s="510" t="s">
        <v>1421</v>
      </c>
      <c r="D137" s="516">
        <v>30888</v>
      </c>
      <c r="E137" s="516"/>
      <c r="F137" s="518"/>
      <c r="G137" s="519" t="s">
        <v>1396</v>
      </c>
      <c r="H137" s="693" t="s">
        <v>1397</v>
      </c>
    </row>
    <row r="138" spans="1:8" ht="57" thickBot="1" x14ac:dyDescent="0.25">
      <c r="A138" s="1199" t="s">
        <v>1422</v>
      </c>
      <c r="B138" s="522"/>
      <c r="C138" s="510" t="s">
        <v>1421</v>
      </c>
      <c r="D138" s="523"/>
      <c r="E138" s="523"/>
      <c r="F138" s="518"/>
      <c r="G138" s="524" t="s">
        <v>1396</v>
      </c>
      <c r="H138" s="694" t="s">
        <v>250</v>
      </c>
    </row>
    <row r="139" spans="1:8" ht="23.25" customHeight="1" thickBot="1" x14ac:dyDescent="0.25">
      <c r="A139" s="329" t="s">
        <v>46</v>
      </c>
      <c r="B139" s="320"/>
      <c r="C139" s="329"/>
      <c r="D139" s="1197">
        <f>SUM(D124:D138)</f>
        <v>550001.47</v>
      </c>
      <c r="E139" s="1197">
        <f>SUM(E124:E137)</f>
        <v>208891.68</v>
      </c>
      <c r="F139" s="1198">
        <f>SUM(F124:F138)</f>
        <v>1132390</v>
      </c>
      <c r="G139" s="334"/>
      <c r="H139" s="334"/>
    </row>
    <row r="140" spans="1:8" x14ac:dyDescent="0.2">
      <c r="A140" s="318"/>
      <c r="B140" s="318"/>
      <c r="C140" s="318"/>
      <c r="D140" s="303"/>
      <c r="E140" s="303"/>
      <c r="F140" s="303"/>
      <c r="G140" s="303"/>
    </row>
    <row r="141" spans="1:8" x14ac:dyDescent="0.2">
      <c r="A141" s="312" t="s">
        <v>59</v>
      </c>
      <c r="B141" s="312"/>
      <c r="C141" s="312"/>
      <c r="D141" s="303"/>
      <c r="E141" s="303"/>
      <c r="F141" s="303"/>
      <c r="G141" s="303"/>
    </row>
    <row r="142" spans="1:8" x14ac:dyDescent="0.2">
      <c r="A142" s="302" t="s">
        <v>123</v>
      </c>
      <c r="B142" s="302"/>
      <c r="C142" s="302"/>
      <c r="D142" s="303"/>
      <c r="E142" s="303"/>
      <c r="F142" s="303"/>
      <c r="G142" s="303"/>
    </row>
    <row r="143" spans="1:8" x14ac:dyDescent="0.2">
      <c r="A143" s="462" t="s">
        <v>1423</v>
      </c>
    </row>
    <row r="148" spans="1:8" ht="20.100000000000001" customHeight="1" thickBot="1" x14ac:dyDescent="0.25">
      <c r="A148" s="396" t="s">
        <v>683</v>
      </c>
      <c r="B148" s="491"/>
      <c r="C148" s="491"/>
      <c r="D148" s="311"/>
      <c r="E148" s="311"/>
      <c r="F148" s="311"/>
    </row>
    <row r="149" spans="1:8" ht="33.75" x14ac:dyDescent="0.2">
      <c r="A149" s="1178" t="s">
        <v>1424</v>
      </c>
      <c r="B149" s="1178">
        <v>20548117055</v>
      </c>
      <c r="C149" s="1178" t="s">
        <v>99</v>
      </c>
      <c r="D149" s="1237"/>
      <c r="E149" s="1238">
        <v>6932</v>
      </c>
      <c r="F149" s="1239"/>
      <c r="G149" s="1240" t="s">
        <v>1425</v>
      </c>
      <c r="H149" s="1241" t="s">
        <v>1426</v>
      </c>
    </row>
    <row r="150" spans="1:8" ht="33.75" x14ac:dyDescent="0.2">
      <c r="A150" s="1126" t="s">
        <v>1427</v>
      </c>
      <c r="B150" s="1126">
        <v>20548117055</v>
      </c>
      <c r="C150" s="1126"/>
      <c r="D150" s="1242"/>
      <c r="E150" s="1243">
        <v>34928</v>
      </c>
      <c r="F150" s="1244"/>
      <c r="G150" s="1245" t="s">
        <v>1428</v>
      </c>
      <c r="H150" s="1246" t="s">
        <v>1426</v>
      </c>
    </row>
    <row r="151" spans="1:8" ht="12.75" thickBot="1" x14ac:dyDescent="0.25">
      <c r="A151" s="362"/>
      <c r="B151" s="362"/>
      <c r="C151" s="362"/>
      <c r="D151" s="326"/>
      <c r="E151" s="319"/>
      <c r="F151" s="461"/>
      <c r="G151" s="328"/>
      <c r="H151" s="328"/>
    </row>
    <row r="152" spans="1:8" ht="27" customHeight="1" thickBot="1" x14ac:dyDescent="0.25">
      <c r="A152" s="376" t="s">
        <v>46</v>
      </c>
      <c r="B152" s="343"/>
      <c r="C152" s="343"/>
      <c r="D152" s="330"/>
      <c r="E152" s="658">
        <f>SUM(E149:E151)</f>
        <v>41860</v>
      </c>
      <c r="F152" s="819">
        <f>SUM(F149:F151)</f>
        <v>0</v>
      </c>
      <c r="G152" s="334"/>
      <c r="H152" s="334"/>
    </row>
    <row r="153" spans="1:8" x14ac:dyDescent="0.2">
      <c r="A153" s="318"/>
      <c r="B153" s="318"/>
      <c r="C153" s="318"/>
      <c r="D153" s="303"/>
      <c r="E153" s="303"/>
      <c r="F153" s="303"/>
    </row>
    <row r="154" spans="1:8" x14ac:dyDescent="0.2">
      <c r="A154" s="312" t="s">
        <v>59</v>
      </c>
      <c r="B154" s="312"/>
      <c r="C154" s="312"/>
      <c r="D154" s="303"/>
      <c r="E154" s="303"/>
      <c r="F154" s="303"/>
    </row>
    <row r="155" spans="1:8" x14ac:dyDescent="0.2">
      <c r="A155" s="302" t="s">
        <v>123</v>
      </c>
      <c r="B155" s="302"/>
      <c r="C155" s="302"/>
      <c r="D155" s="303"/>
      <c r="E155" s="303"/>
      <c r="F155" s="303"/>
    </row>
  </sheetData>
  <mergeCells count="5">
    <mergeCell ref="A4:A5"/>
    <mergeCell ref="B4:B5"/>
    <mergeCell ref="C4:C5"/>
    <mergeCell ref="G4:G5"/>
    <mergeCell ref="H4:H5"/>
  </mergeCells>
  <printOptions horizontalCentered="1"/>
  <pageMargins left="0.23622047244094491" right="0.31496062992125984" top="0.74803149606299213" bottom="0.74803149606299213" header="0.31496062992125984" footer="0.31496062992125984"/>
  <pageSetup paperSize="9" scale="60" orientation="landscape" r:id="rId1"/>
  <headerFooter alignWithMargins="0">
    <oddHeader>&amp;C&amp;"Arial,Negrita"&amp;18PROYECTO DE PRESUPUESTO 2022</oddHeader>
    <oddFooter>&amp;L&amp;"Arial,Negrita"&amp;8PROYECTO DE PRESUPUESTO PARA EL AÑO FISCAL 2020
INFORMACIÓN PARA LA COMISIÓN DE PRESUPUESTO Y CUENTA GENERAL DE LA REPÚBLICA DEL CONGRESO DE LA REPÚBLICA</oddFooter>
  </headerFooter>
  <rowBreaks count="3" manualBreakCount="3">
    <brk id="121" max="7" man="1"/>
    <brk id="134" max="7" man="1"/>
    <brk id="146" max="7" man="1"/>
  </rowBreaks>
  <colBreaks count="1" manualBreakCount="1">
    <brk id="8" max="1048575" man="1"/>
  </colBreaks>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7030A0"/>
  </sheetPr>
  <dimension ref="A1:V142"/>
  <sheetViews>
    <sheetView showGridLines="0" view="pageBreakPreview" zoomScaleNormal="100" zoomScaleSheetLayoutView="100" zoomScalePageLayoutView="85" workbookViewId="0">
      <selection sqref="A1:A2"/>
    </sheetView>
  </sheetViews>
  <sheetFormatPr baseColWidth="10" defaultColWidth="11.42578125" defaultRowHeight="12" x14ac:dyDescent="0.2"/>
  <cols>
    <col min="1" max="1" width="60.5703125" style="462" customWidth="1"/>
    <col min="2" max="2" width="20" style="462" customWidth="1"/>
    <col min="3" max="3" width="35.42578125" style="462" customWidth="1"/>
    <col min="4" max="4" width="20.7109375" style="462" bestFit="1" customWidth="1"/>
    <col min="5" max="8" width="15.5703125" style="462" customWidth="1"/>
    <col min="9" max="16384" width="11.42578125" style="462"/>
  </cols>
  <sheetData>
    <row r="1" spans="1:22" s="482" customFormat="1" ht="15.75" x14ac:dyDescent="0.25">
      <c r="A1" s="89" t="s">
        <v>418</v>
      </c>
      <c r="B1" s="483"/>
      <c r="C1" s="483"/>
      <c r="D1" s="483"/>
      <c r="E1" s="483"/>
      <c r="F1" s="483"/>
      <c r="G1" s="483"/>
      <c r="H1" s="483"/>
    </row>
    <row r="2" spans="1:22" s="481" customFormat="1" ht="15.75" x14ac:dyDescent="0.2">
      <c r="A2" s="90" t="s">
        <v>1429</v>
      </c>
      <c r="B2" s="397"/>
      <c r="C2" s="397"/>
      <c r="D2" s="397"/>
      <c r="E2" s="397"/>
      <c r="F2" s="397"/>
      <c r="G2" s="397"/>
      <c r="H2" s="397"/>
      <c r="I2" s="397"/>
      <c r="J2" s="397"/>
      <c r="K2" s="397"/>
      <c r="L2" s="397"/>
      <c r="M2" s="397"/>
      <c r="N2" s="397"/>
      <c r="O2" s="397"/>
      <c r="P2" s="397"/>
      <c r="Q2" s="397"/>
      <c r="R2" s="397"/>
      <c r="S2" s="397"/>
      <c r="T2" s="397"/>
      <c r="U2" s="397"/>
      <c r="V2" s="397"/>
    </row>
    <row r="3" spans="1:22" ht="12.75" thickBot="1" x14ac:dyDescent="0.25">
      <c r="A3" s="491" t="s">
        <v>1250</v>
      </c>
    </row>
    <row r="4" spans="1:22" s="111" customFormat="1" ht="19.5" customHeight="1" thickBot="1" x14ac:dyDescent="0.25">
      <c r="A4" s="1517" t="s">
        <v>354</v>
      </c>
      <c r="B4" s="1517" t="s">
        <v>101</v>
      </c>
      <c r="C4" s="1522" t="s">
        <v>353</v>
      </c>
      <c r="D4" s="1523"/>
      <c r="E4" s="1523"/>
      <c r="F4" s="1523"/>
      <c r="G4" s="1523"/>
      <c r="H4" s="1524"/>
    </row>
    <row r="5" spans="1:22" s="476" customFormat="1" ht="27" customHeight="1" thickBot="1" x14ac:dyDescent="0.25">
      <c r="A5" s="1518"/>
      <c r="B5" s="1518"/>
      <c r="C5" s="480" t="s">
        <v>352</v>
      </c>
      <c r="D5" s="479" t="s">
        <v>351</v>
      </c>
      <c r="E5" s="478" t="s">
        <v>350</v>
      </c>
      <c r="F5" s="477" t="s">
        <v>349</v>
      </c>
      <c r="G5" s="477" t="s">
        <v>443</v>
      </c>
      <c r="H5" s="477" t="s">
        <v>448</v>
      </c>
    </row>
    <row r="6" spans="1:22" x14ac:dyDescent="0.2">
      <c r="A6" s="475"/>
      <c r="B6" s="474"/>
      <c r="C6" s="468"/>
      <c r="D6" s="470"/>
      <c r="E6" s="469"/>
      <c r="F6" s="468"/>
      <c r="G6" s="468"/>
      <c r="H6" s="468"/>
    </row>
    <row r="7" spans="1:22" x14ac:dyDescent="0.2">
      <c r="A7" s="681" t="s">
        <v>47</v>
      </c>
      <c r="B7" s="463"/>
      <c r="C7" s="468"/>
      <c r="D7" s="470"/>
      <c r="E7" s="469"/>
      <c r="F7" s="468"/>
      <c r="G7" s="468"/>
      <c r="H7" s="468"/>
    </row>
    <row r="8" spans="1:22" x14ac:dyDescent="0.2">
      <c r="A8" s="808"/>
      <c r="B8" s="463"/>
      <c r="C8" s="493"/>
      <c r="D8" s="472"/>
      <c r="E8" s="471"/>
      <c r="F8" s="468"/>
      <c r="G8" s="468"/>
      <c r="H8" s="494"/>
    </row>
    <row r="9" spans="1:22" x14ac:dyDescent="0.2">
      <c r="A9" s="681" t="s">
        <v>1538</v>
      </c>
      <c r="B9" s="463"/>
      <c r="C9" s="468"/>
      <c r="D9" s="470"/>
      <c r="E9" s="469"/>
      <c r="F9" s="468"/>
      <c r="G9" s="468"/>
      <c r="H9" s="468"/>
    </row>
    <row r="10" spans="1:22" x14ac:dyDescent="0.2">
      <c r="A10" s="112" t="s">
        <v>1430</v>
      </c>
      <c r="B10" s="894" t="s">
        <v>1431</v>
      </c>
      <c r="C10" s="1258" t="s">
        <v>1432</v>
      </c>
      <c r="D10" s="1259"/>
      <c r="E10" s="1260"/>
      <c r="F10" s="121" t="s">
        <v>1433</v>
      </c>
      <c r="G10" s="121">
        <v>232726437.5400002</v>
      </c>
      <c r="H10" s="1261">
        <v>215871954.05000025</v>
      </c>
    </row>
    <row r="11" spans="1:22" x14ac:dyDescent="0.2">
      <c r="A11" s="113" t="s">
        <v>1434</v>
      </c>
      <c r="B11" s="900" t="s">
        <v>1431</v>
      </c>
      <c r="C11" s="124" t="s">
        <v>1435</v>
      </c>
      <c r="D11" s="962" t="s">
        <v>1436</v>
      </c>
      <c r="E11" s="1262" t="s">
        <v>1437</v>
      </c>
      <c r="F11" s="124" t="s">
        <v>1433</v>
      </c>
      <c r="G11" s="124">
        <v>1851312.3565739729</v>
      </c>
      <c r="H11" s="1263">
        <v>2039478.2465739697</v>
      </c>
    </row>
    <row r="12" spans="1:22" x14ac:dyDescent="0.2">
      <c r="A12" s="113" t="s">
        <v>1438</v>
      </c>
      <c r="B12" s="900" t="s">
        <v>1431</v>
      </c>
      <c r="C12" s="124" t="s">
        <v>1435</v>
      </c>
      <c r="D12" s="962" t="s">
        <v>1439</v>
      </c>
      <c r="E12" s="1262" t="s">
        <v>1437</v>
      </c>
      <c r="F12" s="124" t="s">
        <v>1433</v>
      </c>
      <c r="G12" s="124">
        <v>832402.75999999931</v>
      </c>
      <c r="H12" s="1263">
        <v>932403.86000000022</v>
      </c>
    </row>
    <row r="13" spans="1:22" x14ac:dyDescent="0.2">
      <c r="A13" s="113" t="s">
        <v>1440</v>
      </c>
      <c r="B13" s="900" t="s">
        <v>1431</v>
      </c>
      <c r="C13" s="124" t="s">
        <v>1435</v>
      </c>
      <c r="D13" s="962" t="s">
        <v>1441</v>
      </c>
      <c r="E13" s="1262" t="s">
        <v>1437</v>
      </c>
      <c r="F13" s="124" t="s">
        <v>1433</v>
      </c>
      <c r="G13" s="124">
        <v>21554.289999999251</v>
      </c>
      <c r="H13" s="1263">
        <v>2129985.0199999991</v>
      </c>
    </row>
    <row r="14" spans="1:22" x14ac:dyDescent="0.2">
      <c r="A14" s="113" t="s">
        <v>1442</v>
      </c>
      <c r="B14" s="900" t="s">
        <v>1431</v>
      </c>
      <c r="C14" s="124" t="s">
        <v>1435</v>
      </c>
      <c r="D14" s="962" t="s">
        <v>1443</v>
      </c>
      <c r="E14" s="1262" t="s">
        <v>1437</v>
      </c>
      <c r="F14" s="124" t="s">
        <v>1433</v>
      </c>
      <c r="G14" s="124">
        <v>815596.96000000183</v>
      </c>
      <c r="H14" s="1263">
        <v>381817.92000000493</v>
      </c>
    </row>
    <row r="15" spans="1:22" x14ac:dyDescent="0.2">
      <c r="A15" s="113" t="s">
        <v>1444</v>
      </c>
      <c r="B15" s="900" t="s">
        <v>1431</v>
      </c>
      <c r="C15" s="124" t="s">
        <v>1435</v>
      </c>
      <c r="D15" s="962" t="s">
        <v>1445</v>
      </c>
      <c r="E15" s="1262" t="s">
        <v>1437</v>
      </c>
      <c r="F15" s="127" t="s">
        <v>1446</v>
      </c>
      <c r="G15" s="127">
        <v>2673308.3599999547</v>
      </c>
      <c r="H15" s="127">
        <v>24133433.199999943</v>
      </c>
    </row>
    <row r="16" spans="1:22" x14ac:dyDescent="0.2">
      <c r="A16" s="113" t="s">
        <v>1447</v>
      </c>
      <c r="B16" s="900" t="s">
        <v>1431</v>
      </c>
      <c r="C16" s="124" t="s">
        <v>1435</v>
      </c>
      <c r="D16" s="962" t="s">
        <v>1448</v>
      </c>
      <c r="E16" s="1262" t="s">
        <v>1449</v>
      </c>
      <c r="F16" s="124" t="s">
        <v>1433</v>
      </c>
      <c r="G16" s="124">
        <v>2537988.5499999933</v>
      </c>
      <c r="H16" s="1263">
        <v>21321196.769999992</v>
      </c>
    </row>
    <row r="17" spans="1:8" x14ac:dyDescent="0.2">
      <c r="A17" s="113" t="s">
        <v>1450</v>
      </c>
      <c r="B17" s="900" t="s">
        <v>1431</v>
      </c>
      <c r="C17" s="124" t="s">
        <v>1435</v>
      </c>
      <c r="D17" s="962" t="s">
        <v>1451</v>
      </c>
      <c r="E17" s="128" t="s">
        <v>1452</v>
      </c>
      <c r="F17" s="124" t="s">
        <v>1433</v>
      </c>
      <c r="G17" s="124">
        <v>7458464.76000001</v>
      </c>
      <c r="H17" s="1263">
        <v>7451532.3500000108</v>
      </c>
    </row>
    <row r="18" spans="1:8" x14ac:dyDescent="0.2">
      <c r="A18" s="464"/>
      <c r="B18" s="463"/>
      <c r="C18" s="468"/>
      <c r="D18" s="470"/>
      <c r="E18" s="469"/>
      <c r="F18" s="468"/>
      <c r="G18" s="468"/>
      <c r="H18" s="468"/>
    </row>
    <row r="19" spans="1:8" x14ac:dyDescent="0.2">
      <c r="A19" s="681" t="s">
        <v>49</v>
      </c>
      <c r="B19" s="463"/>
      <c r="C19" s="468"/>
      <c r="D19" s="470"/>
      <c r="E19" s="469"/>
      <c r="F19" s="468"/>
      <c r="G19" s="468"/>
      <c r="H19" s="468"/>
    </row>
    <row r="20" spans="1:8" x14ac:dyDescent="0.2">
      <c r="A20" s="114" t="s">
        <v>348</v>
      </c>
      <c r="B20" s="894"/>
      <c r="C20" s="121"/>
      <c r="D20" s="986"/>
      <c r="E20" s="972"/>
      <c r="F20" s="121"/>
      <c r="G20" s="121"/>
      <c r="H20" s="121"/>
    </row>
    <row r="21" spans="1:8" x14ac:dyDescent="0.2">
      <c r="A21" s="118" t="s">
        <v>1453</v>
      </c>
      <c r="B21" s="900" t="s">
        <v>1431</v>
      </c>
      <c r="C21" s="1264" t="s">
        <v>1432</v>
      </c>
      <c r="D21" s="1265"/>
      <c r="E21" s="1266"/>
      <c r="F21" s="124" t="s">
        <v>1433</v>
      </c>
      <c r="G21" s="124">
        <v>255685098</v>
      </c>
      <c r="H21" s="1267">
        <v>0</v>
      </c>
    </row>
    <row r="22" spans="1:8" x14ac:dyDescent="0.2">
      <c r="A22" s="118" t="s">
        <v>1454</v>
      </c>
      <c r="B22" s="900" t="s">
        <v>1431</v>
      </c>
      <c r="C22" s="1264" t="s">
        <v>1432</v>
      </c>
      <c r="D22" s="1265"/>
      <c r="E22" s="1266"/>
      <c r="F22" s="124" t="s">
        <v>1433</v>
      </c>
      <c r="G22" s="124">
        <v>34200</v>
      </c>
      <c r="H22" s="1267">
        <v>0</v>
      </c>
    </row>
    <row r="23" spans="1:8" x14ac:dyDescent="0.2">
      <c r="A23" s="464"/>
      <c r="B23" s="463"/>
      <c r="C23" s="468"/>
      <c r="D23" s="470"/>
      <c r="E23" s="469"/>
      <c r="F23" s="468"/>
      <c r="G23" s="468"/>
      <c r="H23" s="468"/>
    </row>
    <row r="24" spans="1:8" x14ac:dyDescent="0.2">
      <c r="A24" s="681" t="s">
        <v>50</v>
      </c>
      <c r="B24" s="463"/>
      <c r="C24" s="471"/>
      <c r="D24" s="473"/>
      <c r="E24" s="472"/>
      <c r="F24" s="471"/>
      <c r="G24" s="468"/>
      <c r="H24" s="468"/>
    </row>
    <row r="25" spans="1:8" x14ac:dyDescent="0.2">
      <c r="A25" s="112" t="s">
        <v>1455</v>
      </c>
      <c r="B25" s="894" t="s">
        <v>1431</v>
      </c>
      <c r="C25" s="1258" t="s">
        <v>1456</v>
      </c>
      <c r="D25" s="1259"/>
      <c r="E25" s="1260"/>
      <c r="F25" s="121" t="s">
        <v>1457</v>
      </c>
      <c r="G25" s="121">
        <v>14198568.579999998</v>
      </c>
      <c r="H25" s="1261">
        <v>13869848.579999998</v>
      </c>
    </row>
    <row r="26" spans="1:8" x14ac:dyDescent="0.2">
      <c r="A26" s="113" t="s">
        <v>1458</v>
      </c>
      <c r="B26" s="900" t="s">
        <v>1431</v>
      </c>
      <c r="C26" s="124" t="s">
        <v>1435</v>
      </c>
      <c r="D26" s="1268" t="s">
        <v>1459</v>
      </c>
      <c r="E26" s="1269" t="s">
        <v>1460</v>
      </c>
      <c r="F26" s="1266" t="s">
        <v>1433</v>
      </c>
      <c r="G26" s="1270">
        <v>0</v>
      </c>
      <c r="H26" s="1263">
        <v>0</v>
      </c>
    </row>
    <row r="27" spans="1:8" x14ac:dyDescent="0.2">
      <c r="A27" s="113" t="s">
        <v>1458</v>
      </c>
      <c r="B27" s="900" t="s">
        <v>1431</v>
      </c>
      <c r="C27" s="124" t="s">
        <v>1435</v>
      </c>
      <c r="D27" s="962" t="s">
        <v>1461</v>
      </c>
      <c r="E27" s="1269" t="s">
        <v>1462</v>
      </c>
      <c r="F27" s="1271" t="s">
        <v>1446</v>
      </c>
      <c r="G27" s="1272">
        <v>0</v>
      </c>
      <c r="H27" s="127">
        <v>0</v>
      </c>
    </row>
    <row r="28" spans="1:8" x14ac:dyDescent="0.2">
      <c r="A28" s="113" t="s">
        <v>1463</v>
      </c>
      <c r="B28" s="900" t="s">
        <v>1431</v>
      </c>
      <c r="C28" s="124" t="s">
        <v>1435</v>
      </c>
      <c r="D28" s="1268" t="s">
        <v>1464</v>
      </c>
      <c r="E28" s="1269" t="s">
        <v>1462</v>
      </c>
      <c r="F28" s="1271" t="s">
        <v>1433</v>
      </c>
      <c r="G28" s="127">
        <v>44468.090000000782</v>
      </c>
      <c r="H28" s="127">
        <v>44468.090000000782</v>
      </c>
    </row>
    <row r="29" spans="1:8" x14ac:dyDescent="0.2">
      <c r="A29" s="464"/>
      <c r="B29" s="463"/>
      <c r="C29" s="468"/>
      <c r="D29" s="470"/>
      <c r="E29" s="469"/>
      <c r="F29" s="497"/>
      <c r="G29" s="497"/>
      <c r="H29" s="497"/>
    </row>
    <row r="30" spans="1:8" x14ac:dyDescent="0.2">
      <c r="A30" s="681" t="s">
        <v>51</v>
      </c>
      <c r="B30" s="463"/>
      <c r="C30" s="468"/>
      <c r="D30" s="470"/>
      <c r="E30" s="469"/>
      <c r="F30" s="497"/>
      <c r="G30" s="497"/>
      <c r="H30" s="497"/>
    </row>
    <row r="31" spans="1:8" x14ac:dyDescent="0.2">
      <c r="A31" s="114" t="s">
        <v>607</v>
      </c>
      <c r="B31" s="894" t="s">
        <v>1431</v>
      </c>
      <c r="C31" s="1258" t="s">
        <v>1465</v>
      </c>
      <c r="D31" s="1259"/>
      <c r="E31" s="1260"/>
      <c r="F31" s="1273" t="s">
        <v>1457</v>
      </c>
      <c r="G31" s="1273">
        <v>3643072.7200000286</v>
      </c>
      <c r="H31" s="1273">
        <v>3648610.0100000282</v>
      </c>
    </row>
    <row r="32" spans="1:8" x14ac:dyDescent="0.2">
      <c r="A32" s="118" t="s">
        <v>347</v>
      </c>
      <c r="B32" s="900"/>
      <c r="C32" s="124"/>
      <c r="D32" s="962"/>
      <c r="E32" s="964"/>
      <c r="F32" s="127"/>
      <c r="G32" s="127"/>
      <c r="H32" s="127"/>
    </row>
    <row r="33" spans="1:8" x14ac:dyDescent="0.2">
      <c r="A33" s="1274" t="s">
        <v>1466</v>
      </c>
      <c r="B33" s="900" t="s">
        <v>1431</v>
      </c>
      <c r="C33" s="124" t="s">
        <v>1435</v>
      </c>
      <c r="D33" s="962" t="s">
        <v>1467</v>
      </c>
      <c r="E33" s="1269" t="s">
        <v>1468</v>
      </c>
      <c r="F33" s="127" t="s">
        <v>1433</v>
      </c>
      <c r="G33" s="127">
        <v>297849.29999999993</v>
      </c>
      <c r="H33" s="127">
        <v>186700.52999999994</v>
      </c>
    </row>
    <row r="34" spans="1:8" x14ac:dyDescent="0.2">
      <c r="A34" s="1274" t="s">
        <v>1469</v>
      </c>
      <c r="B34" s="900" t="s">
        <v>1431</v>
      </c>
      <c r="C34" s="124" t="s">
        <v>1435</v>
      </c>
      <c r="D34" s="962" t="s">
        <v>1470</v>
      </c>
      <c r="E34" s="1269" t="s">
        <v>1471</v>
      </c>
      <c r="F34" s="127" t="s">
        <v>1446</v>
      </c>
      <c r="G34" s="127">
        <v>52663137.880999982</v>
      </c>
      <c r="H34" s="127">
        <v>0</v>
      </c>
    </row>
    <row r="35" spans="1:8" x14ac:dyDescent="0.2">
      <c r="A35" s="1274" t="s">
        <v>1469</v>
      </c>
      <c r="B35" s="900" t="s">
        <v>1431</v>
      </c>
      <c r="C35" s="124" t="s">
        <v>1435</v>
      </c>
      <c r="D35" s="962" t="s">
        <v>1472</v>
      </c>
      <c r="E35" s="1269" t="s">
        <v>1473</v>
      </c>
      <c r="F35" s="127" t="s">
        <v>1446</v>
      </c>
      <c r="G35" s="127"/>
      <c r="H35" s="127">
        <v>56081852.609999999</v>
      </c>
    </row>
    <row r="36" spans="1:8" x14ac:dyDescent="0.2">
      <c r="A36" s="1274" t="s">
        <v>1474</v>
      </c>
      <c r="B36" s="900" t="s">
        <v>1431</v>
      </c>
      <c r="C36" s="124" t="s">
        <v>1435</v>
      </c>
      <c r="D36" s="962" t="s">
        <v>1475</v>
      </c>
      <c r="E36" s="1269" t="s">
        <v>1476</v>
      </c>
      <c r="F36" s="127" t="s">
        <v>1446</v>
      </c>
      <c r="G36" s="127">
        <v>153334153.80065998</v>
      </c>
      <c r="H36" s="127">
        <v>174719257.87066001</v>
      </c>
    </row>
    <row r="37" spans="1:8" x14ac:dyDescent="0.2">
      <c r="A37" s="118" t="s">
        <v>1477</v>
      </c>
      <c r="B37" s="900" t="s">
        <v>1478</v>
      </c>
      <c r="C37" s="124" t="s">
        <v>1479</v>
      </c>
      <c r="D37" s="962" t="s">
        <v>1480</v>
      </c>
      <c r="E37" s="1269" t="s">
        <v>1481</v>
      </c>
      <c r="F37" s="127" t="s">
        <v>1433</v>
      </c>
      <c r="G37" s="127">
        <v>30587.719999999274</v>
      </c>
      <c r="H37" s="127">
        <v>313.54000000003725</v>
      </c>
    </row>
    <row r="38" spans="1:8" x14ac:dyDescent="0.2">
      <c r="A38" s="118" t="s">
        <v>1477</v>
      </c>
      <c r="B38" s="900" t="s">
        <v>1478</v>
      </c>
      <c r="C38" s="124" t="s">
        <v>1482</v>
      </c>
      <c r="D38" s="962" t="s">
        <v>1483</v>
      </c>
      <c r="E38" s="1269" t="s">
        <v>1484</v>
      </c>
      <c r="F38" s="124" t="s">
        <v>1433</v>
      </c>
      <c r="G38" s="124">
        <v>36898.659999999451</v>
      </c>
      <c r="H38" s="1263">
        <v>528.65999999921769</v>
      </c>
    </row>
    <row r="39" spans="1:8" x14ac:dyDescent="0.2">
      <c r="A39" s="118" t="s">
        <v>1477</v>
      </c>
      <c r="B39" s="900" t="s">
        <v>1478</v>
      </c>
      <c r="C39" s="124" t="s">
        <v>1485</v>
      </c>
      <c r="D39" s="962" t="s">
        <v>1486</v>
      </c>
      <c r="E39" s="1269" t="s">
        <v>1487</v>
      </c>
      <c r="F39" s="124" t="s">
        <v>1433</v>
      </c>
      <c r="G39" s="124">
        <v>8082.8500000000931</v>
      </c>
      <c r="H39" s="1263">
        <v>164.03000000014435</v>
      </c>
    </row>
    <row r="40" spans="1:8" x14ac:dyDescent="0.2">
      <c r="A40" s="118" t="s">
        <v>1488</v>
      </c>
      <c r="B40" s="900" t="s">
        <v>1478</v>
      </c>
      <c r="C40" s="124" t="s">
        <v>1482</v>
      </c>
      <c r="D40" s="962" t="s">
        <v>1489</v>
      </c>
      <c r="E40" s="1269" t="s">
        <v>1490</v>
      </c>
      <c r="F40" s="124" t="s">
        <v>1433</v>
      </c>
      <c r="G40" s="124">
        <v>412.43999999998778</v>
      </c>
      <c r="H40" s="1263">
        <v>373.9399999999863</v>
      </c>
    </row>
    <row r="41" spans="1:8" ht="12.75" thickBot="1" x14ac:dyDescent="0.25">
      <c r="A41" s="467"/>
      <c r="B41" s="466"/>
      <c r="C41" s="463"/>
      <c r="D41" s="465"/>
      <c r="E41" s="464"/>
      <c r="F41" s="463"/>
      <c r="G41" s="463"/>
      <c r="H41" s="463"/>
    </row>
    <row r="42" spans="1:8" ht="13.5" customHeight="1" thickBot="1" x14ac:dyDescent="0.25">
      <c r="A42" s="1514" t="s">
        <v>1491</v>
      </c>
      <c r="B42" s="1515"/>
      <c r="C42" s="1515"/>
      <c r="D42" s="1515"/>
      <c r="E42" s="1515"/>
      <c r="F42" s="1516"/>
      <c r="G42" s="495">
        <f>+G8+G10+G11+G12+G13+G14+G16+G17+G21+G22+G25+G28+G31+G33+G37+G38+G39+G40</f>
        <v>520222995.57657427</v>
      </c>
      <c r="H42" s="495">
        <f>+H8+H10+H11+H12+H13+H14+H16+H17+H21+H22+H25+H28+H31+H33+H37+H38+H39+H40</f>
        <v>267879375.59657431</v>
      </c>
    </row>
    <row r="43" spans="1:8" ht="12.75" thickBot="1" x14ac:dyDescent="0.25">
      <c r="A43" s="1514" t="s">
        <v>1492</v>
      </c>
      <c r="B43" s="1515"/>
      <c r="C43" s="1515"/>
      <c r="D43" s="1515"/>
      <c r="E43" s="1515"/>
      <c r="F43" s="1516"/>
      <c r="G43" s="496">
        <f>+G15+G27+G34+G35+G36</f>
        <v>208670600.04165992</v>
      </c>
      <c r="H43" s="496">
        <f>+H15+H27+H34+H35+H36</f>
        <v>254934543.68065995</v>
      </c>
    </row>
    <row r="44" spans="1:8" x14ac:dyDescent="0.2">
      <c r="A44" s="462" t="s">
        <v>423</v>
      </c>
    </row>
    <row r="45" spans="1:8" x14ac:dyDescent="0.2">
      <c r="A45" s="462" t="s">
        <v>424</v>
      </c>
    </row>
    <row r="48" spans="1:8" ht="16.5" thickBot="1" x14ac:dyDescent="0.25">
      <c r="A48" s="491" t="s">
        <v>1250</v>
      </c>
      <c r="B48" s="397"/>
      <c r="C48" s="397"/>
      <c r="D48" s="397"/>
      <c r="E48" s="397"/>
      <c r="F48" s="397"/>
      <c r="G48" s="397"/>
      <c r="H48" s="397"/>
    </row>
    <row r="49" spans="1:8" ht="12.75" thickBot="1" x14ac:dyDescent="0.25">
      <c r="A49" s="1517" t="s">
        <v>354</v>
      </c>
      <c r="B49" s="1517" t="s">
        <v>101</v>
      </c>
      <c r="C49" s="1519" t="s">
        <v>353</v>
      </c>
      <c r="D49" s="1520"/>
      <c r="E49" s="1520"/>
      <c r="F49" s="1520"/>
      <c r="G49" s="1520"/>
      <c r="H49" s="1520"/>
    </row>
    <row r="50" spans="1:8" ht="24.75" thickBot="1" x14ac:dyDescent="0.25">
      <c r="A50" s="1518"/>
      <c r="B50" s="1518"/>
      <c r="C50" s="480" t="s">
        <v>352</v>
      </c>
      <c r="D50" s="479" t="s">
        <v>351</v>
      </c>
      <c r="E50" s="478" t="s">
        <v>350</v>
      </c>
      <c r="F50" s="477" t="s">
        <v>349</v>
      </c>
      <c r="G50" s="477" t="s">
        <v>1493</v>
      </c>
      <c r="H50" s="477" t="s">
        <v>448</v>
      </c>
    </row>
    <row r="51" spans="1:8" x14ac:dyDescent="0.2">
      <c r="A51" s="475"/>
      <c r="B51" s="474"/>
      <c r="C51" s="468"/>
      <c r="D51" s="470"/>
      <c r="E51" s="469"/>
      <c r="F51" s="468"/>
      <c r="G51" s="468"/>
      <c r="H51" s="468"/>
    </row>
    <row r="52" spans="1:8" x14ac:dyDescent="0.2">
      <c r="A52" s="681" t="s">
        <v>47</v>
      </c>
      <c r="B52" s="498" t="s">
        <v>1494</v>
      </c>
      <c r="C52" s="500" t="s">
        <v>1495</v>
      </c>
      <c r="D52" s="541" t="s">
        <v>1496</v>
      </c>
      <c r="E52" s="542" t="s">
        <v>1497</v>
      </c>
      <c r="F52" s="500" t="s">
        <v>43</v>
      </c>
      <c r="G52" s="1256">
        <v>0</v>
      </c>
      <c r="H52" s="1256">
        <v>0</v>
      </c>
    </row>
    <row r="53" spans="1:8" x14ac:dyDescent="0.2">
      <c r="A53" s="681"/>
      <c r="B53" s="463"/>
      <c r="C53" s="468"/>
      <c r="D53" s="544"/>
      <c r="E53" s="545"/>
      <c r="F53" s="468"/>
      <c r="G53" s="543"/>
      <c r="H53" s="543"/>
    </row>
    <row r="54" spans="1:8" x14ac:dyDescent="0.2">
      <c r="A54" s="681" t="s">
        <v>1538</v>
      </c>
      <c r="B54" s="971" t="s">
        <v>1494</v>
      </c>
      <c r="C54" s="116" t="s">
        <v>1498</v>
      </c>
      <c r="D54" s="117" t="s">
        <v>1496</v>
      </c>
      <c r="E54" s="1275" t="s">
        <v>1499</v>
      </c>
      <c r="F54" s="116" t="s">
        <v>43</v>
      </c>
      <c r="G54" s="1276">
        <v>838873216.26999998</v>
      </c>
      <c r="H54" s="1276">
        <v>641235957.71000004</v>
      </c>
    </row>
    <row r="55" spans="1:8" x14ac:dyDescent="0.2">
      <c r="A55" s="681"/>
      <c r="B55" s="959" t="s">
        <v>1494</v>
      </c>
      <c r="C55" s="119" t="s">
        <v>1495</v>
      </c>
      <c r="D55" s="120" t="s">
        <v>1500</v>
      </c>
      <c r="E55" s="1277" t="s">
        <v>1497</v>
      </c>
      <c r="F55" s="119" t="s">
        <v>43</v>
      </c>
      <c r="G55" s="1278">
        <v>1188987.32</v>
      </c>
      <c r="H55" s="975">
        <v>3684108.43</v>
      </c>
    </row>
    <row r="56" spans="1:8" x14ac:dyDescent="0.2">
      <c r="A56" s="681"/>
      <c r="B56" s="959" t="s">
        <v>1494</v>
      </c>
      <c r="C56" s="119" t="s">
        <v>1495</v>
      </c>
      <c r="D56" s="120" t="s">
        <v>1501</v>
      </c>
      <c r="E56" s="1277" t="s">
        <v>1497</v>
      </c>
      <c r="F56" s="119" t="s">
        <v>43</v>
      </c>
      <c r="G56" s="1278">
        <v>0</v>
      </c>
      <c r="H56" s="1278">
        <v>2382791.33</v>
      </c>
    </row>
    <row r="57" spans="1:8" x14ac:dyDescent="0.2">
      <c r="A57" s="681"/>
      <c r="B57" s="959" t="s">
        <v>1494</v>
      </c>
      <c r="C57" s="119" t="s">
        <v>1495</v>
      </c>
      <c r="D57" s="120" t="s">
        <v>1502</v>
      </c>
      <c r="E57" s="1277" t="s">
        <v>1503</v>
      </c>
      <c r="F57" s="119" t="s">
        <v>43</v>
      </c>
      <c r="G57" s="1278">
        <v>19204942.440000001</v>
      </c>
      <c r="H57" s="1278">
        <v>20939938.890000001</v>
      </c>
    </row>
    <row r="58" spans="1:8" x14ac:dyDescent="0.2">
      <c r="A58" s="681"/>
      <c r="B58" s="463"/>
      <c r="C58" s="468"/>
      <c r="D58" s="544"/>
      <c r="E58" s="545"/>
      <c r="F58" s="468"/>
      <c r="G58" s="543"/>
      <c r="H58" s="543"/>
    </row>
    <row r="59" spans="1:8" x14ac:dyDescent="0.2">
      <c r="A59" s="681" t="s">
        <v>1539</v>
      </c>
      <c r="B59" s="463"/>
      <c r="C59" s="468"/>
      <c r="D59" s="544"/>
      <c r="E59" s="545"/>
      <c r="F59" s="468"/>
      <c r="G59" s="543"/>
      <c r="H59" s="543"/>
    </row>
    <row r="60" spans="1:8" x14ac:dyDescent="0.2">
      <c r="A60" s="681"/>
      <c r="B60" s="463"/>
      <c r="C60" s="468"/>
      <c r="D60" s="541"/>
      <c r="E60" s="542"/>
      <c r="F60" s="500"/>
      <c r="G60" s="543"/>
      <c r="H60" s="543"/>
    </row>
    <row r="61" spans="1:8" x14ac:dyDescent="0.2">
      <c r="A61" s="681" t="s">
        <v>50</v>
      </c>
      <c r="B61" s="971" t="s">
        <v>1494</v>
      </c>
      <c r="C61" s="116" t="s">
        <v>1495</v>
      </c>
      <c r="D61" s="117" t="s">
        <v>1504</v>
      </c>
      <c r="E61" s="1275" t="s">
        <v>1503</v>
      </c>
      <c r="F61" s="116" t="s">
        <v>43</v>
      </c>
      <c r="G61" s="1279">
        <v>314025.01</v>
      </c>
      <c r="H61" s="1279">
        <v>314025.01</v>
      </c>
    </row>
    <row r="62" spans="1:8" x14ac:dyDescent="0.2">
      <c r="A62" s="681"/>
      <c r="B62" s="959" t="s">
        <v>1494</v>
      </c>
      <c r="C62" s="119" t="s">
        <v>1495</v>
      </c>
      <c r="D62" s="120" t="s">
        <v>1505</v>
      </c>
      <c r="E62" s="1277" t="s">
        <v>1506</v>
      </c>
      <c r="F62" s="119" t="s">
        <v>43</v>
      </c>
      <c r="G62" s="856">
        <v>27950802.079999998</v>
      </c>
      <c r="H62" s="856">
        <v>27950802.079999998</v>
      </c>
    </row>
    <row r="63" spans="1:8" x14ac:dyDescent="0.2">
      <c r="A63" s="681"/>
      <c r="B63" s="959" t="s">
        <v>1494</v>
      </c>
      <c r="C63" s="119" t="s">
        <v>1495</v>
      </c>
      <c r="D63" s="120" t="s">
        <v>1507</v>
      </c>
      <c r="E63" s="1277" t="s">
        <v>1508</v>
      </c>
      <c r="F63" s="119" t="s">
        <v>1446</v>
      </c>
      <c r="G63" s="856">
        <v>15000</v>
      </c>
      <c r="H63" s="856">
        <v>15000</v>
      </c>
    </row>
    <row r="64" spans="1:8" x14ac:dyDescent="0.2">
      <c r="A64" s="681"/>
      <c r="B64" s="463"/>
      <c r="C64" s="471"/>
      <c r="D64" s="544"/>
      <c r="E64" s="545"/>
      <c r="F64" s="468"/>
      <c r="G64" s="543"/>
      <c r="H64" s="543"/>
    </row>
    <row r="65" spans="1:8" x14ac:dyDescent="0.2">
      <c r="A65" s="681" t="s">
        <v>51</v>
      </c>
      <c r="B65" s="463"/>
      <c r="C65" s="468"/>
      <c r="D65" s="541"/>
      <c r="E65" s="542"/>
      <c r="F65" s="500"/>
      <c r="G65" s="543"/>
      <c r="H65" s="543"/>
    </row>
    <row r="66" spans="1:8" x14ac:dyDescent="0.2">
      <c r="A66" s="464"/>
      <c r="B66" s="463"/>
      <c r="C66" s="468"/>
      <c r="D66" s="541"/>
      <c r="E66" s="542"/>
      <c r="F66" s="500"/>
      <c r="G66" s="543"/>
      <c r="H66" s="543"/>
    </row>
    <row r="67" spans="1:8" x14ac:dyDescent="0.2">
      <c r="A67" s="464" t="s">
        <v>607</v>
      </c>
      <c r="B67" s="971" t="s">
        <v>1494</v>
      </c>
      <c r="C67" s="116" t="s">
        <v>1509</v>
      </c>
      <c r="D67" s="117" t="s">
        <v>1496</v>
      </c>
      <c r="E67" s="1275" t="s">
        <v>1510</v>
      </c>
      <c r="F67" s="116" t="s">
        <v>43</v>
      </c>
      <c r="G67" s="1279">
        <v>177280269.41999999</v>
      </c>
      <c r="H67" s="1279">
        <v>91315771.510000005</v>
      </c>
    </row>
    <row r="68" spans="1:8" x14ac:dyDescent="0.2">
      <c r="A68" s="464" t="s">
        <v>605</v>
      </c>
      <c r="B68" s="959" t="s">
        <v>1494</v>
      </c>
      <c r="C68" s="119" t="s">
        <v>1511</v>
      </c>
      <c r="D68" s="120" t="s">
        <v>1496</v>
      </c>
      <c r="E68" s="1277" t="s">
        <v>1512</v>
      </c>
      <c r="F68" s="119" t="s">
        <v>43</v>
      </c>
      <c r="G68" s="856">
        <v>464408.41</v>
      </c>
      <c r="H68" s="856">
        <v>464408.41</v>
      </c>
    </row>
    <row r="69" spans="1:8" x14ac:dyDescent="0.2">
      <c r="A69" s="464"/>
      <c r="B69" s="959" t="s">
        <v>1494</v>
      </c>
      <c r="C69" s="119" t="s">
        <v>1513</v>
      </c>
      <c r="D69" s="120" t="s">
        <v>1496</v>
      </c>
      <c r="E69" s="1277" t="s">
        <v>1514</v>
      </c>
      <c r="F69" s="119" t="s">
        <v>43</v>
      </c>
      <c r="G69" s="856">
        <v>95091331.959999993</v>
      </c>
      <c r="H69" s="856">
        <v>95162725.799999997</v>
      </c>
    </row>
    <row r="70" spans="1:8" x14ac:dyDescent="0.2">
      <c r="A70" s="464" t="s">
        <v>52</v>
      </c>
      <c r="B70" s="463"/>
      <c r="C70" s="468"/>
      <c r="D70" s="544"/>
      <c r="E70" s="545"/>
      <c r="F70" s="468"/>
      <c r="G70" s="543"/>
      <c r="H70" s="543"/>
    </row>
    <row r="71" spans="1:8" x14ac:dyDescent="0.2">
      <c r="A71" s="464" t="s">
        <v>53</v>
      </c>
      <c r="B71" s="463"/>
      <c r="C71" s="468"/>
      <c r="D71" s="541"/>
      <c r="E71" s="542"/>
      <c r="F71" s="500"/>
      <c r="G71" s="543"/>
      <c r="H71" s="543"/>
    </row>
    <row r="72" spans="1:8" x14ac:dyDescent="0.2">
      <c r="A72" s="464" t="s">
        <v>54</v>
      </c>
      <c r="B72" s="463"/>
      <c r="C72" s="468"/>
      <c r="D72" s="541"/>
      <c r="E72" s="542"/>
      <c r="F72" s="500"/>
      <c r="G72" s="543"/>
      <c r="H72" s="543"/>
    </row>
    <row r="73" spans="1:8" x14ac:dyDescent="0.2">
      <c r="A73" s="114" t="s">
        <v>1515</v>
      </c>
      <c r="B73" s="115" t="s">
        <v>1494</v>
      </c>
      <c r="C73" s="116" t="s">
        <v>1495</v>
      </c>
      <c r="D73" s="117" t="s">
        <v>1516</v>
      </c>
      <c r="E73" s="1275" t="s">
        <v>1517</v>
      </c>
      <c r="F73" s="116" t="s">
        <v>43</v>
      </c>
      <c r="G73" s="1279">
        <v>7221499.9299999997</v>
      </c>
      <c r="H73" s="1276">
        <v>7854216.79</v>
      </c>
    </row>
    <row r="74" spans="1:8" ht="12.75" thickBot="1" x14ac:dyDescent="0.25">
      <c r="A74" s="1280" t="s">
        <v>1518</v>
      </c>
      <c r="B74" s="1281" t="s">
        <v>1494</v>
      </c>
      <c r="C74" s="1282" t="s">
        <v>1495</v>
      </c>
      <c r="D74" s="1283" t="s">
        <v>1519</v>
      </c>
      <c r="E74" s="1284" t="s">
        <v>1520</v>
      </c>
      <c r="F74" s="1282" t="s">
        <v>43</v>
      </c>
      <c r="G74" s="1285">
        <v>5435931.2400000002</v>
      </c>
      <c r="H74" s="1286">
        <v>5435931.2400000002</v>
      </c>
    </row>
    <row r="75" spans="1:8" ht="12.75" thickBot="1" x14ac:dyDescent="0.25">
      <c r="A75" s="1514" t="s">
        <v>1491</v>
      </c>
      <c r="B75" s="1515"/>
      <c r="C75" s="1515"/>
      <c r="D75" s="1515"/>
      <c r="E75" s="1515"/>
      <c r="F75" s="1516"/>
      <c r="G75" s="495">
        <f>+G54+G55+G56+G57+G61+G62+G67+G68+G69+G73+G74</f>
        <v>1173025414.0800002</v>
      </c>
      <c r="H75" s="495">
        <f>+H54+H55+H56+H57+H61+H62+H67+H68+H69+H73+H74</f>
        <v>896740677.19999993</v>
      </c>
    </row>
    <row r="76" spans="1:8" ht="12.75" thickBot="1" x14ac:dyDescent="0.25">
      <c r="A76" s="1514" t="s">
        <v>1492</v>
      </c>
      <c r="B76" s="1515"/>
      <c r="C76" s="1515"/>
      <c r="D76" s="1515"/>
      <c r="E76" s="1515"/>
      <c r="F76" s="1516"/>
      <c r="G76" s="495">
        <f>+G63</f>
        <v>15000</v>
      </c>
      <c r="H76" s="495">
        <f>+H63</f>
        <v>15000</v>
      </c>
    </row>
    <row r="77" spans="1:8" x14ac:dyDescent="0.2">
      <c r="A77" s="462" t="s">
        <v>423</v>
      </c>
    </row>
    <row r="78" spans="1:8" x14ac:dyDescent="0.2">
      <c r="A78" s="462" t="s">
        <v>424</v>
      </c>
    </row>
    <row r="82" spans="1:8" ht="16.5" thickBot="1" x14ac:dyDescent="0.25">
      <c r="A82" s="396" t="s">
        <v>641</v>
      </c>
      <c r="B82" s="397"/>
      <c r="C82" s="397"/>
      <c r="D82" s="397"/>
      <c r="E82" s="397"/>
      <c r="F82" s="397"/>
      <c r="G82" s="397"/>
      <c r="H82" s="397"/>
    </row>
    <row r="83" spans="1:8" ht="12.75" thickBot="1" x14ac:dyDescent="0.25">
      <c r="A83" s="1517" t="s">
        <v>354</v>
      </c>
      <c r="B83" s="1517" t="s">
        <v>101</v>
      </c>
      <c r="C83" s="1519" t="s">
        <v>353</v>
      </c>
      <c r="D83" s="1520"/>
      <c r="E83" s="1520"/>
      <c r="F83" s="1520"/>
      <c r="G83" s="1520"/>
      <c r="H83" s="1521"/>
    </row>
    <row r="84" spans="1:8" ht="24.75" thickBot="1" x14ac:dyDescent="0.25">
      <c r="A84" s="1518"/>
      <c r="B84" s="1518"/>
      <c r="C84" s="480" t="s">
        <v>352</v>
      </c>
      <c r="D84" s="479" t="s">
        <v>351</v>
      </c>
      <c r="E84" s="478" t="s">
        <v>350</v>
      </c>
      <c r="F84" s="477" t="s">
        <v>349</v>
      </c>
      <c r="G84" s="477" t="s">
        <v>1493</v>
      </c>
      <c r="H84" s="477" t="s">
        <v>448</v>
      </c>
    </row>
    <row r="85" spans="1:8" x14ac:dyDescent="0.2">
      <c r="A85" s="475"/>
      <c r="B85" s="474"/>
      <c r="C85" s="468"/>
      <c r="D85" s="470"/>
      <c r="E85" s="469"/>
      <c r="F85" s="468"/>
      <c r="G85" s="468"/>
      <c r="H85" s="468"/>
    </row>
    <row r="86" spans="1:8" x14ac:dyDescent="0.2">
      <c r="A86" s="681" t="s">
        <v>47</v>
      </c>
      <c r="B86" s="971" t="s">
        <v>1521</v>
      </c>
      <c r="C86" s="972" t="s">
        <v>1522</v>
      </c>
      <c r="D86" s="117" t="s">
        <v>1523</v>
      </c>
      <c r="E86" s="122">
        <v>37607</v>
      </c>
      <c r="F86" s="116" t="s">
        <v>1433</v>
      </c>
      <c r="G86" s="1287">
        <v>0</v>
      </c>
      <c r="H86" s="1287">
        <v>0</v>
      </c>
    </row>
    <row r="87" spans="1:8" x14ac:dyDescent="0.2">
      <c r="A87" s="681"/>
      <c r="B87" s="463"/>
      <c r="C87" s="468"/>
      <c r="D87" s="470"/>
      <c r="E87" s="469"/>
      <c r="F87" s="468"/>
      <c r="G87" s="468"/>
      <c r="H87" s="468"/>
    </row>
    <row r="88" spans="1:8" x14ac:dyDescent="0.2">
      <c r="A88" s="681" t="s">
        <v>48</v>
      </c>
      <c r="B88" s="971" t="s">
        <v>1521</v>
      </c>
      <c r="C88" s="972" t="s">
        <v>1495</v>
      </c>
      <c r="D88" s="117" t="s">
        <v>1524</v>
      </c>
      <c r="E88" s="122">
        <v>37156</v>
      </c>
      <c r="F88" s="116" t="s">
        <v>1433</v>
      </c>
      <c r="G88" s="123">
        <v>2781917.48</v>
      </c>
      <c r="H88" s="123">
        <v>3332485.26</v>
      </c>
    </row>
    <row r="89" spans="1:8" x14ac:dyDescent="0.2">
      <c r="A89" s="681"/>
      <c r="B89" s="959" t="s">
        <v>1521</v>
      </c>
      <c r="C89" s="964" t="s">
        <v>1495</v>
      </c>
      <c r="D89" s="120" t="s">
        <v>1525</v>
      </c>
      <c r="E89" s="125">
        <v>37170</v>
      </c>
      <c r="F89" s="119" t="s">
        <v>1526</v>
      </c>
      <c r="G89" s="126">
        <v>167340.51</v>
      </c>
      <c r="H89" s="126">
        <v>180213.08</v>
      </c>
    </row>
    <row r="90" spans="1:8" x14ac:dyDescent="0.2">
      <c r="A90" s="681"/>
      <c r="B90" s="959" t="s">
        <v>1521</v>
      </c>
      <c r="C90" s="964" t="s">
        <v>1495</v>
      </c>
      <c r="D90" s="120" t="s">
        <v>1527</v>
      </c>
      <c r="E90" s="125">
        <v>38317</v>
      </c>
      <c r="F90" s="119" t="s">
        <v>1433</v>
      </c>
      <c r="G90" s="126">
        <v>204609.43</v>
      </c>
      <c r="H90" s="126">
        <v>237274.66</v>
      </c>
    </row>
    <row r="91" spans="1:8" x14ac:dyDescent="0.2">
      <c r="A91" s="681"/>
      <c r="B91" s="959" t="s">
        <v>1521</v>
      </c>
      <c r="C91" s="964" t="s">
        <v>1522</v>
      </c>
      <c r="D91" s="120" t="s">
        <v>1523</v>
      </c>
      <c r="E91" s="125">
        <v>37607</v>
      </c>
      <c r="F91" s="119" t="s">
        <v>1433</v>
      </c>
      <c r="G91" s="1288">
        <v>328902.62</v>
      </c>
      <c r="H91" s="126">
        <v>536078.52</v>
      </c>
    </row>
    <row r="92" spans="1:8" x14ac:dyDescent="0.2">
      <c r="A92" s="681"/>
      <c r="B92" s="463"/>
      <c r="C92" s="468"/>
      <c r="D92" s="470"/>
      <c r="E92" s="469"/>
      <c r="F92" s="468"/>
      <c r="G92" s="494"/>
      <c r="H92" s="468"/>
    </row>
    <row r="93" spans="1:8" x14ac:dyDescent="0.2">
      <c r="A93" s="681" t="s">
        <v>1539</v>
      </c>
      <c r="B93" s="463"/>
      <c r="C93" s="468"/>
      <c r="D93" s="470"/>
      <c r="E93" s="469"/>
      <c r="F93" s="468"/>
      <c r="G93" s="494"/>
      <c r="H93" s="468"/>
    </row>
    <row r="94" spans="1:8" x14ac:dyDescent="0.2">
      <c r="A94" s="681" t="s">
        <v>605</v>
      </c>
      <c r="B94" s="463"/>
      <c r="C94" s="468"/>
      <c r="D94" s="470"/>
      <c r="E94" s="469"/>
      <c r="F94" s="468"/>
      <c r="G94" s="494"/>
      <c r="H94" s="468"/>
    </row>
    <row r="95" spans="1:8" x14ac:dyDescent="0.2">
      <c r="A95" s="681"/>
      <c r="B95" s="463"/>
      <c r="C95" s="468"/>
      <c r="D95" s="470"/>
      <c r="E95" s="469"/>
      <c r="F95" s="468"/>
      <c r="G95" s="494"/>
      <c r="H95" s="468"/>
    </row>
    <row r="96" spans="1:8" x14ac:dyDescent="0.2">
      <c r="A96" s="681" t="s">
        <v>50</v>
      </c>
      <c r="B96" s="971" t="s">
        <v>1521</v>
      </c>
      <c r="C96" s="972" t="s">
        <v>1495</v>
      </c>
      <c r="D96" s="117" t="s">
        <v>1528</v>
      </c>
      <c r="E96" s="122">
        <v>38658</v>
      </c>
      <c r="F96" s="116" t="s">
        <v>1433</v>
      </c>
      <c r="G96" s="1289">
        <v>10619305.67</v>
      </c>
      <c r="H96" s="123">
        <v>10619305.67</v>
      </c>
    </row>
    <row r="97" spans="1:8" x14ac:dyDescent="0.2">
      <c r="A97" s="681"/>
      <c r="B97" s="959" t="s">
        <v>1521</v>
      </c>
      <c r="C97" s="964" t="s">
        <v>1495</v>
      </c>
      <c r="D97" s="120" t="s">
        <v>1529</v>
      </c>
      <c r="E97" s="125">
        <v>40424</v>
      </c>
      <c r="F97" s="119" t="s">
        <v>1433</v>
      </c>
      <c r="G97" s="1288">
        <v>12706539.050000001</v>
      </c>
      <c r="H97" s="126">
        <v>12426742.810000001</v>
      </c>
    </row>
    <row r="98" spans="1:8" x14ac:dyDescent="0.2">
      <c r="A98" s="681"/>
      <c r="B98" s="959" t="s">
        <v>1521</v>
      </c>
      <c r="C98" s="964" t="s">
        <v>1522</v>
      </c>
      <c r="D98" s="120" t="s">
        <v>1523</v>
      </c>
      <c r="E98" s="125">
        <v>42873</v>
      </c>
      <c r="F98" s="119" t="s">
        <v>1433</v>
      </c>
      <c r="G98" s="1288">
        <v>11797214.15</v>
      </c>
      <c r="H98" s="126">
        <v>10340441.58</v>
      </c>
    </row>
    <row r="99" spans="1:8" x14ac:dyDescent="0.2">
      <c r="A99" s="681"/>
      <c r="B99" s="463"/>
      <c r="C99" s="471"/>
      <c r="D99" s="473"/>
      <c r="E99" s="472"/>
      <c r="F99" s="471"/>
      <c r="G99" s="494"/>
      <c r="H99" s="468"/>
    </row>
    <row r="100" spans="1:8" x14ac:dyDescent="0.2">
      <c r="A100" s="681" t="s">
        <v>51</v>
      </c>
      <c r="B100" s="463"/>
      <c r="C100" s="468"/>
      <c r="D100" s="470"/>
      <c r="E100" s="469"/>
      <c r="F100" s="468"/>
      <c r="G100" s="468"/>
      <c r="H100" s="468"/>
    </row>
    <row r="101" spans="1:8" x14ac:dyDescent="0.2">
      <c r="A101" s="464"/>
      <c r="B101" s="463"/>
      <c r="C101" s="468"/>
      <c r="D101" s="470"/>
      <c r="E101" s="469"/>
      <c r="F101" s="468"/>
      <c r="G101" s="468"/>
      <c r="H101" s="468"/>
    </row>
    <row r="102" spans="1:8" x14ac:dyDescent="0.2">
      <c r="A102" s="464" t="s">
        <v>607</v>
      </c>
      <c r="B102" s="463"/>
      <c r="C102" s="468"/>
      <c r="D102" s="470"/>
      <c r="E102" s="469"/>
      <c r="F102" s="468"/>
      <c r="G102" s="468"/>
      <c r="H102" s="468"/>
    </row>
    <row r="103" spans="1:8" x14ac:dyDescent="0.2">
      <c r="A103" s="464" t="s">
        <v>52</v>
      </c>
      <c r="B103" s="463"/>
      <c r="C103" s="468"/>
      <c r="D103" s="470"/>
      <c r="E103" s="469"/>
      <c r="F103" s="468"/>
      <c r="G103" s="468"/>
      <c r="H103" s="468"/>
    </row>
    <row r="104" spans="1:8" x14ac:dyDescent="0.2">
      <c r="A104" s="464" t="s">
        <v>53</v>
      </c>
      <c r="B104" s="463"/>
      <c r="C104" s="468"/>
      <c r="D104" s="470"/>
      <c r="E104" s="469"/>
      <c r="F104" s="468"/>
      <c r="G104" s="468"/>
      <c r="H104" s="468"/>
    </row>
    <row r="105" spans="1:8" x14ac:dyDescent="0.2">
      <c r="A105" s="464" t="s">
        <v>54</v>
      </c>
      <c r="B105" s="463"/>
      <c r="C105" s="468"/>
      <c r="D105" s="470"/>
      <c r="E105" s="469"/>
      <c r="F105" s="468"/>
      <c r="G105" s="468"/>
      <c r="H105" s="468"/>
    </row>
    <row r="106" spans="1:8" x14ac:dyDescent="0.2">
      <c r="A106" s="464" t="s">
        <v>347</v>
      </c>
      <c r="B106" s="463"/>
      <c r="C106" s="468"/>
      <c r="D106" s="470"/>
      <c r="E106" s="469"/>
      <c r="F106" s="468"/>
      <c r="G106" s="468"/>
      <c r="H106" s="468"/>
    </row>
    <row r="107" spans="1:8" ht="12.75" thickBot="1" x14ac:dyDescent="0.25">
      <c r="A107" s="467"/>
      <c r="B107" s="466"/>
      <c r="C107" s="463"/>
      <c r="D107" s="465"/>
      <c r="E107" s="464"/>
      <c r="F107" s="463"/>
      <c r="G107" s="463"/>
      <c r="H107" s="463"/>
    </row>
    <row r="108" spans="1:8" ht="12.75" thickBot="1" x14ac:dyDescent="0.25">
      <c r="A108" s="1514" t="s">
        <v>1491</v>
      </c>
      <c r="B108" s="1515"/>
      <c r="C108" s="1515"/>
      <c r="D108" s="1515"/>
      <c r="E108" s="1515"/>
      <c r="F108" s="1515"/>
      <c r="G108" s="501">
        <f>+G88+G90+G91+G96+G97+G98</f>
        <v>38438488.399999999</v>
      </c>
      <c r="H108" s="501">
        <f>+H88+H90+H91+H96+H97+H98</f>
        <v>37492328.5</v>
      </c>
    </row>
    <row r="109" spans="1:8" ht="12.75" thickBot="1" x14ac:dyDescent="0.25">
      <c r="A109" s="1514" t="s">
        <v>1492</v>
      </c>
      <c r="B109" s="1515"/>
      <c r="C109" s="1515"/>
      <c r="D109" s="1515"/>
      <c r="E109" s="1515"/>
      <c r="F109" s="1515"/>
      <c r="G109" s="657">
        <f>+G89</f>
        <v>167340.51</v>
      </c>
      <c r="H109" s="657">
        <f>+H89</f>
        <v>180213.08</v>
      </c>
    </row>
    <row r="110" spans="1:8" x14ac:dyDescent="0.2">
      <c r="A110" s="462" t="s">
        <v>423</v>
      </c>
    </row>
    <row r="111" spans="1:8" x14ac:dyDescent="0.2">
      <c r="A111" s="462" t="s">
        <v>424</v>
      </c>
    </row>
    <row r="115" spans="1:8" ht="12.75" thickBot="1" x14ac:dyDescent="0.25">
      <c r="A115" s="396" t="s">
        <v>683</v>
      </c>
      <c r="B115" s="656"/>
      <c r="C115" s="656"/>
      <c r="D115" s="656"/>
      <c r="E115" s="656"/>
      <c r="F115" s="656"/>
      <c r="G115" s="656"/>
      <c r="H115" s="656"/>
    </row>
    <row r="116" spans="1:8" ht="12.75" thickBot="1" x14ac:dyDescent="0.25">
      <c r="A116" s="1517" t="s">
        <v>354</v>
      </c>
      <c r="B116" s="1517" t="s">
        <v>101</v>
      </c>
      <c r="C116" s="1519" t="s">
        <v>353</v>
      </c>
      <c r="D116" s="1520"/>
      <c r="E116" s="1520"/>
      <c r="F116" s="1520"/>
      <c r="G116" s="1520"/>
      <c r="H116" s="1520"/>
    </row>
    <row r="117" spans="1:8" ht="24.75" thickBot="1" x14ac:dyDescent="0.25">
      <c r="A117" s="1518"/>
      <c r="B117" s="1518"/>
      <c r="C117" s="480" t="s">
        <v>352</v>
      </c>
      <c r="D117" s="479" t="s">
        <v>351</v>
      </c>
      <c r="E117" s="478" t="s">
        <v>350</v>
      </c>
      <c r="F117" s="477" t="s">
        <v>349</v>
      </c>
      <c r="G117" s="477" t="s">
        <v>443</v>
      </c>
      <c r="H117" s="477" t="s">
        <v>448</v>
      </c>
    </row>
    <row r="118" spans="1:8" x14ac:dyDescent="0.2">
      <c r="A118" s="475"/>
      <c r="B118" s="474"/>
      <c r="C118" s="468"/>
      <c r="D118" s="470"/>
      <c r="E118" s="469"/>
      <c r="F118" s="468"/>
      <c r="G118" s="468"/>
      <c r="H118" s="468"/>
    </row>
    <row r="119" spans="1:8" x14ac:dyDescent="0.2">
      <c r="A119" s="681" t="s">
        <v>47</v>
      </c>
      <c r="B119" s="463"/>
      <c r="C119" s="468"/>
      <c r="D119" s="470"/>
      <c r="E119" s="469"/>
      <c r="F119" s="468"/>
      <c r="G119" s="468"/>
      <c r="H119" s="468"/>
    </row>
    <row r="120" spans="1:8" x14ac:dyDescent="0.2">
      <c r="A120" s="681"/>
      <c r="B120" s="971">
        <v>189</v>
      </c>
      <c r="C120" s="116" t="s">
        <v>1530</v>
      </c>
      <c r="D120" s="117" t="s">
        <v>1531</v>
      </c>
      <c r="E120" s="971">
        <v>2003</v>
      </c>
      <c r="F120" s="116" t="s">
        <v>1532</v>
      </c>
      <c r="G120" s="895">
        <v>0</v>
      </c>
      <c r="H120" s="895">
        <v>0</v>
      </c>
    </row>
    <row r="121" spans="1:8" x14ac:dyDescent="0.2">
      <c r="A121" s="681"/>
      <c r="B121" s="959">
        <v>189</v>
      </c>
      <c r="C121" s="119" t="s">
        <v>1530</v>
      </c>
      <c r="D121" s="120" t="s">
        <v>1531</v>
      </c>
      <c r="E121" s="959">
        <v>2020</v>
      </c>
      <c r="F121" s="119" t="s">
        <v>1532</v>
      </c>
      <c r="G121" s="901">
        <v>486320</v>
      </c>
      <c r="H121" s="901">
        <v>0</v>
      </c>
    </row>
    <row r="122" spans="1:8" x14ac:dyDescent="0.2">
      <c r="A122" s="681" t="s">
        <v>48</v>
      </c>
      <c r="B122" s="463"/>
      <c r="C122" s="468"/>
      <c r="D122" s="499"/>
      <c r="E122" s="469"/>
      <c r="F122" s="468"/>
      <c r="G122" s="868"/>
      <c r="H122" s="868"/>
    </row>
    <row r="123" spans="1:8" x14ac:dyDescent="0.2">
      <c r="A123" s="681"/>
      <c r="B123" s="971">
        <v>189</v>
      </c>
      <c r="C123" s="116" t="s">
        <v>1530</v>
      </c>
      <c r="D123" s="117" t="s">
        <v>1533</v>
      </c>
      <c r="E123" s="971">
        <v>2001</v>
      </c>
      <c r="F123" s="116" t="s">
        <v>1532</v>
      </c>
      <c r="G123" s="895">
        <v>708624.54</v>
      </c>
      <c r="H123" s="895">
        <v>20368468.010000002</v>
      </c>
    </row>
    <row r="124" spans="1:8" x14ac:dyDescent="0.2">
      <c r="A124" s="681"/>
      <c r="B124" s="959">
        <v>189</v>
      </c>
      <c r="C124" s="119" t="s">
        <v>1530</v>
      </c>
      <c r="D124" s="120" t="s">
        <v>1534</v>
      </c>
      <c r="E124" s="959">
        <v>2001</v>
      </c>
      <c r="F124" s="119" t="s">
        <v>1535</v>
      </c>
      <c r="G124" s="901">
        <v>752586.06</v>
      </c>
      <c r="H124" s="901">
        <v>270863.98</v>
      </c>
    </row>
    <row r="125" spans="1:8" x14ac:dyDescent="0.2">
      <c r="A125" s="681"/>
      <c r="B125" s="959">
        <v>189</v>
      </c>
      <c r="C125" s="119" t="s">
        <v>1530</v>
      </c>
      <c r="D125" s="120" t="s">
        <v>1531</v>
      </c>
      <c r="E125" s="959">
        <v>2013</v>
      </c>
      <c r="F125" s="119" t="s">
        <v>1532</v>
      </c>
      <c r="G125" s="901">
        <v>18626482.629999999</v>
      </c>
      <c r="H125" s="901">
        <v>37996594.520000003</v>
      </c>
    </row>
    <row r="126" spans="1:8" x14ac:dyDescent="0.2">
      <c r="A126" s="681" t="s">
        <v>1539</v>
      </c>
      <c r="B126" s="463"/>
      <c r="C126" s="468"/>
      <c r="D126" s="499"/>
      <c r="E126" s="469"/>
      <c r="F126" s="468"/>
      <c r="G126" s="868"/>
      <c r="H126" s="868"/>
    </row>
    <row r="127" spans="1:8" x14ac:dyDescent="0.2">
      <c r="A127" s="681"/>
      <c r="B127" s="971">
        <v>189</v>
      </c>
      <c r="C127" s="116" t="s">
        <v>1530</v>
      </c>
      <c r="D127" s="117" t="s">
        <v>1531</v>
      </c>
      <c r="E127" s="971">
        <v>2020</v>
      </c>
      <c r="F127" s="116" t="s">
        <v>1532</v>
      </c>
      <c r="G127" s="895">
        <v>7545</v>
      </c>
      <c r="H127" s="895">
        <v>0</v>
      </c>
    </row>
    <row r="128" spans="1:8" x14ac:dyDescent="0.2">
      <c r="A128" s="681" t="s">
        <v>50</v>
      </c>
      <c r="B128" s="463"/>
      <c r="C128" s="471"/>
      <c r="D128" s="499"/>
      <c r="E128" s="472"/>
      <c r="F128" s="471"/>
      <c r="G128" s="868"/>
      <c r="H128" s="868"/>
    </row>
    <row r="129" spans="1:8" x14ac:dyDescent="0.2">
      <c r="A129" s="681"/>
      <c r="B129" s="971">
        <v>189</v>
      </c>
      <c r="C129" s="116" t="s">
        <v>1530</v>
      </c>
      <c r="D129" s="117" t="s">
        <v>1536</v>
      </c>
      <c r="E129" s="971">
        <v>2015</v>
      </c>
      <c r="F129" s="116" t="s">
        <v>1532</v>
      </c>
      <c r="G129" s="895">
        <v>23581.75</v>
      </c>
      <c r="H129" s="895">
        <v>23581.75</v>
      </c>
    </row>
    <row r="130" spans="1:8" x14ac:dyDescent="0.2">
      <c r="A130" s="681"/>
      <c r="B130" s="959">
        <v>189</v>
      </c>
      <c r="C130" s="119" t="s">
        <v>1530</v>
      </c>
      <c r="D130" s="120" t="s">
        <v>1537</v>
      </c>
      <c r="E130" s="959">
        <v>2016</v>
      </c>
      <c r="F130" s="119" t="s">
        <v>1532</v>
      </c>
      <c r="G130" s="901">
        <v>0</v>
      </c>
      <c r="H130" s="901">
        <v>0</v>
      </c>
    </row>
    <row r="131" spans="1:8" x14ac:dyDescent="0.2">
      <c r="A131" s="681" t="s">
        <v>51</v>
      </c>
      <c r="B131" s="463"/>
      <c r="C131" s="468"/>
      <c r="D131" s="470"/>
      <c r="E131" s="469"/>
      <c r="F131" s="468"/>
      <c r="G131" s="868"/>
      <c r="H131" s="868"/>
    </row>
    <row r="132" spans="1:8" x14ac:dyDescent="0.2">
      <c r="A132" s="464"/>
      <c r="B132" s="463"/>
      <c r="C132" s="468"/>
      <c r="D132" s="470"/>
      <c r="E132" s="469"/>
      <c r="F132" s="468"/>
      <c r="G132" s="868"/>
      <c r="H132" s="868"/>
    </row>
    <row r="133" spans="1:8" x14ac:dyDescent="0.2">
      <c r="A133" s="464" t="s">
        <v>607</v>
      </c>
      <c r="B133" s="463"/>
      <c r="C133" s="468"/>
      <c r="D133" s="470"/>
      <c r="E133" s="469"/>
      <c r="F133" s="468"/>
      <c r="G133" s="868"/>
      <c r="H133" s="868"/>
    </row>
    <row r="134" spans="1:8" x14ac:dyDescent="0.2">
      <c r="A134" s="464" t="s">
        <v>52</v>
      </c>
      <c r="B134" s="463"/>
      <c r="C134" s="468"/>
      <c r="D134" s="470"/>
      <c r="E134" s="469"/>
      <c r="F134" s="468"/>
      <c r="G134" s="468"/>
      <c r="H134" s="468"/>
    </row>
    <row r="135" spans="1:8" x14ac:dyDescent="0.2">
      <c r="A135" s="464" t="s">
        <v>53</v>
      </c>
      <c r="B135" s="463"/>
      <c r="C135" s="468"/>
      <c r="D135" s="470"/>
      <c r="E135" s="469"/>
      <c r="F135" s="468"/>
      <c r="G135" s="468"/>
      <c r="H135" s="468"/>
    </row>
    <row r="136" spans="1:8" x14ac:dyDescent="0.2">
      <c r="A136" s="464" t="s">
        <v>54</v>
      </c>
      <c r="B136" s="463"/>
      <c r="C136" s="468"/>
      <c r="D136" s="470"/>
      <c r="E136" s="469"/>
      <c r="F136" s="468"/>
      <c r="G136" s="468"/>
      <c r="H136" s="468"/>
    </row>
    <row r="137" spans="1:8" x14ac:dyDescent="0.2">
      <c r="A137" s="464" t="s">
        <v>347</v>
      </c>
      <c r="B137" s="463"/>
      <c r="C137" s="468"/>
      <c r="D137" s="470"/>
      <c r="E137" s="469"/>
      <c r="F137" s="468"/>
      <c r="G137" s="468"/>
      <c r="H137" s="468"/>
    </row>
    <row r="138" spans="1:8" ht="12.75" thickBot="1" x14ac:dyDescent="0.25">
      <c r="A138" s="467"/>
      <c r="B138" s="466"/>
      <c r="C138" s="463"/>
      <c r="D138" s="465"/>
      <c r="E138" s="464"/>
      <c r="F138" s="463"/>
      <c r="G138" s="463"/>
      <c r="H138" s="463"/>
    </row>
    <row r="139" spans="1:8" ht="12.75" thickBot="1" x14ac:dyDescent="0.25">
      <c r="A139" s="1514" t="s">
        <v>1491</v>
      </c>
      <c r="B139" s="1515"/>
      <c r="C139" s="1515"/>
      <c r="D139" s="1515"/>
      <c r="E139" s="1515"/>
      <c r="F139" s="1515"/>
      <c r="G139" s="1257">
        <f>+G121+G123+G125+G127+G129+G130</f>
        <v>19852553.919999998</v>
      </c>
      <c r="H139" s="1257">
        <f>+H121+H123+H125+H127+H129+H130</f>
        <v>58388644.280000001</v>
      </c>
    </row>
    <row r="140" spans="1:8" ht="12.75" thickBot="1" x14ac:dyDescent="0.25">
      <c r="A140" s="1514" t="s">
        <v>1492</v>
      </c>
      <c r="B140" s="1515"/>
      <c r="C140" s="1515"/>
      <c r="D140" s="1515"/>
      <c r="E140" s="1515"/>
      <c r="F140" s="1515"/>
      <c r="G140" s="1257">
        <f>+G124</f>
        <v>752586.06</v>
      </c>
      <c r="H140" s="1257">
        <f>+H124</f>
        <v>270863.98</v>
      </c>
    </row>
    <row r="141" spans="1:8" x14ac:dyDescent="0.2">
      <c r="A141" s="462" t="s">
        <v>423</v>
      </c>
    </row>
    <row r="142" spans="1:8" x14ac:dyDescent="0.2">
      <c r="A142" s="462" t="s">
        <v>424</v>
      </c>
    </row>
  </sheetData>
  <mergeCells count="20">
    <mergeCell ref="A49:A50"/>
    <mergeCell ref="B49:B50"/>
    <mergeCell ref="C49:H49"/>
    <mergeCell ref="A4:A5"/>
    <mergeCell ref="B4:B5"/>
    <mergeCell ref="C4:H4"/>
    <mergeCell ref="A42:F42"/>
    <mergeCell ref="A43:F43"/>
    <mergeCell ref="A140:F140"/>
    <mergeCell ref="A75:F75"/>
    <mergeCell ref="A76:F76"/>
    <mergeCell ref="A83:A84"/>
    <mergeCell ref="B83:B84"/>
    <mergeCell ref="C83:H83"/>
    <mergeCell ref="A108:F108"/>
    <mergeCell ref="A109:F109"/>
    <mergeCell ref="A116:A117"/>
    <mergeCell ref="B116:B117"/>
    <mergeCell ref="C116:H116"/>
    <mergeCell ref="A139:F139"/>
  </mergeCells>
  <printOptions horizontalCentered="1"/>
  <pageMargins left="0.23622047244094491" right="0.23622047244094491" top="0.74803149606299213" bottom="0.74803149606299213" header="0.31496062992125984" footer="0.31496062992125984"/>
  <pageSetup paperSize="9" scale="70" orientation="landscape" r:id="rId1"/>
  <headerFooter alignWithMargins="0">
    <oddHeader xml:space="preserve">&amp;C&amp;"Arial,Negrita"&amp;18PROYECTO DE PRESUPUESTO 2022
</oddHeader>
    <oddFooter>&amp;L&amp;"Arial,Negrita"&amp;8PROYECTO DE PRESUPUESTO PARA EL AÑO FISCAL 2020
INFORMACIÓN PARA LA COMISIÓN DE PRESUPUESTO Y CUENTA GENERAL DE LA REPÚBLICA DEL CONGRESO DE LA REPÚBLICA</oddFooter>
  </headerFooter>
  <rowBreaks count="3" manualBreakCount="3">
    <brk id="46" max="7" man="1"/>
    <brk id="80" max="7" man="1"/>
    <brk id="113" max="7" man="1"/>
  </rowBreaks>
  <colBreaks count="1" manualBreakCount="1">
    <brk id="8" max="1048575" man="1"/>
  </colBreaks>
  <ignoredErrors>
    <ignoredError sqref="B86:B98"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7030A0"/>
  </sheetPr>
  <dimension ref="A1:V900"/>
  <sheetViews>
    <sheetView view="pageBreakPreview" zoomScaleNormal="100" zoomScaleSheetLayoutView="100" zoomScalePageLayoutView="75" workbookViewId="0">
      <selection activeCell="G910" sqref="G909:G910"/>
    </sheetView>
  </sheetViews>
  <sheetFormatPr baseColWidth="10" defaultColWidth="11.42578125" defaultRowHeight="12" x14ac:dyDescent="0.2"/>
  <cols>
    <col min="1" max="1" width="12.85546875" style="462" customWidth="1"/>
    <col min="2" max="2" width="16.42578125" style="462" customWidth="1"/>
    <col min="3" max="3" width="14.42578125" style="462" customWidth="1"/>
    <col min="4" max="4" width="32" style="462" customWidth="1"/>
    <col min="5" max="5" width="18.7109375" style="462" customWidth="1"/>
    <col min="6" max="6" width="13.7109375" style="462" customWidth="1"/>
    <col min="7" max="7" width="37.85546875" style="462" bestFit="1" customWidth="1"/>
    <col min="8" max="8" width="30.140625" style="462" customWidth="1"/>
    <col min="9" max="10" width="18.7109375" style="462" customWidth="1"/>
    <col min="11" max="12" width="7.140625" style="350" customWidth="1"/>
    <col min="13" max="13" width="9.85546875" style="462" bestFit="1" customWidth="1"/>
    <col min="14" max="15" width="7.140625" style="462" customWidth="1"/>
    <col min="16" max="16" width="9" style="462" bestFit="1" customWidth="1"/>
    <col min="17" max="16384" width="11.42578125" style="462"/>
  </cols>
  <sheetData>
    <row r="1" spans="1:22" s="386" customFormat="1" ht="15" x14ac:dyDescent="0.25">
      <c r="A1" s="89" t="s">
        <v>419</v>
      </c>
      <c r="B1" s="484"/>
      <c r="C1" s="484"/>
      <c r="D1" s="484"/>
      <c r="E1" s="484"/>
      <c r="F1" s="484"/>
      <c r="G1" s="484"/>
      <c r="H1" s="484"/>
      <c r="I1" s="484"/>
      <c r="J1" s="484"/>
      <c r="K1" s="484"/>
      <c r="L1" s="484"/>
    </row>
    <row r="2" spans="1:22" s="656" customFormat="1" ht="15" x14ac:dyDescent="0.2">
      <c r="A2" s="90" t="s">
        <v>594</v>
      </c>
      <c r="B2" s="396"/>
      <c r="C2" s="396"/>
      <c r="D2" s="396"/>
      <c r="E2" s="396"/>
      <c r="F2" s="396"/>
      <c r="G2" s="396"/>
      <c r="H2" s="396"/>
      <c r="I2" s="396"/>
      <c r="J2" s="396"/>
      <c r="K2" s="396"/>
      <c r="L2" s="396"/>
      <c r="M2" s="396"/>
      <c r="N2" s="396"/>
      <c r="O2" s="396"/>
      <c r="P2" s="396"/>
      <c r="Q2" s="396"/>
      <c r="R2" s="396"/>
      <c r="S2" s="396"/>
      <c r="T2" s="396"/>
      <c r="U2" s="396"/>
      <c r="V2" s="396"/>
    </row>
    <row r="3" spans="1:22" ht="12.75" thickBot="1" x14ac:dyDescent="0.25">
      <c r="A3" s="491"/>
    </row>
    <row r="4" spans="1:22" s="369" customFormat="1" ht="21" customHeight="1" thickBot="1" x14ac:dyDescent="0.25">
      <c r="A4" s="1525" t="s">
        <v>141</v>
      </c>
      <c r="B4" s="1526"/>
      <c r="C4" s="1526"/>
      <c r="D4" s="1526"/>
      <c r="E4" s="1527"/>
      <c r="F4" s="1528" t="s">
        <v>142</v>
      </c>
      <c r="G4" s="1529"/>
      <c r="H4" s="1530"/>
      <c r="I4" s="1530"/>
      <c r="J4" s="1531"/>
      <c r="K4" s="1532" t="s">
        <v>454</v>
      </c>
      <c r="L4" s="1533"/>
      <c r="M4" s="1534"/>
      <c r="N4" s="1532" t="s">
        <v>455</v>
      </c>
      <c r="O4" s="1533"/>
      <c r="P4" s="1534"/>
    </row>
    <row r="5" spans="1:22" s="371" customFormat="1" ht="65.25" customHeight="1" thickBot="1" x14ac:dyDescent="0.25">
      <c r="A5" s="447" t="s">
        <v>101</v>
      </c>
      <c r="B5" s="448" t="s">
        <v>8</v>
      </c>
      <c r="C5" s="448" t="s">
        <v>97</v>
      </c>
      <c r="D5" s="449" t="s">
        <v>102</v>
      </c>
      <c r="E5" s="450" t="s">
        <v>124</v>
      </c>
      <c r="F5" s="447" t="s">
        <v>129</v>
      </c>
      <c r="G5" s="449" t="s">
        <v>130</v>
      </c>
      <c r="H5" s="449" t="s">
        <v>144</v>
      </c>
      <c r="I5" s="448" t="s">
        <v>145</v>
      </c>
      <c r="J5" s="451" t="s">
        <v>134</v>
      </c>
      <c r="K5" s="452" t="s">
        <v>131</v>
      </c>
      <c r="L5" s="453" t="s">
        <v>132</v>
      </c>
      <c r="M5" s="454" t="s">
        <v>133</v>
      </c>
      <c r="N5" s="452" t="s">
        <v>131</v>
      </c>
      <c r="O5" s="453" t="s">
        <v>132</v>
      </c>
      <c r="P5" s="454" t="s">
        <v>133</v>
      </c>
    </row>
    <row r="6" spans="1:22" ht="20.25" customHeight="1" thickBot="1" x14ac:dyDescent="0.3">
      <c r="A6" s="1340" t="s">
        <v>609</v>
      </c>
      <c r="B6" s="308"/>
      <c r="C6" s="308"/>
      <c r="D6" s="308"/>
      <c r="E6" s="308"/>
      <c r="F6" s="308"/>
      <c r="G6" s="1341"/>
      <c r="H6" s="1341"/>
      <c r="I6" s="1341"/>
      <c r="J6" s="308"/>
      <c r="K6" s="1342"/>
      <c r="L6" s="1342"/>
      <c r="M6" s="308"/>
      <c r="N6" s="1342"/>
      <c r="O6" s="1342"/>
      <c r="P6" s="378"/>
    </row>
    <row r="7" spans="1:22" x14ac:dyDescent="0.2">
      <c r="A7" s="347"/>
      <c r="B7" s="307"/>
      <c r="C7" s="307"/>
      <c r="D7" s="314"/>
      <c r="E7" s="463"/>
      <c r="F7" s="307"/>
      <c r="G7" s="379"/>
      <c r="H7" s="379"/>
      <c r="I7" s="380"/>
      <c r="J7" s="465"/>
      <c r="K7" s="381"/>
      <c r="L7" s="383"/>
      <c r="M7" s="463"/>
      <c r="N7" s="381"/>
      <c r="O7" s="383"/>
      <c r="P7" s="377"/>
    </row>
    <row r="8" spans="1:22" ht="22.5" x14ac:dyDescent="0.2">
      <c r="A8" s="1302" t="s">
        <v>292</v>
      </c>
      <c r="B8" s="1303" t="s">
        <v>1141</v>
      </c>
      <c r="C8" s="1303" t="s">
        <v>98</v>
      </c>
      <c r="D8" s="1304" t="s">
        <v>1594</v>
      </c>
      <c r="E8" s="1305">
        <v>6000</v>
      </c>
      <c r="F8" s="1306" t="s">
        <v>1595</v>
      </c>
      <c r="G8" s="1307" t="s">
        <v>1596</v>
      </c>
      <c r="H8" s="1307" t="s">
        <v>1597</v>
      </c>
      <c r="I8" s="1307" t="s">
        <v>1598</v>
      </c>
      <c r="J8" s="1308" t="s">
        <v>1599</v>
      </c>
      <c r="K8" s="1309">
        <v>1</v>
      </c>
      <c r="L8" s="1310">
        <v>12</v>
      </c>
      <c r="M8" s="1311">
        <v>71712</v>
      </c>
      <c r="N8" s="1312">
        <v>1</v>
      </c>
      <c r="O8" s="1310">
        <v>6</v>
      </c>
      <c r="P8" s="1313">
        <v>35902.800000000003</v>
      </c>
    </row>
    <row r="9" spans="1:22" x14ac:dyDescent="0.2">
      <c r="A9" s="1302" t="s">
        <v>292</v>
      </c>
      <c r="B9" s="1303" t="s">
        <v>1141</v>
      </c>
      <c r="C9" s="1303" t="s">
        <v>98</v>
      </c>
      <c r="D9" s="1307" t="s">
        <v>1600</v>
      </c>
      <c r="E9" s="1305">
        <v>8500</v>
      </c>
      <c r="F9" s="1306" t="s">
        <v>1601</v>
      </c>
      <c r="G9" s="1307" t="s">
        <v>1602</v>
      </c>
      <c r="H9" s="1307" t="s">
        <v>1603</v>
      </c>
      <c r="I9" s="1307" t="s">
        <v>1598</v>
      </c>
      <c r="J9" s="1308" t="s">
        <v>1604</v>
      </c>
      <c r="K9" s="1309">
        <v>1</v>
      </c>
      <c r="L9" s="1310">
        <v>8</v>
      </c>
      <c r="M9" s="1311">
        <v>67449.91</v>
      </c>
      <c r="N9" s="1312">
        <v>1</v>
      </c>
      <c r="O9" s="1310">
        <v>6</v>
      </c>
      <c r="P9" s="1313">
        <v>51000</v>
      </c>
    </row>
    <row r="10" spans="1:22" x14ac:dyDescent="0.2">
      <c r="A10" s="1302" t="s">
        <v>292</v>
      </c>
      <c r="B10" s="1303" t="s">
        <v>1141</v>
      </c>
      <c r="C10" s="1303" t="s">
        <v>98</v>
      </c>
      <c r="D10" s="1307" t="s">
        <v>1605</v>
      </c>
      <c r="E10" s="1305">
        <v>6500</v>
      </c>
      <c r="F10" s="1306" t="s">
        <v>1606</v>
      </c>
      <c r="G10" s="1307" t="s">
        <v>1607</v>
      </c>
      <c r="H10" s="1307" t="s">
        <v>1608</v>
      </c>
      <c r="I10" s="1307" t="s">
        <v>1598</v>
      </c>
      <c r="J10" s="1308" t="s">
        <v>1604</v>
      </c>
      <c r="K10" s="1309">
        <v>1</v>
      </c>
      <c r="L10" s="1310">
        <v>12</v>
      </c>
      <c r="M10" s="1311">
        <v>78083.33</v>
      </c>
      <c r="N10" s="1312">
        <v>1</v>
      </c>
      <c r="O10" s="1310">
        <v>6</v>
      </c>
      <c r="P10" s="1313">
        <v>39000</v>
      </c>
    </row>
    <row r="11" spans="1:22" ht="22.5" x14ac:dyDescent="0.2">
      <c r="A11" s="1302" t="s">
        <v>292</v>
      </c>
      <c r="B11" s="1303" t="s">
        <v>1141</v>
      </c>
      <c r="C11" s="1303" t="s">
        <v>98</v>
      </c>
      <c r="D11" s="1304" t="s">
        <v>1609</v>
      </c>
      <c r="E11" s="1305">
        <v>7500</v>
      </c>
      <c r="F11" s="1306" t="s">
        <v>1610</v>
      </c>
      <c r="G11" s="1307" t="s">
        <v>1611</v>
      </c>
      <c r="H11" s="1307" t="s">
        <v>1612</v>
      </c>
      <c r="I11" s="1307" t="s">
        <v>1598</v>
      </c>
      <c r="J11" s="1308" t="s">
        <v>1604</v>
      </c>
      <c r="K11" s="1309">
        <v>1</v>
      </c>
      <c r="L11" s="1310">
        <v>12</v>
      </c>
      <c r="M11" s="1311">
        <v>90300</v>
      </c>
      <c r="N11" s="1312">
        <v>1</v>
      </c>
      <c r="O11" s="1310">
        <v>6</v>
      </c>
      <c r="P11" s="1313">
        <v>45000</v>
      </c>
    </row>
    <row r="12" spans="1:22" ht="22.5" x14ac:dyDescent="0.2">
      <c r="A12" s="1302" t="s">
        <v>292</v>
      </c>
      <c r="B12" s="1303" t="s">
        <v>1141</v>
      </c>
      <c r="C12" s="1303" t="s">
        <v>98</v>
      </c>
      <c r="D12" s="1304" t="s">
        <v>1613</v>
      </c>
      <c r="E12" s="1305">
        <v>8500</v>
      </c>
      <c r="F12" s="1306" t="s">
        <v>1614</v>
      </c>
      <c r="G12" s="1307" t="s">
        <v>1615</v>
      </c>
      <c r="H12" s="1307" t="s">
        <v>1603</v>
      </c>
      <c r="I12" s="1307" t="s">
        <v>1616</v>
      </c>
      <c r="J12" s="1308" t="s">
        <v>1604</v>
      </c>
      <c r="K12" s="1309">
        <v>1</v>
      </c>
      <c r="L12" s="1310">
        <v>12</v>
      </c>
      <c r="M12" s="1311">
        <v>102206.35</v>
      </c>
      <c r="N12" s="1312">
        <v>1</v>
      </c>
      <c r="O12" s="1310">
        <v>6</v>
      </c>
      <c r="P12" s="1313">
        <v>51000</v>
      </c>
    </row>
    <row r="13" spans="1:22" x14ac:dyDescent="0.2">
      <c r="A13" s="1302" t="s">
        <v>292</v>
      </c>
      <c r="B13" s="1303" t="s">
        <v>1141</v>
      </c>
      <c r="C13" s="1303" t="s">
        <v>98</v>
      </c>
      <c r="D13" s="1307" t="s">
        <v>1617</v>
      </c>
      <c r="E13" s="1305">
        <v>4000</v>
      </c>
      <c r="F13" s="1306" t="s">
        <v>1618</v>
      </c>
      <c r="G13" s="1307" t="s">
        <v>1619</v>
      </c>
      <c r="H13" s="1307" t="s">
        <v>1620</v>
      </c>
      <c r="I13" s="1307" t="s">
        <v>1621</v>
      </c>
      <c r="J13" s="1308" t="s">
        <v>1604</v>
      </c>
      <c r="K13" s="1309">
        <v>1</v>
      </c>
      <c r="L13" s="1310">
        <v>12</v>
      </c>
      <c r="M13" s="1311">
        <v>48300</v>
      </c>
      <c r="N13" s="1312">
        <v>1</v>
      </c>
      <c r="O13" s="1310">
        <v>6</v>
      </c>
      <c r="P13" s="1313">
        <v>24000</v>
      </c>
    </row>
    <row r="14" spans="1:22" ht="22.5" x14ac:dyDescent="0.2">
      <c r="A14" s="1302" t="s">
        <v>292</v>
      </c>
      <c r="B14" s="1303" t="s">
        <v>1141</v>
      </c>
      <c r="C14" s="1303" t="s">
        <v>98</v>
      </c>
      <c r="D14" s="1304" t="s">
        <v>1622</v>
      </c>
      <c r="E14" s="1305">
        <v>5000</v>
      </c>
      <c r="F14" s="1306" t="s">
        <v>1623</v>
      </c>
      <c r="G14" s="1307" t="s">
        <v>1624</v>
      </c>
      <c r="H14" s="1307" t="s">
        <v>1625</v>
      </c>
      <c r="I14" s="1307" t="s">
        <v>1616</v>
      </c>
      <c r="J14" s="1308" t="s">
        <v>1604</v>
      </c>
      <c r="K14" s="1309">
        <v>1</v>
      </c>
      <c r="L14" s="1310">
        <v>12</v>
      </c>
      <c r="M14" s="1311">
        <v>60300</v>
      </c>
      <c r="N14" s="1312">
        <v>1</v>
      </c>
      <c r="O14" s="1310">
        <v>6</v>
      </c>
      <c r="P14" s="1313">
        <v>30000</v>
      </c>
    </row>
    <row r="15" spans="1:22" x14ac:dyDescent="0.2">
      <c r="A15" s="1302" t="s">
        <v>292</v>
      </c>
      <c r="B15" s="1303" t="s">
        <v>1141</v>
      </c>
      <c r="C15" s="1303" t="s">
        <v>98</v>
      </c>
      <c r="D15" s="1307" t="s">
        <v>1626</v>
      </c>
      <c r="E15" s="1305">
        <v>6000</v>
      </c>
      <c r="F15" s="1306" t="s">
        <v>1627</v>
      </c>
      <c r="G15" s="1307" t="s">
        <v>1628</v>
      </c>
      <c r="H15" s="1307" t="s">
        <v>1603</v>
      </c>
      <c r="I15" s="1307" t="s">
        <v>1598</v>
      </c>
      <c r="J15" s="1308" t="s">
        <v>1604</v>
      </c>
      <c r="K15" s="1309">
        <v>1</v>
      </c>
      <c r="L15" s="1310">
        <v>2</v>
      </c>
      <c r="M15" s="1311">
        <v>14000</v>
      </c>
      <c r="N15" s="1312">
        <v>1</v>
      </c>
      <c r="O15" s="1310">
        <v>1</v>
      </c>
      <c r="P15" s="1313">
        <v>6000</v>
      </c>
    </row>
    <row r="16" spans="1:22" x14ac:dyDescent="0.2">
      <c r="A16" s="1302" t="s">
        <v>292</v>
      </c>
      <c r="B16" s="1303" t="s">
        <v>1141</v>
      </c>
      <c r="C16" s="1303" t="s">
        <v>98</v>
      </c>
      <c r="D16" s="1307" t="s">
        <v>1629</v>
      </c>
      <c r="E16" s="1305">
        <v>3000</v>
      </c>
      <c r="F16" s="1306" t="s">
        <v>1630</v>
      </c>
      <c r="G16" s="1307" t="s">
        <v>1631</v>
      </c>
      <c r="H16" s="1307" t="s">
        <v>1632</v>
      </c>
      <c r="I16" s="1307" t="s">
        <v>1598</v>
      </c>
      <c r="J16" s="1308" t="s">
        <v>1599</v>
      </c>
      <c r="K16" s="1309">
        <v>1</v>
      </c>
      <c r="L16" s="1310">
        <v>2</v>
      </c>
      <c r="M16" s="1311">
        <v>5300</v>
      </c>
      <c r="N16" s="1312">
        <v>0</v>
      </c>
      <c r="O16" s="1310" t="s">
        <v>1633</v>
      </c>
      <c r="P16" s="1313">
        <v>0</v>
      </c>
    </row>
    <row r="17" spans="1:16" x14ac:dyDescent="0.2">
      <c r="A17" s="1302" t="s">
        <v>292</v>
      </c>
      <c r="B17" s="1303" t="s">
        <v>1141</v>
      </c>
      <c r="C17" s="1303" t="s">
        <v>98</v>
      </c>
      <c r="D17" s="1307" t="s">
        <v>1634</v>
      </c>
      <c r="E17" s="1305">
        <v>3000</v>
      </c>
      <c r="F17" s="1306" t="s">
        <v>1635</v>
      </c>
      <c r="G17" s="1307" t="s">
        <v>1636</v>
      </c>
      <c r="H17" s="1307" t="s">
        <v>1632</v>
      </c>
      <c r="I17" s="1307" t="s">
        <v>1621</v>
      </c>
      <c r="J17" s="1308" t="s">
        <v>1599</v>
      </c>
      <c r="K17" s="1309">
        <v>1</v>
      </c>
      <c r="L17" s="1310">
        <v>12</v>
      </c>
      <c r="M17" s="1311">
        <v>36300</v>
      </c>
      <c r="N17" s="1312">
        <v>1</v>
      </c>
      <c r="O17" s="1310">
        <v>6</v>
      </c>
      <c r="P17" s="1313">
        <v>18000</v>
      </c>
    </row>
    <row r="18" spans="1:16" ht="22.5" x14ac:dyDescent="0.2">
      <c r="A18" s="1302" t="s">
        <v>292</v>
      </c>
      <c r="B18" s="1303" t="s">
        <v>1141</v>
      </c>
      <c r="C18" s="1303" t="s">
        <v>98</v>
      </c>
      <c r="D18" s="1304" t="s">
        <v>1637</v>
      </c>
      <c r="E18" s="1305">
        <v>6000</v>
      </c>
      <c r="F18" s="1306" t="s">
        <v>1638</v>
      </c>
      <c r="G18" s="1307" t="s">
        <v>1639</v>
      </c>
      <c r="H18" s="1307" t="s">
        <v>1640</v>
      </c>
      <c r="I18" s="1307" t="s">
        <v>1616</v>
      </c>
      <c r="J18" s="1308" t="s">
        <v>1616</v>
      </c>
      <c r="K18" s="1309">
        <v>1</v>
      </c>
      <c r="L18" s="1310">
        <v>5</v>
      </c>
      <c r="M18" s="1311">
        <v>27800</v>
      </c>
      <c r="N18" s="1312">
        <v>1</v>
      </c>
      <c r="O18" s="1310">
        <v>6</v>
      </c>
      <c r="P18" s="1313">
        <v>35800</v>
      </c>
    </row>
    <row r="19" spans="1:16" ht="22.5" x14ac:dyDescent="0.2">
      <c r="A19" s="1302" t="s">
        <v>292</v>
      </c>
      <c r="B19" s="1303" t="s">
        <v>1141</v>
      </c>
      <c r="C19" s="1303" t="s">
        <v>98</v>
      </c>
      <c r="D19" s="1304" t="s">
        <v>1641</v>
      </c>
      <c r="E19" s="1305">
        <v>15600</v>
      </c>
      <c r="F19" s="1306" t="s">
        <v>1642</v>
      </c>
      <c r="G19" s="1307" t="s">
        <v>1643</v>
      </c>
      <c r="H19" s="1307" t="s">
        <v>1612</v>
      </c>
      <c r="I19" s="1307" t="s">
        <v>1616</v>
      </c>
      <c r="J19" s="1308" t="s">
        <v>1604</v>
      </c>
      <c r="K19" s="1309">
        <v>1</v>
      </c>
      <c r="L19" s="1310">
        <v>6</v>
      </c>
      <c r="M19" s="1311">
        <v>89960</v>
      </c>
      <c r="N19" s="1312">
        <v>0</v>
      </c>
      <c r="O19" s="1310" t="s">
        <v>1633</v>
      </c>
      <c r="P19" s="1313">
        <v>0</v>
      </c>
    </row>
    <row r="20" spans="1:16" x14ac:dyDescent="0.2">
      <c r="A20" s="1302" t="s">
        <v>292</v>
      </c>
      <c r="B20" s="1303" t="s">
        <v>1141</v>
      </c>
      <c r="C20" s="1303" t="s">
        <v>98</v>
      </c>
      <c r="D20" s="1307" t="s">
        <v>1644</v>
      </c>
      <c r="E20" s="1305">
        <v>6500</v>
      </c>
      <c r="F20" s="1306" t="s">
        <v>1645</v>
      </c>
      <c r="G20" s="1307" t="s">
        <v>1646</v>
      </c>
      <c r="H20" s="1307" t="s">
        <v>1647</v>
      </c>
      <c r="I20" s="1307" t="s">
        <v>1598</v>
      </c>
      <c r="J20" s="1308" t="s">
        <v>1616</v>
      </c>
      <c r="K20" s="1309">
        <v>1</v>
      </c>
      <c r="L20" s="1310">
        <v>2</v>
      </c>
      <c r="M20" s="1311">
        <v>10183.33</v>
      </c>
      <c r="N20" s="1312">
        <v>1</v>
      </c>
      <c r="O20" s="1310">
        <v>6</v>
      </c>
      <c r="P20" s="1313">
        <v>39000</v>
      </c>
    </row>
    <row r="21" spans="1:16" x14ac:dyDescent="0.2">
      <c r="A21" s="1302" t="s">
        <v>292</v>
      </c>
      <c r="B21" s="1303" t="s">
        <v>1141</v>
      </c>
      <c r="C21" s="1303" t="s">
        <v>98</v>
      </c>
      <c r="D21" s="1307" t="s">
        <v>1648</v>
      </c>
      <c r="E21" s="1305">
        <v>6000</v>
      </c>
      <c r="F21" s="1306" t="s">
        <v>1649</v>
      </c>
      <c r="G21" s="1307" t="s">
        <v>1650</v>
      </c>
      <c r="H21" s="1307" t="s">
        <v>1651</v>
      </c>
      <c r="I21" s="1307" t="s">
        <v>1598</v>
      </c>
      <c r="J21" s="1308" t="s">
        <v>1616</v>
      </c>
      <c r="K21" s="1309">
        <v>1</v>
      </c>
      <c r="L21" s="1310">
        <v>2</v>
      </c>
      <c r="M21" s="1311">
        <v>14000</v>
      </c>
      <c r="N21" s="1312">
        <v>1</v>
      </c>
      <c r="O21" s="1310">
        <v>1</v>
      </c>
      <c r="P21" s="1313">
        <v>6000</v>
      </c>
    </row>
    <row r="22" spans="1:16" ht="22.5" x14ac:dyDescent="0.2">
      <c r="A22" s="1302" t="s">
        <v>292</v>
      </c>
      <c r="B22" s="1303" t="s">
        <v>1141</v>
      </c>
      <c r="C22" s="1303" t="s">
        <v>98</v>
      </c>
      <c r="D22" s="1304" t="s">
        <v>1652</v>
      </c>
      <c r="E22" s="1305">
        <v>7500</v>
      </c>
      <c r="F22" s="1306" t="s">
        <v>1653</v>
      </c>
      <c r="G22" s="1307" t="s">
        <v>1654</v>
      </c>
      <c r="H22" s="1307" t="s">
        <v>1655</v>
      </c>
      <c r="I22" s="1307" t="s">
        <v>1598</v>
      </c>
      <c r="J22" s="1308" t="s">
        <v>1604</v>
      </c>
      <c r="K22" s="1309">
        <v>1</v>
      </c>
      <c r="L22" s="1310">
        <v>12</v>
      </c>
      <c r="M22" s="1311">
        <v>90300</v>
      </c>
      <c r="N22" s="1312">
        <v>1</v>
      </c>
      <c r="O22" s="1310">
        <v>6</v>
      </c>
      <c r="P22" s="1313">
        <v>45000</v>
      </c>
    </row>
    <row r="23" spans="1:16" x14ac:dyDescent="0.2">
      <c r="A23" s="1302" t="s">
        <v>292</v>
      </c>
      <c r="B23" s="1303" t="s">
        <v>1141</v>
      </c>
      <c r="C23" s="1303" t="s">
        <v>98</v>
      </c>
      <c r="D23" s="1307" t="s">
        <v>1656</v>
      </c>
      <c r="E23" s="1305">
        <v>3000</v>
      </c>
      <c r="F23" s="1306" t="s">
        <v>1657</v>
      </c>
      <c r="G23" s="1307" t="s">
        <v>1658</v>
      </c>
      <c r="H23" s="1307" t="s">
        <v>1659</v>
      </c>
      <c r="I23" s="1307" t="s">
        <v>1660</v>
      </c>
      <c r="J23" s="1308" t="s">
        <v>1659</v>
      </c>
      <c r="K23" s="1309">
        <v>1</v>
      </c>
      <c r="L23" s="1310">
        <v>12</v>
      </c>
      <c r="M23" s="1311">
        <v>36300</v>
      </c>
      <c r="N23" s="1312">
        <v>1</v>
      </c>
      <c r="O23" s="1310">
        <v>6</v>
      </c>
      <c r="P23" s="1313">
        <v>18000</v>
      </c>
    </row>
    <row r="24" spans="1:16" x14ac:dyDescent="0.2">
      <c r="A24" s="1302" t="s">
        <v>292</v>
      </c>
      <c r="B24" s="1303" t="s">
        <v>1141</v>
      </c>
      <c r="C24" s="1303" t="s">
        <v>98</v>
      </c>
      <c r="D24" s="1307" t="s">
        <v>1661</v>
      </c>
      <c r="E24" s="1305">
        <v>5000</v>
      </c>
      <c r="F24" s="1306" t="s">
        <v>1662</v>
      </c>
      <c r="G24" s="1307" t="s">
        <v>1663</v>
      </c>
      <c r="H24" s="1307" t="s">
        <v>1664</v>
      </c>
      <c r="I24" s="1307" t="s">
        <v>1616</v>
      </c>
      <c r="J24" s="1308" t="s">
        <v>1604</v>
      </c>
      <c r="K24" s="1309">
        <v>1</v>
      </c>
      <c r="L24" s="1310">
        <v>2</v>
      </c>
      <c r="M24" s="1311">
        <v>5833.3</v>
      </c>
      <c r="N24" s="1312">
        <v>0</v>
      </c>
      <c r="O24" s="1310" t="s">
        <v>1633</v>
      </c>
      <c r="P24" s="1313">
        <v>0</v>
      </c>
    </row>
    <row r="25" spans="1:16" x14ac:dyDescent="0.2">
      <c r="A25" s="1302" t="s">
        <v>292</v>
      </c>
      <c r="B25" s="1303" t="s">
        <v>1141</v>
      </c>
      <c r="C25" s="1303" t="s">
        <v>98</v>
      </c>
      <c r="D25" s="1307" t="s">
        <v>1665</v>
      </c>
      <c r="E25" s="1305">
        <v>8000</v>
      </c>
      <c r="F25" s="1306" t="s">
        <v>1666</v>
      </c>
      <c r="G25" s="1307" t="s">
        <v>1667</v>
      </c>
      <c r="H25" s="1307" t="s">
        <v>1668</v>
      </c>
      <c r="I25" s="1307" t="s">
        <v>1616</v>
      </c>
      <c r="J25" s="1308" t="s">
        <v>1604</v>
      </c>
      <c r="K25" s="1309">
        <v>1</v>
      </c>
      <c r="L25" s="1310">
        <v>10</v>
      </c>
      <c r="M25" s="1311">
        <v>83657.69</v>
      </c>
      <c r="N25" s="1312">
        <v>1</v>
      </c>
      <c r="O25" s="1310">
        <v>6</v>
      </c>
      <c r="P25" s="1313">
        <v>48000</v>
      </c>
    </row>
    <row r="26" spans="1:16" ht="22.5" x14ac:dyDescent="0.2">
      <c r="A26" s="1302" t="s">
        <v>292</v>
      </c>
      <c r="B26" s="1303" t="s">
        <v>1141</v>
      </c>
      <c r="C26" s="1303" t="s">
        <v>98</v>
      </c>
      <c r="D26" s="1304" t="s">
        <v>1669</v>
      </c>
      <c r="E26" s="1305">
        <v>7000</v>
      </c>
      <c r="F26" s="1306" t="s">
        <v>1670</v>
      </c>
      <c r="G26" s="1307" t="s">
        <v>1671</v>
      </c>
      <c r="H26" s="1307" t="s">
        <v>1672</v>
      </c>
      <c r="I26" s="1307" t="s">
        <v>1598</v>
      </c>
      <c r="J26" s="1308" t="s">
        <v>1604</v>
      </c>
      <c r="K26" s="1309">
        <v>1</v>
      </c>
      <c r="L26" s="1310">
        <v>6</v>
      </c>
      <c r="M26" s="1311">
        <v>40366.67</v>
      </c>
      <c r="N26" s="1312">
        <v>1</v>
      </c>
      <c r="O26" s="1310">
        <v>6</v>
      </c>
      <c r="P26" s="1313">
        <v>42000</v>
      </c>
    </row>
    <row r="27" spans="1:16" x14ac:dyDescent="0.2">
      <c r="A27" s="1302" t="s">
        <v>292</v>
      </c>
      <c r="B27" s="1303" t="s">
        <v>1141</v>
      </c>
      <c r="C27" s="1303" t="s">
        <v>98</v>
      </c>
      <c r="D27" s="1307" t="s">
        <v>1673</v>
      </c>
      <c r="E27" s="1305">
        <v>2500</v>
      </c>
      <c r="F27" s="1306" t="s">
        <v>1674</v>
      </c>
      <c r="G27" s="1307" t="s">
        <v>1675</v>
      </c>
      <c r="H27" s="1307" t="s">
        <v>1659</v>
      </c>
      <c r="I27" s="1307" t="s">
        <v>1660</v>
      </c>
      <c r="J27" s="1308" t="s">
        <v>1659</v>
      </c>
      <c r="K27" s="1309">
        <v>1</v>
      </c>
      <c r="L27" s="1310">
        <v>12</v>
      </c>
      <c r="M27" s="1311">
        <v>30300</v>
      </c>
      <c r="N27" s="1312">
        <v>1</v>
      </c>
      <c r="O27" s="1310">
        <v>6</v>
      </c>
      <c r="P27" s="1313">
        <v>15000</v>
      </c>
    </row>
    <row r="28" spans="1:16" x14ac:dyDescent="0.2">
      <c r="A28" s="1302" t="s">
        <v>292</v>
      </c>
      <c r="B28" s="1303" t="s">
        <v>1141</v>
      </c>
      <c r="C28" s="1303" t="s">
        <v>98</v>
      </c>
      <c r="D28" s="1307" t="s">
        <v>1676</v>
      </c>
      <c r="E28" s="1305">
        <v>4500</v>
      </c>
      <c r="F28" s="1306" t="s">
        <v>1677</v>
      </c>
      <c r="G28" s="1307" t="s">
        <v>1678</v>
      </c>
      <c r="H28" s="1307" t="s">
        <v>1632</v>
      </c>
      <c r="I28" s="1307" t="s">
        <v>1621</v>
      </c>
      <c r="J28" s="1308" t="s">
        <v>1599</v>
      </c>
      <c r="K28" s="1309">
        <v>1</v>
      </c>
      <c r="L28" s="1310">
        <v>12</v>
      </c>
      <c r="M28" s="1311">
        <v>54136.869999999995</v>
      </c>
      <c r="N28" s="1312">
        <v>1</v>
      </c>
      <c r="O28" s="1310">
        <v>6</v>
      </c>
      <c r="P28" s="1313">
        <v>27000</v>
      </c>
    </row>
    <row r="29" spans="1:16" ht="22.5" x14ac:dyDescent="0.2">
      <c r="A29" s="1302" t="s">
        <v>292</v>
      </c>
      <c r="B29" s="1303" t="s">
        <v>1141</v>
      </c>
      <c r="C29" s="1303" t="s">
        <v>98</v>
      </c>
      <c r="D29" s="1304" t="s">
        <v>1679</v>
      </c>
      <c r="E29" s="1305">
        <v>10000</v>
      </c>
      <c r="F29" s="1306" t="s">
        <v>1680</v>
      </c>
      <c r="G29" s="1307" t="s">
        <v>1681</v>
      </c>
      <c r="H29" s="1307" t="s">
        <v>1682</v>
      </c>
      <c r="I29" s="1307" t="s">
        <v>1616</v>
      </c>
      <c r="J29" s="1308" t="s">
        <v>1604</v>
      </c>
      <c r="K29" s="1309">
        <v>1</v>
      </c>
      <c r="L29" s="1310">
        <v>10</v>
      </c>
      <c r="M29" s="1311">
        <v>107266.6</v>
      </c>
      <c r="N29" s="1312">
        <v>1</v>
      </c>
      <c r="O29" s="1310">
        <v>6</v>
      </c>
      <c r="P29" s="1313">
        <v>60000</v>
      </c>
    </row>
    <row r="30" spans="1:16" x14ac:dyDescent="0.2">
      <c r="A30" s="1302" t="s">
        <v>292</v>
      </c>
      <c r="B30" s="1303" t="s">
        <v>1141</v>
      </c>
      <c r="C30" s="1303" t="s">
        <v>98</v>
      </c>
      <c r="D30" s="1307" t="s">
        <v>1683</v>
      </c>
      <c r="E30" s="1305">
        <v>12000</v>
      </c>
      <c r="F30" s="1306" t="s">
        <v>1684</v>
      </c>
      <c r="G30" s="1307" t="s">
        <v>1685</v>
      </c>
      <c r="H30" s="1307" t="s">
        <v>1686</v>
      </c>
      <c r="I30" s="1307" t="s">
        <v>1598</v>
      </c>
      <c r="J30" s="1308" t="s">
        <v>1604</v>
      </c>
      <c r="K30" s="1309">
        <v>1</v>
      </c>
      <c r="L30" s="1310">
        <v>6</v>
      </c>
      <c r="M30" s="1311">
        <v>69400</v>
      </c>
      <c r="N30" s="1312">
        <v>1</v>
      </c>
      <c r="O30" s="1310">
        <v>6</v>
      </c>
      <c r="P30" s="1313">
        <v>72200</v>
      </c>
    </row>
    <row r="31" spans="1:16" x14ac:dyDescent="0.2">
      <c r="A31" s="1302" t="s">
        <v>292</v>
      </c>
      <c r="B31" s="1303" t="s">
        <v>1141</v>
      </c>
      <c r="C31" s="1303" t="s">
        <v>98</v>
      </c>
      <c r="D31" s="1307" t="s">
        <v>1687</v>
      </c>
      <c r="E31" s="1305">
        <v>4000</v>
      </c>
      <c r="F31" s="1306" t="s">
        <v>1688</v>
      </c>
      <c r="G31" s="1307" t="s">
        <v>1689</v>
      </c>
      <c r="H31" s="1307" t="s">
        <v>1690</v>
      </c>
      <c r="I31" s="1307" t="s">
        <v>1616</v>
      </c>
      <c r="J31" s="1308" t="s">
        <v>1604</v>
      </c>
      <c r="K31" s="1309">
        <v>1</v>
      </c>
      <c r="L31" s="1310">
        <v>2</v>
      </c>
      <c r="M31" s="1311">
        <v>9333.33</v>
      </c>
      <c r="N31" s="1312">
        <v>1</v>
      </c>
      <c r="O31" s="1310">
        <v>3</v>
      </c>
      <c r="P31" s="1313">
        <v>12000</v>
      </c>
    </row>
    <row r="32" spans="1:16" x14ac:dyDescent="0.2">
      <c r="A32" s="1302" t="s">
        <v>292</v>
      </c>
      <c r="B32" s="1303" t="s">
        <v>1141</v>
      </c>
      <c r="C32" s="1303" t="s">
        <v>98</v>
      </c>
      <c r="D32" s="1307" t="s">
        <v>1691</v>
      </c>
      <c r="E32" s="1305">
        <v>4000</v>
      </c>
      <c r="F32" s="1306" t="s">
        <v>1692</v>
      </c>
      <c r="G32" s="1307" t="s">
        <v>1693</v>
      </c>
      <c r="H32" s="1307" t="s">
        <v>1694</v>
      </c>
      <c r="I32" s="1307" t="s">
        <v>1598</v>
      </c>
      <c r="J32" s="1308" t="s">
        <v>1599</v>
      </c>
      <c r="K32" s="1309">
        <v>1</v>
      </c>
      <c r="L32" s="1310">
        <v>12</v>
      </c>
      <c r="M32" s="1311">
        <v>48287.5</v>
      </c>
      <c r="N32" s="1312">
        <v>1</v>
      </c>
      <c r="O32" s="1310">
        <v>6</v>
      </c>
      <c r="P32" s="1313">
        <v>24000</v>
      </c>
    </row>
    <row r="33" spans="1:16" x14ac:dyDescent="0.2">
      <c r="A33" s="1302" t="s">
        <v>292</v>
      </c>
      <c r="B33" s="1303" t="s">
        <v>1141</v>
      </c>
      <c r="C33" s="1303" t="s">
        <v>98</v>
      </c>
      <c r="D33" s="1307" t="s">
        <v>1695</v>
      </c>
      <c r="E33" s="1305">
        <v>4000</v>
      </c>
      <c r="F33" s="1306" t="s">
        <v>1696</v>
      </c>
      <c r="G33" s="1307" t="s">
        <v>1697</v>
      </c>
      <c r="H33" s="1307" t="s">
        <v>1632</v>
      </c>
      <c r="I33" s="1307" t="s">
        <v>1698</v>
      </c>
      <c r="J33" s="1308" t="s">
        <v>1599</v>
      </c>
      <c r="K33" s="1309">
        <v>1</v>
      </c>
      <c r="L33" s="1310">
        <v>3</v>
      </c>
      <c r="M33" s="1311">
        <v>14933.33</v>
      </c>
      <c r="N33" s="1312">
        <v>1</v>
      </c>
      <c r="O33" s="1310">
        <v>1</v>
      </c>
      <c r="P33" s="1313">
        <v>4000</v>
      </c>
    </row>
    <row r="34" spans="1:16" ht="22.5" x14ac:dyDescent="0.2">
      <c r="A34" s="1302" t="s">
        <v>292</v>
      </c>
      <c r="B34" s="1303" t="s">
        <v>1141</v>
      </c>
      <c r="C34" s="1303" t="s">
        <v>98</v>
      </c>
      <c r="D34" s="1314" t="s">
        <v>1699</v>
      </c>
      <c r="E34" s="1305">
        <v>8000</v>
      </c>
      <c r="F34" s="1306" t="s">
        <v>1700</v>
      </c>
      <c r="G34" s="1307" t="s">
        <v>1701</v>
      </c>
      <c r="H34" s="1315" t="s">
        <v>1702</v>
      </c>
      <c r="I34" s="1315" t="s">
        <v>1598</v>
      </c>
      <c r="J34" s="1316" t="s">
        <v>1616</v>
      </c>
      <c r="K34" s="1309">
        <v>0</v>
      </c>
      <c r="L34" s="1310" t="s">
        <v>1633</v>
      </c>
      <c r="M34" s="1311">
        <v>0</v>
      </c>
      <c r="N34" s="1312">
        <v>1</v>
      </c>
      <c r="O34" s="1310">
        <v>4</v>
      </c>
      <c r="P34" s="1313">
        <v>32000</v>
      </c>
    </row>
    <row r="35" spans="1:16" ht="22.5" x14ac:dyDescent="0.2">
      <c r="A35" s="1302" t="s">
        <v>292</v>
      </c>
      <c r="B35" s="1303" t="s">
        <v>1141</v>
      </c>
      <c r="C35" s="1303" t="s">
        <v>98</v>
      </c>
      <c r="D35" s="1304" t="s">
        <v>1703</v>
      </c>
      <c r="E35" s="1305">
        <v>3500</v>
      </c>
      <c r="F35" s="1306" t="s">
        <v>1704</v>
      </c>
      <c r="G35" s="1307" t="s">
        <v>1705</v>
      </c>
      <c r="H35" s="1307" t="s">
        <v>1694</v>
      </c>
      <c r="I35" s="1307" t="s">
        <v>1698</v>
      </c>
      <c r="J35" s="1308" t="s">
        <v>1599</v>
      </c>
      <c r="K35" s="1309">
        <v>1</v>
      </c>
      <c r="L35" s="1310">
        <v>12</v>
      </c>
      <c r="M35" s="1311">
        <v>42300</v>
      </c>
      <c r="N35" s="1312">
        <v>1</v>
      </c>
      <c r="O35" s="1310">
        <v>6</v>
      </c>
      <c r="P35" s="1313">
        <v>20883.330000000002</v>
      </c>
    </row>
    <row r="36" spans="1:16" ht="22.5" x14ac:dyDescent="0.2">
      <c r="A36" s="1302" t="s">
        <v>292</v>
      </c>
      <c r="B36" s="1303" t="s">
        <v>1141</v>
      </c>
      <c r="C36" s="1303" t="s">
        <v>98</v>
      </c>
      <c r="D36" s="1304" t="s">
        <v>1706</v>
      </c>
      <c r="E36" s="1305">
        <v>6000</v>
      </c>
      <c r="F36" s="1306" t="s">
        <v>1707</v>
      </c>
      <c r="G36" s="1307" t="s">
        <v>1708</v>
      </c>
      <c r="H36" s="1307" t="s">
        <v>1709</v>
      </c>
      <c r="I36" s="1307" t="s">
        <v>1598</v>
      </c>
      <c r="J36" s="1308" t="s">
        <v>1604</v>
      </c>
      <c r="K36" s="1309">
        <v>1</v>
      </c>
      <c r="L36" s="1310">
        <v>12</v>
      </c>
      <c r="M36" s="1311">
        <v>72300</v>
      </c>
      <c r="N36" s="1312">
        <v>1</v>
      </c>
      <c r="O36" s="1310">
        <v>2</v>
      </c>
      <c r="P36" s="1313">
        <v>7200</v>
      </c>
    </row>
    <row r="37" spans="1:16" ht="22.5" x14ac:dyDescent="0.2">
      <c r="A37" s="1302" t="s">
        <v>292</v>
      </c>
      <c r="B37" s="1303" t="s">
        <v>1141</v>
      </c>
      <c r="C37" s="1303" t="s">
        <v>98</v>
      </c>
      <c r="D37" s="1304" t="s">
        <v>1710</v>
      </c>
      <c r="E37" s="1305">
        <v>7000</v>
      </c>
      <c r="F37" s="1306" t="s">
        <v>1711</v>
      </c>
      <c r="G37" s="1307" t="s">
        <v>1712</v>
      </c>
      <c r="H37" s="1307" t="s">
        <v>1713</v>
      </c>
      <c r="I37" s="1307" t="s">
        <v>1616</v>
      </c>
      <c r="J37" s="1308" t="s">
        <v>1604</v>
      </c>
      <c r="K37" s="1309">
        <v>1</v>
      </c>
      <c r="L37" s="1310">
        <v>12</v>
      </c>
      <c r="M37" s="1311">
        <v>76840.009999999995</v>
      </c>
      <c r="N37" s="1312">
        <v>1</v>
      </c>
      <c r="O37" s="1310">
        <v>6</v>
      </c>
      <c r="P37" s="1313">
        <v>42000</v>
      </c>
    </row>
    <row r="38" spans="1:16" x14ac:dyDescent="0.2">
      <c r="A38" s="1302" t="s">
        <v>292</v>
      </c>
      <c r="B38" s="1303" t="s">
        <v>1141</v>
      </c>
      <c r="C38" s="1303" t="s">
        <v>98</v>
      </c>
      <c r="D38" s="1307" t="s">
        <v>1714</v>
      </c>
      <c r="E38" s="1305">
        <v>8000</v>
      </c>
      <c r="F38" s="1306" t="s">
        <v>1715</v>
      </c>
      <c r="G38" s="1307" t="s">
        <v>1716</v>
      </c>
      <c r="H38" s="1307" t="s">
        <v>1713</v>
      </c>
      <c r="I38" s="1307" t="s">
        <v>1598</v>
      </c>
      <c r="J38" s="1308" t="s">
        <v>1604</v>
      </c>
      <c r="K38" s="1309">
        <v>1</v>
      </c>
      <c r="L38" s="1310">
        <v>12</v>
      </c>
      <c r="M38" s="1311">
        <v>96045.15</v>
      </c>
      <c r="N38" s="1312">
        <v>1</v>
      </c>
      <c r="O38" s="1310">
        <v>6</v>
      </c>
      <c r="P38" s="1313">
        <v>47733.33</v>
      </c>
    </row>
    <row r="39" spans="1:16" ht="22.5" x14ac:dyDescent="0.2">
      <c r="A39" s="1302" t="s">
        <v>292</v>
      </c>
      <c r="B39" s="1303" t="s">
        <v>1141</v>
      </c>
      <c r="C39" s="1303" t="s">
        <v>98</v>
      </c>
      <c r="D39" s="1304" t="s">
        <v>1717</v>
      </c>
      <c r="E39" s="1305">
        <v>8000</v>
      </c>
      <c r="F39" s="1306" t="s">
        <v>1718</v>
      </c>
      <c r="G39" s="1307" t="s">
        <v>1719</v>
      </c>
      <c r="H39" s="1307" t="s">
        <v>1672</v>
      </c>
      <c r="I39" s="1307" t="s">
        <v>1598</v>
      </c>
      <c r="J39" s="1308" t="s">
        <v>1604</v>
      </c>
      <c r="K39" s="1309">
        <v>1</v>
      </c>
      <c r="L39" s="1310">
        <v>12</v>
      </c>
      <c r="M39" s="1311">
        <v>88141.11</v>
      </c>
      <c r="N39" s="1312">
        <v>1</v>
      </c>
      <c r="O39" s="1310">
        <v>6</v>
      </c>
      <c r="P39" s="1313">
        <v>47733.33</v>
      </c>
    </row>
    <row r="40" spans="1:16" ht="22.5" x14ac:dyDescent="0.2">
      <c r="A40" s="1302" t="s">
        <v>292</v>
      </c>
      <c r="B40" s="1303" t="s">
        <v>1141</v>
      </c>
      <c r="C40" s="1303" t="s">
        <v>98</v>
      </c>
      <c r="D40" s="1304" t="s">
        <v>1720</v>
      </c>
      <c r="E40" s="1305">
        <v>6000</v>
      </c>
      <c r="F40" s="1306" t="s">
        <v>1721</v>
      </c>
      <c r="G40" s="1307" t="s">
        <v>1722</v>
      </c>
      <c r="H40" s="1307" t="s">
        <v>1603</v>
      </c>
      <c r="I40" s="1307" t="s">
        <v>1598</v>
      </c>
      <c r="J40" s="1308" t="s">
        <v>1604</v>
      </c>
      <c r="K40" s="1309">
        <v>1</v>
      </c>
      <c r="L40" s="1310">
        <v>8</v>
      </c>
      <c r="M40" s="1311">
        <v>48100</v>
      </c>
      <c r="N40" s="1312">
        <v>0</v>
      </c>
      <c r="O40" s="1310" t="s">
        <v>1633</v>
      </c>
      <c r="P40" s="1313">
        <v>0</v>
      </c>
    </row>
    <row r="41" spans="1:16" ht="22.5" x14ac:dyDescent="0.2">
      <c r="A41" s="1302" t="s">
        <v>292</v>
      </c>
      <c r="B41" s="1303" t="s">
        <v>1141</v>
      </c>
      <c r="C41" s="1303" t="s">
        <v>98</v>
      </c>
      <c r="D41" s="1314" t="s">
        <v>1723</v>
      </c>
      <c r="E41" s="1305">
        <v>15600</v>
      </c>
      <c r="F41" s="1306" t="s">
        <v>1724</v>
      </c>
      <c r="G41" s="1307" t="s">
        <v>1725</v>
      </c>
      <c r="H41" s="1315" t="s">
        <v>1620</v>
      </c>
      <c r="I41" s="1315" t="s">
        <v>1598</v>
      </c>
      <c r="J41" s="1316" t="s">
        <v>1604</v>
      </c>
      <c r="K41" s="1309">
        <v>0</v>
      </c>
      <c r="L41" s="1310" t="s">
        <v>1633</v>
      </c>
      <c r="M41" s="1311">
        <v>0</v>
      </c>
      <c r="N41" s="1312">
        <v>1</v>
      </c>
      <c r="O41" s="1310">
        <v>3</v>
      </c>
      <c r="P41" s="1313">
        <v>37440</v>
      </c>
    </row>
    <row r="42" spans="1:16" ht="22.5" x14ac:dyDescent="0.2">
      <c r="A42" s="1302" t="s">
        <v>292</v>
      </c>
      <c r="B42" s="1303" t="s">
        <v>1141</v>
      </c>
      <c r="C42" s="1303" t="s">
        <v>98</v>
      </c>
      <c r="D42" s="1304" t="s">
        <v>1726</v>
      </c>
      <c r="E42" s="1305">
        <v>4000</v>
      </c>
      <c r="F42" s="1306" t="s">
        <v>1727</v>
      </c>
      <c r="G42" s="1307" t="s">
        <v>1728</v>
      </c>
      <c r="H42" s="1307" t="s">
        <v>1686</v>
      </c>
      <c r="I42" s="1307" t="s">
        <v>1616</v>
      </c>
      <c r="J42" s="1308" t="s">
        <v>1616</v>
      </c>
      <c r="K42" s="1309">
        <v>1</v>
      </c>
      <c r="L42" s="1310">
        <v>6</v>
      </c>
      <c r="M42" s="1311">
        <v>23066.67</v>
      </c>
      <c r="N42" s="1312">
        <v>1</v>
      </c>
      <c r="O42" s="1310">
        <v>6</v>
      </c>
      <c r="P42" s="1313">
        <v>24000</v>
      </c>
    </row>
    <row r="43" spans="1:16" x14ac:dyDescent="0.2">
      <c r="A43" s="1302" t="s">
        <v>292</v>
      </c>
      <c r="B43" s="1303" t="s">
        <v>1141</v>
      </c>
      <c r="C43" s="1303" t="s">
        <v>98</v>
      </c>
      <c r="D43" s="1307" t="s">
        <v>1729</v>
      </c>
      <c r="E43" s="1305">
        <v>8000</v>
      </c>
      <c r="F43" s="1306" t="s">
        <v>1730</v>
      </c>
      <c r="G43" s="1307" t="s">
        <v>1731</v>
      </c>
      <c r="H43" s="1307" t="s">
        <v>1732</v>
      </c>
      <c r="I43" s="1307" t="s">
        <v>1598</v>
      </c>
      <c r="J43" s="1308" t="s">
        <v>1604</v>
      </c>
      <c r="K43" s="1309">
        <v>1</v>
      </c>
      <c r="L43" s="1310">
        <v>12</v>
      </c>
      <c r="M43" s="1311">
        <v>91983.33</v>
      </c>
      <c r="N43" s="1312">
        <v>1</v>
      </c>
      <c r="O43" s="1310">
        <v>6</v>
      </c>
      <c r="P43" s="1313">
        <v>48000</v>
      </c>
    </row>
    <row r="44" spans="1:16" ht="22.5" x14ac:dyDescent="0.2">
      <c r="A44" s="1302" t="s">
        <v>292</v>
      </c>
      <c r="B44" s="1303" t="s">
        <v>1141</v>
      </c>
      <c r="C44" s="1303" t="s">
        <v>98</v>
      </c>
      <c r="D44" s="1304" t="s">
        <v>1733</v>
      </c>
      <c r="E44" s="1305">
        <v>3300</v>
      </c>
      <c r="F44" s="1306" t="s">
        <v>1734</v>
      </c>
      <c r="G44" s="1307" t="s">
        <v>1735</v>
      </c>
      <c r="H44" s="1307" t="s">
        <v>1732</v>
      </c>
      <c r="I44" s="1307" t="s">
        <v>1598</v>
      </c>
      <c r="J44" s="1308" t="s">
        <v>1604</v>
      </c>
      <c r="K44" s="1309">
        <v>1</v>
      </c>
      <c r="L44" s="1310">
        <v>4</v>
      </c>
      <c r="M44" s="1311">
        <v>12760</v>
      </c>
      <c r="N44" s="1312">
        <v>1</v>
      </c>
      <c r="O44" s="1310">
        <v>6</v>
      </c>
      <c r="P44" s="1313">
        <v>19800</v>
      </c>
    </row>
    <row r="45" spans="1:16" x14ac:dyDescent="0.2">
      <c r="A45" s="1302" t="s">
        <v>292</v>
      </c>
      <c r="B45" s="1303" t="s">
        <v>1141</v>
      </c>
      <c r="C45" s="1303" t="s">
        <v>98</v>
      </c>
      <c r="D45" s="1307" t="s">
        <v>1736</v>
      </c>
      <c r="E45" s="1305">
        <v>3500</v>
      </c>
      <c r="F45" s="1306" t="s">
        <v>1737</v>
      </c>
      <c r="G45" s="1307" t="s">
        <v>1738</v>
      </c>
      <c r="H45" s="1307" t="s">
        <v>1739</v>
      </c>
      <c r="I45" s="1307" t="s">
        <v>1598</v>
      </c>
      <c r="J45" s="1308" t="s">
        <v>1604</v>
      </c>
      <c r="K45" s="1309">
        <v>1</v>
      </c>
      <c r="L45" s="1310">
        <v>12</v>
      </c>
      <c r="M45" s="1311">
        <v>42300</v>
      </c>
      <c r="N45" s="1312">
        <v>1</v>
      </c>
      <c r="O45" s="1310">
        <v>6</v>
      </c>
      <c r="P45" s="1313">
        <v>21000</v>
      </c>
    </row>
    <row r="46" spans="1:16" x14ac:dyDescent="0.2">
      <c r="A46" s="1302" t="s">
        <v>292</v>
      </c>
      <c r="B46" s="1303" t="s">
        <v>1141</v>
      </c>
      <c r="C46" s="1303" t="s">
        <v>98</v>
      </c>
      <c r="D46" s="1307" t="s">
        <v>1740</v>
      </c>
      <c r="E46" s="1305">
        <v>5000</v>
      </c>
      <c r="F46" s="1306" t="s">
        <v>1741</v>
      </c>
      <c r="G46" s="1307" t="s">
        <v>1742</v>
      </c>
      <c r="H46" s="1307" t="s">
        <v>1743</v>
      </c>
      <c r="I46" s="1307" t="s">
        <v>1598</v>
      </c>
      <c r="J46" s="1308" t="s">
        <v>1604</v>
      </c>
      <c r="K46" s="1309">
        <v>1</v>
      </c>
      <c r="L46" s="1310">
        <v>1</v>
      </c>
      <c r="M46" s="1311">
        <v>332.32</v>
      </c>
      <c r="N46" s="1312">
        <v>0</v>
      </c>
      <c r="O46" s="1310" t="s">
        <v>1633</v>
      </c>
      <c r="P46" s="1313">
        <v>0</v>
      </c>
    </row>
    <row r="47" spans="1:16" ht="22.5" x14ac:dyDescent="0.2">
      <c r="A47" s="1302" t="s">
        <v>292</v>
      </c>
      <c r="B47" s="1303" t="s">
        <v>1141</v>
      </c>
      <c r="C47" s="1303" t="s">
        <v>98</v>
      </c>
      <c r="D47" s="1304" t="s">
        <v>1744</v>
      </c>
      <c r="E47" s="1305">
        <v>6000</v>
      </c>
      <c r="F47" s="1306" t="s">
        <v>1745</v>
      </c>
      <c r="G47" s="1307" t="s">
        <v>1746</v>
      </c>
      <c r="H47" s="1307" t="s">
        <v>1732</v>
      </c>
      <c r="I47" s="1307" t="s">
        <v>1621</v>
      </c>
      <c r="J47" s="1308" t="s">
        <v>1604</v>
      </c>
      <c r="K47" s="1309">
        <v>1</v>
      </c>
      <c r="L47" s="1310">
        <v>11</v>
      </c>
      <c r="M47" s="1311">
        <v>48934.270000000004</v>
      </c>
      <c r="N47" s="1312">
        <v>0</v>
      </c>
      <c r="O47" s="1310" t="s">
        <v>1633</v>
      </c>
      <c r="P47" s="1313">
        <v>0</v>
      </c>
    </row>
    <row r="48" spans="1:16" x14ac:dyDescent="0.2">
      <c r="A48" s="1302" t="s">
        <v>292</v>
      </c>
      <c r="B48" s="1303" t="s">
        <v>1141</v>
      </c>
      <c r="C48" s="1303" t="s">
        <v>98</v>
      </c>
      <c r="D48" s="1307" t="s">
        <v>1747</v>
      </c>
      <c r="E48" s="1305">
        <v>7000</v>
      </c>
      <c r="F48" s="1306" t="s">
        <v>1748</v>
      </c>
      <c r="G48" s="1307" t="s">
        <v>1749</v>
      </c>
      <c r="H48" s="1307" t="s">
        <v>1668</v>
      </c>
      <c r="I48" s="1307" t="s">
        <v>1616</v>
      </c>
      <c r="J48" s="1308" t="s">
        <v>1604</v>
      </c>
      <c r="K48" s="1309">
        <v>1</v>
      </c>
      <c r="L48" s="1310">
        <v>9</v>
      </c>
      <c r="M48" s="1311">
        <v>49766.65</v>
      </c>
      <c r="N48" s="1312">
        <v>0</v>
      </c>
      <c r="O48" s="1310" t="s">
        <v>1633</v>
      </c>
      <c r="P48" s="1313">
        <v>0</v>
      </c>
    </row>
    <row r="49" spans="1:16" x14ac:dyDescent="0.2">
      <c r="A49" s="1302" t="s">
        <v>292</v>
      </c>
      <c r="B49" s="1303" t="s">
        <v>1141</v>
      </c>
      <c r="C49" s="1303" t="s">
        <v>98</v>
      </c>
      <c r="D49" s="1307" t="s">
        <v>1750</v>
      </c>
      <c r="E49" s="1305">
        <v>5500</v>
      </c>
      <c r="F49" s="1306" t="s">
        <v>1751</v>
      </c>
      <c r="G49" s="1307" t="s">
        <v>1752</v>
      </c>
      <c r="H49" s="1307" t="s">
        <v>1753</v>
      </c>
      <c r="I49" s="1307" t="s">
        <v>1598</v>
      </c>
      <c r="J49" s="1308" t="s">
        <v>1604</v>
      </c>
      <c r="K49" s="1309">
        <v>1</v>
      </c>
      <c r="L49" s="1310">
        <v>12</v>
      </c>
      <c r="M49" s="1311">
        <v>66300</v>
      </c>
      <c r="N49" s="1312">
        <v>1</v>
      </c>
      <c r="O49" s="1310">
        <v>6</v>
      </c>
      <c r="P49" s="1313">
        <v>32816.67</v>
      </c>
    </row>
    <row r="50" spans="1:16" x14ac:dyDescent="0.2">
      <c r="A50" s="1302" t="s">
        <v>292</v>
      </c>
      <c r="B50" s="1303" t="s">
        <v>1141</v>
      </c>
      <c r="C50" s="1303" t="s">
        <v>98</v>
      </c>
      <c r="D50" s="1307" t="s">
        <v>1754</v>
      </c>
      <c r="E50" s="1305">
        <v>15600</v>
      </c>
      <c r="F50" s="1306" t="s">
        <v>1755</v>
      </c>
      <c r="G50" s="1307" t="s">
        <v>1756</v>
      </c>
      <c r="H50" s="1307" t="s">
        <v>1647</v>
      </c>
      <c r="I50" s="1307" t="s">
        <v>1598</v>
      </c>
      <c r="J50" s="1308" t="s">
        <v>1604</v>
      </c>
      <c r="K50" s="1309">
        <v>1</v>
      </c>
      <c r="L50" s="1310">
        <v>12</v>
      </c>
      <c r="M50" s="1311">
        <v>187500</v>
      </c>
      <c r="N50" s="1312">
        <v>1</v>
      </c>
      <c r="O50" s="1310">
        <v>6</v>
      </c>
      <c r="P50" s="1313">
        <v>92040</v>
      </c>
    </row>
    <row r="51" spans="1:16" x14ac:dyDescent="0.2">
      <c r="A51" s="1302" t="s">
        <v>292</v>
      </c>
      <c r="B51" s="1303" t="s">
        <v>1141</v>
      </c>
      <c r="C51" s="1303" t="s">
        <v>98</v>
      </c>
      <c r="D51" s="1307" t="s">
        <v>1757</v>
      </c>
      <c r="E51" s="1305">
        <v>3000</v>
      </c>
      <c r="F51" s="1306" t="s">
        <v>1758</v>
      </c>
      <c r="G51" s="1307" t="s">
        <v>1759</v>
      </c>
      <c r="H51" s="1307" t="s">
        <v>1760</v>
      </c>
      <c r="I51" s="1307" t="s">
        <v>1598</v>
      </c>
      <c r="J51" s="1308" t="s">
        <v>1599</v>
      </c>
      <c r="K51" s="1309">
        <v>1</v>
      </c>
      <c r="L51" s="1310">
        <v>12</v>
      </c>
      <c r="M51" s="1311">
        <v>36300</v>
      </c>
      <c r="N51" s="1312">
        <v>1</v>
      </c>
      <c r="O51" s="1310">
        <v>6</v>
      </c>
      <c r="P51" s="1313">
        <v>18000</v>
      </c>
    </row>
    <row r="52" spans="1:16" x14ac:dyDescent="0.2">
      <c r="A52" s="1302" t="s">
        <v>292</v>
      </c>
      <c r="B52" s="1303" t="s">
        <v>1141</v>
      </c>
      <c r="C52" s="1303" t="s">
        <v>98</v>
      </c>
      <c r="D52" s="1307" t="s">
        <v>1761</v>
      </c>
      <c r="E52" s="1305">
        <v>12000</v>
      </c>
      <c r="F52" s="1306" t="s">
        <v>1762</v>
      </c>
      <c r="G52" s="1307" t="s">
        <v>1763</v>
      </c>
      <c r="H52" s="1307" t="s">
        <v>1764</v>
      </c>
      <c r="I52" s="1307" t="s">
        <v>1598</v>
      </c>
      <c r="J52" s="1308" t="s">
        <v>1604</v>
      </c>
      <c r="K52" s="1309">
        <v>1</v>
      </c>
      <c r="L52" s="1310">
        <v>1</v>
      </c>
      <c r="M52" s="1311">
        <v>10400</v>
      </c>
      <c r="N52" s="1312">
        <v>0</v>
      </c>
      <c r="O52" s="1310" t="s">
        <v>1633</v>
      </c>
      <c r="P52" s="1313">
        <v>0</v>
      </c>
    </row>
    <row r="53" spans="1:16" x14ac:dyDescent="0.2">
      <c r="A53" s="1302" t="s">
        <v>292</v>
      </c>
      <c r="B53" s="1303" t="s">
        <v>1141</v>
      </c>
      <c r="C53" s="1303" t="s">
        <v>98</v>
      </c>
      <c r="D53" s="1307" t="s">
        <v>1765</v>
      </c>
      <c r="E53" s="1305">
        <v>8000</v>
      </c>
      <c r="F53" s="1306" t="s">
        <v>1766</v>
      </c>
      <c r="G53" s="1307" t="s">
        <v>1767</v>
      </c>
      <c r="H53" s="1307" t="s">
        <v>1753</v>
      </c>
      <c r="I53" s="1307" t="s">
        <v>1616</v>
      </c>
      <c r="J53" s="1308" t="s">
        <v>1604</v>
      </c>
      <c r="K53" s="1309">
        <v>1</v>
      </c>
      <c r="L53" s="1310">
        <v>10</v>
      </c>
      <c r="M53" s="1311">
        <v>82700</v>
      </c>
      <c r="N53" s="1312">
        <v>1</v>
      </c>
      <c r="O53" s="1310">
        <v>6</v>
      </c>
      <c r="P53" s="1313">
        <v>48000</v>
      </c>
    </row>
    <row r="54" spans="1:16" x14ac:dyDescent="0.2">
      <c r="A54" s="1302" t="s">
        <v>292</v>
      </c>
      <c r="B54" s="1303" t="s">
        <v>1141</v>
      </c>
      <c r="C54" s="1303" t="s">
        <v>98</v>
      </c>
      <c r="D54" s="1307" t="s">
        <v>1768</v>
      </c>
      <c r="E54" s="1305">
        <v>1800</v>
      </c>
      <c r="F54" s="1306" t="s">
        <v>1769</v>
      </c>
      <c r="G54" s="1307" t="s">
        <v>1770</v>
      </c>
      <c r="H54" s="1307" t="s">
        <v>1632</v>
      </c>
      <c r="I54" s="1307" t="s">
        <v>1698</v>
      </c>
      <c r="J54" s="1308" t="s">
        <v>1771</v>
      </c>
      <c r="K54" s="1309">
        <v>1</v>
      </c>
      <c r="L54" s="1310">
        <v>6</v>
      </c>
      <c r="M54" s="1311">
        <v>10380</v>
      </c>
      <c r="N54" s="1312">
        <v>1</v>
      </c>
      <c r="O54" s="1310">
        <v>6</v>
      </c>
      <c r="P54" s="1313">
        <v>10740</v>
      </c>
    </row>
    <row r="55" spans="1:16" x14ac:dyDescent="0.2">
      <c r="A55" s="1302" t="s">
        <v>292</v>
      </c>
      <c r="B55" s="1303" t="s">
        <v>1141</v>
      </c>
      <c r="C55" s="1303" t="s">
        <v>98</v>
      </c>
      <c r="D55" s="1307" t="s">
        <v>1772</v>
      </c>
      <c r="E55" s="1305">
        <v>7000</v>
      </c>
      <c r="F55" s="1306" t="s">
        <v>1773</v>
      </c>
      <c r="G55" s="1307" t="s">
        <v>1774</v>
      </c>
      <c r="H55" s="1307" t="s">
        <v>1603</v>
      </c>
      <c r="I55" s="1307" t="s">
        <v>1616</v>
      </c>
      <c r="J55" s="1308" t="s">
        <v>1604</v>
      </c>
      <c r="K55" s="1309">
        <v>1</v>
      </c>
      <c r="L55" s="1310">
        <v>12</v>
      </c>
      <c r="M55" s="1311">
        <v>84265.97</v>
      </c>
      <c r="N55" s="1312">
        <v>1</v>
      </c>
      <c r="O55" s="1310">
        <v>6</v>
      </c>
      <c r="P55" s="1313">
        <v>42000</v>
      </c>
    </row>
    <row r="56" spans="1:16" ht="22.5" x14ac:dyDescent="0.2">
      <c r="A56" s="1302" t="s">
        <v>292</v>
      </c>
      <c r="B56" s="1303" t="s">
        <v>1141</v>
      </c>
      <c r="C56" s="1303" t="s">
        <v>98</v>
      </c>
      <c r="D56" s="1304" t="s">
        <v>1775</v>
      </c>
      <c r="E56" s="1305">
        <v>3200</v>
      </c>
      <c r="F56" s="1306" t="s">
        <v>1776</v>
      </c>
      <c r="G56" s="1307" t="s">
        <v>1777</v>
      </c>
      <c r="H56" s="1307" t="s">
        <v>1694</v>
      </c>
      <c r="I56" s="1307" t="s">
        <v>1598</v>
      </c>
      <c r="J56" s="1308" t="s">
        <v>1599</v>
      </c>
      <c r="K56" s="1309">
        <v>1</v>
      </c>
      <c r="L56" s="1310">
        <v>12</v>
      </c>
      <c r="M56" s="1311">
        <v>38700</v>
      </c>
      <c r="N56" s="1312">
        <v>1</v>
      </c>
      <c r="O56" s="1310">
        <v>6</v>
      </c>
      <c r="P56" s="1313">
        <v>19200</v>
      </c>
    </row>
    <row r="57" spans="1:16" x14ac:dyDescent="0.2">
      <c r="A57" s="1302" t="s">
        <v>292</v>
      </c>
      <c r="B57" s="1303" t="s">
        <v>1141</v>
      </c>
      <c r="C57" s="1303" t="s">
        <v>98</v>
      </c>
      <c r="D57" s="1315" t="s">
        <v>1778</v>
      </c>
      <c r="E57" s="1305">
        <v>9000</v>
      </c>
      <c r="F57" s="1306" t="s">
        <v>1779</v>
      </c>
      <c r="G57" s="1307" t="s">
        <v>1780</v>
      </c>
      <c r="H57" s="1315" t="s">
        <v>1603</v>
      </c>
      <c r="I57" s="1315" t="s">
        <v>1598</v>
      </c>
      <c r="J57" s="1316" t="s">
        <v>1616</v>
      </c>
      <c r="K57" s="1309">
        <v>0</v>
      </c>
      <c r="L57" s="1310" t="s">
        <v>1633</v>
      </c>
      <c r="M57" s="1311">
        <v>0</v>
      </c>
      <c r="N57" s="1312">
        <v>1</v>
      </c>
      <c r="O57" s="1310">
        <v>6</v>
      </c>
      <c r="P57" s="1313">
        <v>55500</v>
      </c>
    </row>
    <row r="58" spans="1:16" x14ac:dyDescent="0.2">
      <c r="A58" s="1302" t="s">
        <v>292</v>
      </c>
      <c r="B58" s="1303" t="s">
        <v>1141</v>
      </c>
      <c r="C58" s="1303" t="s">
        <v>98</v>
      </c>
      <c r="D58" s="1307" t="s">
        <v>1781</v>
      </c>
      <c r="E58" s="1305">
        <v>3500</v>
      </c>
      <c r="F58" s="1306" t="s">
        <v>1782</v>
      </c>
      <c r="G58" s="1307" t="s">
        <v>1783</v>
      </c>
      <c r="H58" s="1307" t="s">
        <v>1713</v>
      </c>
      <c r="I58" s="1307" t="s">
        <v>1598</v>
      </c>
      <c r="J58" s="1308" t="s">
        <v>1604</v>
      </c>
      <c r="K58" s="1309">
        <v>1</v>
      </c>
      <c r="L58" s="1310">
        <v>6</v>
      </c>
      <c r="M58" s="1311">
        <v>20183.330000000002</v>
      </c>
      <c r="N58" s="1312">
        <v>1</v>
      </c>
      <c r="O58" s="1310">
        <v>6</v>
      </c>
      <c r="P58" s="1313">
        <v>21000</v>
      </c>
    </row>
    <row r="59" spans="1:16" x14ac:dyDescent="0.2">
      <c r="A59" s="1302" t="s">
        <v>292</v>
      </c>
      <c r="B59" s="1303" t="s">
        <v>1141</v>
      </c>
      <c r="C59" s="1303" t="s">
        <v>98</v>
      </c>
      <c r="D59" s="1307" t="s">
        <v>1784</v>
      </c>
      <c r="E59" s="1305">
        <v>8000</v>
      </c>
      <c r="F59" s="1306" t="s">
        <v>1785</v>
      </c>
      <c r="G59" s="1307" t="s">
        <v>1786</v>
      </c>
      <c r="H59" s="1307" t="s">
        <v>1603</v>
      </c>
      <c r="I59" s="1307" t="s">
        <v>1616</v>
      </c>
      <c r="J59" s="1308" t="s">
        <v>1604</v>
      </c>
      <c r="K59" s="1309">
        <v>1</v>
      </c>
      <c r="L59" s="1310">
        <v>12</v>
      </c>
      <c r="M59" s="1311">
        <v>89141.11</v>
      </c>
      <c r="N59" s="1312">
        <v>1</v>
      </c>
      <c r="O59" s="1310">
        <v>6</v>
      </c>
      <c r="P59" s="1313">
        <v>48000</v>
      </c>
    </row>
    <row r="60" spans="1:16" x14ac:dyDescent="0.2">
      <c r="A60" s="1302" t="s">
        <v>292</v>
      </c>
      <c r="B60" s="1303" t="s">
        <v>1141</v>
      </c>
      <c r="C60" s="1303" t="s">
        <v>98</v>
      </c>
      <c r="D60" s="1307" t="s">
        <v>1787</v>
      </c>
      <c r="E60" s="1305">
        <v>3000</v>
      </c>
      <c r="F60" s="1306" t="s">
        <v>1788</v>
      </c>
      <c r="G60" s="1307" t="s">
        <v>1789</v>
      </c>
      <c r="H60" s="1307" t="s">
        <v>1608</v>
      </c>
      <c r="I60" s="1307" t="s">
        <v>1698</v>
      </c>
      <c r="J60" s="1308" t="s">
        <v>1771</v>
      </c>
      <c r="K60" s="1309">
        <v>1</v>
      </c>
      <c r="L60" s="1310">
        <v>4</v>
      </c>
      <c r="M60" s="1311">
        <v>11600</v>
      </c>
      <c r="N60" s="1312">
        <v>1</v>
      </c>
      <c r="O60" s="1310">
        <v>6</v>
      </c>
      <c r="P60" s="1313">
        <v>18000</v>
      </c>
    </row>
    <row r="61" spans="1:16" ht="22.5" x14ac:dyDescent="0.2">
      <c r="A61" s="1302" t="s">
        <v>292</v>
      </c>
      <c r="B61" s="1303" t="s">
        <v>1141</v>
      </c>
      <c r="C61" s="1303" t="s">
        <v>98</v>
      </c>
      <c r="D61" s="1304" t="s">
        <v>1790</v>
      </c>
      <c r="E61" s="1305">
        <v>8000</v>
      </c>
      <c r="F61" s="1306" t="s">
        <v>1791</v>
      </c>
      <c r="G61" s="1307" t="s">
        <v>1792</v>
      </c>
      <c r="H61" s="1307" t="s">
        <v>1793</v>
      </c>
      <c r="I61" s="1307" t="s">
        <v>1616</v>
      </c>
      <c r="J61" s="1308" t="s">
        <v>1604</v>
      </c>
      <c r="K61" s="1309">
        <v>1</v>
      </c>
      <c r="L61" s="1310">
        <v>3</v>
      </c>
      <c r="M61" s="1311">
        <v>24000</v>
      </c>
      <c r="N61" s="1312">
        <v>0</v>
      </c>
      <c r="O61" s="1310" t="s">
        <v>1633</v>
      </c>
      <c r="P61" s="1313">
        <v>0</v>
      </c>
    </row>
    <row r="62" spans="1:16" ht="22.5" x14ac:dyDescent="0.2">
      <c r="A62" s="1302" t="s">
        <v>292</v>
      </c>
      <c r="B62" s="1303" t="s">
        <v>1141</v>
      </c>
      <c r="C62" s="1303" t="s">
        <v>98</v>
      </c>
      <c r="D62" s="1304" t="s">
        <v>1794</v>
      </c>
      <c r="E62" s="1305">
        <v>15600</v>
      </c>
      <c r="F62" s="1306" t="s">
        <v>1795</v>
      </c>
      <c r="G62" s="1307" t="s">
        <v>1796</v>
      </c>
      <c r="H62" s="1307" t="s">
        <v>1797</v>
      </c>
      <c r="I62" s="1307" t="s">
        <v>1598</v>
      </c>
      <c r="J62" s="1308" t="s">
        <v>1604</v>
      </c>
      <c r="K62" s="1309">
        <v>1</v>
      </c>
      <c r="L62" s="1310">
        <v>1</v>
      </c>
      <c r="M62" s="1311">
        <v>20280</v>
      </c>
      <c r="N62" s="1312">
        <v>0</v>
      </c>
      <c r="O62" s="1310" t="s">
        <v>1633</v>
      </c>
      <c r="P62" s="1313">
        <v>0</v>
      </c>
    </row>
    <row r="63" spans="1:16" x14ac:dyDescent="0.2">
      <c r="A63" s="1302" t="s">
        <v>292</v>
      </c>
      <c r="B63" s="1303" t="s">
        <v>1141</v>
      </c>
      <c r="C63" s="1303" t="s">
        <v>98</v>
      </c>
      <c r="D63" s="1307" t="s">
        <v>1772</v>
      </c>
      <c r="E63" s="1305">
        <v>10500</v>
      </c>
      <c r="F63" s="1306" t="s">
        <v>1798</v>
      </c>
      <c r="G63" s="1307" t="s">
        <v>1799</v>
      </c>
      <c r="H63" s="1307" t="s">
        <v>1603</v>
      </c>
      <c r="I63" s="1307" t="s">
        <v>1598</v>
      </c>
      <c r="J63" s="1308" t="s">
        <v>1604</v>
      </c>
      <c r="K63" s="1309">
        <v>1</v>
      </c>
      <c r="L63" s="1310">
        <v>12</v>
      </c>
      <c r="M63" s="1311">
        <v>126600</v>
      </c>
      <c r="N63" s="1312">
        <v>1</v>
      </c>
      <c r="O63" s="1310">
        <v>6</v>
      </c>
      <c r="P63" s="1313">
        <v>63000</v>
      </c>
    </row>
    <row r="64" spans="1:16" x14ac:dyDescent="0.2">
      <c r="A64" s="1302" t="s">
        <v>292</v>
      </c>
      <c r="B64" s="1303" t="s">
        <v>1141</v>
      </c>
      <c r="C64" s="1303" t="s">
        <v>98</v>
      </c>
      <c r="D64" s="1315" t="s">
        <v>1800</v>
      </c>
      <c r="E64" s="1305">
        <v>15600</v>
      </c>
      <c r="F64" s="1306" t="s">
        <v>1801</v>
      </c>
      <c r="G64" s="1307" t="s">
        <v>1802</v>
      </c>
      <c r="H64" s="1315" t="s">
        <v>1686</v>
      </c>
      <c r="I64" s="1315" t="s">
        <v>1598</v>
      </c>
      <c r="J64" s="1316" t="s">
        <v>1604</v>
      </c>
      <c r="K64" s="1309">
        <v>0</v>
      </c>
      <c r="L64" s="1310" t="s">
        <v>1633</v>
      </c>
      <c r="M64" s="1311">
        <v>0</v>
      </c>
      <c r="N64" s="1312">
        <v>1</v>
      </c>
      <c r="O64" s="1310">
        <v>4</v>
      </c>
      <c r="P64" s="1313">
        <v>63440</v>
      </c>
    </row>
    <row r="65" spans="1:16" x14ac:dyDescent="0.2">
      <c r="A65" s="1302" t="s">
        <v>292</v>
      </c>
      <c r="B65" s="1303" t="s">
        <v>1141</v>
      </c>
      <c r="C65" s="1303" t="s">
        <v>98</v>
      </c>
      <c r="D65" s="1307" t="s">
        <v>1803</v>
      </c>
      <c r="E65" s="1305">
        <v>3200</v>
      </c>
      <c r="F65" s="1306" t="s">
        <v>1804</v>
      </c>
      <c r="G65" s="1307" t="s">
        <v>1805</v>
      </c>
      <c r="H65" s="1307" t="s">
        <v>1806</v>
      </c>
      <c r="I65" s="1307" t="s">
        <v>1698</v>
      </c>
      <c r="J65" s="1308" t="s">
        <v>1599</v>
      </c>
      <c r="K65" s="1309">
        <v>1</v>
      </c>
      <c r="L65" s="1310">
        <v>12</v>
      </c>
      <c r="M65" s="1311">
        <v>38700</v>
      </c>
      <c r="N65" s="1312">
        <v>1</v>
      </c>
      <c r="O65" s="1310">
        <v>6</v>
      </c>
      <c r="P65" s="1313">
        <v>19200</v>
      </c>
    </row>
    <row r="66" spans="1:16" ht="22.5" x14ac:dyDescent="0.2">
      <c r="A66" s="1302" t="s">
        <v>292</v>
      </c>
      <c r="B66" s="1303" t="s">
        <v>1141</v>
      </c>
      <c r="C66" s="1303" t="s">
        <v>98</v>
      </c>
      <c r="D66" s="1304" t="s">
        <v>1807</v>
      </c>
      <c r="E66" s="1305">
        <v>6000</v>
      </c>
      <c r="F66" s="1306" t="s">
        <v>1808</v>
      </c>
      <c r="G66" s="1307" t="s">
        <v>1809</v>
      </c>
      <c r="H66" s="1307" t="s">
        <v>1753</v>
      </c>
      <c r="I66" s="1307" t="s">
        <v>1598</v>
      </c>
      <c r="J66" s="1308" t="s">
        <v>1604</v>
      </c>
      <c r="K66" s="1309">
        <v>1</v>
      </c>
      <c r="L66" s="1310">
        <v>3</v>
      </c>
      <c r="M66" s="1311">
        <v>18000</v>
      </c>
      <c r="N66" s="1312">
        <v>0</v>
      </c>
      <c r="O66" s="1310" t="s">
        <v>1633</v>
      </c>
      <c r="P66" s="1313">
        <v>0</v>
      </c>
    </row>
    <row r="67" spans="1:16" x14ac:dyDescent="0.2">
      <c r="A67" s="1302" t="s">
        <v>292</v>
      </c>
      <c r="B67" s="1303" t="s">
        <v>1141</v>
      </c>
      <c r="C67" s="1303" t="s">
        <v>98</v>
      </c>
      <c r="D67" s="1307" t="s">
        <v>1803</v>
      </c>
      <c r="E67" s="1305">
        <v>4500</v>
      </c>
      <c r="F67" s="1306" t="s">
        <v>1810</v>
      </c>
      <c r="G67" s="1307" t="s">
        <v>1811</v>
      </c>
      <c r="H67" s="1307" t="s">
        <v>1812</v>
      </c>
      <c r="I67" s="1307" t="s">
        <v>1598</v>
      </c>
      <c r="J67" s="1308" t="s">
        <v>1604</v>
      </c>
      <c r="K67" s="1309">
        <v>1</v>
      </c>
      <c r="L67" s="1310">
        <v>12</v>
      </c>
      <c r="M67" s="1311">
        <v>50750</v>
      </c>
      <c r="N67" s="1312">
        <v>1</v>
      </c>
      <c r="O67" s="1310">
        <v>6</v>
      </c>
      <c r="P67" s="1313">
        <v>27000</v>
      </c>
    </row>
    <row r="68" spans="1:16" x14ac:dyDescent="0.2">
      <c r="A68" s="1302" t="s">
        <v>292</v>
      </c>
      <c r="B68" s="1303" t="s">
        <v>1141</v>
      </c>
      <c r="C68" s="1303" t="s">
        <v>98</v>
      </c>
      <c r="D68" s="1307" t="s">
        <v>1813</v>
      </c>
      <c r="E68" s="1305">
        <v>5300</v>
      </c>
      <c r="F68" s="1306" t="s">
        <v>1814</v>
      </c>
      <c r="G68" s="1307" t="s">
        <v>1815</v>
      </c>
      <c r="H68" s="1307" t="s">
        <v>1620</v>
      </c>
      <c r="I68" s="1307" t="s">
        <v>1598</v>
      </c>
      <c r="J68" s="1308" t="s">
        <v>1604</v>
      </c>
      <c r="K68" s="1309">
        <v>1</v>
      </c>
      <c r="L68" s="1310">
        <v>12</v>
      </c>
      <c r="M68" s="1311">
        <v>63900</v>
      </c>
      <c r="N68" s="1312">
        <v>1</v>
      </c>
      <c r="O68" s="1310">
        <v>6</v>
      </c>
      <c r="P68" s="1313">
        <v>31800</v>
      </c>
    </row>
    <row r="69" spans="1:16" x14ac:dyDescent="0.2">
      <c r="A69" s="1302" t="s">
        <v>292</v>
      </c>
      <c r="B69" s="1303" t="s">
        <v>1141</v>
      </c>
      <c r="C69" s="1303" t="s">
        <v>98</v>
      </c>
      <c r="D69" s="1307" t="s">
        <v>1816</v>
      </c>
      <c r="E69" s="1305">
        <v>2750</v>
      </c>
      <c r="F69" s="1306" t="s">
        <v>1817</v>
      </c>
      <c r="G69" s="1307" t="s">
        <v>1818</v>
      </c>
      <c r="H69" s="1307" t="s">
        <v>1819</v>
      </c>
      <c r="I69" s="1307" t="s">
        <v>1698</v>
      </c>
      <c r="J69" s="1308" t="s">
        <v>1771</v>
      </c>
      <c r="K69" s="1309">
        <v>1</v>
      </c>
      <c r="L69" s="1310">
        <v>12</v>
      </c>
      <c r="M69" s="1311">
        <v>33300</v>
      </c>
      <c r="N69" s="1312">
        <v>1</v>
      </c>
      <c r="O69" s="1310">
        <v>6</v>
      </c>
      <c r="P69" s="1313">
        <v>16500</v>
      </c>
    </row>
    <row r="70" spans="1:16" ht="22.5" x14ac:dyDescent="0.2">
      <c r="A70" s="1302" t="s">
        <v>292</v>
      </c>
      <c r="B70" s="1303" t="s">
        <v>1141</v>
      </c>
      <c r="C70" s="1303" t="s">
        <v>98</v>
      </c>
      <c r="D70" s="1304" t="s">
        <v>1820</v>
      </c>
      <c r="E70" s="1305">
        <v>7000</v>
      </c>
      <c r="F70" s="1306" t="s">
        <v>1821</v>
      </c>
      <c r="G70" s="1307" t="s">
        <v>1822</v>
      </c>
      <c r="H70" s="1307" t="s">
        <v>1625</v>
      </c>
      <c r="I70" s="1307" t="s">
        <v>1616</v>
      </c>
      <c r="J70" s="1308" t="s">
        <v>1604</v>
      </c>
      <c r="K70" s="1309">
        <v>1</v>
      </c>
      <c r="L70" s="1310">
        <v>3</v>
      </c>
      <c r="M70" s="1311">
        <v>21000</v>
      </c>
      <c r="N70" s="1312">
        <v>0</v>
      </c>
      <c r="O70" s="1310" t="s">
        <v>1633</v>
      </c>
      <c r="P70" s="1313">
        <v>0</v>
      </c>
    </row>
    <row r="71" spans="1:16" ht="33.75" x14ac:dyDescent="0.2">
      <c r="A71" s="1302" t="s">
        <v>292</v>
      </c>
      <c r="B71" s="1303" t="s">
        <v>1141</v>
      </c>
      <c r="C71" s="1303" t="s">
        <v>98</v>
      </c>
      <c r="D71" s="1304" t="s">
        <v>1823</v>
      </c>
      <c r="E71" s="1305">
        <v>3000</v>
      </c>
      <c r="F71" s="1306" t="s">
        <v>1824</v>
      </c>
      <c r="G71" s="1307" t="s">
        <v>1825</v>
      </c>
      <c r="H71" s="1307" t="s">
        <v>1826</v>
      </c>
      <c r="I71" s="1307" t="s">
        <v>1616</v>
      </c>
      <c r="J71" s="1308" t="s">
        <v>1604</v>
      </c>
      <c r="K71" s="1309">
        <v>1</v>
      </c>
      <c r="L71" s="1310">
        <v>6</v>
      </c>
      <c r="M71" s="1311">
        <v>17200</v>
      </c>
      <c r="N71" s="1312">
        <v>1</v>
      </c>
      <c r="O71" s="1310">
        <v>6</v>
      </c>
      <c r="P71" s="1313">
        <v>18000</v>
      </c>
    </row>
    <row r="72" spans="1:16" ht="22.5" x14ac:dyDescent="0.2">
      <c r="A72" s="1302" t="s">
        <v>292</v>
      </c>
      <c r="B72" s="1303" t="s">
        <v>1141</v>
      </c>
      <c r="C72" s="1303" t="s">
        <v>98</v>
      </c>
      <c r="D72" s="1304" t="s">
        <v>1827</v>
      </c>
      <c r="E72" s="1305">
        <v>10000</v>
      </c>
      <c r="F72" s="1306" t="s">
        <v>1828</v>
      </c>
      <c r="G72" s="1307" t="s">
        <v>1829</v>
      </c>
      <c r="H72" s="1307" t="s">
        <v>1603</v>
      </c>
      <c r="I72" s="1307" t="s">
        <v>1616</v>
      </c>
      <c r="J72" s="1308" t="s">
        <v>1604</v>
      </c>
      <c r="K72" s="1309">
        <v>1</v>
      </c>
      <c r="L72" s="1310">
        <v>12</v>
      </c>
      <c r="M72" s="1311">
        <v>106508.88</v>
      </c>
      <c r="N72" s="1312">
        <v>1</v>
      </c>
      <c r="O72" s="1310">
        <v>1</v>
      </c>
      <c r="P72" s="1313">
        <v>4666.6099999999997</v>
      </c>
    </row>
    <row r="73" spans="1:16" x14ac:dyDescent="0.2">
      <c r="A73" s="1302" t="s">
        <v>292</v>
      </c>
      <c r="B73" s="1303" t="s">
        <v>1141</v>
      </c>
      <c r="C73" s="1303" t="s">
        <v>98</v>
      </c>
      <c r="D73" s="1307" t="s">
        <v>1665</v>
      </c>
      <c r="E73" s="1305">
        <v>7500</v>
      </c>
      <c r="F73" s="1306" t="s">
        <v>1830</v>
      </c>
      <c r="G73" s="1307" t="s">
        <v>1831</v>
      </c>
      <c r="H73" s="1307" t="s">
        <v>1672</v>
      </c>
      <c r="I73" s="1307" t="s">
        <v>1598</v>
      </c>
      <c r="J73" s="1308" t="s">
        <v>1604</v>
      </c>
      <c r="K73" s="1309">
        <v>1</v>
      </c>
      <c r="L73" s="1310">
        <v>12</v>
      </c>
      <c r="M73" s="1311">
        <v>90600</v>
      </c>
      <c r="N73" s="1312">
        <v>1</v>
      </c>
      <c r="O73" s="1310">
        <v>6</v>
      </c>
      <c r="P73" s="1313">
        <v>45000</v>
      </c>
    </row>
    <row r="74" spans="1:16" x14ac:dyDescent="0.2">
      <c r="A74" s="1302" t="s">
        <v>292</v>
      </c>
      <c r="B74" s="1303" t="s">
        <v>1141</v>
      </c>
      <c r="C74" s="1303" t="s">
        <v>98</v>
      </c>
      <c r="D74" s="1307" t="s">
        <v>1832</v>
      </c>
      <c r="E74" s="1305">
        <v>10000</v>
      </c>
      <c r="F74" s="1306" t="s">
        <v>1833</v>
      </c>
      <c r="G74" s="1307" t="s">
        <v>1834</v>
      </c>
      <c r="H74" s="1307" t="s">
        <v>1664</v>
      </c>
      <c r="I74" s="1307" t="s">
        <v>1616</v>
      </c>
      <c r="J74" s="1308" t="s">
        <v>1604</v>
      </c>
      <c r="K74" s="1309">
        <v>1</v>
      </c>
      <c r="L74" s="1310">
        <v>10</v>
      </c>
      <c r="M74" s="1311">
        <v>100300</v>
      </c>
      <c r="N74" s="1312">
        <v>0</v>
      </c>
      <c r="O74" s="1310" t="s">
        <v>1633</v>
      </c>
      <c r="P74" s="1313">
        <v>0</v>
      </c>
    </row>
    <row r="75" spans="1:16" x14ac:dyDescent="0.2">
      <c r="A75" s="1302" t="s">
        <v>292</v>
      </c>
      <c r="B75" s="1303" t="s">
        <v>1141</v>
      </c>
      <c r="C75" s="1303" t="s">
        <v>98</v>
      </c>
      <c r="D75" s="1307" t="s">
        <v>1835</v>
      </c>
      <c r="E75" s="1305">
        <v>9000</v>
      </c>
      <c r="F75" s="1306" t="s">
        <v>1836</v>
      </c>
      <c r="G75" s="1307" t="s">
        <v>1837</v>
      </c>
      <c r="H75" s="1307" t="s">
        <v>1686</v>
      </c>
      <c r="I75" s="1307" t="s">
        <v>1598</v>
      </c>
      <c r="J75" s="1308" t="s">
        <v>1604</v>
      </c>
      <c r="K75" s="1309">
        <v>1</v>
      </c>
      <c r="L75" s="1310">
        <v>12</v>
      </c>
      <c r="M75" s="1311">
        <v>108000</v>
      </c>
      <c r="N75" s="1312">
        <v>1</v>
      </c>
      <c r="O75" s="1310">
        <v>6</v>
      </c>
      <c r="P75" s="1313">
        <v>53700</v>
      </c>
    </row>
    <row r="76" spans="1:16" x14ac:dyDescent="0.2">
      <c r="A76" s="1302" t="s">
        <v>292</v>
      </c>
      <c r="B76" s="1303" t="s">
        <v>1141</v>
      </c>
      <c r="C76" s="1303" t="s">
        <v>98</v>
      </c>
      <c r="D76" s="1307" t="s">
        <v>1838</v>
      </c>
      <c r="E76" s="1305">
        <v>7000</v>
      </c>
      <c r="F76" s="1306" t="s">
        <v>1839</v>
      </c>
      <c r="G76" s="1307" t="s">
        <v>1840</v>
      </c>
      <c r="H76" s="1307" t="s">
        <v>1819</v>
      </c>
      <c r="I76" s="1307" t="s">
        <v>1616</v>
      </c>
      <c r="J76" s="1308" t="s">
        <v>1616</v>
      </c>
      <c r="K76" s="1309">
        <v>1</v>
      </c>
      <c r="L76" s="1310">
        <v>6</v>
      </c>
      <c r="M76" s="1311">
        <v>40366.67</v>
      </c>
      <c r="N76" s="1312">
        <v>1</v>
      </c>
      <c r="O76" s="1310">
        <v>6</v>
      </c>
      <c r="P76" s="1313">
        <v>42000</v>
      </c>
    </row>
    <row r="77" spans="1:16" x14ac:dyDescent="0.2">
      <c r="A77" s="1302" t="s">
        <v>292</v>
      </c>
      <c r="B77" s="1303" t="s">
        <v>1141</v>
      </c>
      <c r="C77" s="1303" t="s">
        <v>98</v>
      </c>
      <c r="D77" s="1315" t="s">
        <v>1841</v>
      </c>
      <c r="E77" s="1305">
        <v>6000</v>
      </c>
      <c r="F77" s="1306" t="s">
        <v>1842</v>
      </c>
      <c r="G77" s="1307" t="s">
        <v>1843</v>
      </c>
      <c r="H77" s="1315" t="s">
        <v>1672</v>
      </c>
      <c r="I77" s="1315" t="s">
        <v>1598</v>
      </c>
      <c r="J77" s="1316" t="s">
        <v>1616</v>
      </c>
      <c r="K77" s="1309">
        <v>0</v>
      </c>
      <c r="L77" s="1310" t="s">
        <v>1633</v>
      </c>
      <c r="M77" s="1311">
        <v>0</v>
      </c>
      <c r="N77" s="1312">
        <v>1</v>
      </c>
      <c r="O77" s="1310">
        <v>6</v>
      </c>
      <c r="P77" s="1313">
        <v>35000</v>
      </c>
    </row>
    <row r="78" spans="1:16" x14ac:dyDescent="0.2">
      <c r="A78" s="1302" t="s">
        <v>292</v>
      </c>
      <c r="B78" s="1303" t="s">
        <v>1141</v>
      </c>
      <c r="C78" s="1303" t="s">
        <v>98</v>
      </c>
      <c r="D78" s="1307" t="s">
        <v>1844</v>
      </c>
      <c r="E78" s="1305">
        <v>6000</v>
      </c>
      <c r="F78" s="1306" t="s">
        <v>1845</v>
      </c>
      <c r="G78" s="1307" t="s">
        <v>1846</v>
      </c>
      <c r="H78" s="1307" t="s">
        <v>1847</v>
      </c>
      <c r="I78" s="1307" t="s">
        <v>1598</v>
      </c>
      <c r="J78" s="1308" t="s">
        <v>1604</v>
      </c>
      <c r="K78" s="1309">
        <v>1</v>
      </c>
      <c r="L78" s="1310">
        <v>9</v>
      </c>
      <c r="M78" s="1311">
        <v>52300</v>
      </c>
      <c r="N78" s="1312">
        <v>1</v>
      </c>
      <c r="O78" s="1310">
        <v>6</v>
      </c>
      <c r="P78" s="1313">
        <v>36000</v>
      </c>
    </row>
    <row r="79" spans="1:16" ht="22.5" x14ac:dyDescent="0.2">
      <c r="A79" s="1302" t="s">
        <v>292</v>
      </c>
      <c r="B79" s="1303" t="s">
        <v>1141</v>
      </c>
      <c r="C79" s="1303" t="s">
        <v>98</v>
      </c>
      <c r="D79" s="1304" t="s">
        <v>1848</v>
      </c>
      <c r="E79" s="1305">
        <v>4500</v>
      </c>
      <c r="F79" s="1306" t="s">
        <v>1849</v>
      </c>
      <c r="G79" s="1307" t="s">
        <v>1850</v>
      </c>
      <c r="H79" s="1307" t="s">
        <v>1702</v>
      </c>
      <c r="I79" s="1307" t="s">
        <v>1616</v>
      </c>
      <c r="J79" s="1308" t="s">
        <v>1604</v>
      </c>
      <c r="K79" s="1309">
        <v>1</v>
      </c>
      <c r="L79" s="1310">
        <v>12</v>
      </c>
      <c r="M79" s="1311">
        <v>54300</v>
      </c>
      <c r="N79" s="1312">
        <v>1</v>
      </c>
      <c r="O79" s="1310">
        <v>6</v>
      </c>
      <c r="P79" s="1313">
        <v>26850</v>
      </c>
    </row>
    <row r="80" spans="1:16" ht="22.5" x14ac:dyDescent="0.2">
      <c r="A80" s="1302" t="s">
        <v>292</v>
      </c>
      <c r="B80" s="1303" t="s">
        <v>1141</v>
      </c>
      <c r="C80" s="1303" t="s">
        <v>98</v>
      </c>
      <c r="D80" s="1304" t="s">
        <v>1851</v>
      </c>
      <c r="E80" s="1305">
        <v>11000</v>
      </c>
      <c r="F80" s="1306" t="s">
        <v>1852</v>
      </c>
      <c r="G80" s="1307" t="s">
        <v>1853</v>
      </c>
      <c r="H80" s="1307" t="s">
        <v>1826</v>
      </c>
      <c r="I80" s="1307" t="s">
        <v>1616</v>
      </c>
      <c r="J80" s="1308" t="s">
        <v>1604</v>
      </c>
      <c r="K80" s="1309">
        <v>1</v>
      </c>
      <c r="L80" s="1310">
        <v>12</v>
      </c>
      <c r="M80" s="1311">
        <v>132300</v>
      </c>
      <c r="N80" s="1312">
        <v>1</v>
      </c>
      <c r="O80" s="1310">
        <v>6</v>
      </c>
      <c r="P80" s="1313">
        <v>64533.33</v>
      </c>
    </row>
    <row r="81" spans="1:16" x14ac:dyDescent="0.2">
      <c r="A81" s="1302" t="s">
        <v>292</v>
      </c>
      <c r="B81" s="1303" t="s">
        <v>1141</v>
      </c>
      <c r="C81" s="1303" t="s">
        <v>98</v>
      </c>
      <c r="D81" s="1307" t="s">
        <v>1803</v>
      </c>
      <c r="E81" s="1305">
        <v>5000</v>
      </c>
      <c r="F81" s="1306" t="s">
        <v>1854</v>
      </c>
      <c r="G81" s="1307" t="s">
        <v>1855</v>
      </c>
      <c r="H81" s="1307" t="s">
        <v>1856</v>
      </c>
      <c r="I81" s="1307" t="s">
        <v>1698</v>
      </c>
      <c r="J81" s="1308" t="s">
        <v>1599</v>
      </c>
      <c r="K81" s="1309">
        <v>1</v>
      </c>
      <c r="L81" s="1310">
        <v>12</v>
      </c>
      <c r="M81" s="1311">
        <v>60221.87</v>
      </c>
      <c r="N81" s="1312">
        <v>1</v>
      </c>
      <c r="O81" s="1310">
        <v>6</v>
      </c>
      <c r="P81" s="1313">
        <v>30000</v>
      </c>
    </row>
    <row r="82" spans="1:16" ht="22.5" x14ac:dyDescent="0.2">
      <c r="A82" s="1302" t="s">
        <v>292</v>
      </c>
      <c r="B82" s="1303" t="s">
        <v>1141</v>
      </c>
      <c r="C82" s="1303" t="s">
        <v>98</v>
      </c>
      <c r="D82" s="1304" t="s">
        <v>1857</v>
      </c>
      <c r="E82" s="1305">
        <v>5000</v>
      </c>
      <c r="F82" s="1306" t="s">
        <v>1858</v>
      </c>
      <c r="G82" s="1307" t="s">
        <v>1859</v>
      </c>
      <c r="H82" s="1307" t="s">
        <v>1664</v>
      </c>
      <c r="I82" s="1307" t="s">
        <v>1616</v>
      </c>
      <c r="J82" s="1308" t="s">
        <v>1604</v>
      </c>
      <c r="K82" s="1309">
        <v>1</v>
      </c>
      <c r="L82" s="1310">
        <v>12</v>
      </c>
      <c r="M82" s="1311">
        <v>60300</v>
      </c>
      <c r="N82" s="1312">
        <v>1</v>
      </c>
      <c r="O82" s="1310">
        <v>6</v>
      </c>
      <c r="P82" s="1313">
        <v>30000</v>
      </c>
    </row>
    <row r="83" spans="1:16" x14ac:dyDescent="0.2">
      <c r="A83" s="1302" t="s">
        <v>292</v>
      </c>
      <c r="B83" s="1303" t="s">
        <v>1141</v>
      </c>
      <c r="C83" s="1303" t="s">
        <v>98</v>
      </c>
      <c r="D83" s="1307" t="s">
        <v>1860</v>
      </c>
      <c r="E83" s="1305">
        <v>7500</v>
      </c>
      <c r="F83" s="1306" t="s">
        <v>1861</v>
      </c>
      <c r="G83" s="1307" t="s">
        <v>1862</v>
      </c>
      <c r="H83" s="1307" t="s">
        <v>1702</v>
      </c>
      <c r="I83" s="1307" t="s">
        <v>1598</v>
      </c>
      <c r="J83" s="1308" t="s">
        <v>1604</v>
      </c>
      <c r="K83" s="1309">
        <v>1</v>
      </c>
      <c r="L83" s="1310">
        <v>4</v>
      </c>
      <c r="M83" s="1311">
        <v>32750</v>
      </c>
      <c r="N83" s="1312">
        <v>0</v>
      </c>
      <c r="O83" s="1310" t="s">
        <v>1633</v>
      </c>
      <c r="P83" s="1313">
        <v>0</v>
      </c>
    </row>
    <row r="84" spans="1:16" ht="22.5" x14ac:dyDescent="0.2">
      <c r="A84" s="1302" t="s">
        <v>292</v>
      </c>
      <c r="B84" s="1303" t="s">
        <v>1141</v>
      </c>
      <c r="C84" s="1303" t="s">
        <v>98</v>
      </c>
      <c r="D84" s="1304" t="s">
        <v>1863</v>
      </c>
      <c r="E84" s="1305">
        <v>6000</v>
      </c>
      <c r="F84" s="1306" t="s">
        <v>1864</v>
      </c>
      <c r="G84" s="1307" t="s">
        <v>1865</v>
      </c>
      <c r="H84" s="1307" t="s">
        <v>1866</v>
      </c>
      <c r="I84" s="1307" t="s">
        <v>1598</v>
      </c>
      <c r="J84" s="1308" t="s">
        <v>1616</v>
      </c>
      <c r="K84" s="1309">
        <v>1</v>
      </c>
      <c r="L84" s="1310">
        <v>6</v>
      </c>
      <c r="M84" s="1311">
        <v>34600</v>
      </c>
      <c r="N84" s="1312">
        <v>1</v>
      </c>
      <c r="O84" s="1310">
        <v>6</v>
      </c>
      <c r="P84" s="1313">
        <v>36000</v>
      </c>
    </row>
    <row r="85" spans="1:16" ht="22.5" x14ac:dyDescent="0.2">
      <c r="A85" s="1302" t="s">
        <v>292</v>
      </c>
      <c r="B85" s="1303" t="s">
        <v>1141</v>
      </c>
      <c r="C85" s="1303" t="s">
        <v>98</v>
      </c>
      <c r="D85" s="1304" t="s">
        <v>1867</v>
      </c>
      <c r="E85" s="1305">
        <v>12000</v>
      </c>
      <c r="F85" s="1306" t="s">
        <v>1868</v>
      </c>
      <c r="G85" s="1307" t="s">
        <v>1869</v>
      </c>
      <c r="H85" s="1307" t="s">
        <v>1672</v>
      </c>
      <c r="I85" s="1307" t="s">
        <v>1598</v>
      </c>
      <c r="J85" s="1308" t="s">
        <v>1604</v>
      </c>
      <c r="K85" s="1309">
        <v>1</v>
      </c>
      <c r="L85" s="1310">
        <v>4</v>
      </c>
      <c r="M85" s="1311">
        <v>46400</v>
      </c>
      <c r="N85" s="1312">
        <v>1</v>
      </c>
      <c r="O85" s="1310">
        <v>1</v>
      </c>
      <c r="P85" s="1313">
        <v>12000</v>
      </c>
    </row>
    <row r="86" spans="1:16" x14ac:dyDescent="0.2">
      <c r="A86" s="1302" t="s">
        <v>292</v>
      </c>
      <c r="B86" s="1303" t="s">
        <v>1141</v>
      </c>
      <c r="C86" s="1303" t="s">
        <v>98</v>
      </c>
      <c r="D86" s="1307" t="s">
        <v>1870</v>
      </c>
      <c r="E86" s="1305">
        <v>4500</v>
      </c>
      <c r="F86" s="1306" t="s">
        <v>1871</v>
      </c>
      <c r="G86" s="1307" t="s">
        <v>1872</v>
      </c>
      <c r="H86" s="1307" t="s">
        <v>24</v>
      </c>
      <c r="I86" s="1307" t="s">
        <v>1621</v>
      </c>
      <c r="J86" s="1308" t="s">
        <v>1599</v>
      </c>
      <c r="K86" s="1309">
        <v>1</v>
      </c>
      <c r="L86" s="1310">
        <v>12</v>
      </c>
      <c r="M86" s="1311">
        <v>54154.06</v>
      </c>
      <c r="N86" s="1312">
        <v>1</v>
      </c>
      <c r="O86" s="1310">
        <v>6</v>
      </c>
      <c r="P86" s="1313">
        <v>27000</v>
      </c>
    </row>
    <row r="87" spans="1:16" ht="22.5" x14ac:dyDescent="0.2">
      <c r="A87" s="1302" t="s">
        <v>292</v>
      </c>
      <c r="B87" s="1303" t="s">
        <v>1141</v>
      </c>
      <c r="C87" s="1303" t="s">
        <v>98</v>
      </c>
      <c r="D87" s="1304" t="s">
        <v>1873</v>
      </c>
      <c r="E87" s="1305">
        <v>13000</v>
      </c>
      <c r="F87" s="1306" t="s">
        <v>1874</v>
      </c>
      <c r="G87" s="1307" t="s">
        <v>1875</v>
      </c>
      <c r="H87" s="1307" t="s">
        <v>1603</v>
      </c>
      <c r="I87" s="1307" t="s">
        <v>1598</v>
      </c>
      <c r="J87" s="1308" t="s">
        <v>1616</v>
      </c>
      <c r="K87" s="1309">
        <v>1</v>
      </c>
      <c r="L87" s="1310">
        <v>2</v>
      </c>
      <c r="M87" s="1311">
        <v>30333.33</v>
      </c>
      <c r="N87" s="1312">
        <v>1</v>
      </c>
      <c r="O87" s="1310">
        <v>6</v>
      </c>
      <c r="P87" s="1313">
        <v>78000</v>
      </c>
    </row>
    <row r="88" spans="1:16" x14ac:dyDescent="0.2">
      <c r="A88" s="1302" t="s">
        <v>292</v>
      </c>
      <c r="B88" s="1303" t="s">
        <v>1141</v>
      </c>
      <c r="C88" s="1303" t="s">
        <v>98</v>
      </c>
      <c r="D88" s="1307" t="s">
        <v>1876</v>
      </c>
      <c r="E88" s="1305">
        <v>12000</v>
      </c>
      <c r="F88" s="1306" t="s">
        <v>1877</v>
      </c>
      <c r="G88" s="1307" t="s">
        <v>1878</v>
      </c>
      <c r="H88" s="1307" t="s">
        <v>1603</v>
      </c>
      <c r="I88" s="1307" t="s">
        <v>1598</v>
      </c>
      <c r="J88" s="1308" t="s">
        <v>1604</v>
      </c>
      <c r="K88" s="1309">
        <v>1</v>
      </c>
      <c r="L88" s="1310">
        <v>11</v>
      </c>
      <c r="M88" s="1311">
        <v>127900</v>
      </c>
      <c r="N88" s="1312">
        <v>1</v>
      </c>
      <c r="O88" s="1310">
        <v>1</v>
      </c>
      <c r="P88" s="1313">
        <v>12000</v>
      </c>
    </row>
    <row r="89" spans="1:16" x14ac:dyDescent="0.2">
      <c r="A89" s="1302" t="s">
        <v>292</v>
      </c>
      <c r="B89" s="1303" t="s">
        <v>1141</v>
      </c>
      <c r="C89" s="1303" t="s">
        <v>98</v>
      </c>
      <c r="D89" s="1307" t="s">
        <v>1879</v>
      </c>
      <c r="E89" s="1305">
        <v>8000</v>
      </c>
      <c r="F89" s="1306" t="s">
        <v>1880</v>
      </c>
      <c r="G89" s="1307" t="s">
        <v>1881</v>
      </c>
      <c r="H89" s="1307" t="s">
        <v>1672</v>
      </c>
      <c r="I89" s="1307" t="s">
        <v>1616</v>
      </c>
      <c r="J89" s="1308" t="s">
        <v>1604</v>
      </c>
      <c r="K89" s="1309">
        <v>1</v>
      </c>
      <c r="L89" s="1310">
        <v>12</v>
      </c>
      <c r="M89" s="1311">
        <v>79060</v>
      </c>
      <c r="N89" s="1312">
        <v>1</v>
      </c>
      <c r="O89" s="1310">
        <v>6</v>
      </c>
      <c r="P89" s="1313">
        <v>47408.53</v>
      </c>
    </row>
    <row r="90" spans="1:16" x14ac:dyDescent="0.2">
      <c r="A90" s="1302" t="s">
        <v>292</v>
      </c>
      <c r="B90" s="1303" t="s">
        <v>1141</v>
      </c>
      <c r="C90" s="1303" t="s">
        <v>98</v>
      </c>
      <c r="D90" s="1307" t="s">
        <v>1882</v>
      </c>
      <c r="E90" s="1305">
        <v>6200</v>
      </c>
      <c r="F90" s="1306" t="s">
        <v>1883</v>
      </c>
      <c r="G90" s="1307" t="s">
        <v>1884</v>
      </c>
      <c r="H90" s="1307" t="s">
        <v>1603</v>
      </c>
      <c r="I90" s="1307" t="s">
        <v>1598</v>
      </c>
      <c r="J90" s="1308" t="s">
        <v>1616</v>
      </c>
      <c r="K90" s="1309">
        <v>1</v>
      </c>
      <c r="L90" s="1310">
        <v>2</v>
      </c>
      <c r="M90" s="1311">
        <v>9713.33</v>
      </c>
      <c r="N90" s="1312">
        <v>1</v>
      </c>
      <c r="O90" s="1310">
        <v>6</v>
      </c>
      <c r="P90" s="1313">
        <v>36993.33</v>
      </c>
    </row>
    <row r="91" spans="1:16" x14ac:dyDescent="0.2">
      <c r="A91" s="1302" t="s">
        <v>292</v>
      </c>
      <c r="B91" s="1303" t="s">
        <v>1141</v>
      </c>
      <c r="C91" s="1303" t="s">
        <v>98</v>
      </c>
      <c r="D91" s="1307" t="s">
        <v>1885</v>
      </c>
      <c r="E91" s="1305">
        <v>3500</v>
      </c>
      <c r="F91" s="1306" t="s">
        <v>1886</v>
      </c>
      <c r="G91" s="1307" t="s">
        <v>1887</v>
      </c>
      <c r="H91" s="1307" t="s">
        <v>1664</v>
      </c>
      <c r="I91" s="1307" t="s">
        <v>1616</v>
      </c>
      <c r="J91" s="1308" t="s">
        <v>1604</v>
      </c>
      <c r="K91" s="1309">
        <v>1</v>
      </c>
      <c r="L91" s="1310">
        <v>4</v>
      </c>
      <c r="M91" s="1311">
        <v>14000</v>
      </c>
      <c r="N91" s="1312">
        <v>0</v>
      </c>
      <c r="O91" s="1310" t="s">
        <v>1633</v>
      </c>
      <c r="P91" s="1313">
        <v>0</v>
      </c>
    </row>
    <row r="92" spans="1:16" ht="22.5" x14ac:dyDescent="0.2">
      <c r="A92" s="1302" t="s">
        <v>292</v>
      </c>
      <c r="B92" s="1303" t="s">
        <v>1141</v>
      </c>
      <c r="C92" s="1303" t="s">
        <v>98</v>
      </c>
      <c r="D92" s="1304" t="s">
        <v>1720</v>
      </c>
      <c r="E92" s="1305">
        <v>6000</v>
      </c>
      <c r="F92" s="1306" t="s">
        <v>1888</v>
      </c>
      <c r="G92" s="1307" t="s">
        <v>1889</v>
      </c>
      <c r="H92" s="1307" t="s">
        <v>1603</v>
      </c>
      <c r="I92" s="1307" t="s">
        <v>1598</v>
      </c>
      <c r="J92" s="1308" t="s">
        <v>1604</v>
      </c>
      <c r="K92" s="1309">
        <v>1</v>
      </c>
      <c r="L92" s="1310">
        <v>11</v>
      </c>
      <c r="M92" s="1311">
        <v>63123.770000000004</v>
      </c>
      <c r="N92" s="1312">
        <v>0</v>
      </c>
      <c r="O92" s="1310" t="s">
        <v>1633</v>
      </c>
      <c r="P92" s="1313">
        <v>0</v>
      </c>
    </row>
    <row r="93" spans="1:16" x14ac:dyDescent="0.2">
      <c r="A93" s="1302" t="s">
        <v>292</v>
      </c>
      <c r="B93" s="1303" t="s">
        <v>1141</v>
      </c>
      <c r="C93" s="1303" t="s">
        <v>98</v>
      </c>
      <c r="D93" s="1307" t="s">
        <v>1890</v>
      </c>
      <c r="E93" s="1305">
        <v>10500</v>
      </c>
      <c r="F93" s="1306" t="s">
        <v>1891</v>
      </c>
      <c r="G93" s="1307" t="s">
        <v>1892</v>
      </c>
      <c r="H93" s="1307" t="s">
        <v>1603</v>
      </c>
      <c r="I93" s="1307" t="s">
        <v>1598</v>
      </c>
      <c r="J93" s="1308" t="s">
        <v>1604</v>
      </c>
      <c r="K93" s="1309">
        <v>1</v>
      </c>
      <c r="L93" s="1310">
        <v>6</v>
      </c>
      <c r="M93" s="1311">
        <v>60550</v>
      </c>
      <c r="N93" s="1312">
        <v>1</v>
      </c>
      <c r="O93" s="1310">
        <v>6</v>
      </c>
      <c r="P93" s="1313">
        <v>63000</v>
      </c>
    </row>
    <row r="94" spans="1:16" ht="22.5" x14ac:dyDescent="0.2">
      <c r="A94" s="1302" t="s">
        <v>292</v>
      </c>
      <c r="B94" s="1303" t="s">
        <v>1141</v>
      </c>
      <c r="C94" s="1303" t="s">
        <v>98</v>
      </c>
      <c r="D94" s="1304" t="s">
        <v>1893</v>
      </c>
      <c r="E94" s="1305">
        <v>6000</v>
      </c>
      <c r="F94" s="1306" t="s">
        <v>1894</v>
      </c>
      <c r="G94" s="1307" t="s">
        <v>1895</v>
      </c>
      <c r="H94" s="1307" t="s">
        <v>1690</v>
      </c>
      <c r="I94" s="1307" t="s">
        <v>1598</v>
      </c>
      <c r="J94" s="1308" t="s">
        <v>1604</v>
      </c>
      <c r="K94" s="1309">
        <v>1</v>
      </c>
      <c r="L94" s="1310">
        <v>12</v>
      </c>
      <c r="M94" s="1311">
        <v>72174.52</v>
      </c>
      <c r="N94" s="1312">
        <v>1</v>
      </c>
      <c r="O94" s="1310">
        <v>6</v>
      </c>
      <c r="P94" s="1313">
        <v>35906.25</v>
      </c>
    </row>
    <row r="95" spans="1:16" ht="22.5" x14ac:dyDescent="0.2">
      <c r="A95" s="1302" t="s">
        <v>292</v>
      </c>
      <c r="B95" s="1303" t="s">
        <v>1141</v>
      </c>
      <c r="C95" s="1303" t="s">
        <v>98</v>
      </c>
      <c r="D95" s="1304" t="s">
        <v>1896</v>
      </c>
      <c r="E95" s="1305">
        <v>8000</v>
      </c>
      <c r="F95" s="1306" t="s">
        <v>1897</v>
      </c>
      <c r="G95" s="1307" t="s">
        <v>1898</v>
      </c>
      <c r="H95" s="1307" t="s">
        <v>1647</v>
      </c>
      <c r="I95" s="1307" t="s">
        <v>1598</v>
      </c>
      <c r="J95" s="1308" t="s">
        <v>1616</v>
      </c>
      <c r="K95" s="1309">
        <v>1</v>
      </c>
      <c r="L95" s="1310">
        <v>6</v>
      </c>
      <c r="M95" s="1311">
        <v>46133.33</v>
      </c>
      <c r="N95" s="1312">
        <v>1</v>
      </c>
      <c r="O95" s="1310">
        <v>6</v>
      </c>
      <c r="P95" s="1313">
        <v>48000</v>
      </c>
    </row>
    <row r="96" spans="1:16" x14ac:dyDescent="0.2">
      <c r="A96" s="1302" t="s">
        <v>292</v>
      </c>
      <c r="B96" s="1303" t="s">
        <v>1141</v>
      </c>
      <c r="C96" s="1303" t="s">
        <v>98</v>
      </c>
      <c r="D96" s="1307" t="s">
        <v>1673</v>
      </c>
      <c r="E96" s="1305">
        <v>3500</v>
      </c>
      <c r="F96" s="1306" t="s">
        <v>1899</v>
      </c>
      <c r="G96" s="1307" t="s">
        <v>1900</v>
      </c>
      <c r="H96" s="1307" t="s">
        <v>1901</v>
      </c>
      <c r="I96" s="1307" t="s">
        <v>1621</v>
      </c>
      <c r="J96" s="1308" t="s">
        <v>1599</v>
      </c>
      <c r="K96" s="1309">
        <v>1</v>
      </c>
      <c r="L96" s="1310">
        <v>12</v>
      </c>
      <c r="M96" s="1311">
        <v>42173.33</v>
      </c>
      <c r="N96" s="1312">
        <v>1</v>
      </c>
      <c r="O96" s="1310">
        <v>6</v>
      </c>
      <c r="P96" s="1313">
        <v>21000</v>
      </c>
    </row>
    <row r="97" spans="1:16" x14ac:dyDescent="0.2">
      <c r="A97" s="1302" t="s">
        <v>292</v>
      </c>
      <c r="B97" s="1303" t="s">
        <v>1141</v>
      </c>
      <c r="C97" s="1303" t="s">
        <v>98</v>
      </c>
      <c r="D97" s="1307" t="s">
        <v>1902</v>
      </c>
      <c r="E97" s="1305">
        <v>9000</v>
      </c>
      <c r="F97" s="1306" t="s">
        <v>1903</v>
      </c>
      <c r="G97" s="1307" t="s">
        <v>1904</v>
      </c>
      <c r="H97" s="1307" t="s">
        <v>1608</v>
      </c>
      <c r="I97" s="1307" t="s">
        <v>1598</v>
      </c>
      <c r="J97" s="1308" t="s">
        <v>1616</v>
      </c>
      <c r="K97" s="1309">
        <v>1</v>
      </c>
      <c r="L97" s="1310">
        <v>6</v>
      </c>
      <c r="M97" s="1311">
        <v>51900</v>
      </c>
      <c r="N97" s="1312">
        <v>1</v>
      </c>
      <c r="O97" s="1310">
        <v>6</v>
      </c>
      <c r="P97" s="1313">
        <v>53850</v>
      </c>
    </row>
    <row r="98" spans="1:16" x14ac:dyDescent="0.2">
      <c r="A98" s="1302" t="s">
        <v>292</v>
      </c>
      <c r="B98" s="1303" t="s">
        <v>1141</v>
      </c>
      <c r="C98" s="1303" t="s">
        <v>98</v>
      </c>
      <c r="D98" s="1307" t="s">
        <v>1905</v>
      </c>
      <c r="E98" s="1305">
        <v>6000</v>
      </c>
      <c r="F98" s="1306" t="s">
        <v>1906</v>
      </c>
      <c r="G98" s="1307" t="s">
        <v>1907</v>
      </c>
      <c r="H98" s="1307" t="s">
        <v>1908</v>
      </c>
      <c r="I98" s="1307" t="s">
        <v>1598</v>
      </c>
      <c r="J98" s="1308" t="s">
        <v>1604</v>
      </c>
      <c r="K98" s="1309">
        <v>1</v>
      </c>
      <c r="L98" s="1310">
        <v>12</v>
      </c>
      <c r="M98" s="1311">
        <v>72300</v>
      </c>
      <c r="N98" s="1312">
        <v>1</v>
      </c>
      <c r="O98" s="1310">
        <v>6</v>
      </c>
      <c r="P98" s="1313">
        <v>36000</v>
      </c>
    </row>
    <row r="99" spans="1:16" ht="22.5" x14ac:dyDescent="0.2">
      <c r="A99" s="1302" t="s">
        <v>292</v>
      </c>
      <c r="B99" s="1303" t="s">
        <v>1141</v>
      </c>
      <c r="C99" s="1303" t="s">
        <v>98</v>
      </c>
      <c r="D99" s="1304" t="s">
        <v>1909</v>
      </c>
      <c r="E99" s="1305">
        <v>12000</v>
      </c>
      <c r="F99" s="1306" t="s">
        <v>1910</v>
      </c>
      <c r="G99" s="1307" t="s">
        <v>1911</v>
      </c>
      <c r="H99" s="1307" t="s">
        <v>1672</v>
      </c>
      <c r="I99" s="1307" t="s">
        <v>1616</v>
      </c>
      <c r="J99" s="1308" t="s">
        <v>1604</v>
      </c>
      <c r="K99" s="1309">
        <v>1</v>
      </c>
      <c r="L99" s="1310">
        <v>12</v>
      </c>
      <c r="M99" s="1311">
        <v>144600</v>
      </c>
      <c r="N99" s="1312">
        <v>1</v>
      </c>
      <c r="O99" s="1310">
        <v>6</v>
      </c>
      <c r="P99" s="1313">
        <v>72000</v>
      </c>
    </row>
    <row r="100" spans="1:16" x14ac:dyDescent="0.2">
      <c r="A100" s="1302" t="s">
        <v>292</v>
      </c>
      <c r="B100" s="1303" t="s">
        <v>1141</v>
      </c>
      <c r="C100" s="1303" t="s">
        <v>98</v>
      </c>
      <c r="D100" s="1307" t="s">
        <v>1912</v>
      </c>
      <c r="E100" s="1305">
        <v>8000</v>
      </c>
      <c r="F100" s="1306" t="s">
        <v>1913</v>
      </c>
      <c r="G100" s="1307" t="s">
        <v>1914</v>
      </c>
      <c r="H100" s="1307" t="s">
        <v>1686</v>
      </c>
      <c r="I100" s="1307" t="s">
        <v>1598</v>
      </c>
      <c r="J100" s="1308" t="s">
        <v>1616</v>
      </c>
      <c r="K100" s="1309">
        <v>1</v>
      </c>
      <c r="L100" s="1310">
        <v>4</v>
      </c>
      <c r="M100" s="1311">
        <v>30933.33</v>
      </c>
      <c r="N100" s="1312">
        <v>1</v>
      </c>
      <c r="O100" s="1310">
        <v>6</v>
      </c>
      <c r="P100" s="1313">
        <v>48000</v>
      </c>
    </row>
    <row r="101" spans="1:16" x14ac:dyDescent="0.2">
      <c r="A101" s="1302" t="s">
        <v>292</v>
      </c>
      <c r="B101" s="1303" t="s">
        <v>1141</v>
      </c>
      <c r="C101" s="1303" t="s">
        <v>98</v>
      </c>
      <c r="D101" s="1307" t="s">
        <v>1915</v>
      </c>
      <c r="E101" s="1305">
        <v>15600</v>
      </c>
      <c r="F101" s="1306" t="s">
        <v>1916</v>
      </c>
      <c r="G101" s="1307" t="s">
        <v>1917</v>
      </c>
      <c r="H101" s="1307" t="s">
        <v>1603</v>
      </c>
      <c r="I101" s="1307" t="s">
        <v>1598</v>
      </c>
      <c r="J101" s="1308" t="s">
        <v>1604</v>
      </c>
      <c r="K101" s="1309">
        <v>1</v>
      </c>
      <c r="L101" s="1310">
        <v>12</v>
      </c>
      <c r="M101" s="1311">
        <v>186857.29</v>
      </c>
      <c r="N101" s="1312">
        <v>1</v>
      </c>
      <c r="O101" s="1310">
        <v>6</v>
      </c>
      <c r="P101" s="1313">
        <v>91684.67</v>
      </c>
    </row>
    <row r="102" spans="1:16" x14ac:dyDescent="0.2">
      <c r="A102" s="1302" t="s">
        <v>292</v>
      </c>
      <c r="B102" s="1303" t="s">
        <v>1141</v>
      </c>
      <c r="C102" s="1303" t="s">
        <v>98</v>
      </c>
      <c r="D102" s="1307" t="s">
        <v>1918</v>
      </c>
      <c r="E102" s="1305">
        <v>7500</v>
      </c>
      <c r="F102" s="1306" t="s">
        <v>1919</v>
      </c>
      <c r="G102" s="1307" t="s">
        <v>1920</v>
      </c>
      <c r="H102" s="1307" t="s">
        <v>1655</v>
      </c>
      <c r="I102" s="1307" t="s">
        <v>1598</v>
      </c>
      <c r="J102" s="1308" t="s">
        <v>1604</v>
      </c>
      <c r="K102" s="1309">
        <v>1</v>
      </c>
      <c r="L102" s="1310">
        <v>12</v>
      </c>
      <c r="M102" s="1311">
        <v>82283.33</v>
      </c>
      <c r="N102" s="1312">
        <v>1</v>
      </c>
      <c r="O102" s="1310">
        <v>6</v>
      </c>
      <c r="P102" s="1313">
        <v>45000</v>
      </c>
    </row>
    <row r="103" spans="1:16" ht="22.5" x14ac:dyDescent="0.2">
      <c r="A103" s="1302" t="s">
        <v>292</v>
      </c>
      <c r="B103" s="1303" t="s">
        <v>1141</v>
      </c>
      <c r="C103" s="1303" t="s">
        <v>98</v>
      </c>
      <c r="D103" s="1304" t="s">
        <v>1921</v>
      </c>
      <c r="E103" s="1305">
        <v>7000</v>
      </c>
      <c r="F103" s="1306" t="s">
        <v>1922</v>
      </c>
      <c r="G103" s="1307" t="s">
        <v>1923</v>
      </c>
      <c r="H103" s="1307" t="s">
        <v>1647</v>
      </c>
      <c r="I103" s="1307" t="s">
        <v>1598</v>
      </c>
      <c r="J103" s="1308" t="s">
        <v>1604</v>
      </c>
      <c r="K103" s="1309">
        <v>1</v>
      </c>
      <c r="L103" s="1310">
        <v>12</v>
      </c>
      <c r="M103" s="1311">
        <v>84300</v>
      </c>
      <c r="N103" s="1312">
        <v>1</v>
      </c>
      <c r="O103" s="1310">
        <v>6</v>
      </c>
      <c r="P103" s="1313">
        <v>42000</v>
      </c>
    </row>
    <row r="104" spans="1:16" ht="22.5" x14ac:dyDescent="0.2">
      <c r="A104" s="1302" t="s">
        <v>292</v>
      </c>
      <c r="B104" s="1303" t="s">
        <v>1141</v>
      </c>
      <c r="C104" s="1303" t="s">
        <v>98</v>
      </c>
      <c r="D104" s="1304" t="s">
        <v>1924</v>
      </c>
      <c r="E104" s="1305">
        <v>6000</v>
      </c>
      <c r="F104" s="1306" t="s">
        <v>1925</v>
      </c>
      <c r="G104" s="1307" t="s">
        <v>1926</v>
      </c>
      <c r="H104" s="1307" t="s">
        <v>1672</v>
      </c>
      <c r="I104" s="1307" t="s">
        <v>1616</v>
      </c>
      <c r="J104" s="1308" t="s">
        <v>1604</v>
      </c>
      <c r="K104" s="1309">
        <v>1</v>
      </c>
      <c r="L104" s="1310">
        <v>12</v>
      </c>
      <c r="M104" s="1311">
        <v>68184</v>
      </c>
      <c r="N104" s="1312">
        <v>1</v>
      </c>
      <c r="O104" s="1310">
        <v>6</v>
      </c>
      <c r="P104" s="1313">
        <v>36000</v>
      </c>
    </row>
    <row r="105" spans="1:16" ht="22.5" x14ac:dyDescent="0.2">
      <c r="A105" s="1302" t="s">
        <v>292</v>
      </c>
      <c r="B105" s="1303" t="s">
        <v>1141</v>
      </c>
      <c r="C105" s="1303" t="s">
        <v>98</v>
      </c>
      <c r="D105" s="1304" t="s">
        <v>1927</v>
      </c>
      <c r="E105" s="1305">
        <v>4000</v>
      </c>
      <c r="F105" s="1306" t="s">
        <v>1928</v>
      </c>
      <c r="G105" s="1307" t="s">
        <v>1929</v>
      </c>
      <c r="H105" s="1307" t="s">
        <v>1930</v>
      </c>
      <c r="I105" s="1307" t="s">
        <v>1598</v>
      </c>
      <c r="J105" s="1308" t="s">
        <v>1599</v>
      </c>
      <c r="K105" s="1309">
        <v>1</v>
      </c>
      <c r="L105" s="1310">
        <v>12</v>
      </c>
      <c r="M105" s="1311">
        <v>48300</v>
      </c>
      <c r="N105" s="1312">
        <v>1</v>
      </c>
      <c r="O105" s="1310">
        <v>6</v>
      </c>
      <c r="P105" s="1313">
        <v>24000</v>
      </c>
    </row>
    <row r="106" spans="1:16" ht="22.5" x14ac:dyDescent="0.2">
      <c r="A106" s="1302" t="s">
        <v>292</v>
      </c>
      <c r="B106" s="1303" t="s">
        <v>1141</v>
      </c>
      <c r="C106" s="1303" t="s">
        <v>98</v>
      </c>
      <c r="D106" s="1304" t="s">
        <v>1931</v>
      </c>
      <c r="E106" s="1305">
        <v>7000</v>
      </c>
      <c r="F106" s="1306" t="s">
        <v>1932</v>
      </c>
      <c r="G106" s="1307" t="s">
        <v>1933</v>
      </c>
      <c r="H106" s="1307" t="s">
        <v>1603</v>
      </c>
      <c r="I106" s="1307" t="s">
        <v>1598</v>
      </c>
      <c r="J106" s="1308" t="s">
        <v>1604</v>
      </c>
      <c r="K106" s="1309">
        <v>1</v>
      </c>
      <c r="L106" s="1310">
        <v>12</v>
      </c>
      <c r="M106" s="1311">
        <v>78286.880000000005</v>
      </c>
      <c r="N106" s="1312">
        <v>1</v>
      </c>
      <c r="O106" s="1310">
        <v>6</v>
      </c>
      <c r="P106" s="1313">
        <v>42000</v>
      </c>
    </row>
    <row r="107" spans="1:16" ht="22.5" x14ac:dyDescent="0.2">
      <c r="A107" s="1302" t="s">
        <v>292</v>
      </c>
      <c r="B107" s="1303" t="s">
        <v>1141</v>
      </c>
      <c r="C107" s="1303" t="s">
        <v>98</v>
      </c>
      <c r="D107" s="1304" t="s">
        <v>1706</v>
      </c>
      <c r="E107" s="1305">
        <v>6000</v>
      </c>
      <c r="F107" s="1306" t="s">
        <v>1934</v>
      </c>
      <c r="G107" s="1307" t="s">
        <v>1935</v>
      </c>
      <c r="H107" s="1307" t="s">
        <v>1819</v>
      </c>
      <c r="I107" s="1307" t="s">
        <v>1598</v>
      </c>
      <c r="J107" s="1308" t="s">
        <v>1604</v>
      </c>
      <c r="K107" s="1309">
        <v>1</v>
      </c>
      <c r="L107" s="1310">
        <v>12</v>
      </c>
      <c r="M107" s="1311">
        <v>67722</v>
      </c>
      <c r="N107" s="1312">
        <v>1</v>
      </c>
      <c r="O107" s="1310">
        <v>6</v>
      </c>
      <c r="P107" s="1313">
        <v>36000</v>
      </c>
    </row>
    <row r="108" spans="1:16" x14ac:dyDescent="0.2">
      <c r="A108" s="1302" t="s">
        <v>292</v>
      </c>
      <c r="B108" s="1303" t="s">
        <v>1141</v>
      </c>
      <c r="C108" s="1303" t="s">
        <v>98</v>
      </c>
      <c r="D108" s="1307" t="s">
        <v>1936</v>
      </c>
      <c r="E108" s="1305">
        <v>15600</v>
      </c>
      <c r="F108" s="1306" t="s">
        <v>1937</v>
      </c>
      <c r="G108" s="1307" t="s">
        <v>1938</v>
      </c>
      <c r="H108" s="1307" t="s">
        <v>1612</v>
      </c>
      <c r="I108" s="1307" t="s">
        <v>1598</v>
      </c>
      <c r="J108" s="1308" t="s">
        <v>1604</v>
      </c>
      <c r="K108" s="1309">
        <v>1</v>
      </c>
      <c r="L108" s="1310">
        <v>2</v>
      </c>
      <c r="M108" s="1311">
        <v>15080</v>
      </c>
      <c r="N108" s="1312">
        <v>0</v>
      </c>
      <c r="O108" s="1310" t="s">
        <v>1633</v>
      </c>
      <c r="P108" s="1313">
        <v>0</v>
      </c>
    </row>
    <row r="109" spans="1:16" ht="22.5" x14ac:dyDescent="0.2">
      <c r="A109" s="1302" t="s">
        <v>292</v>
      </c>
      <c r="B109" s="1303" t="s">
        <v>1141</v>
      </c>
      <c r="C109" s="1303" t="s">
        <v>98</v>
      </c>
      <c r="D109" s="1304" t="s">
        <v>1939</v>
      </c>
      <c r="E109" s="1305">
        <v>10000</v>
      </c>
      <c r="F109" s="1306" t="s">
        <v>1940</v>
      </c>
      <c r="G109" s="1307" t="s">
        <v>1941</v>
      </c>
      <c r="H109" s="1307" t="s">
        <v>1672</v>
      </c>
      <c r="I109" s="1307" t="s">
        <v>1598</v>
      </c>
      <c r="J109" s="1308" t="s">
        <v>1604</v>
      </c>
      <c r="K109" s="1309">
        <v>1</v>
      </c>
      <c r="L109" s="1310">
        <v>12</v>
      </c>
      <c r="M109" s="1311">
        <v>118923.55</v>
      </c>
      <c r="N109" s="1312">
        <v>1</v>
      </c>
      <c r="O109" s="1310">
        <v>6</v>
      </c>
      <c r="P109" s="1313">
        <v>60000</v>
      </c>
    </row>
    <row r="110" spans="1:16" x14ac:dyDescent="0.2">
      <c r="A110" s="1302" t="s">
        <v>292</v>
      </c>
      <c r="B110" s="1303" t="s">
        <v>1141</v>
      </c>
      <c r="C110" s="1303" t="s">
        <v>98</v>
      </c>
      <c r="D110" s="1307" t="s">
        <v>1942</v>
      </c>
      <c r="E110" s="1305">
        <v>4500</v>
      </c>
      <c r="F110" s="1306" t="s">
        <v>1943</v>
      </c>
      <c r="G110" s="1307" t="s">
        <v>1944</v>
      </c>
      <c r="H110" s="1307" t="s">
        <v>1713</v>
      </c>
      <c r="I110" s="1307" t="s">
        <v>1598</v>
      </c>
      <c r="J110" s="1308" t="s">
        <v>1604</v>
      </c>
      <c r="K110" s="1309">
        <v>1</v>
      </c>
      <c r="L110" s="1310">
        <v>12</v>
      </c>
      <c r="M110" s="1311">
        <v>54211.369999999995</v>
      </c>
      <c r="N110" s="1312">
        <v>1</v>
      </c>
      <c r="O110" s="1310">
        <v>6</v>
      </c>
      <c r="P110" s="1313">
        <v>27000</v>
      </c>
    </row>
    <row r="111" spans="1:16" x14ac:dyDescent="0.2">
      <c r="A111" s="1302" t="s">
        <v>292</v>
      </c>
      <c r="B111" s="1303" t="s">
        <v>1141</v>
      </c>
      <c r="C111" s="1303" t="s">
        <v>98</v>
      </c>
      <c r="D111" s="1307" t="s">
        <v>1945</v>
      </c>
      <c r="E111" s="1305">
        <v>15600</v>
      </c>
      <c r="F111" s="1306" t="s">
        <v>1946</v>
      </c>
      <c r="G111" s="1307" t="s">
        <v>1947</v>
      </c>
      <c r="H111" s="1307" t="s">
        <v>1948</v>
      </c>
      <c r="I111" s="1307" t="s">
        <v>1598</v>
      </c>
      <c r="J111" s="1308" t="s">
        <v>1604</v>
      </c>
      <c r="K111" s="1309">
        <v>1</v>
      </c>
      <c r="L111" s="1310">
        <v>8</v>
      </c>
      <c r="M111" s="1311">
        <v>126140</v>
      </c>
      <c r="N111" s="1312">
        <v>0</v>
      </c>
      <c r="O111" s="1310" t="s">
        <v>1633</v>
      </c>
      <c r="P111" s="1313">
        <v>0</v>
      </c>
    </row>
    <row r="112" spans="1:16" ht="22.5" x14ac:dyDescent="0.2">
      <c r="A112" s="1302" t="s">
        <v>292</v>
      </c>
      <c r="B112" s="1303" t="s">
        <v>1141</v>
      </c>
      <c r="C112" s="1303" t="s">
        <v>98</v>
      </c>
      <c r="D112" s="1304" t="s">
        <v>1949</v>
      </c>
      <c r="E112" s="1305">
        <v>11500</v>
      </c>
      <c r="F112" s="1306" t="s">
        <v>1950</v>
      </c>
      <c r="G112" s="1307" t="s">
        <v>1951</v>
      </c>
      <c r="H112" s="1307" t="s">
        <v>1847</v>
      </c>
      <c r="I112" s="1307" t="s">
        <v>1598</v>
      </c>
      <c r="J112" s="1308" t="s">
        <v>1604</v>
      </c>
      <c r="K112" s="1309">
        <v>1</v>
      </c>
      <c r="L112" s="1310">
        <v>12</v>
      </c>
      <c r="M112" s="1311">
        <v>98417.78</v>
      </c>
      <c r="N112" s="1312">
        <v>1</v>
      </c>
      <c r="O112" s="1310">
        <v>6</v>
      </c>
      <c r="P112" s="1313">
        <v>69000</v>
      </c>
    </row>
    <row r="113" spans="1:16" ht="22.5" x14ac:dyDescent="0.2">
      <c r="A113" s="1302" t="s">
        <v>292</v>
      </c>
      <c r="B113" s="1303" t="s">
        <v>1141</v>
      </c>
      <c r="C113" s="1303" t="s">
        <v>98</v>
      </c>
      <c r="D113" s="1304" t="s">
        <v>1952</v>
      </c>
      <c r="E113" s="1305">
        <v>7500</v>
      </c>
      <c r="F113" s="1306" t="s">
        <v>1953</v>
      </c>
      <c r="G113" s="1307" t="s">
        <v>1954</v>
      </c>
      <c r="H113" s="1307" t="s">
        <v>1603</v>
      </c>
      <c r="I113" s="1307" t="s">
        <v>1598</v>
      </c>
      <c r="J113" s="1308" t="s">
        <v>1616</v>
      </c>
      <c r="K113" s="1309">
        <v>1</v>
      </c>
      <c r="L113" s="1310">
        <v>4</v>
      </c>
      <c r="M113" s="1311">
        <v>29000</v>
      </c>
      <c r="N113" s="1312">
        <v>1</v>
      </c>
      <c r="O113" s="1310">
        <v>6</v>
      </c>
      <c r="P113" s="1313">
        <v>45000</v>
      </c>
    </row>
    <row r="114" spans="1:16" x14ac:dyDescent="0.2">
      <c r="A114" s="1302" t="s">
        <v>292</v>
      </c>
      <c r="B114" s="1303" t="s">
        <v>1141</v>
      </c>
      <c r="C114" s="1303" t="s">
        <v>98</v>
      </c>
      <c r="D114" s="1307" t="s">
        <v>1955</v>
      </c>
      <c r="E114" s="1305">
        <v>3500</v>
      </c>
      <c r="F114" s="1306" t="s">
        <v>1956</v>
      </c>
      <c r="G114" s="1307" t="s">
        <v>1957</v>
      </c>
      <c r="H114" s="1307" t="s">
        <v>1608</v>
      </c>
      <c r="I114" s="1307" t="s">
        <v>1698</v>
      </c>
      <c r="J114" s="1308" t="s">
        <v>1771</v>
      </c>
      <c r="K114" s="1309">
        <v>1</v>
      </c>
      <c r="L114" s="1310">
        <v>6</v>
      </c>
      <c r="M114" s="1311">
        <v>20183.330000000002</v>
      </c>
      <c r="N114" s="1312">
        <v>1</v>
      </c>
      <c r="O114" s="1310">
        <v>6</v>
      </c>
      <c r="P114" s="1313">
        <v>21000</v>
      </c>
    </row>
    <row r="115" spans="1:16" x14ac:dyDescent="0.2">
      <c r="A115" s="1302" t="s">
        <v>292</v>
      </c>
      <c r="B115" s="1303" t="s">
        <v>1141</v>
      </c>
      <c r="C115" s="1303" t="s">
        <v>98</v>
      </c>
      <c r="D115" s="1307" t="s">
        <v>1958</v>
      </c>
      <c r="E115" s="1305">
        <v>10000</v>
      </c>
      <c r="F115" s="1306" t="s">
        <v>1959</v>
      </c>
      <c r="G115" s="1307" t="s">
        <v>1960</v>
      </c>
      <c r="H115" s="1307" t="s">
        <v>1603</v>
      </c>
      <c r="I115" s="1307" t="s">
        <v>1598</v>
      </c>
      <c r="J115" s="1308" t="s">
        <v>1616</v>
      </c>
      <c r="K115" s="1309">
        <v>1</v>
      </c>
      <c r="L115" s="1310">
        <v>6</v>
      </c>
      <c r="M115" s="1311">
        <v>57666.67</v>
      </c>
      <c r="N115" s="1312">
        <v>1</v>
      </c>
      <c r="O115" s="1310">
        <v>6</v>
      </c>
      <c r="P115" s="1313">
        <v>60000</v>
      </c>
    </row>
    <row r="116" spans="1:16" ht="22.5" x14ac:dyDescent="0.2">
      <c r="A116" s="1302" t="s">
        <v>292</v>
      </c>
      <c r="B116" s="1303" t="s">
        <v>1141</v>
      </c>
      <c r="C116" s="1303" t="s">
        <v>98</v>
      </c>
      <c r="D116" s="1314" t="s">
        <v>1961</v>
      </c>
      <c r="E116" s="1305">
        <v>15600</v>
      </c>
      <c r="F116" s="1306" t="s">
        <v>1962</v>
      </c>
      <c r="G116" s="1307" t="s">
        <v>1963</v>
      </c>
      <c r="H116" s="1315" t="s">
        <v>1702</v>
      </c>
      <c r="I116" s="1315" t="s">
        <v>1598</v>
      </c>
      <c r="J116" s="1316" t="s">
        <v>1604</v>
      </c>
      <c r="K116" s="1309">
        <v>0</v>
      </c>
      <c r="L116" s="1310" t="s">
        <v>1633</v>
      </c>
      <c r="M116" s="1311">
        <v>0</v>
      </c>
      <c r="N116" s="1312">
        <v>1</v>
      </c>
      <c r="O116" s="1310">
        <v>4</v>
      </c>
      <c r="P116" s="1313">
        <v>63440</v>
      </c>
    </row>
    <row r="117" spans="1:16" ht="22.5" x14ac:dyDescent="0.2">
      <c r="A117" s="1302" t="s">
        <v>292</v>
      </c>
      <c r="B117" s="1303" t="s">
        <v>1141</v>
      </c>
      <c r="C117" s="1303" t="s">
        <v>98</v>
      </c>
      <c r="D117" s="1304" t="s">
        <v>1964</v>
      </c>
      <c r="E117" s="1305">
        <v>15600</v>
      </c>
      <c r="F117" s="1306" t="s">
        <v>1965</v>
      </c>
      <c r="G117" s="1307" t="s">
        <v>1966</v>
      </c>
      <c r="H117" s="1307" t="s">
        <v>1612</v>
      </c>
      <c r="I117" s="1307" t="s">
        <v>1598</v>
      </c>
      <c r="J117" s="1308" t="s">
        <v>1604</v>
      </c>
      <c r="K117" s="1309">
        <v>1</v>
      </c>
      <c r="L117" s="1310">
        <v>2</v>
      </c>
      <c r="M117" s="1311">
        <v>32860</v>
      </c>
      <c r="N117" s="1312">
        <v>1</v>
      </c>
      <c r="O117" s="1310">
        <v>1</v>
      </c>
      <c r="P117" s="1313">
        <v>7280</v>
      </c>
    </row>
    <row r="118" spans="1:16" x14ac:dyDescent="0.2">
      <c r="A118" s="1302" t="s">
        <v>292</v>
      </c>
      <c r="B118" s="1303" t="s">
        <v>1141</v>
      </c>
      <c r="C118" s="1303" t="s">
        <v>98</v>
      </c>
      <c r="D118" s="1307" t="s">
        <v>1967</v>
      </c>
      <c r="E118" s="1305">
        <v>9000</v>
      </c>
      <c r="F118" s="1306" t="s">
        <v>1968</v>
      </c>
      <c r="G118" s="1307" t="s">
        <v>1969</v>
      </c>
      <c r="H118" s="1307" t="s">
        <v>1970</v>
      </c>
      <c r="I118" s="1307" t="s">
        <v>1598</v>
      </c>
      <c r="J118" s="1308" t="s">
        <v>1604</v>
      </c>
      <c r="K118" s="1309">
        <v>1</v>
      </c>
      <c r="L118" s="1310">
        <v>7</v>
      </c>
      <c r="M118" s="1311">
        <v>63815.06</v>
      </c>
      <c r="N118" s="1312">
        <v>1</v>
      </c>
      <c r="O118" s="1310">
        <v>2</v>
      </c>
      <c r="P118" s="1313">
        <v>12300</v>
      </c>
    </row>
    <row r="119" spans="1:16" x14ac:dyDescent="0.2">
      <c r="A119" s="1302" t="s">
        <v>292</v>
      </c>
      <c r="B119" s="1303" t="s">
        <v>1141</v>
      </c>
      <c r="C119" s="1303" t="s">
        <v>98</v>
      </c>
      <c r="D119" s="1307" t="s">
        <v>1629</v>
      </c>
      <c r="E119" s="1305">
        <v>3500</v>
      </c>
      <c r="F119" s="1306" t="s">
        <v>1971</v>
      </c>
      <c r="G119" s="1307" t="s">
        <v>1972</v>
      </c>
      <c r="H119" s="1307" t="s">
        <v>1713</v>
      </c>
      <c r="I119" s="1307" t="s">
        <v>1616</v>
      </c>
      <c r="J119" s="1308" t="s">
        <v>1616</v>
      </c>
      <c r="K119" s="1309">
        <v>1</v>
      </c>
      <c r="L119" s="1310">
        <v>2</v>
      </c>
      <c r="M119" s="1311">
        <v>8050</v>
      </c>
      <c r="N119" s="1312">
        <v>1</v>
      </c>
      <c r="O119" s="1310">
        <v>6</v>
      </c>
      <c r="P119" s="1313">
        <v>21000</v>
      </c>
    </row>
    <row r="120" spans="1:16" x14ac:dyDescent="0.2">
      <c r="A120" s="1302" t="s">
        <v>292</v>
      </c>
      <c r="B120" s="1303" t="s">
        <v>1141</v>
      </c>
      <c r="C120" s="1303" t="s">
        <v>98</v>
      </c>
      <c r="D120" s="1307" t="s">
        <v>1879</v>
      </c>
      <c r="E120" s="1305">
        <v>8000</v>
      </c>
      <c r="F120" s="1306" t="s">
        <v>1973</v>
      </c>
      <c r="G120" s="1307" t="s">
        <v>1974</v>
      </c>
      <c r="H120" s="1307" t="s">
        <v>1975</v>
      </c>
      <c r="I120" s="1307" t="s">
        <v>1598</v>
      </c>
      <c r="J120" s="1308" t="s">
        <v>1616</v>
      </c>
      <c r="K120" s="1309">
        <v>1</v>
      </c>
      <c r="L120" s="1310">
        <v>6</v>
      </c>
      <c r="M120" s="1311">
        <v>46133.33</v>
      </c>
      <c r="N120" s="1312">
        <v>1</v>
      </c>
      <c r="O120" s="1310">
        <v>6</v>
      </c>
      <c r="P120" s="1313">
        <v>48000</v>
      </c>
    </row>
    <row r="121" spans="1:16" ht="22.5" x14ac:dyDescent="0.2">
      <c r="A121" s="1302" t="s">
        <v>292</v>
      </c>
      <c r="B121" s="1303" t="s">
        <v>1141</v>
      </c>
      <c r="C121" s="1303" t="s">
        <v>98</v>
      </c>
      <c r="D121" s="1304" t="s">
        <v>1976</v>
      </c>
      <c r="E121" s="1305">
        <v>7000</v>
      </c>
      <c r="F121" s="1306" t="s">
        <v>1977</v>
      </c>
      <c r="G121" s="1307" t="s">
        <v>1978</v>
      </c>
      <c r="H121" s="1307" t="s">
        <v>1603</v>
      </c>
      <c r="I121" s="1307" t="s">
        <v>1598</v>
      </c>
      <c r="J121" s="1308" t="s">
        <v>1604</v>
      </c>
      <c r="K121" s="1309">
        <v>1</v>
      </c>
      <c r="L121" s="1310">
        <v>12</v>
      </c>
      <c r="M121" s="1311">
        <v>84300</v>
      </c>
      <c r="N121" s="1312">
        <v>1</v>
      </c>
      <c r="O121" s="1310">
        <v>6</v>
      </c>
      <c r="P121" s="1313">
        <v>42000</v>
      </c>
    </row>
    <row r="122" spans="1:16" ht="22.5" x14ac:dyDescent="0.2">
      <c r="A122" s="1302" t="s">
        <v>292</v>
      </c>
      <c r="B122" s="1303" t="s">
        <v>1141</v>
      </c>
      <c r="C122" s="1303" t="s">
        <v>98</v>
      </c>
      <c r="D122" s="1304" t="s">
        <v>1979</v>
      </c>
      <c r="E122" s="1305">
        <v>12000</v>
      </c>
      <c r="F122" s="1306" t="s">
        <v>1980</v>
      </c>
      <c r="G122" s="1307" t="s">
        <v>1981</v>
      </c>
      <c r="H122" s="1307" t="s">
        <v>1647</v>
      </c>
      <c r="I122" s="1307" t="s">
        <v>1698</v>
      </c>
      <c r="J122" s="1308" t="s">
        <v>1604</v>
      </c>
      <c r="K122" s="1309">
        <v>1</v>
      </c>
      <c r="L122" s="1310">
        <v>12</v>
      </c>
      <c r="M122" s="1311">
        <v>144300</v>
      </c>
      <c r="N122" s="1312">
        <v>1</v>
      </c>
      <c r="O122" s="1310">
        <v>6</v>
      </c>
      <c r="P122" s="1313">
        <v>72000</v>
      </c>
    </row>
    <row r="123" spans="1:16" ht="22.5" x14ac:dyDescent="0.2">
      <c r="A123" s="1302" t="s">
        <v>292</v>
      </c>
      <c r="B123" s="1303" t="s">
        <v>1141</v>
      </c>
      <c r="C123" s="1303" t="s">
        <v>98</v>
      </c>
      <c r="D123" s="1304" t="s">
        <v>1982</v>
      </c>
      <c r="E123" s="1305">
        <v>15600</v>
      </c>
      <c r="F123" s="1306" t="s">
        <v>1983</v>
      </c>
      <c r="G123" s="1307" t="s">
        <v>1984</v>
      </c>
      <c r="H123" s="1307" t="s">
        <v>1732</v>
      </c>
      <c r="I123" s="1307" t="s">
        <v>1598</v>
      </c>
      <c r="J123" s="1308" t="s">
        <v>1604</v>
      </c>
      <c r="K123" s="1309">
        <v>1</v>
      </c>
      <c r="L123" s="1310">
        <v>1</v>
      </c>
      <c r="M123" s="1311">
        <v>3120</v>
      </c>
      <c r="N123" s="1312">
        <v>0</v>
      </c>
      <c r="O123" s="1310" t="s">
        <v>1633</v>
      </c>
      <c r="P123" s="1313">
        <v>0</v>
      </c>
    </row>
    <row r="124" spans="1:16" ht="22.5" x14ac:dyDescent="0.2">
      <c r="A124" s="1302" t="s">
        <v>292</v>
      </c>
      <c r="B124" s="1303" t="s">
        <v>1141</v>
      </c>
      <c r="C124" s="1303" t="s">
        <v>98</v>
      </c>
      <c r="D124" s="1304" t="s">
        <v>1985</v>
      </c>
      <c r="E124" s="1305">
        <v>2500</v>
      </c>
      <c r="F124" s="1306" t="s">
        <v>1986</v>
      </c>
      <c r="G124" s="1307" t="s">
        <v>1987</v>
      </c>
      <c r="H124" s="1307" t="s">
        <v>24</v>
      </c>
      <c r="I124" s="1307" t="s">
        <v>1660</v>
      </c>
      <c r="J124" s="1308" t="s">
        <v>1988</v>
      </c>
      <c r="K124" s="1309">
        <v>1</v>
      </c>
      <c r="L124" s="1310">
        <v>12</v>
      </c>
      <c r="M124" s="1311">
        <v>30206.67</v>
      </c>
      <c r="N124" s="1312">
        <v>1</v>
      </c>
      <c r="O124" s="1310">
        <v>6</v>
      </c>
      <c r="P124" s="1313">
        <v>15000</v>
      </c>
    </row>
    <row r="125" spans="1:16" x14ac:dyDescent="0.2">
      <c r="A125" s="1302" t="s">
        <v>292</v>
      </c>
      <c r="B125" s="1303" t="s">
        <v>1141</v>
      </c>
      <c r="C125" s="1303" t="s">
        <v>98</v>
      </c>
      <c r="D125" s="1307" t="s">
        <v>1989</v>
      </c>
      <c r="E125" s="1305">
        <v>3000</v>
      </c>
      <c r="F125" s="1306" t="s">
        <v>1990</v>
      </c>
      <c r="G125" s="1307" t="s">
        <v>1991</v>
      </c>
      <c r="H125" s="1307" t="s">
        <v>1992</v>
      </c>
      <c r="I125" s="1307" t="s">
        <v>1621</v>
      </c>
      <c r="J125" s="1308" t="s">
        <v>1604</v>
      </c>
      <c r="K125" s="1309">
        <v>1</v>
      </c>
      <c r="L125" s="1310">
        <v>12</v>
      </c>
      <c r="M125" s="1311">
        <v>36149.370000000003</v>
      </c>
      <c r="N125" s="1312">
        <v>1</v>
      </c>
      <c r="O125" s="1310">
        <v>6</v>
      </c>
      <c r="P125" s="1313">
        <v>18000</v>
      </c>
    </row>
    <row r="126" spans="1:16" ht="22.5" x14ac:dyDescent="0.2">
      <c r="A126" s="1302" t="s">
        <v>292</v>
      </c>
      <c r="B126" s="1303" t="s">
        <v>1141</v>
      </c>
      <c r="C126" s="1303" t="s">
        <v>98</v>
      </c>
      <c r="D126" s="1304" t="s">
        <v>1993</v>
      </c>
      <c r="E126" s="1305">
        <v>4000</v>
      </c>
      <c r="F126" s="1306" t="s">
        <v>1994</v>
      </c>
      <c r="G126" s="1307" t="s">
        <v>1995</v>
      </c>
      <c r="H126" s="1307" t="s">
        <v>1612</v>
      </c>
      <c r="I126" s="1307" t="s">
        <v>1616</v>
      </c>
      <c r="J126" s="1308" t="s">
        <v>1616</v>
      </c>
      <c r="K126" s="1309">
        <v>1</v>
      </c>
      <c r="L126" s="1310">
        <v>3</v>
      </c>
      <c r="M126" s="1311">
        <v>10666.59</v>
      </c>
      <c r="N126" s="1312">
        <v>1</v>
      </c>
      <c r="O126" s="1310">
        <v>6</v>
      </c>
      <c r="P126" s="1313">
        <v>23608.89</v>
      </c>
    </row>
    <row r="127" spans="1:16" x14ac:dyDescent="0.2">
      <c r="A127" s="1302" t="s">
        <v>292</v>
      </c>
      <c r="B127" s="1303" t="s">
        <v>1141</v>
      </c>
      <c r="C127" s="1303" t="s">
        <v>98</v>
      </c>
      <c r="D127" s="1307" t="s">
        <v>1996</v>
      </c>
      <c r="E127" s="1305">
        <v>14500</v>
      </c>
      <c r="F127" s="1306" t="s">
        <v>1997</v>
      </c>
      <c r="G127" s="1307" t="s">
        <v>1998</v>
      </c>
      <c r="H127" s="1307" t="s">
        <v>1603</v>
      </c>
      <c r="I127" s="1307" t="s">
        <v>1598</v>
      </c>
      <c r="J127" s="1308" t="s">
        <v>1604</v>
      </c>
      <c r="K127" s="1309">
        <v>1</v>
      </c>
      <c r="L127" s="1310">
        <v>12</v>
      </c>
      <c r="M127" s="1311">
        <v>145100</v>
      </c>
      <c r="N127" s="1312">
        <v>1</v>
      </c>
      <c r="O127" s="1310">
        <v>6</v>
      </c>
      <c r="P127" s="1313">
        <v>87000</v>
      </c>
    </row>
    <row r="128" spans="1:16" x14ac:dyDescent="0.2">
      <c r="A128" s="1302" t="s">
        <v>292</v>
      </c>
      <c r="B128" s="1303" t="s">
        <v>1141</v>
      </c>
      <c r="C128" s="1303" t="s">
        <v>98</v>
      </c>
      <c r="D128" s="1307" t="s">
        <v>1999</v>
      </c>
      <c r="E128" s="1305">
        <v>8000</v>
      </c>
      <c r="F128" s="1306" t="s">
        <v>2000</v>
      </c>
      <c r="G128" s="1307" t="s">
        <v>2001</v>
      </c>
      <c r="H128" s="1307" t="s">
        <v>1672</v>
      </c>
      <c r="I128" s="1307" t="s">
        <v>1598</v>
      </c>
      <c r="J128" s="1308" t="s">
        <v>1616</v>
      </c>
      <c r="K128" s="1309">
        <v>1</v>
      </c>
      <c r="L128" s="1310">
        <v>4</v>
      </c>
      <c r="M128" s="1311">
        <v>30933.33</v>
      </c>
      <c r="N128" s="1312">
        <v>1</v>
      </c>
      <c r="O128" s="1310">
        <v>6</v>
      </c>
      <c r="P128" s="1313">
        <v>47733.33</v>
      </c>
    </row>
    <row r="129" spans="1:16" x14ac:dyDescent="0.2">
      <c r="A129" s="1302" t="s">
        <v>292</v>
      </c>
      <c r="B129" s="1303" t="s">
        <v>1141</v>
      </c>
      <c r="C129" s="1303" t="s">
        <v>98</v>
      </c>
      <c r="D129" s="1307" t="s">
        <v>1813</v>
      </c>
      <c r="E129" s="1305">
        <v>5000</v>
      </c>
      <c r="F129" s="1306" t="s">
        <v>2002</v>
      </c>
      <c r="G129" s="1307" t="s">
        <v>2003</v>
      </c>
      <c r="H129" s="1307" t="s">
        <v>1603</v>
      </c>
      <c r="I129" s="1307" t="s">
        <v>1598</v>
      </c>
      <c r="J129" s="1308" t="s">
        <v>1604</v>
      </c>
      <c r="K129" s="1309">
        <v>1</v>
      </c>
      <c r="L129" s="1310">
        <v>12</v>
      </c>
      <c r="M129" s="1311">
        <v>60133.33</v>
      </c>
      <c r="N129" s="1312">
        <v>1</v>
      </c>
      <c r="O129" s="1310">
        <v>6</v>
      </c>
      <c r="P129" s="1313">
        <v>30000</v>
      </c>
    </row>
    <row r="130" spans="1:16" x14ac:dyDescent="0.2">
      <c r="A130" s="1302" t="s">
        <v>292</v>
      </c>
      <c r="B130" s="1303" t="s">
        <v>1141</v>
      </c>
      <c r="C130" s="1303" t="s">
        <v>98</v>
      </c>
      <c r="D130" s="1307" t="s">
        <v>1729</v>
      </c>
      <c r="E130" s="1305">
        <v>10000</v>
      </c>
      <c r="F130" s="1306" t="s">
        <v>2004</v>
      </c>
      <c r="G130" s="1307" t="s">
        <v>2005</v>
      </c>
      <c r="H130" s="1307" t="s">
        <v>1647</v>
      </c>
      <c r="I130" s="1307" t="s">
        <v>1616</v>
      </c>
      <c r="J130" s="1308" t="s">
        <v>1604</v>
      </c>
      <c r="K130" s="1309">
        <v>1</v>
      </c>
      <c r="L130" s="1310">
        <v>12</v>
      </c>
      <c r="M130" s="1311">
        <v>120300</v>
      </c>
      <c r="N130" s="1312">
        <v>1</v>
      </c>
      <c r="O130" s="1310">
        <v>6</v>
      </c>
      <c r="P130" s="1313">
        <v>60000</v>
      </c>
    </row>
    <row r="131" spans="1:16" x14ac:dyDescent="0.2">
      <c r="A131" s="1302" t="s">
        <v>292</v>
      </c>
      <c r="B131" s="1303" t="s">
        <v>1141</v>
      </c>
      <c r="C131" s="1303" t="s">
        <v>98</v>
      </c>
      <c r="D131" s="1307" t="s">
        <v>2006</v>
      </c>
      <c r="E131" s="1305">
        <v>8000</v>
      </c>
      <c r="F131" s="1306" t="s">
        <v>2007</v>
      </c>
      <c r="G131" s="1307" t="s">
        <v>2008</v>
      </c>
      <c r="H131" s="1307" t="s">
        <v>1608</v>
      </c>
      <c r="I131" s="1307" t="s">
        <v>1616</v>
      </c>
      <c r="J131" s="1308" t="s">
        <v>1616</v>
      </c>
      <c r="K131" s="1309">
        <v>1</v>
      </c>
      <c r="L131" s="1310">
        <v>6</v>
      </c>
      <c r="M131" s="1311">
        <v>46133.33</v>
      </c>
      <c r="N131" s="1312">
        <v>1</v>
      </c>
      <c r="O131" s="1310">
        <v>6</v>
      </c>
      <c r="P131" s="1313">
        <v>48000</v>
      </c>
    </row>
    <row r="132" spans="1:16" x14ac:dyDescent="0.2">
      <c r="A132" s="1302" t="s">
        <v>292</v>
      </c>
      <c r="B132" s="1303" t="s">
        <v>1141</v>
      </c>
      <c r="C132" s="1303" t="s">
        <v>98</v>
      </c>
      <c r="D132" s="1307" t="s">
        <v>2009</v>
      </c>
      <c r="E132" s="1305">
        <v>15600</v>
      </c>
      <c r="F132" s="1306" t="s">
        <v>2010</v>
      </c>
      <c r="G132" s="1307" t="s">
        <v>2011</v>
      </c>
      <c r="H132" s="1307" t="s">
        <v>2012</v>
      </c>
      <c r="I132" s="1307" t="s">
        <v>1598</v>
      </c>
      <c r="J132" s="1308" t="s">
        <v>1604</v>
      </c>
      <c r="K132" s="1309">
        <v>1</v>
      </c>
      <c r="L132" s="1310">
        <v>1</v>
      </c>
      <c r="M132" s="1311">
        <v>9360</v>
      </c>
      <c r="N132" s="1312">
        <v>0</v>
      </c>
      <c r="O132" s="1310" t="s">
        <v>1633</v>
      </c>
      <c r="P132" s="1313">
        <v>0</v>
      </c>
    </row>
    <row r="133" spans="1:16" x14ac:dyDescent="0.2">
      <c r="A133" s="1302" t="s">
        <v>292</v>
      </c>
      <c r="B133" s="1303" t="s">
        <v>1141</v>
      </c>
      <c r="C133" s="1303" t="s">
        <v>98</v>
      </c>
      <c r="D133" s="1307" t="s">
        <v>2013</v>
      </c>
      <c r="E133" s="1305">
        <v>7000</v>
      </c>
      <c r="F133" s="1306" t="s">
        <v>2014</v>
      </c>
      <c r="G133" s="1307" t="s">
        <v>2015</v>
      </c>
      <c r="H133" s="1307" t="s">
        <v>1826</v>
      </c>
      <c r="I133" s="1307" t="s">
        <v>1598</v>
      </c>
      <c r="J133" s="1308" t="s">
        <v>1604</v>
      </c>
      <c r="K133" s="1309">
        <v>1</v>
      </c>
      <c r="L133" s="1310">
        <v>3</v>
      </c>
      <c r="M133" s="1311">
        <v>21000</v>
      </c>
      <c r="N133" s="1312">
        <v>0</v>
      </c>
      <c r="O133" s="1310" t="s">
        <v>1633</v>
      </c>
      <c r="P133" s="1313">
        <v>0</v>
      </c>
    </row>
    <row r="134" spans="1:16" x14ac:dyDescent="0.2">
      <c r="A134" s="1302" t="s">
        <v>292</v>
      </c>
      <c r="B134" s="1303" t="s">
        <v>1141</v>
      </c>
      <c r="C134" s="1303" t="s">
        <v>98</v>
      </c>
      <c r="D134" s="1307" t="s">
        <v>2016</v>
      </c>
      <c r="E134" s="1305">
        <v>7000</v>
      </c>
      <c r="F134" s="1306" t="s">
        <v>2017</v>
      </c>
      <c r="G134" s="1307" t="s">
        <v>2018</v>
      </c>
      <c r="H134" s="1307" t="s">
        <v>1603</v>
      </c>
      <c r="I134" s="1307" t="s">
        <v>1598</v>
      </c>
      <c r="J134" s="1308" t="s">
        <v>1616</v>
      </c>
      <c r="K134" s="1309">
        <v>1</v>
      </c>
      <c r="L134" s="1310">
        <v>2</v>
      </c>
      <c r="M134" s="1311">
        <v>19133.259999999998</v>
      </c>
      <c r="N134" s="1312">
        <v>1</v>
      </c>
      <c r="O134" s="1310">
        <v>6</v>
      </c>
      <c r="P134" s="1313">
        <v>42000</v>
      </c>
    </row>
    <row r="135" spans="1:16" x14ac:dyDescent="0.2">
      <c r="A135" s="1302" t="s">
        <v>292</v>
      </c>
      <c r="B135" s="1303" t="s">
        <v>1141</v>
      </c>
      <c r="C135" s="1303" t="s">
        <v>98</v>
      </c>
      <c r="D135" s="1307" t="s">
        <v>2019</v>
      </c>
      <c r="E135" s="1305">
        <v>15600</v>
      </c>
      <c r="F135" s="1306" t="s">
        <v>2020</v>
      </c>
      <c r="G135" s="1307" t="s">
        <v>2021</v>
      </c>
      <c r="H135" s="1307" t="s">
        <v>1603</v>
      </c>
      <c r="I135" s="1307" t="s">
        <v>1598</v>
      </c>
      <c r="J135" s="1308" t="s">
        <v>1604</v>
      </c>
      <c r="K135" s="1309">
        <v>1</v>
      </c>
      <c r="L135" s="1310">
        <v>2</v>
      </c>
      <c r="M135" s="1311">
        <v>29640</v>
      </c>
      <c r="N135" s="1312">
        <v>0</v>
      </c>
      <c r="O135" s="1310" t="s">
        <v>1633</v>
      </c>
      <c r="P135" s="1313">
        <v>0</v>
      </c>
    </row>
    <row r="136" spans="1:16" x14ac:dyDescent="0.2">
      <c r="A136" s="1302" t="s">
        <v>292</v>
      </c>
      <c r="B136" s="1303" t="s">
        <v>1141</v>
      </c>
      <c r="C136" s="1303" t="s">
        <v>98</v>
      </c>
      <c r="D136" s="1307" t="s">
        <v>2022</v>
      </c>
      <c r="E136" s="1305">
        <v>6500</v>
      </c>
      <c r="F136" s="1306" t="s">
        <v>2023</v>
      </c>
      <c r="G136" s="1307" t="s">
        <v>2024</v>
      </c>
      <c r="H136" s="1307" t="s">
        <v>1812</v>
      </c>
      <c r="I136" s="1307" t="s">
        <v>1698</v>
      </c>
      <c r="J136" s="1308" t="s">
        <v>1604</v>
      </c>
      <c r="K136" s="1309">
        <v>1</v>
      </c>
      <c r="L136" s="1310">
        <v>12</v>
      </c>
      <c r="M136" s="1311">
        <v>78300</v>
      </c>
      <c r="N136" s="1312">
        <v>1</v>
      </c>
      <c r="O136" s="1310">
        <v>6</v>
      </c>
      <c r="P136" s="1313">
        <v>39000</v>
      </c>
    </row>
    <row r="137" spans="1:16" x14ac:dyDescent="0.2">
      <c r="A137" s="1302" t="s">
        <v>292</v>
      </c>
      <c r="B137" s="1303" t="s">
        <v>1141</v>
      </c>
      <c r="C137" s="1303" t="s">
        <v>98</v>
      </c>
      <c r="D137" s="1307" t="s">
        <v>1803</v>
      </c>
      <c r="E137" s="1305">
        <v>3500</v>
      </c>
      <c r="F137" s="1306" t="s">
        <v>2025</v>
      </c>
      <c r="G137" s="1307" t="s">
        <v>2026</v>
      </c>
      <c r="H137" s="1307" t="s">
        <v>2027</v>
      </c>
      <c r="I137" s="1307" t="s">
        <v>2027</v>
      </c>
      <c r="J137" s="1308" t="s">
        <v>2027</v>
      </c>
      <c r="K137" s="1309">
        <v>1</v>
      </c>
      <c r="L137" s="1310">
        <v>9</v>
      </c>
      <c r="M137" s="1311">
        <v>30627.760000000002</v>
      </c>
      <c r="N137" s="1312">
        <v>1</v>
      </c>
      <c r="O137" s="1310">
        <v>6</v>
      </c>
      <c r="P137" s="1313">
        <v>21000</v>
      </c>
    </row>
    <row r="138" spans="1:16" x14ac:dyDescent="0.2">
      <c r="A138" s="1302" t="s">
        <v>292</v>
      </c>
      <c r="B138" s="1303" t="s">
        <v>1141</v>
      </c>
      <c r="C138" s="1303" t="s">
        <v>98</v>
      </c>
      <c r="D138" s="1307" t="s">
        <v>1813</v>
      </c>
      <c r="E138" s="1305">
        <v>5000</v>
      </c>
      <c r="F138" s="1306" t="s">
        <v>2028</v>
      </c>
      <c r="G138" s="1307" t="s">
        <v>2029</v>
      </c>
      <c r="H138" s="1307" t="s">
        <v>1603</v>
      </c>
      <c r="I138" s="1307" t="s">
        <v>1598</v>
      </c>
      <c r="J138" s="1308" t="s">
        <v>1604</v>
      </c>
      <c r="K138" s="1309">
        <v>1</v>
      </c>
      <c r="L138" s="1310">
        <v>12</v>
      </c>
      <c r="M138" s="1311">
        <v>60300</v>
      </c>
      <c r="N138" s="1312">
        <v>1</v>
      </c>
      <c r="O138" s="1310">
        <v>6</v>
      </c>
      <c r="P138" s="1313">
        <v>30000</v>
      </c>
    </row>
    <row r="139" spans="1:16" x14ac:dyDescent="0.2">
      <c r="A139" s="1302" t="s">
        <v>292</v>
      </c>
      <c r="B139" s="1303" t="s">
        <v>1141</v>
      </c>
      <c r="C139" s="1303" t="s">
        <v>98</v>
      </c>
      <c r="D139" s="1307" t="s">
        <v>2030</v>
      </c>
      <c r="E139" s="1305">
        <v>15000</v>
      </c>
      <c r="F139" s="1306" t="s">
        <v>2031</v>
      </c>
      <c r="G139" s="1307" t="s">
        <v>2032</v>
      </c>
      <c r="H139" s="1307" t="s">
        <v>1603</v>
      </c>
      <c r="I139" s="1307" t="s">
        <v>1598</v>
      </c>
      <c r="J139" s="1308" t="s">
        <v>1604</v>
      </c>
      <c r="K139" s="1309">
        <v>1</v>
      </c>
      <c r="L139" s="1310">
        <v>10</v>
      </c>
      <c r="M139" s="1311">
        <v>155800</v>
      </c>
      <c r="N139" s="1312">
        <v>1</v>
      </c>
      <c r="O139" s="1310">
        <v>4</v>
      </c>
      <c r="P139" s="1313">
        <v>60000</v>
      </c>
    </row>
    <row r="140" spans="1:16" x14ac:dyDescent="0.2">
      <c r="A140" s="1302" t="s">
        <v>292</v>
      </c>
      <c r="B140" s="1303" t="s">
        <v>1141</v>
      </c>
      <c r="C140" s="1303" t="s">
        <v>98</v>
      </c>
      <c r="D140" s="1307" t="s">
        <v>2033</v>
      </c>
      <c r="E140" s="1305">
        <v>10000</v>
      </c>
      <c r="F140" s="1306" t="s">
        <v>2034</v>
      </c>
      <c r="G140" s="1307" t="s">
        <v>2035</v>
      </c>
      <c r="H140" s="1307" t="s">
        <v>1732</v>
      </c>
      <c r="I140" s="1307" t="s">
        <v>1598</v>
      </c>
      <c r="J140" s="1308" t="s">
        <v>1604</v>
      </c>
      <c r="K140" s="1309">
        <v>1</v>
      </c>
      <c r="L140" s="1310">
        <v>2</v>
      </c>
      <c r="M140" s="1311">
        <v>25333.279999999999</v>
      </c>
      <c r="N140" s="1312">
        <v>0</v>
      </c>
      <c r="O140" s="1310" t="s">
        <v>1633</v>
      </c>
      <c r="P140" s="1313">
        <v>0</v>
      </c>
    </row>
    <row r="141" spans="1:16" x14ac:dyDescent="0.2">
      <c r="A141" s="1302" t="s">
        <v>292</v>
      </c>
      <c r="B141" s="1303" t="s">
        <v>1141</v>
      </c>
      <c r="C141" s="1303" t="s">
        <v>98</v>
      </c>
      <c r="D141" s="1307" t="s">
        <v>1729</v>
      </c>
      <c r="E141" s="1305">
        <v>8000</v>
      </c>
      <c r="F141" s="1306" t="s">
        <v>2036</v>
      </c>
      <c r="G141" s="1307" t="s">
        <v>2037</v>
      </c>
      <c r="H141" s="1307" t="s">
        <v>1668</v>
      </c>
      <c r="I141" s="1307" t="s">
        <v>1598</v>
      </c>
      <c r="J141" s="1308" t="s">
        <v>1604</v>
      </c>
      <c r="K141" s="1309">
        <v>1</v>
      </c>
      <c r="L141" s="1310">
        <v>12</v>
      </c>
      <c r="M141" s="1311">
        <v>96033.33</v>
      </c>
      <c r="N141" s="1312">
        <v>1</v>
      </c>
      <c r="O141" s="1310">
        <v>6</v>
      </c>
      <c r="P141" s="1313">
        <v>47867.22</v>
      </c>
    </row>
    <row r="142" spans="1:16" x14ac:dyDescent="0.2">
      <c r="A142" s="1302" t="s">
        <v>292</v>
      </c>
      <c r="B142" s="1303" t="s">
        <v>1141</v>
      </c>
      <c r="C142" s="1303" t="s">
        <v>98</v>
      </c>
      <c r="D142" s="1307" t="s">
        <v>1816</v>
      </c>
      <c r="E142" s="1305">
        <v>3300</v>
      </c>
      <c r="F142" s="1306" t="s">
        <v>2038</v>
      </c>
      <c r="G142" s="1307" t="s">
        <v>2039</v>
      </c>
      <c r="H142" s="1307" t="s">
        <v>1819</v>
      </c>
      <c r="I142" s="1307" t="s">
        <v>1616</v>
      </c>
      <c r="J142" s="1308" t="s">
        <v>1616</v>
      </c>
      <c r="K142" s="1309">
        <v>1</v>
      </c>
      <c r="L142" s="1310">
        <v>6</v>
      </c>
      <c r="M142" s="1311">
        <v>19465.5</v>
      </c>
      <c r="N142" s="1312">
        <v>0</v>
      </c>
      <c r="O142" s="1310" t="s">
        <v>1633</v>
      </c>
      <c r="P142" s="1313">
        <v>0</v>
      </c>
    </row>
    <row r="143" spans="1:16" ht="22.5" x14ac:dyDescent="0.2">
      <c r="A143" s="1302" t="s">
        <v>292</v>
      </c>
      <c r="B143" s="1303" t="s">
        <v>1141</v>
      </c>
      <c r="C143" s="1303" t="s">
        <v>98</v>
      </c>
      <c r="D143" s="1304" t="s">
        <v>2040</v>
      </c>
      <c r="E143" s="1305">
        <v>3500</v>
      </c>
      <c r="F143" s="1306" t="s">
        <v>2041</v>
      </c>
      <c r="G143" s="1307" t="s">
        <v>2042</v>
      </c>
      <c r="H143" s="1307" t="s">
        <v>1819</v>
      </c>
      <c r="I143" s="1307" t="s">
        <v>1698</v>
      </c>
      <c r="J143" s="1308" t="s">
        <v>1604</v>
      </c>
      <c r="K143" s="1309">
        <v>1</v>
      </c>
      <c r="L143" s="1310">
        <v>2</v>
      </c>
      <c r="M143" s="1311">
        <v>8166.67</v>
      </c>
      <c r="N143" s="1312">
        <v>1</v>
      </c>
      <c r="O143" s="1310">
        <v>6</v>
      </c>
      <c r="P143" s="1313">
        <v>21000</v>
      </c>
    </row>
    <row r="144" spans="1:16" ht="22.5" x14ac:dyDescent="0.2">
      <c r="A144" s="1302" t="s">
        <v>292</v>
      </c>
      <c r="B144" s="1303" t="s">
        <v>1141</v>
      </c>
      <c r="C144" s="1303" t="s">
        <v>98</v>
      </c>
      <c r="D144" s="1304" t="s">
        <v>2043</v>
      </c>
      <c r="E144" s="1305">
        <v>8000</v>
      </c>
      <c r="F144" s="1306" t="s">
        <v>2044</v>
      </c>
      <c r="G144" s="1307" t="s">
        <v>2045</v>
      </c>
      <c r="H144" s="1307" t="s">
        <v>1702</v>
      </c>
      <c r="I144" s="1307" t="s">
        <v>1616</v>
      </c>
      <c r="J144" s="1308" t="s">
        <v>1604</v>
      </c>
      <c r="K144" s="1309">
        <v>1</v>
      </c>
      <c r="L144" s="1310">
        <v>12</v>
      </c>
      <c r="M144" s="1311">
        <v>96300</v>
      </c>
      <c r="N144" s="1312">
        <v>1</v>
      </c>
      <c r="O144" s="1310">
        <v>6</v>
      </c>
      <c r="P144" s="1313">
        <v>48000</v>
      </c>
    </row>
    <row r="145" spans="1:16" ht="33.75" x14ac:dyDescent="0.2">
      <c r="A145" s="1302" t="s">
        <v>292</v>
      </c>
      <c r="B145" s="1303" t="s">
        <v>1141</v>
      </c>
      <c r="C145" s="1303" t="s">
        <v>98</v>
      </c>
      <c r="D145" s="1304" t="s">
        <v>2046</v>
      </c>
      <c r="E145" s="1305">
        <v>7000</v>
      </c>
      <c r="F145" s="1306" t="s">
        <v>2047</v>
      </c>
      <c r="G145" s="1307" t="s">
        <v>2048</v>
      </c>
      <c r="H145" s="1307" t="s">
        <v>1632</v>
      </c>
      <c r="I145" s="1307" t="s">
        <v>1616</v>
      </c>
      <c r="J145" s="1308" t="s">
        <v>1599</v>
      </c>
      <c r="K145" s="1309">
        <v>1</v>
      </c>
      <c r="L145" s="1310">
        <v>12</v>
      </c>
      <c r="M145" s="1311">
        <v>76106.67</v>
      </c>
      <c r="N145" s="1312">
        <v>1</v>
      </c>
      <c r="O145" s="1310">
        <v>6</v>
      </c>
      <c r="P145" s="1313">
        <v>41766.67</v>
      </c>
    </row>
    <row r="146" spans="1:16" x14ac:dyDescent="0.2">
      <c r="A146" s="1302" t="s">
        <v>292</v>
      </c>
      <c r="B146" s="1303" t="s">
        <v>1141</v>
      </c>
      <c r="C146" s="1303" t="s">
        <v>98</v>
      </c>
      <c r="D146" s="1307" t="s">
        <v>1816</v>
      </c>
      <c r="E146" s="1305">
        <v>2600</v>
      </c>
      <c r="F146" s="1306" t="s">
        <v>2049</v>
      </c>
      <c r="G146" s="1307" t="s">
        <v>2050</v>
      </c>
      <c r="H146" s="1307" t="s">
        <v>1694</v>
      </c>
      <c r="I146" s="1307" t="s">
        <v>1598</v>
      </c>
      <c r="J146" s="1308" t="s">
        <v>1599</v>
      </c>
      <c r="K146" s="1309">
        <v>1</v>
      </c>
      <c r="L146" s="1310">
        <v>12</v>
      </c>
      <c r="M146" s="1311">
        <v>31500</v>
      </c>
      <c r="N146" s="1312">
        <v>1</v>
      </c>
      <c r="O146" s="1310">
        <v>6</v>
      </c>
      <c r="P146" s="1313">
        <v>15600</v>
      </c>
    </row>
    <row r="147" spans="1:16" ht="22.5" x14ac:dyDescent="0.2">
      <c r="A147" s="1302" t="s">
        <v>292</v>
      </c>
      <c r="B147" s="1303" t="s">
        <v>1141</v>
      </c>
      <c r="C147" s="1303" t="s">
        <v>98</v>
      </c>
      <c r="D147" s="1304" t="s">
        <v>2051</v>
      </c>
      <c r="E147" s="1305">
        <v>8000</v>
      </c>
      <c r="F147" s="1306" t="s">
        <v>2052</v>
      </c>
      <c r="G147" s="1307" t="s">
        <v>2053</v>
      </c>
      <c r="H147" s="1307" t="s">
        <v>1647</v>
      </c>
      <c r="I147" s="1307" t="s">
        <v>1598</v>
      </c>
      <c r="J147" s="1308" t="s">
        <v>1616</v>
      </c>
      <c r="K147" s="1309">
        <v>1</v>
      </c>
      <c r="L147" s="1310">
        <v>6</v>
      </c>
      <c r="M147" s="1311">
        <v>45866.66</v>
      </c>
      <c r="N147" s="1312">
        <v>1</v>
      </c>
      <c r="O147" s="1310">
        <v>6</v>
      </c>
      <c r="P147" s="1313">
        <v>48000</v>
      </c>
    </row>
    <row r="148" spans="1:16" x14ac:dyDescent="0.2">
      <c r="A148" s="1302" t="s">
        <v>292</v>
      </c>
      <c r="B148" s="1303" t="s">
        <v>1141</v>
      </c>
      <c r="C148" s="1303" t="s">
        <v>98</v>
      </c>
      <c r="D148" s="1304" t="s">
        <v>2054</v>
      </c>
      <c r="E148" s="1305">
        <v>1800</v>
      </c>
      <c r="F148" s="1306" t="s">
        <v>2055</v>
      </c>
      <c r="G148" s="1307" t="s">
        <v>2056</v>
      </c>
      <c r="H148" s="1307" t="s">
        <v>1632</v>
      </c>
      <c r="I148" s="1307" t="s">
        <v>1698</v>
      </c>
      <c r="J148" s="1308" t="s">
        <v>1599</v>
      </c>
      <c r="K148" s="1309">
        <v>1</v>
      </c>
      <c r="L148" s="1310">
        <v>4</v>
      </c>
      <c r="M148" s="1311">
        <v>6960</v>
      </c>
      <c r="N148" s="1312">
        <v>1</v>
      </c>
      <c r="O148" s="1310">
        <v>6</v>
      </c>
      <c r="P148" s="1313">
        <v>10800</v>
      </c>
    </row>
    <row r="149" spans="1:16" ht="22.5" x14ac:dyDescent="0.2">
      <c r="A149" s="1302" t="s">
        <v>292</v>
      </c>
      <c r="B149" s="1303" t="s">
        <v>1141</v>
      </c>
      <c r="C149" s="1303" t="s">
        <v>98</v>
      </c>
      <c r="D149" s="1304" t="s">
        <v>2057</v>
      </c>
      <c r="E149" s="1305">
        <v>12500</v>
      </c>
      <c r="F149" s="1306" t="s">
        <v>2058</v>
      </c>
      <c r="G149" s="1307" t="s">
        <v>2059</v>
      </c>
      <c r="H149" s="1307" t="s">
        <v>2060</v>
      </c>
      <c r="I149" s="1307" t="s">
        <v>1598</v>
      </c>
      <c r="J149" s="1308" t="s">
        <v>1604</v>
      </c>
      <c r="K149" s="1309">
        <v>1</v>
      </c>
      <c r="L149" s="1310">
        <v>1</v>
      </c>
      <c r="M149" s="1311">
        <v>17083.330000000002</v>
      </c>
      <c r="N149" s="1312">
        <v>1</v>
      </c>
      <c r="O149" s="1310">
        <v>6</v>
      </c>
      <c r="P149" s="1313">
        <v>75000</v>
      </c>
    </row>
    <row r="150" spans="1:16" x14ac:dyDescent="0.2">
      <c r="A150" s="1302" t="s">
        <v>292</v>
      </c>
      <c r="B150" s="1303" t="s">
        <v>1141</v>
      </c>
      <c r="C150" s="1303" t="s">
        <v>98</v>
      </c>
      <c r="D150" s="1304" t="s">
        <v>2009</v>
      </c>
      <c r="E150" s="1305">
        <v>15600</v>
      </c>
      <c r="F150" s="1306" t="s">
        <v>2061</v>
      </c>
      <c r="G150" s="1307" t="s">
        <v>2062</v>
      </c>
      <c r="H150" s="1307" t="s">
        <v>1908</v>
      </c>
      <c r="I150" s="1307" t="s">
        <v>1598</v>
      </c>
      <c r="J150" s="1308" t="s">
        <v>1604</v>
      </c>
      <c r="K150" s="1309">
        <v>1</v>
      </c>
      <c r="L150" s="1310">
        <v>2</v>
      </c>
      <c r="M150" s="1311">
        <v>20900</v>
      </c>
      <c r="N150" s="1312">
        <v>0</v>
      </c>
      <c r="O150" s="1310" t="s">
        <v>1633</v>
      </c>
      <c r="P150" s="1313">
        <v>0</v>
      </c>
    </row>
    <row r="151" spans="1:16" x14ac:dyDescent="0.2">
      <c r="A151" s="1302" t="s">
        <v>292</v>
      </c>
      <c r="B151" s="1303" t="s">
        <v>1141</v>
      </c>
      <c r="C151" s="1303" t="s">
        <v>98</v>
      </c>
      <c r="D151" s="1304" t="s">
        <v>2063</v>
      </c>
      <c r="E151" s="1305">
        <v>3000</v>
      </c>
      <c r="F151" s="1306" t="s">
        <v>2064</v>
      </c>
      <c r="G151" s="1307" t="s">
        <v>2065</v>
      </c>
      <c r="H151" s="1307" t="s">
        <v>1632</v>
      </c>
      <c r="I151" s="1307" t="s">
        <v>1598</v>
      </c>
      <c r="J151" s="1308" t="s">
        <v>1599</v>
      </c>
      <c r="K151" s="1309">
        <v>1</v>
      </c>
      <c r="L151" s="1310">
        <v>12</v>
      </c>
      <c r="M151" s="1311">
        <v>36300</v>
      </c>
      <c r="N151" s="1312">
        <v>1</v>
      </c>
      <c r="O151" s="1310">
        <v>6</v>
      </c>
      <c r="P151" s="1313">
        <v>18000</v>
      </c>
    </row>
    <row r="152" spans="1:16" x14ac:dyDescent="0.2">
      <c r="A152" s="1302" t="s">
        <v>292</v>
      </c>
      <c r="B152" s="1303" t="s">
        <v>1141</v>
      </c>
      <c r="C152" s="1303" t="s">
        <v>98</v>
      </c>
      <c r="D152" s="1304" t="s">
        <v>2066</v>
      </c>
      <c r="E152" s="1305">
        <v>8000</v>
      </c>
      <c r="F152" s="1306" t="s">
        <v>2067</v>
      </c>
      <c r="G152" s="1307" t="s">
        <v>2068</v>
      </c>
      <c r="H152" s="1307" t="s">
        <v>1793</v>
      </c>
      <c r="I152" s="1307" t="s">
        <v>1598</v>
      </c>
      <c r="J152" s="1308" t="s">
        <v>1604</v>
      </c>
      <c r="K152" s="1309">
        <v>1</v>
      </c>
      <c r="L152" s="1310">
        <v>12</v>
      </c>
      <c r="M152" s="1311">
        <v>96300</v>
      </c>
      <c r="N152" s="1312">
        <v>1</v>
      </c>
      <c r="O152" s="1310">
        <v>6</v>
      </c>
      <c r="P152" s="1313">
        <v>48000</v>
      </c>
    </row>
    <row r="153" spans="1:16" ht="22.5" x14ac:dyDescent="0.2">
      <c r="A153" s="1302" t="s">
        <v>292</v>
      </c>
      <c r="B153" s="1303" t="s">
        <v>1141</v>
      </c>
      <c r="C153" s="1303" t="s">
        <v>98</v>
      </c>
      <c r="D153" s="1304" t="s">
        <v>2069</v>
      </c>
      <c r="E153" s="1305">
        <v>8000</v>
      </c>
      <c r="F153" s="1306" t="s">
        <v>2070</v>
      </c>
      <c r="G153" s="1307" t="s">
        <v>2071</v>
      </c>
      <c r="H153" s="1307" t="s">
        <v>1632</v>
      </c>
      <c r="I153" s="1307" t="s">
        <v>1598</v>
      </c>
      <c r="J153" s="1308" t="s">
        <v>1604</v>
      </c>
      <c r="K153" s="1309">
        <v>1</v>
      </c>
      <c r="L153" s="1310">
        <v>12</v>
      </c>
      <c r="M153" s="1311">
        <v>96300</v>
      </c>
      <c r="N153" s="1312">
        <v>1</v>
      </c>
      <c r="O153" s="1310">
        <v>6</v>
      </c>
      <c r="P153" s="1313">
        <v>48000</v>
      </c>
    </row>
    <row r="154" spans="1:16" ht="22.5" x14ac:dyDescent="0.2">
      <c r="A154" s="1302" t="s">
        <v>292</v>
      </c>
      <c r="B154" s="1303" t="s">
        <v>1141</v>
      </c>
      <c r="C154" s="1303" t="s">
        <v>98</v>
      </c>
      <c r="D154" s="1304" t="s">
        <v>2072</v>
      </c>
      <c r="E154" s="1305">
        <v>12000</v>
      </c>
      <c r="F154" s="1306" t="s">
        <v>2073</v>
      </c>
      <c r="G154" s="1307" t="s">
        <v>2074</v>
      </c>
      <c r="H154" s="1307" t="s">
        <v>1620</v>
      </c>
      <c r="I154" s="1307" t="s">
        <v>1598</v>
      </c>
      <c r="J154" s="1308" t="s">
        <v>1604</v>
      </c>
      <c r="K154" s="1309">
        <v>1</v>
      </c>
      <c r="L154" s="1310">
        <v>6</v>
      </c>
      <c r="M154" s="1311">
        <v>69200</v>
      </c>
      <c r="N154" s="1312">
        <v>1</v>
      </c>
      <c r="O154" s="1310">
        <v>1</v>
      </c>
      <c r="P154" s="1313">
        <v>3600</v>
      </c>
    </row>
    <row r="155" spans="1:16" x14ac:dyDescent="0.2">
      <c r="A155" s="1302" t="s">
        <v>292</v>
      </c>
      <c r="B155" s="1303" t="s">
        <v>1141</v>
      </c>
      <c r="C155" s="1303" t="s">
        <v>98</v>
      </c>
      <c r="D155" s="1304" t="s">
        <v>2075</v>
      </c>
      <c r="E155" s="1305">
        <v>7000</v>
      </c>
      <c r="F155" s="1306" t="s">
        <v>2076</v>
      </c>
      <c r="G155" s="1307" t="s">
        <v>2077</v>
      </c>
      <c r="H155" s="1307" t="s">
        <v>1647</v>
      </c>
      <c r="I155" s="1307" t="s">
        <v>1598</v>
      </c>
      <c r="J155" s="1308" t="s">
        <v>1604</v>
      </c>
      <c r="K155" s="1309">
        <v>1</v>
      </c>
      <c r="L155" s="1310">
        <v>12</v>
      </c>
      <c r="M155" s="1311">
        <v>83471.19</v>
      </c>
      <c r="N155" s="1312">
        <v>1</v>
      </c>
      <c r="O155" s="1310">
        <v>6</v>
      </c>
      <c r="P155" s="1313">
        <v>42000</v>
      </c>
    </row>
    <row r="156" spans="1:16" ht="22.5" x14ac:dyDescent="0.2">
      <c r="A156" s="1302" t="s">
        <v>292</v>
      </c>
      <c r="B156" s="1303" t="s">
        <v>1141</v>
      </c>
      <c r="C156" s="1303" t="s">
        <v>98</v>
      </c>
      <c r="D156" s="1304" t="s">
        <v>2078</v>
      </c>
      <c r="E156" s="1305">
        <v>10000</v>
      </c>
      <c r="F156" s="1306" t="s">
        <v>2079</v>
      </c>
      <c r="G156" s="1307" t="s">
        <v>2080</v>
      </c>
      <c r="H156" s="1307" t="s">
        <v>1664</v>
      </c>
      <c r="I156" s="1307" t="s">
        <v>1598</v>
      </c>
      <c r="J156" s="1308" t="s">
        <v>1616</v>
      </c>
      <c r="K156" s="1309">
        <v>1</v>
      </c>
      <c r="L156" s="1310">
        <v>4</v>
      </c>
      <c r="M156" s="1311">
        <v>38666.67</v>
      </c>
      <c r="N156" s="1312">
        <v>1</v>
      </c>
      <c r="O156" s="1310">
        <v>6</v>
      </c>
      <c r="P156" s="1313">
        <v>60000</v>
      </c>
    </row>
    <row r="157" spans="1:16" x14ac:dyDescent="0.2">
      <c r="A157" s="1302" t="s">
        <v>292</v>
      </c>
      <c r="B157" s="1303" t="s">
        <v>1141</v>
      </c>
      <c r="C157" s="1303" t="s">
        <v>98</v>
      </c>
      <c r="D157" s="1304" t="s">
        <v>1754</v>
      </c>
      <c r="E157" s="1305">
        <v>12500</v>
      </c>
      <c r="F157" s="1306" t="s">
        <v>2081</v>
      </c>
      <c r="G157" s="1307" t="s">
        <v>2082</v>
      </c>
      <c r="H157" s="1307" t="s">
        <v>1647</v>
      </c>
      <c r="I157" s="1307" t="s">
        <v>1598</v>
      </c>
      <c r="J157" s="1308" t="s">
        <v>1604</v>
      </c>
      <c r="K157" s="1309">
        <v>1</v>
      </c>
      <c r="L157" s="1310">
        <v>12</v>
      </c>
      <c r="M157" s="1311">
        <v>150300</v>
      </c>
      <c r="N157" s="1312">
        <v>1</v>
      </c>
      <c r="O157" s="1310">
        <v>6</v>
      </c>
      <c r="P157" s="1313">
        <v>74975.69</v>
      </c>
    </row>
    <row r="158" spans="1:16" x14ac:dyDescent="0.2">
      <c r="A158" s="1302" t="s">
        <v>292</v>
      </c>
      <c r="B158" s="1303" t="s">
        <v>1141</v>
      </c>
      <c r="C158" s="1303" t="s">
        <v>98</v>
      </c>
      <c r="D158" s="1304" t="s">
        <v>1915</v>
      </c>
      <c r="E158" s="1305">
        <v>12000</v>
      </c>
      <c r="F158" s="1306" t="s">
        <v>2083</v>
      </c>
      <c r="G158" s="1307" t="s">
        <v>2084</v>
      </c>
      <c r="H158" s="1307" t="s">
        <v>1732</v>
      </c>
      <c r="I158" s="1307" t="s">
        <v>1598</v>
      </c>
      <c r="J158" s="1308" t="s">
        <v>1604</v>
      </c>
      <c r="K158" s="1309">
        <v>1</v>
      </c>
      <c r="L158" s="1310">
        <v>3</v>
      </c>
      <c r="M158" s="1311">
        <v>35200</v>
      </c>
      <c r="N158" s="1312">
        <v>0</v>
      </c>
      <c r="O158" s="1310" t="s">
        <v>1633</v>
      </c>
      <c r="P158" s="1313">
        <v>0</v>
      </c>
    </row>
    <row r="159" spans="1:16" ht="22.5" x14ac:dyDescent="0.2">
      <c r="A159" s="1302" t="s">
        <v>292</v>
      </c>
      <c r="B159" s="1303" t="s">
        <v>1141</v>
      </c>
      <c r="C159" s="1303" t="s">
        <v>98</v>
      </c>
      <c r="D159" s="1304" t="s">
        <v>2085</v>
      </c>
      <c r="E159" s="1305">
        <v>8500</v>
      </c>
      <c r="F159" s="1306" t="s">
        <v>2086</v>
      </c>
      <c r="G159" s="1307" t="s">
        <v>2087</v>
      </c>
      <c r="H159" s="1307" t="s">
        <v>1753</v>
      </c>
      <c r="I159" s="1307" t="s">
        <v>1616</v>
      </c>
      <c r="J159" s="1308" t="s">
        <v>1604</v>
      </c>
      <c r="K159" s="1309">
        <v>1</v>
      </c>
      <c r="L159" s="1310">
        <v>12</v>
      </c>
      <c r="M159" s="1311">
        <v>102300</v>
      </c>
      <c r="N159" s="1312">
        <v>1</v>
      </c>
      <c r="O159" s="1310">
        <v>6</v>
      </c>
      <c r="P159" s="1313">
        <v>51000</v>
      </c>
    </row>
    <row r="160" spans="1:16" x14ac:dyDescent="0.2">
      <c r="A160" s="1302" t="s">
        <v>292</v>
      </c>
      <c r="B160" s="1303" t="s">
        <v>1141</v>
      </c>
      <c r="C160" s="1303" t="s">
        <v>98</v>
      </c>
      <c r="D160" s="1304" t="s">
        <v>2088</v>
      </c>
      <c r="E160" s="1305">
        <v>12500</v>
      </c>
      <c r="F160" s="1306" t="s">
        <v>2089</v>
      </c>
      <c r="G160" s="1307" t="s">
        <v>2090</v>
      </c>
      <c r="H160" s="1307" t="s">
        <v>1612</v>
      </c>
      <c r="I160" s="1307" t="s">
        <v>1598</v>
      </c>
      <c r="J160" s="1308" t="s">
        <v>1604</v>
      </c>
      <c r="K160" s="1309">
        <v>1</v>
      </c>
      <c r="L160" s="1310">
        <v>12</v>
      </c>
      <c r="M160" s="1311">
        <v>150300</v>
      </c>
      <c r="N160" s="1312">
        <v>1</v>
      </c>
      <c r="O160" s="1310">
        <v>6</v>
      </c>
      <c r="P160" s="1313">
        <v>75000</v>
      </c>
    </row>
    <row r="161" spans="1:16" ht="22.5" x14ac:dyDescent="0.2">
      <c r="A161" s="1302" t="s">
        <v>292</v>
      </c>
      <c r="B161" s="1303" t="s">
        <v>1141</v>
      </c>
      <c r="C161" s="1303" t="s">
        <v>98</v>
      </c>
      <c r="D161" s="1304" t="s">
        <v>1747</v>
      </c>
      <c r="E161" s="1305">
        <v>7000</v>
      </c>
      <c r="F161" s="1306" t="s">
        <v>2091</v>
      </c>
      <c r="G161" s="1307" t="s">
        <v>2092</v>
      </c>
      <c r="H161" s="1307" t="s">
        <v>1713</v>
      </c>
      <c r="I161" s="1307" t="s">
        <v>1598</v>
      </c>
      <c r="J161" s="1308" t="s">
        <v>1616</v>
      </c>
      <c r="K161" s="1309">
        <v>1</v>
      </c>
      <c r="L161" s="1310">
        <v>6</v>
      </c>
      <c r="M161" s="1311">
        <v>39433.33</v>
      </c>
      <c r="N161" s="1312">
        <v>1</v>
      </c>
      <c r="O161" s="1310">
        <v>3</v>
      </c>
      <c r="P161" s="1313">
        <v>21000</v>
      </c>
    </row>
    <row r="162" spans="1:16" ht="22.5" x14ac:dyDescent="0.2">
      <c r="A162" s="1302" t="s">
        <v>292</v>
      </c>
      <c r="B162" s="1303" t="s">
        <v>1141</v>
      </c>
      <c r="C162" s="1303" t="s">
        <v>98</v>
      </c>
      <c r="D162" s="1304" t="s">
        <v>2093</v>
      </c>
      <c r="E162" s="1305">
        <v>3500</v>
      </c>
      <c r="F162" s="1306" t="s">
        <v>2094</v>
      </c>
      <c r="G162" s="1307" t="s">
        <v>2095</v>
      </c>
      <c r="H162" s="1307" t="s">
        <v>2096</v>
      </c>
      <c r="I162" s="1307" t="s">
        <v>1621</v>
      </c>
      <c r="J162" s="1308" t="s">
        <v>1604</v>
      </c>
      <c r="K162" s="1309">
        <v>1</v>
      </c>
      <c r="L162" s="1310">
        <v>12</v>
      </c>
      <c r="M162" s="1311">
        <v>42300</v>
      </c>
      <c r="N162" s="1312">
        <v>1</v>
      </c>
      <c r="O162" s="1310">
        <v>6</v>
      </c>
      <c r="P162" s="1313">
        <v>20935.59</v>
      </c>
    </row>
    <row r="163" spans="1:16" x14ac:dyDescent="0.2">
      <c r="A163" s="1302" t="s">
        <v>292</v>
      </c>
      <c r="B163" s="1303" t="s">
        <v>1141</v>
      </c>
      <c r="C163" s="1303" t="s">
        <v>98</v>
      </c>
      <c r="D163" s="1304" t="s">
        <v>2097</v>
      </c>
      <c r="E163" s="1305">
        <v>8000</v>
      </c>
      <c r="F163" s="1306" t="s">
        <v>2098</v>
      </c>
      <c r="G163" s="1307" t="s">
        <v>2099</v>
      </c>
      <c r="H163" s="1307" t="s">
        <v>1608</v>
      </c>
      <c r="I163" s="1307" t="s">
        <v>1598</v>
      </c>
      <c r="J163" s="1308" t="s">
        <v>1604</v>
      </c>
      <c r="K163" s="1309">
        <v>1</v>
      </c>
      <c r="L163" s="1310">
        <v>12</v>
      </c>
      <c r="M163" s="1311">
        <v>95924.06</v>
      </c>
      <c r="N163" s="1312">
        <v>1</v>
      </c>
      <c r="O163" s="1310">
        <v>6</v>
      </c>
      <c r="P163" s="1313">
        <v>47671.11</v>
      </c>
    </row>
    <row r="164" spans="1:16" x14ac:dyDescent="0.2">
      <c r="A164" s="1302" t="s">
        <v>292</v>
      </c>
      <c r="B164" s="1303" t="s">
        <v>1141</v>
      </c>
      <c r="C164" s="1303" t="s">
        <v>98</v>
      </c>
      <c r="D164" s="1307" t="s">
        <v>2100</v>
      </c>
      <c r="E164" s="1305">
        <v>15600</v>
      </c>
      <c r="F164" s="1306" t="s">
        <v>2101</v>
      </c>
      <c r="G164" s="1307" t="s">
        <v>2102</v>
      </c>
      <c r="H164" s="1307" t="s">
        <v>2103</v>
      </c>
      <c r="I164" s="1307" t="s">
        <v>1598</v>
      </c>
      <c r="J164" s="1308" t="s">
        <v>1604</v>
      </c>
      <c r="K164" s="1309">
        <v>1</v>
      </c>
      <c r="L164" s="1310">
        <v>12</v>
      </c>
      <c r="M164" s="1311">
        <v>187500</v>
      </c>
      <c r="N164" s="1312">
        <v>1</v>
      </c>
      <c r="O164" s="1310">
        <v>6</v>
      </c>
      <c r="P164" s="1313">
        <v>92040</v>
      </c>
    </row>
    <row r="165" spans="1:16" x14ac:dyDescent="0.2">
      <c r="A165" s="1302" t="s">
        <v>292</v>
      </c>
      <c r="B165" s="1303" t="s">
        <v>1141</v>
      </c>
      <c r="C165" s="1303" t="s">
        <v>98</v>
      </c>
      <c r="D165" s="1307" t="s">
        <v>2104</v>
      </c>
      <c r="E165" s="1305">
        <v>15500</v>
      </c>
      <c r="F165" s="1306" t="s">
        <v>2105</v>
      </c>
      <c r="G165" s="1307" t="s">
        <v>2106</v>
      </c>
      <c r="H165" s="1307" t="s">
        <v>1603</v>
      </c>
      <c r="I165" s="1307" t="s">
        <v>1598</v>
      </c>
      <c r="J165" s="1308" t="s">
        <v>1604</v>
      </c>
      <c r="K165" s="1309">
        <v>1</v>
      </c>
      <c r="L165" s="1310">
        <v>12</v>
      </c>
      <c r="M165" s="1311">
        <v>159716.66999999998</v>
      </c>
      <c r="N165" s="1312">
        <v>1</v>
      </c>
      <c r="O165" s="1310">
        <v>6</v>
      </c>
      <c r="P165" s="1313">
        <v>91450</v>
      </c>
    </row>
    <row r="166" spans="1:16" ht="22.5" x14ac:dyDescent="0.2">
      <c r="A166" s="1302" t="s">
        <v>292</v>
      </c>
      <c r="B166" s="1303" t="s">
        <v>1141</v>
      </c>
      <c r="C166" s="1303" t="s">
        <v>98</v>
      </c>
      <c r="D166" s="1304" t="s">
        <v>2107</v>
      </c>
      <c r="E166" s="1305">
        <v>7500</v>
      </c>
      <c r="F166" s="1306" t="s">
        <v>2108</v>
      </c>
      <c r="G166" s="1307" t="s">
        <v>2109</v>
      </c>
      <c r="H166" s="1307" t="s">
        <v>1682</v>
      </c>
      <c r="I166" s="1307" t="s">
        <v>1598</v>
      </c>
      <c r="J166" s="1308" t="s">
        <v>1604</v>
      </c>
      <c r="K166" s="1309">
        <v>1</v>
      </c>
      <c r="L166" s="1310">
        <v>12</v>
      </c>
      <c r="M166" s="1311">
        <v>90300</v>
      </c>
      <c r="N166" s="1312">
        <v>1</v>
      </c>
      <c r="O166" s="1310">
        <v>6</v>
      </c>
      <c r="P166" s="1313">
        <v>45000</v>
      </c>
    </row>
    <row r="167" spans="1:16" x14ac:dyDescent="0.2">
      <c r="A167" s="1302" t="s">
        <v>292</v>
      </c>
      <c r="B167" s="1303" t="s">
        <v>1141</v>
      </c>
      <c r="C167" s="1303" t="s">
        <v>98</v>
      </c>
      <c r="D167" s="1304" t="s">
        <v>2110</v>
      </c>
      <c r="E167" s="1305">
        <v>9000</v>
      </c>
      <c r="F167" s="1306" t="s">
        <v>2111</v>
      </c>
      <c r="G167" s="1307" t="s">
        <v>2112</v>
      </c>
      <c r="H167" s="1307" t="s">
        <v>1668</v>
      </c>
      <c r="I167" s="1307" t="s">
        <v>1598</v>
      </c>
      <c r="J167" s="1308" t="s">
        <v>1604</v>
      </c>
      <c r="K167" s="1309">
        <v>1</v>
      </c>
      <c r="L167" s="1310">
        <v>12</v>
      </c>
      <c r="M167" s="1311">
        <v>84643.33</v>
      </c>
      <c r="N167" s="1312">
        <v>1</v>
      </c>
      <c r="O167" s="1310">
        <v>6</v>
      </c>
      <c r="P167" s="1313">
        <v>54000</v>
      </c>
    </row>
    <row r="168" spans="1:16" x14ac:dyDescent="0.2">
      <c r="A168" s="1302" t="s">
        <v>292</v>
      </c>
      <c r="B168" s="1303" t="s">
        <v>1141</v>
      </c>
      <c r="C168" s="1303" t="s">
        <v>98</v>
      </c>
      <c r="D168" s="1304" t="s">
        <v>2113</v>
      </c>
      <c r="E168" s="1305">
        <v>11000</v>
      </c>
      <c r="F168" s="1306" t="s">
        <v>2114</v>
      </c>
      <c r="G168" s="1307" t="s">
        <v>2115</v>
      </c>
      <c r="H168" s="1307" t="s">
        <v>1603</v>
      </c>
      <c r="I168" s="1307" t="s">
        <v>1598</v>
      </c>
      <c r="J168" s="1308" t="s">
        <v>1604</v>
      </c>
      <c r="K168" s="1309">
        <v>1</v>
      </c>
      <c r="L168" s="1310">
        <v>12</v>
      </c>
      <c r="M168" s="1311">
        <v>115692.66</v>
      </c>
      <c r="N168" s="1312">
        <v>1</v>
      </c>
      <c r="O168" s="1310">
        <v>6</v>
      </c>
      <c r="P168" s="1313">
        <v>66000</v>
      </c>
    </row>
    <row r="169" spans="1:16" ht="22.5" x14ac:dyDescent="0.2">
      <c r="A169" s="1302" t="s">
        <v>292</v>
      </c>
      <c r="B169" s="1303" t="s">
        <v>1141</v>
      </c>
      <c r="C169" s="1303" t="s">
        <v>98</v>
      </c>
      <c r="D169" s="1304" t="s">
        <v>2116</v>
      </c>
      <c r="E169" s="1305">
        <v>4500</v>
      </c>
      <c r="F169" s="1306" t="s">
        <v>2117</v>
      </c>
      <c r="G169" s="1307" t="s">
        <v>2118</v>
      </c>
      <c r="H169" s="1307" t="s">
        <v>1753</v>
      </c>
      <c r="I169" s="1307" t="s">
        <v>1598</v>
      </c>
      <c r="J169" s="1308" t="s">
        <v>1604</v>
      </c>
      <c r="K169" s="1309">
        <v>1</v>
      </c>
      <c r="L169" s="1310">
        <v>12</v>
      </c>
      <c r="M169" s="1311">
        <v>54281.3</v>
      </c>
      <c r="N169" s="1312">
        <v>1</v>
      </c>
      <c r="O169" s="1310">
        <v>6</v>
      </c>
      <c r="P169" s="1313">
        <v>27000</v>
      </c>
    </row>
    <row r="170" spans="1:16" x14ac:dyDescent="0.2">
      <c r="A170" s="1302" t="s">
        <v>292</v>
      </c>
      <c r="B170" s="1303" t="s">
        <v>1141</v>
      </c>
      <c r="C170" s="1303" t="s">
        <v>98</v>
      </c>
      <c r="D170" s="1304" t="s">
        <v>2119</v>
      </c>
      <c r="E170" s="1305">
        <v>8000</v>
      </c>
      <c r="F170" s="1306" t="s">
        <v>2120</v>
      </c>
      <c r="G170" s="1307" t="s">
        <v>2121</v>
      </c>
      <c r="H170" s="1307" t="s">
        <v>1826</v>
      </c>
      <c r="I170" s="1307" t="s">
        <v>1616</v>
      </c>
      <c r="J170" s="1308" t="s">
        <v>1616</v>
      </c>
      <c r="K170" s="1309">
        <v>1</v>
      </c>
      <c r="L170" s="1310">
        <v>2</v>
      </c>
      <c r="M170" s="1311">
        <v>18666.669999999998</v>
      </c>
      <c r="N170" s="1312">
        <v>1</v>
      </c>
      <c r="O170" s="1310">
        <v>6</v>
      </c>
      <c r="P170" s="1313">
        <v>48000</v>
      </c>
    </row>
    <row r="171" spans="1:16" x14ac:dyDescent="0.2">
      <c r="A171" s="1302" t="s">
        <v>292</v>
      </c>
      <c r="B171" s="1303" t="s">
        <v>1141</v>
      </c>
      <c r="C171" s="1303" t="s">
        <v>98</v>
      </c>
      <c r="D171" s="1304" t="s">
        <v>1600</v>
      </c>
      <c r="E171" s="1305">
        <v>8500</v>
      </c>
      <c r="F171" s="1306" t="s">
        <v>2122</v>
      </c>
      <c r="G171" s="1307" t="s">
        <v>2123</v>
      </c>
      <c r="H171" s="1307" t="s">
        <v>1603</v>
      </c>
      <c r="I171" s="1307" t="s">
        <v>1598</v>
      </c>
      <c r="J171" s="1308" t="s">
        <v>1604</v>
      </c>
      <c r="K171" s="1309">
        <v>1</v>
      </c>
      <c r="L171" s="1310">
        <v>9</v>
      </c>
      <c r="M171" s="1311">
        <v>76133.239999999991</v>
      </c>
      <c r="N171" s="1312">
        <v>1</v>
      </c>
      <c r="O171" s="1310">
        <v>6</v>
      </c>
      <c r="P171" s="1313">
        <v>51000</v>
      </c>
    </row>
    <row r="172" spans="1:16" ht="22.5" x14ac:dyDescent="0.2">
      <c r="A172" s="1302" t="s">
        <v>292</v>
      </c>
      <c r="B172" s="1303" t="s">
        <v>1141</v>
      </c>
      <c r="C172" s="1303" t="s">
        <v>98</v>
      </c>
      <c r="D172" s="1304" t="s">
        <v>2124</v>
      </c>
      <c r="E172" s="1305">
        <v>6500</v>
      </c>
      <c r="F172" s="1306" t="s">
        <v>2125</v>
      </c>
      <c r="G172" s="1307" t="s">
        <v>2126</v>
      </c>
      <c r="H172" s="1307" t="s">
        <v>1664</v>
      </c>
      <c r="I172" s="1307" t="s">
        <v>1616</v>
      </c>
      <c r="J172" s="1308" t="s">
        <v>1616</v>
      </c>
      <c r="K172" s="1309">
        <v>1</v>
      </c>
      <c r="L172" s="1310">
        <v>4</v>
      </c>
      <c r="M172" s="1311">
        <v>25133.33</v>
      </c>
      <c r="N172" s="1312">
        <v>1</v>
      </c>
      <c r="O172" s="1310">
        <v>6</v>
      </c>
      <c r="P172" s="1313">
        <v>39000</v>
      </c>
    </row>
    <row r="173" spans="1:16" ht="33.75" x14ac:dyDescent="0.2">
      <c r="A173" s="1302" t="s">
        <v>292</v>
      </c>
      <c r="B173" s="1303" t="s">
        <v>1141</v>
      </c>
      <c r="C173" s="1303" t="s">
        <v>98</v>
      </c>
      <c r="D173" s="1304" t="s">
        <v>2127</v>
      </c>
      <c r="E173" s="1305">
        <v>11000</v>
      </c>
      <c r="F173" s="1306" t="s">
        <v>2128</v>
      </c>
      <c r="G173" s="1307" t="s">
        <v>2129</v>
      </c>
      <c r="H173" s="1307" t="s">
        <v>1743</v>
      </c>
      <c r="I173" s="1307" t="s">
        <v>1598</v>
      </c>
      <c r="J173" s="1308" t="s">
        <v>1604</v>
      </c>
      <c r="K173" s="1309">
        <v>1</v>
      </c>
      <c r="L173" s="1310">
        <v>6</v>
      </c>
      <c r="M173" s="1311">
        <v>63433.33</v>
      </c>
      <c r="N173" s="1312">
        <v>1</v>
      </c>
      <c r="O173" s="1310">
        <v>6</v>
      </c>
      <c r="P173" s="1313">
        <v>66000</v>
      </c>
    </row>
    <row r="174" spans="1:16" ht="22.5" x14ac:dyDescent="0.2">
      <c r="A174" s="1302" t="s">
        <v>292</v>
      </c>
      <c r="B174" s="1303" t="s">
        <v>1141</v>
      </c>
      <c r="C174" s="1303" t="s">
        <v>98</v>
      </c>
      <c r="D174" s="1304" t="s">
        <v>2130</v>
      </c>
      <c r="E174" s="1305">
        <v>8000</v>
      </c>
      <c r="F174" s="1306" t="s">
        <v>2131</v>
      </c>
      <c r="G174" s="1307" t="s">
        <v>2132</v>
      </c>
      <c r="H174" s="1307" t="s">
        <v>2133</v>
      </c>
      <c r="I174" s="1307" t="s">
        <v>1598</v>
      </c>
      <c r="J174" s="1308" t="s">
        <v>1604</v>
      </c>
      <c r="K174" s="1309">
        <v>1</v>
      </c>
      <c r="L174" s="1310">
        <v>8</v>
      </c>
      <c r="M174" s="1311">
        <v>61700</v>
      </c>
      <c r="N174" s="1312">
        <v>1</v>
      </c>
      <c r="O174" s="1310">
        <v>6</v>
      </c>
      <c r="P174" s="1313">
        <v>48000</v>
      </c>
    </row>
    <row r="175" spans="1:16" ht="22.5" x14ac:dyDescent="0.2">
      <c r="A175" s="1302" t="s">
        <v>292</v>
      </c>
      <c r="B175" s="1303" t="s">
        <v>1141</v>
      </c>
      <c r="C175" s="1303" t="s">
        <v>98</v>
      </c>
      <c r="D175" s="1304" t="s">
        <v>2134</v>
      </c>
      <c r="E175" s="1305">
        <v>6000</v>
      </c>
      <c r="F175" s="1306" t="s">
        <v>2135</v>
      </c>
      <c r="G175" s="1307" t="s">
        <v>2136</v>
      </c>
      <c r="H175" s="1307" t="s">
        <v>2137</v>
      </c>
      <c r="I175" s="1307" t="s">
        <v>1598</v>
      </c>
      <c r="J175" s="1308" t="s">
        <v>1604</v>
      </c>
      <c r="K175" s="1309">
        <v>1</v>
      </c>
      <c r="L175" s="1310">
        <v>12</v>
      </c>
      <c r="M175" s="1311">
        <v>72300</v>
      </c>
      <c r="N175" s="1312">
        <v>1</v>
      </c>
      <c r="O175" s="1310">
        <v>6</v>
      </c>
      <c r="P175" s="1313">
        <v>35856.25</v>
      </c>
    </row>
    <row r="176" spans="1:16" ht="22.5" x14ac:dyDescent="0.2">
      <c r="A176" s="1302" t="s">
        <v>292</v>
      </c>
      <c r="B176" s="1303" t="s">
        <v>1141</v>
      </c>
      <c r="C176" s="1303" t="s">
        <v>98</v>
      </c>
      <c r="D176" s="1304" t="s">
        <v>2138</v>
      </c>
      <c r="E176" s="1305">
        <v>10000</v>
      </c>
      <c r="F176" s="1306" t="s">
        <v>2139</v>
      </c>
      <c r="G176" s="1307" t="s">
        <v>2140</v>
      </c>
      <c r="H176" s="1307" t="s">
        <v>1647</v>
      </c>
      <c r="I176" s="1307" t="s">
        <v>1598</v>
      </c>
      <c r="J176" s="1308" t="s">
        <v>1604</v>
      </c>
      <c r="K176" s="1309">
        <v>1</v>
      </c>
      <c r="L176" s="1310">
        <v>12</v>
      </c>
      <c r="M176" s="1311">
        <v>120300</v>
      </c>
      <c r="N176" s="1312">
        <v>1</v>
      </c>
      <c r="O176" s="1310">
        <v>6</v>
      </c>
      <c r="P176" s="1313">
        <v>60000</v>
      </c>
    </row>
    <row r="177" spans="1:16" ht="22.5" x14ac:dyDescent="0.2">
      <c r="A177" s="1302" t="s">
        <v>292</v>
      </c>
      <c r="B177" s="1303" t="s">
        <v>1141</v>
      </c>
      <c r="C177" s="1303" t="s">
        <v>98</v>
      </c>
      <c r="D177" s="1304" t="s">
        <v>1733</v>
      </c>
      <c r="E177" s="1305">
        <v>3500</v>
      </c>
      <c r="F177" s="1306" t="s">
        <v>2141</v>
      </c>
      <c r="G177" s="1307" t="s">
        <v>2142</v>
      </c>
      <c r="H177" s="1307" t="s">
        <v>1713</v>
      </c>
      <c r="I177" s="1307" t="s">
        <v>1598</v>
      </c>
      <c r="J177" s="1308" t="s">
        <v>1616</v>
      </c>
      <c r="K177" s="1309">
        <v>1</v>
      </c>
      <c r="L177" s="1310">
        <v>2</v>
      </c>
      <c r="M177" s="1311">
        <v>5716.67</v>
      </c>
      <c r="N177" s="1312">
        <v>1</v>
      </c>
      <c r="O177" s="1310">
        <v>6</v>
      </c>
      <c r="P177" s="1313">
        <v>21000</v>
      </c>
    </row>
    <row r="178" spans="1:16" ht="22.5" x14ac:dyDescent="0.2">
      <c r="A178" s="1302" t="s">
        <v>292</v>
      </c>
      <c r="B178" s="1303" t="s">
        <v>1141</v>
      </c>
      <c r="C178" s="1303" t="s">
        <v>98</v>
      </c>
      <c r="D178" s="1304" t="s">
        <v>2143</v>
      </c>
      <c r="E178" s="1305">
        <v>8000</v>
      </c>
      <c r="F178" s="1306" t="s">
        <v>2144</v>
      </c>
      <c r="G178" s="1307" t="s">
        <v>2145</v>
      </c>
      <c r="H178" s="1307" t="s">
        <v>1686</v>
      </c>
      <c r="I178" s="1307" t="s">
        <v>1598</v>
      </c>
      <c r="J178" s="1308" t="s">
        <v>1604</v>
      </c>
      <c r="K178" s="1309">
        <v>1</v>
      </c>
      <c r="L178" s="1310">
        <v>12</v>
      </c>
      <c r="M178" s="1311">
        <v>96300</v>
      </c>
      <c r="N178" s="1312">
        <v>1</v>
      </c>
      <c r="O178" s="1310">
        <v>6</v>
      </c>
      <c r="P178" s="1313">
        <v>47873.33</v>
      </c>
    </row>
    <row r="179" spans="1:16" x14ac:dyDescent="0.2">
      <c r="A179" s="1302" t="s">
        <v>292</v>
      </c>
      <c r="B179" s="1303" t="s">
        <v>1141</v>
      </c>
      <c r="C179" s="1303" t="s">
        <v>98</v>
      </c>
      <c r="D179" s="1304" t="s">
        <v>2013</v>
      </c>
      <c r="E179" s="1305">
        <v>15600</v>
      </c>
      <c r="F179" s="1306" t="s">
        <v>2146</v>
      </c>
      <c r="G179" s="1307" t="s">
        <v>2147</v>
      </c>
      <c r="H179" s="1307" t="s">
        <v>1625</v>
      </c>
      <c r="I179" s="1307" t="s">
        <v>1616</v>
      </c>
      <c r="J179" s="1308" t="s">
        <v>1604</v>
      </c>
      <c r="K179" s="1309">
        <v>1</v>
      </c>
      <c r="L179" s="1310">
        <v>1</v>
      </c>
      <c r="M179" s="1311">
        <v>15600</v>
      </c>
      <c r="N179" s="1312">
        <v>0</v>
      </c>
      <c r="O179" s="1310" t="s">
        <v>1633</v>
      </c>
      <c r="P179" s="1313">
        <v>0</v>
      </c>
    </row>
    <row r="180" spans="1:16" ht="22.5" x14ac:dyDescent="0.2">
      <c r="A180" s="1302" t="s">
        <v>292</v>
      </c>
      <c r="B180" s="1303" t="s">
        <v>1141</v>
      </c>
      <c r="C180" s="1303" t="s">
        <v>98</v>
      </c>
      <c r="D180" s="1304" t="s">
        <v>2148</v>
      </c>
      <c r="E180" s="1305">
        <v>6500</v>
      </c>
      <c r="F180" s="1306" t="s">
        <v>2149</v>
      </c>
      <c r="G180" s="1307" t="s">
        <v>2150</v>
      </c>
      <c r="H180" s="1307" t="s">
        <v>1753</v>
      </c>
      <c r="I180" s="1307" t="s">
        <v>1598</v>
      </c>
      <c r="J180" s="1308" t="s">
        <v>1604</v>
      </c>
      <c r="K180" s="1309">
        <v>1</v>
      </c>
      <c r="L180" s="1310">
        <v>10</v>
      </c>
      <c r="M180" s="1311">
        <v>68116.58</v>
      </c>
      <c r="N180" s="1312">
        <v>1</v>
      </c>
      <c r="O180" s="1310">
        <v>6</v>
      </c>
      <c r="P180" s="1313">
        <v>39000</v>
      </c>
    </row>
    <row r="181" spans="1:16" ht="22.5" x14ac:dyDescent="0.2">
      <c r="A181" s="1302" t="s">
        <v>292</v>
      </c>
      <c r="B181" s="1303" t="s">
        <v>1141</v>
      </c>
      <c r="C181" s="1303" t="s">
        <v>98</v>
      </c>
      <c r="D181" s="1304" t="s">
        <v>2151</v>
      </c>
      <c r="E181" s="1305">
        <v>10500</v>
      </c>
      <c r="F181" s="1306" t="s">
        <v>2152</v>
      </c>
      <c r="G181" s="1307" t="s">
        <v>2153</v>
      </c>
      <c r="H181" s="1307" t="s">
        <v>2154</v>
      </c>
      <c r="I181" s="1307" t="s">
        <v>1616</v>
      </c>
      <c r="J181" s="1308" t="s">
        <v>1616</v>
      </c>
      <c r="K181" s="1309">
        <v>1</v>
      </c>
      <c r="L181" s="1310">
        <v>4</v>
      </c>
      <c r="M181" s="1311">
        <v>40600</v>
      </c>
      <c r="N181" s="1312">
        <v>1</v>
      </c>
      <c r="O181" s="1310">
        <v>6</v>
      </c>
      <c r="P181" s="1313">
        <v>62650</v>
      </c>
    </row>
    <row r="182" spans="1:16" ht="22.5" x14ac:dyDescent="0.2">
      <c r="A182" s="1302" t="s">
        <v>292</v>
      </c>
      <c r="B182" s="1303" t="s">
        <v>1141</v>
      </c>
      <c r="C182" s="1303" t="s">
        <v>98</v>
      </c>
      <c r="D182" s="1304" t="s">
        <v>2155</v>
      </c>
      <c r="E182" s="1305">
        <v>6500</v>
      </c>
      <c r="F182" s="1306" t="s">
        <v>2156</v>
      </c>
      <c r="G182" s="1307" t="s">
        <v>2157</v>
      </c>
      <c r="H182" s="1307" t="s">
        <v>1743</v>
      </c>
      <c r="I182" s="1307" t="s">
        <v>1598</v>
      </c>
      <c r="J182" s="1308" t="s">
        <v>1604</v>
      </c>
      <c r="K182" s="1309">
        <v>1</v>
      </c>
      <c r="L182" s="1310">
        <v>4</v>
      </c>
      <c r="M182" s="1311">
        <v>28266.6</v>
      </c>
      <c r="N182" s="1312">
        <v>0</v>
      </c>
      <c r="O182" s="1310" t="s">
        <v>1633</v>
      </c>
      <c r="P182" s="1313">
        <v>0</v>
      </c>
    </row>
    <row r="183" spans="1:16" ht="22.5" x14ac:dyDescent="0.2">
      <c r="A183" s="1302" t="s">
        <v>292</v>
      </c>
      <c r="B183" s="1303" t="s">
        <v>1141</v>
      </c>
      <c r="C183" s="1303" t="s">
        <v>98</v>
      </c>
      <c r="D183" s="1304" t="s">
        <v>1924</v>
      </c>
      <c r="E183" s="1305">
        <v>6000</v>
      </c>
      <c r="F183" s="1306" t="s">
        <v>2158</v>
      </c>
      <c r="G183" s="1307" t="s">
        <v>2159</v>
      </c>
      <c r="H183" s="1307" t="s">
        <v>1672</v>
      </c>
      <c r="I183" s="1307" t="s">
        <v>1598</v>
      </c>
      <c r="J183" s="1308" t="s">
        <v>1604</v>
      </c>
      <c r="K183" s="1309">
        <v>1</v>
      </c>
      <c r="L183" s="1310">
        <v>12</v>
      </c>
      <c r="M183" s="1311">
        <v>68012.33</v>
      </c>
      <c r="N183" s="1312">
        <v>1</v>
      </c>
      <c r="O183" s="1310">
        <v>6</v>
      </c>
      <c r="P183" s="1313">
        <v>36000</v>
      </c>
    </row>
    <row r="184" spans="1:16" ht="22.5" x14ac:dyDescent="0.2">
      <c r="A184" s="1302" t="s">
        <v>292</v>
      </c>
      <c r="B184" s="1303" t="s">
        <v>1141</v>
      </c>
      <c r="C184" s="1303" t="s">
        <v>98</v>
      </c>
      <c r="D184" s="1304" t="s">
        <v>2160</v>
      </c>
      <c r="E184" s="1305">
        <v>5500</v>
      </c>
      <c r="F184" s="1306" t="s">
        <v>2161</v>
      </c>
      <c r="G184" s="1307" t="s">
        <v>2162</v>
      </c>
      <c r="H184" s="1307" t="s">
        <v>2154</v>
      </c>
      <c r="I184" s="1307" t="s">
        <v>1616</v>
      </c>
      <c r="J184" s="1308" t="s">
        <v>1616</v>
      </c>
      <c r="K184" s="1309">
        <v>1</v>
      </c>
      <c r="L184" s="1310">
        <v>2</v>
      </c>
      <c r="M184" s="1311">
        <v>21266.67</v>
      </c>
      <c r="N184" s="1312">
        <v>1</v>
      </c>
      <c r="O184" s="1310">
        <v>6</v>
      </c>
      <c r="P184" s="1313">
        <v>33000</v>
      </c>
    </row>
    <row r="185" spans="1:16" ht="22.5" x14ac:dyDescent="0.2">
      <c r="A185" s="1302" t="s">
        <v>292</v>
      </c>
      <c r="B185" s="1303" t="s">
        <v>1141</v>
      </c>
      <c r="C185" s="1303" t="s">
        <v>98</v>
      </c>
      <c r="D185" s="1304" t="s">
        <v>2163</v>
      </c>
      <c r="E185" s="1305">
        <v>6000</v>
      </c>
      <c r="F185" s="1306" t="s">
        <v>2164</v>
      </c>
      <c r="G185" s="1307" t="s">
        <v>2165</v>
      </c>
      <c r="H185" s="1307" t="s">
        <v>2166</v>
      </c>
      <c r="I185" s="1307" t="s">
        <v>1616</v>
      </c>
      <c r="J185" s="1308" t="s">
        <v>1616</v>
      </c>
      <c r="K185" s="1309">
        <v>1</v>
      </c>
      <c r="L185" s="1310">
        <v>6</v>
      </c>
      <c r="M185" s="1311">
        <v>34600</v>
      </c>
      <c r="N185" s="1312">
        <v>1</v>
      </c>
      <c r="O185" s="1310">
        <v>6</v>
      </c>
      <c r="P185" s="1313">
        <v>36000</v>
      </c>
    </row>
    <row r="186" spans="1:16" ht="22.5" x14ac:dyDescent="0.2">
      <c r="A186" s="1302" t="s">
        <v>292</v>
      </c>
      <c r="B186" s="1303" t="s">
        <v>1141</v>
      </c>
      <c r="C186" s="1303" t="s">
        <v>98</v>
      </c>
      <c r="D186" s="1304" t="s">
        <v>2167</v>
      </c>
      <c r="E186" s="1305">
        <v>9500</v>
      </c>
      <c r="F186" s="1306" t="s">
        <v>2168</v>
      </c>
      <c r="G186" s="1307" t="s">
        <v>2169</v>
      </c>
      <c r="H186" s="1307" t="s">
        <v>1655</v>
      </c>
      <c r="I186" s="1307" t="s">
        <v>1598</v>
      </c>
      <c r="J186" s="1308" t="s">
        <v>1604</v>
      </c>
      <c r="K186" s="1309">
        <v>1</v>
      </c>
      <c r="L186" s="1310">
        <v>12</v>
      </c>
      <c r="M186" s="1311">
        <v>114300</v>
      </c>
      <c r="N186" s="1312">
        <v>1</v>
      </c>
      <c r="O186" s="1310">
        <v>6</v>
      </c>
      <c r="P186" s="1313">
        <v>57000</v>
      </c>
    </row>
    <row r="187" spans="1:16" ht="22.5" x14ac:dyDescent="0.2">
      <c r="A187" s="1302" t="s">
        <v>292</v>
      </c>
      <c r="B187" s="1303" t="s">
        <v>1141</v>
      </c>
      <c r="C187" s="1303" t="s">
        <v>98</v>
      </c>
      <c r="D187" s="1304" t="s">
        <v>2170</v>
      </c>
      <c r="E187" s="1305">
        <v>5000</v>
      </c>
      <c r="F187" s="1306" t="s">
        <v>2171</v>
      </c>
      <c r="G187" s="1307" t="s">
        <v>2172</v>
      </c>
      <c r="H187" s="1307" t="s">
        <v>1819</v>
      </c>
      <c r="I187" s="1307" t="s">
        <v>1598</v>
      </c>
      <c r="J187" s="1308" t="s">
        <v>1616</v>
      </c>
      <c r="K187" s="1309">
        <v>1</v>
      </c>
      <c r="L187" s="1310">
        <v>6</v>
      </c>
      <c r="M187" s="1311">
        <v>28578.120000000003</v>
      </c>
      <c r="N187" s="1312">
        <v>1</v>
      </c>
      <c r="O187" s="1310">
        <v>6</v>
      </c>
      <c r="P187" s="1313">
        <v>30000</v>
      </c>
    </row>
    <row r="188" spans="1:16" x14ac:dyDescent="0.2">
      <c r="A188" s="1302" t="s">
        <v>292</v>
      </c>
      <c r="B188" s="1303" t="s">
        <v>1141</v>
      </c>
      <c r="C188" s="1303" t="s">
        <v>98</v>
      </c>
      <c r="D188" s="1304" t="s">
        <v>1676</v>
      </c>
      <c r="E188" s="1305">
        <v>6000</v>
      </c>
      <c r="F188" s="1306" t="s">
        <v>2173</v>
      </c>
      <c r="G188" s="1307" t="s">
        <v>2174</v>
      </c>
      <c r="H188" s="1307" t="s">
        <v>2137</v>
      </c>
      <c r="I188" s="1307" t="s">
        <v>1598</v>
      </c>
      <c r="J188" s="1308" t="s">
        <v>1604</v>
      </c>
      <c r="K188" s="1309">
        <v>1</v>
      </c>
      <c r="L188" s="1310">
        <v>12</v>
      </c>
      <c r="M188" s="1311">
        <v>72300</v>
      </c>
      <c r="N188" s="1312">
        <v>1</v>
      </c>
      <c r="O188" s="1310">
        <v>6</v>
      </c>
      <c r="P188" s="1313">
        <v>36000</v>
      </c>
    </row>
    <row r="189" spans="1:16" x14ac:dyDescent="0.2">
      <c r="A189" s="1302" t="s">
        <v>292</v>
      </c>
      <c r="B189" s="1303" t="s">
        <v>1141</v>
      </c>
      <c r="C189" s="1303" t="s">
        <v>98</v>
      </c>
      <c r="D189" s="1304" t="s">
        <v>1772</v>
      </c>
      <c r="E189" s="1305">
        <v>7900</v>
      </c>
      <c r="F189" s="1306" t="s">
        <v>2175</v>
      </c>
      <c r="G189" s="1307" t="s">
        <v>2176</v>
      </c>
      <c r="H189" s="1307" t="s">
        <v>1603</v>
      </c>
      <c r="I189" s="1307" t="s">
        <v>1598</v>
      </c>
      <c r="J189" s="1308" t="s">
        <v>1604</v>
      </c>
      <c r="K189" s="1309">
        <v>1</v>
      </c>
      <c r="L189" s="1310">
        <v>12</v>
      </c>
      <c r="M189" s="1311">
        <v>95100</v>
      </c>
      <c r="N189" s="1312">
        <v>1</v>
      </c>
      <c r="O189" s="1310">
        <v>6</v>
      </c>
      <c r="P189" s="1313">
        <v>47400</v>
      </c>
    </row>
    <row r="190" spans="1:16" ht="22.5" x14ac:dyDescent="0.2">
      <c r="A190" s="1302" t="s">
        <v>292</v>
      </c>
      <c r="B190" s="1303" t="s">
        <v>1141</v>
      </c>
      <c r="C190" s="1303" t="s">
        <v>98</v>
      </c>
      <c r="D190" s="1314" t="s">
        <v>2177</v>
      </c>
      <c r="E190" s="1305">
        <v>10000</v>
      </c>
      <c r="F190" s="1306" t="s">
        <v>2178</v>
      </c>
      <c r="G190" s="1307" t="s">
        <v>2179</v>
      </c>
      <c r="H190" s="1315" t="s">
        <v>2180</v>
      </c>
      <c r="I190" s="1315" t="s">
        <v>1598</v>
      </c>
      <c r="J190" s="1316" t="s">
        <v>1616</v>
      </c>
      <c r="K190" s="1309">
        <v>0</v>
      </c>
      <c r="L190" s="1310" t="s">
        <v>1633</v>
      </c>
      <c r="M190" s="1311">
        <v>0</v>
      </c>
      <c r="N190" s="1312">
        <v>1</v>
      </c>
      <c r="O190" s="1310">
        <v>5</v>
      </c>
      <c r="P190" s="1313">
        <v>50000</v>
      </c>
    </row>
    <row r="191" spans="1:16" ht="22.5" x14ac:dyDescent="0.2">
      <c r="A191" s="1302" t="s">
        <v>292</v>
      </c>
      <c r="B191" s="1303" t="s">
        <v>1141</v>
      </c>
      <c r="C191" s="1303" t="s">
        <v>98</v>
      </c>
      <c r="D191" s="1304" t="s">
        <v>1982</v>
      </c>
      <c r="E191" s="1305">
        <v>15600</v>
      </c>
      <c r="F191" s="1306" t="s">
        <v>2181</v>
      </c>
      <c r="G191" s="1307" t="s">
        <v>2182</v>
      </c>
      <c r="H191" s="1307" t="s">
        <v>1647</v>
      </c>
      <c r="I191" s="1307" t="s">
        <v>1598</v>
      </c>
      <c r="J191" s="1308" t="s">
        <v>1604</v>
      </c>
      <c r="K191" s="1309">
        <v>1</v>
      </c>
      <c r="L191" s="1310">
        <v>1</v>
      </c>
      <c r="M191" s="1311">
        <v>15600</v>
      </c>
      <c r="N191" s="1312">
        <v>0</v>
      </c>
      <c r="O191" s="1310" t="s">
        <v>1633</v>
      </c>
      <c r="P191" s="1313">
        <v>0</v>
      </c>
    </row>
    <row r="192" spans="1:16" x14ac:dyDescent="0.2">
      <c r="A192" s="1302" t="s">
        <v>292</v>
      </c>
      <c r="B192" s="1303" t="s">
        <v>1141</v>
      </c>
      <c r="C192" s="1303" t="s">
        <v>98</v>
      </c>
      <c r="D192" s="1304" t="s">
        <v>1687</v>
      </c>
      <c r="E192" s="1305">
        <v>4000</v>
      </c>
      <c r="F192" s="1306" t="s">
        <v>2183</v>
      </c>
      <c r="G192" s="1307" t="s">
        <v>2184</v>
      </c>
      <c r="H192" s="1307" t="s">
        <v>1690</v>
      </c>
      <c r="I192" s="1307" t="s">
        <v>1598</v>
      </c>
      <c r="J192" s="1308" t="s">
        <v>1616</v>
      </c>
      <c r="K192" s="1309">
        <v>1</v>
      </c>
      <c r="L192" s="1310">
        <v>2</v>
      </c>
      <c r="M192" s="1311">
        <v>9333.33</v>
      </c>
      <c r="N192" s="1312">
        <v>1</v>
      </c>
      <c r="O192" s="1310">
        <v>3</v>
      </c>
      <c r="P192" s="1313">
        <v>12000</v>
      </c>
    </row>
    <row r="193" spans="1:16" ht="22.5" x14ac:dyDescent="0.2">
      <c r="A193" s="1302" t="s">
        <v>292</v>
      </c>
      <c r="B193" s="1303" t="s">
        <v>1141</v>
      </c>
      <c r="C193" s="1303" t="s">
        <v>98</v>
      </c>
      <c r="D193" s="1304" t="s">
        <v>2185</v>
      </c>
      <c r="E193" s="1305">
        <v>8000</v>
      </c>
      <c r="F193" s="1306" t="s">
        <v>2186</v>
      </c>
      <c r="G193" s="1307" t="s">
        <v>2187</v>
      </c>
      <c r="H193" s="1307" t="s">
        <v>1826</v>
      </c>
      <c r="I193" s="1307" t="s">
        <v>1616</v>
      </c>
      <c r="J193" s="1308" t="s">
        <v>1604</v>
      </c>
      <c r="K193" s="1309">
        <v>1</v>
      </c>
      <c r="L193" s="1310">
        <v>4</v>
      </c>
      <c r="M193" s="1311">
        <v>36133.33</v>
      </c>
      <c r="N193" s="1312">
        <v>1</v>
      </c>
      <c r="O193" s="1310">
        <v>6</v>
      </c>
      <c r="P193" s="1313">
        <v>48000</v>
      </c>
    </row>
    <row r="194" spans="1:16" ht="22.5" x14ac:dyDescent="0.2">
      <c r="A194" s="1302" t="s">
        <v>292</v>
      </c>
      <c r="B194" s="1303" t="s">
        <v>1141</v>
      </c>
      <c r="C194" s="1303" t="s">
        <v>98</v>
      </c>
      <c r="D194" s="1304" t="s">
        <v>2188</v>
      </c>
      <c r="E194" s="1305">
        <v>8000</v>
      </c>
      <c r="F194" s="1306" t="s">
        <v>2189</v>
      </c>
      <c r="G194" s="1307" t="s">
        <v>2190</v>
      </c>
      <c r="H194" s="1307" t="s">
        <v>2191</v>
      </c>
      <c r="I194" s="1307" t="s">
        <v>1598</v>
      </c>
      <c r="J194" s="1308" t="s">
        <v>1604</v>
      </c>
      <c r="K194" s="1309">
        <v>1</v>
      </c>
      <c r="L194" s="1310">
        <v>12</v>
      </c>
      <c r="M194" s="1311">
        <v>96300</v>
      </c>
      <c r="N194" s="1312">
        <v>1</v>
      </c>
      <c r="O194" s="1310">
        <v>6</v>
      </c>
      <c r="P194" s="1313">
        <v>48000</v>
      </c>
    </row>
    <row r="195" spans="1:16" x14ac:dyDescent="0.2">
      <c r="A195" s="1302" t="s">
        <v>292</v>
      </c>
      <c r="B195" s="1303" t="s">
        <v>1141</v>
      </c>
      <c r="C195" s="1303" t="s">
        <v>98</v>
      </c>
      <c r="D195" s="1304" t="s">
        <v>2192</v>
      </c>
      <c r="E195" s="1305">
        <v>7000</v>
      </c>
      <c r="F195" s="1306" t="s">
        <v>2193</v>
      </c>
      <c r="G195" s="1307" t="s">
        <v>2194</v>
      </c>
      <c r="H195" s="1307" t="s">
        <v>1668</v>
      </c>
      <c r="I195" s="1307" t="s">
        <v>1598</v>
      </c>
      <c r="J195" s="1308" t="s">
        <v>1616</v>
      </c>
      <c r="K195" s="1309">
        <v>1</v>
      </c>
      <c r="L195" s="1310">
        <v>4</v>
      </c>
      <c r="M195" s="1311">
        <v>27066.67</v>
      </c>
      <c r="N195" s="1312">
        <v>1</v>
      </c>
      <c r="O195" s="1310">
        <v>6</v>
      </c>
      <c r="P195" s="1313">
        <v>42000</v>
      </c>
    </row>
    <row r="196" spans="1:16" ht="22.5" x14ac:dyDescent="0.2">
      <c r="A196" s="1302" t="s">
        <v>292</v>
      </c>
      <c r="B196" s="1303" t="s">
        <v>1141</v>
      </c>
      <c r="C196" s="1303" t="s">
        <v>98</v>
      </c>
      <c r="D196" s="1304" t="s">
        <v>2195</v>
      </c>
      <c r="E196" s="1305">
        <v>3500</v>
      </c>
      <c r="F196" s="1306" t="s">
        <v>2196</v>
      </c>
      <c r="G196" s="1307" t="s">
        <v>2197</v>
      </c>
      <c r="H196" s="1307" t="s">
        <v>1659</v>
      </c>
      <c r="I196" s="1307" t="s">
        <v>1621</v>
      </c>
      <c r="J196" s="1308" t="s">
        <v>1988</v>
      </c>
      <c r="K196" s="1309">
        <v>1</v>
      </c>
      <c r="L196" s="1310">
        <v>12</v>
      </c>
      <c r="M196" s="1311">
        <v>42000</v>
      </c>
      <c r="N196" s="1312">
        <v>1</v>
      </c>
      <c r="O196" s="1310">
        <v>6</v>
      </c>
      <c r="P196" s="1313">
        <v>21000</v>
      </c>
    </row>
    <row r="197" spans="1:16" x14ac:dyDescent="0.2">
      <c r="A197" s="1302" t="s">
        <v>292</v>
      </c>
      <c r="B197" s="1303" t="s">
        <v>1141</v>
      </c>
      <c r="C197" s="1303" t="s">
        <v>98</v>
      </c>
      <c r="D197" s="1304" t="s">
        <v>2198</v>
      </c>
      <c r="E197" s="1305">
        <v>9000</v>
      </c>
      <c r="F197" s="1306" t="s">
        <v>2199</v>
      </c>
      <c r="G197" s="1307" t="s">
        <v>2200</v>
      </c>
      <c r="H197" s="1307" t="s">
        <v>1603</v>
      </c>
      <c r="I197" s="1307" t="s">
        <v>1616</v>
      </c>
      <c r="J197" s="1308" t="s">
        <v>1616</v>
      </c>
      <c r="K197" s="1309">
        <v>1</v>
      </c>
      <c r="L197" s="1310">
        <v>6</v>
      </c>
      <c r="M197" s="1311">
        <v>51900</v>
      </c>
      <c r="N197" s="1312">
        <v>1</v>
      </c>
      <c r="O197" s="1310">
        <v>6</v>
      </c>
      <c r="P197" s="1313">
        <v>54000</v>
      </c>
    </row>
    <row r="198" spans="1:16" x14ac:dyDescent="0.2">
      <c r="A198" s="1302" t="s">
        <v>292</v>
      </c>
      <c r="B198" s="1303" t="s">
        <v>1141</v>
      </c>
      <c r="C198" s="1303" t="s">
        <v>98</v>
      </c>
      <c r="D198" s="1304" t="s">
        <v>2009</v>
      </c>
      <c r="E198" s="1305">
        <v>15600</v>
      </c>
      <c r="F198" s="1306" t="s">
        <v>2201</v>
      </c>
      <c r="G198" s="1307" t="s">
        <v>2202</v>
      </c>
      <c r="H198" s="1307" t="s">
        <v>1603</v>
      </c>
      <c r="I198" s="1307" t="s">
        <v>1598</v>
      </c>
      <c r="J198" s="1308" t="s">
        <v>1604</v>
      </c>
      <c r="K198" s="1309">
        <v>1</v>
      </c>
      <c r="L198" s="1310">
        <v>2</v>
      </c>
      <c r="M198" s="1311">
        <v>31200</v>
      </c>
      <c r="N198" s="1312">
        <v>0</v>
      </c>
      <c r="O198" s="1310" t="s">
        <v>1633</v>
      </c>
      <c r="P198" s="1313">
        <v>0</v>
      </c>
    </row>
    <row r="199" spans="1:16" x14ac:dyDescent="0.2">
      <c r="A199" s="1302" t="s">
        <v>292</v>
      </c>
      <c r="B199" s="1303" t="s">
        <v>1141</v>
      </c>
      <c r="C199" s="1303" t="s">
        <v>98</v>
      </c>
      <c r="D199" s="1304" t="s">
        <v>2104</v>
      </c>
      <c r="E199" s="1305">
        <v>14500</v>
      </c>
      <c r="F199" s="1306" t="s">
        <v>2203</v>
      </c>
      <c r="G199" s="1307" t="s">
        <v>2204</v>
      </c>
      <c r="H199" s="1307" t="s">
        <v>1603</v>
      </c>
      <c r="I199" s="1307" t="s">
        <v>1598</v>
      </c>
      <c r="J199" s="1308" t="s">
        <v>1604</v>
      </c>
      <c r="K199" s="1309">
        <v>1</v>
      </c>
      <c r="L199" s="1310">
        <v>5</v>
      </c>
      <c r="M199" s="1311">
        <v>69116.67</v>
      </c>
      <c r="N199" s="1312">
        <v>0</v>
      </c>
      <c r="O199" s="1310" t="s">
        <v>1633</v>
      </c>
      <c r="P199" s="1313">
        <v>0</v>
      </c>
    </row>
    <row r="200" spans="1:16" ht="22.5" x14ac:dyDescent="0.2">
      <c r="A200" s="1302" t="s">
        <v>292</v>
      </c>
      <c r="B200" s="1303" t="s">
        <v>1141</v>
      </c>
      <c r="C200" s="1303" t="s">
        <v>98</v>
      </c>
      <c r="D200" s="1304" t="s">
        <v>2205</v>
      </c>
      <c r="E200" s="1305">
        <v>7500</v>
      </c>
      <c r="F200" s="1306" t="s">
        <v>2206</v>
      </c>
      <c r="G200" s="1307" t="s">
        <v>2207</v>
      </c>
      <c r="H200" s="1307" t="s">
        <v>1603</v>
      </c>
      <c r="I200" s="1307" t="s">
        <v>1598</v>
      </c>
      <c r="J200" s="1308" t="s">
        <v>1604</v>
      </c>
      <c r="K200" s="1309">
        <v>1</v>
      </c>
      <c r="L200" s="1310">
        <v>12</v>
      </c>
      <c r="M200" s="1311">
        <v>90300</v>
      </c>
      <c r="N200" s="1312">
        <v>1</v>
      </c>
      <c r="O200" s="1310">
        <v>6</v>
      </c>
      <c r="P200" s="1313">
        <v>45000</v>
      </c>
    </row>
    <row r="201" spans="1:16" ht="22.5" x14ac:dyDescent="0.2">
      <c r="A201" s="1302" t="s">
        <v>292</v>
      </c>
      <c r="B201" s="1303" t="s">
        <v>1141</v>
      </c>
      <c r="C201" s="1303" t="s">
        <v>98</v>
      </c>
      <c r="D201" s="1304" t="s">
        <v>2208</v>
      </c>
      <c r="E201" s="1305">
        <v>10000</v>
      </c>
      <c r="F201" s="1306" t="s">
        <v>2209</v>
      </c>
      <c r="G201" s="1307" t="s">
        <v>2210</v>
      </c>
      <c r="H201" s="1307" t="s">
        <v>1608</v>
      </c>
      <c r="I201" s="1307" t="s">
        <v>1598</v>
      </c>
      <c r="J201" s="1308" t="s">
        <v>1604</v>
      </c>
      <c r="K201" s="1309">
        <v>1</v>
      </c>
      <c r="L201" s="1310">
        <v>12</v>
      </c>
      <c r="M201" s="1311">
        <v>120300</v>
      </c>
      <c r="N201" s="1312">
        <v>1</v>
      </c>
      <c r="O201" s="1310">
        <v>6</v>
      </c>
      <c r="P201" s="1313">
        <v>60000</v>
      </c>
    </row>
    <row r="202" spans="1:16" x14ac:dyDescent="0.2">
      <c r="A202" s="1302" t="s">
        <v>292</v>
      </c>
      <c r="B202" s="1303" t="s">
        <v>1141</v>
      </c>
      <c r="C202" s="1303" t="s">
        <v>98</v>
      </c>
      <c r="D202" s="1304" t="s">
        <v>2033</v>
      </c>
      <c r="E202" s="1305">
        <v>10000</v>
      </c>
      <c r="F202" s="1306" t="s">
        <v>2211</v>
      </c>
      <c r="G202" s="1307" t="s">
        <v>2212</v>
      </c>
      <c r="H202" s="1307" t="s">
        <v>1620</v>
      </c>
      <c r="I202" s="1307" t="s">
        <v>1598</v>
      </c>
      <c r="J202" s="1308" t="s">
        <v>1604</v>
      </c>
      <c r="K202" s="1309">
        <v>1</v>
      </c>
      <c r="L202" s="1310">
        <v>12</v>
      </c>
      <c r="M202" s="1311">
        <v>102468.9</v>
      </c>
      <c r="N202" s="1312">
        <v>1</v>
      </c>
      <c r="O202" s="1310">
        <v>6</v>
      </c>
      <c r="P202" s="1313">
        <v>60000</v>
      </c>
    </row>
    <row r="203" spans="1:16" x14ac:dyDescent="0.2">
      <c r="A203" s="1302" t="s">
        <v>292</v>
      </c>
      <c r="B203" s="1303" t="s">
        <v>1141</v>
      </c>
      <c r="C203" s="1303" t="s">
        <v>98</v>
      </c>
      <c r="D203" s="1304" t="s">
        <v>2213</v>
      </c>
      <c r="E203" s="1305">
        <v>11000</v>
      </c>
      <c r="F203" s="1306" t="s">
        <v>2214</v>
      </c>
      <c r="G203" s="1307" t="s">
        <v>2215</v>
      </c>
      <c r="H203" s="1307" t="s">
        <v>1620</v>
      </c>
      <c r="I203" s="1307" t="s">
        <v>1598</v>
      </c>
      <c r="J203" s="1308" t="s">
        <v>1616</v>
      </c>
      <c r="K203" s="1309">
        <v>1</v>
      </c>
      <c r="L203" s="1310">
        <v>2</v>
      </c>
      <c r="M203" s="1311">
        <v>25666.67</v>
      </c>
      <c r="N203" s="1312">
        <v>1</v>
      </c>
      <c r="O203" s="1310">
        <v>6</v>
      </c>
      <c r="P203" s="1313">
        <v>66000</v>
      </c>
    </row>
    <row r="204" spans="1:16" x14ac:dyDescent="0.2">
      <c r="A204" s="1302" t="s">
        <v>292</v>
      </c>
      <c r="B204" s="1303" t="s">
        <v>1141</v>
      </c>
      <c r="C204" s="1303" t="s">
        <v>98</v>
      </c>
      <c r="D204" s="1304" t="s">
        <v>2216</v>
      </c>
      <c r="E204" s="1305">
        <v>7500</v>
      </c>
      <c r="F204" s="1306" t="s">
        <v>2217</v>
      </c>
      <c r="G204" s="1307" t="s">
        <v>2218</v>
      </c>
      <c r="H204" s="1307" t="s">
        <v>1603</v>
      </c>
      <c r="I204" s="1307" t="s">
        <v>1616</v>
      </c>
      <c r="J204" s="1308" t="s">
        <v>1604</v>
      </c>
      <c r="K204" s="1309">
        <v>1</v>
      </c>
      <c r="L204" s="1310">
        <v>12</v>
      </c>
      <c r="M204" s="1311">
        <v>89880</v>
      </c>
      <c r="N204" s="1312">
        <v>1</v>
      </c>
      <c r="O204" s="1310">
        <v>6</v>
      </c>
      <c r="P204" s="1313">
        <v>45000</v>
      </c>
    </row>
    <row r="205" spans="1:16" x14ac:dyDescent="0.2">
      <c r="A205" s="1302" t="s">
        <v>292</v>
      </c>
      <c r="B205" s="1303" t="s">
        <v>1141</v>
      </c>
      <c r="C205" s="1303" t="s">
        <v>98</v>
      </c>
      <c r="D205" s="1304" t="s">
        <v>2219</v>
      </c>
      <c r="E205" s="1305">
        <v>10000</v>
      </c>
      <c r="F205" s="1306" t="s">
        <v>2220</v>
      </c>
      <c r="G205" s="1307" t="s">
        <v>2221</v>
      </c>
      <c r="H205" s="1307" t="s">
        <v>1603</v>
      </c>
      <c r="I205" s="1307" t="s">
        <v>1598</v>
      </c>
      <c r="J205" s="1308" t="s">
        <v>1604</v>
      </c>
      <c r="K205" s="1309">
        <v>1</v>
      </c>
      <c r="L205" s="1310">
        <v>12</v>
      </c>
      <c r="M205" s="1311">
        <v>114966.67</v>
      </c>
      <c r="N205" s="1312">
        <v>1</v>
      </c>
      <c r="O205" s="1310">
        <v>1</v>
      </c>
      <c r="P205" s="1313">
        <v>10000</v>
      </c>
    </row>
    <row r="206" spans="1:16" x14ac:dyDescent="0.2">
      <c r="A206" s="1302" t="s">
        <v>292</v>
      </c>
      <c r="B206" s="1303" t="s">
        <v>1141</v>
      </c>
      <c r="C206" s="1303" t="s">
        <v>98</v>
      </c>
      <c r="D206" s="1304" t="s">
        <v>2222</v>
      </c>
      <c r="E206" s="1305">
        <v>10500</v>
      </c>
      <c r="F206" s="1306" t="s">
        <v>2223</v>
      </c>
      <c r="G206" s="1307" t="s">
        <v>2224</v>
      </c>
      <c r="H206" s="1307" t="s">
        <v>2060</v>
      </c>
      <c r="I206" s="1307" t="s">
        <v>1698</v>
      </c>
      <c r="J206" s="1308" t="s">
        <v>1616</v>
      </c>
      <c r="K206" s="1309">
        <v>1</v>
      </c>
      <c r="L206" s="1310">
        <v>6</v>
      </c>
      <c r="M206" s="1311">
        <v>60550</v>
      </c>
      <c r="N206" s="1312">
        <v>1</v>
      </c>
      <c r="O206" s="1310">
        <v>6</v>
      </c>
      <c r="P206" s="1313">
        <v>63000</v>
      </c>
    </row>
    <row r="207" spans="1:16" ht="22.5" x14ac:dyDescent="0.2">
      <c r="A207" s="1302" t="s">
        <v>292</v>
      </c>
      <c r="B207" s="1303" t="s">
        <v>1141</v>
      </c>
      <c r="C207" s="1303" t="s">
        <v>98</v>
      </c>
      <c r="D207" s="1304" t="s">
        <v>2225</v>
      </c>
      <c r="E207" s="1305">
        <v>9000</v>
      </c>
      <c r="F207" s="1306" t="s">
        <v>2226</v>
      </c>
      <c r="G207" s="1307" t="s">
        <v>2227</v>
      </c>
      <c r="H207" s="1307" t="s">
        <v>2228</v>
      </c>
      <c r="I207" s="1307" t="s">
        <v>1598</v>
      </c>
      <c r="J207" s="1308" t="s">
        <v>1616</v>
      </c>
      <c r="K207" s="1309">
        <v>1</v>
      </c>
      <c r="L207" s="1310">
        <v>2</v>
      </c>
      <c r="M207" s="1311">
        <v>20812.5</v>
      </c>
      <c r="N207" s="1312">
        <v>1</v>
      </c>
      <c r="O207" s="1310">
        <v>6</v>
      </c>
      <c r="P207" s="1313">
        <v>54000</v>
      </c>
    </row>
    <row r="208" spans="1:16" x14ac:dyDescent="0.2">
      <c r="A208" s="1302" t="s">
        <v>292</v>
      </c>
      <c r="B208" s="1303" t="s">
        <v>1141</v>
      </c>
      <c r="C208" s="1303" t="s">
        <v>98</v>
      </c>
      <c r="D208" s="1314" t="s">
        <v>2104</v>
      </c>
      <c r="E208" s="1305">
        <v>12500</v>
      </c>
      <c r="F208" s="1306" t="s">
        <v>2229</v>
      </c>
      <c r="G208" s="1307" t="s">
        <v>2230</v>
      </c>
      <c r="H208" s="1315" t="s">
        <v>1603</v>
      </c>
      <c r="I208" s="1315" t="s">
        <v>1598</v>
      </c>
      <c r="J208" s="1316" t="s">
        <v>1604</v>
      </c>
      <c r="K208" s="1309">
        <v>0</v>
      </c>
      <c r="L208" s="1310" t="s">
        <v>1633</v>
      </c>
      <c r="M208" s="1311">
        <v>0</v>
      </c>
      <c r="N208" s="1312">
        <v>1</v>
      </c>
      <c r="O208" s="1310">
        <v>6</v>
      </c>
      <c r="P208" s="1313">
        <v>78333.33</v>
      </c>
    </row>
    <row r="209" spans="1:16" x14ac:dyDescent="0.2">
      <c r="A209" s="1302" t="s">
        <v>292</v>
      </c>
      <c r="B209" s="1303" t="s">
        <v>1141</v>
      </c>
      <c r="C209" s="1303" t="s">
        <v>98</v>
      </c>
      <c r="D209" s="1304" t="s">
        <v>2231</v>
      </c>
      <c r="E209" s="1305">
        <v>2800</v>
      </c>
      <c r="F209" s="1306" t="s">
        <v>2232</v>
      </c>
      <c r="G209" s="1307" t="s">
        <v>2233</v>
      </c>
      <c r="H209" s="1307" t="s">
        <v>2234</v>
      </c>
      <c r="I209" s="1307" t="s">
        <v>1698</v>
      </c>
      <c r="J209" s="1308" t="s">
        <v>1599</v>
      </c>
      <c r="K209" s="1309">
        <v>1</v>
      </c>
      <c r="L209" s="1310">
        <v>12</v>
      </c>
      <c r="M209" s="1311">
        <v>33900</v>
      </c>
      <c r="N209" s="1312">
        <v>1</v>
      </c>
      <c r="O209" s="1310">
        <v>6</v>
      </c>
      <c r="P209" s="1313">
        <v>16800</v>
      </c>
    </row>
    <row r="210" spans="1:16" ht="22.5" x14ac:dyDescent="0.2">
      <c r="A210" s="1302" t="s">
        <v>292</v>
      </c>
      <c r="B210" s="1303" t="s">
        <v>1141</v>
      </c>
      <c r="C210" s="1303" t="s">
        <v>98</v>
      </c>
      <c r="D210" s="1304" t="s">
        <v>2235</v>
      </c>
      <c r="E210" s="1305">
        <v>6500</v>
      </c>
      <c r="F210" s="1306" t="s">
        <v>2236</v>
      </c>
      <c r="G210" s="1307" t="s">
        <v>2237</v>
      </c>
      <c r="H210" s="1307" t="s">
        <v>1713</v>
      </c>
      <c r="I210" s="1307" t="s">
        <v>1621</v>
      </c>
      <c r="J210" s="1308" t="s">
        <v>1604</v>
      </c>
      <c r="K210" s="1309">
        <v>1</v>
      </c>
      <c r="L210" s="1310">
        <v>12</v>
      </c>
      <c r="M210" s="1311">
        <v>76144.66</v>
      </c>
      <c r="N210" s="1312">
        <v>1</v>
      </c>
      <c r="O210" s="1310">
        <v>6</v>
      </c>
      <c r="P210" s="1313">
        <v>36626.67</v>
      </c>
    </row>
    <row r="211" spans="1:16" x14ac:dyDescent="0.2">
      <c r="A211" s="1302" t="s">
        <v>292</v>
      </c>
      <c r="B211" s="1303" t="s">
        <v>1141</v>
      </c>
      <c r="C211" s="1303" t="s">
        <v>98</v>
      </c>
      <c r="D211" s="1304" t="s">
        <v>2033</v>
      </c>
      <c r="E211" s="1305">
        <v>10000</v>
      </c>
      <c r="F211" s="1306" t="s">
        <v>2238</v>
      </c>
      <c r="G211" s="1307" t="s">
        <v>2239</v>
      </c>
      <c r="H211" s="1307" t="s">
        <v>1603</v>
      </c>
      <c r="I211" s="1307" t="s">
        <v>1598</v>
      </c>
      <c r="J211" s="1308" t="s">
        <v>1604</v>
      </c>
      <c r="K211" s="1309">
        <v>1</v>
      </c>
      <c r="L211" s="1310">
        <v>6</v>
      </c>
      <c r="M211" s="1311">
        <v>57666.67</v>
      </c>
      <c r="N211" s="1312">
        <v>1</v>
      </c>
      <c r="O211" s="1310">
        <v>3</v>
      </c>
      <c r="P211" s="1313">
        <v>29666.67</v>
      </c>
    </row>
    <row r="212" spans="1:16" ht="33.75" x14ac:dyDescent="0.2">
      <c r="A212" s="1302" t="s">
        <v>292</v>
      </c>
      <c r="B212" s="1303" t="s">
        <v>1141</v>
      </c>
      <c r="C212" s="1303" t="s">
        <v>98</v>
      </c>
      <c r="D212" s="1304" t="s">
        <v>2240</v>
      </c>
      <c r="E212" s="1305">
        <v>8000</v>
      </c>
      <c r="F212" s="1306" t="s">
        <v>2241</v>
      </c>
      <c r="G212" s="1307" t="s">
        <v>2242</v>
      </c>
      <c r="H212" s="1307" t="s">
        <v>1847</v>
      </c>
      <c r="I212" s="1307" t="s">
        <v>1598</v>
      </c>
      <c r="J212" s="1308" t="s">
        <v>1616</v>
      </c>
      <c r="K212" s="1309">
        <v>1</v>
      </c>
      <c r="L212" s="1310">
        <v>6</v>
      </c>
      <c r="M212" s="1311">
        <v>46133.33</v>
      </c>
      <c r="N212" s="1312">
        <v>1</v>
      </c>
      <c r="O212" s="1310">
        <v>6</v>
      </c>
      <c r="P212" s="1313">
        <v>48000</v>
      </c>
    </row>
    <row r="213" spans="1:16" x14ac:dyDescent="0.2">
      <c r="A213" s="1302" t="s">
        <v>292</v>
      </c>
      <c r="B213" s="1303" t="s">
        <v>1141</v>
      </c>
      <c r="C213" s="1303" t="s">
        <v>98</v>
      </c>
      <c r="D213" s="1304" t="s">
        <v>1781</v>
      </c>
      <c r="E213" s="1305">
        <v>4800</v>
      </c>
      <c r="F213" s="1306" t="s">
        <v>2243</v>
      </c>
      <c r="G213" s="1307" t="s">
        <v>2244</v>
      </c>
      <c r="H213" s="1307" t="s">
        <v>1694</v>
      </c>
      <c r="I213" s="1307" t="s">
        <v>1598</v>
      </c>
      <c r="J213" s="1308" t="s">
        <v>1599</v>
      </c>
      <c r="K213" s="1309">
        <v>1</v>
      </c>
      <c r="L213" s="1310">
        <v>12</v>
      </c>
      <c r="M213" s="1311">
        <v>57900</v>
      </c>
      <c r="N213" s="1312">
        <v>1</v>
      </c>
      <c r="O213" s="1310">
        <v>6</v>
      </c>
      <c r="P213" s="1313">
        <v>28800</v>
      </c>
    </row>
    <row r="214" spans="1:16" ht="22.5" x14ac:dyDescent="0.2">
      <c r="A214" s="1302" t="s">
        <v>292</v>
      </c>
      <c r="B214" s="1303" t="s">
        <v>1141</v>
      </c>
      <c r="C214" s="1303" t="s">
        <v>98</v>
      </c>
      <c r="D214" s="1314" t="s">
        <v>2245</v>
      </c>
      <c r="E214" s="1305">
        <v>15600</v>
      </c>
      <c r="F214" s="1306" t="s">
        <v>2246</v>
      </c>
      <c r="G214" s="1307" t="s">
        <v>2247</v>
      </c>
      <c r="H214" s="1315" t="s">
        <v>2248</v>
      </c>
      <c r="I214" s="1315" t="s">
        <v>1598</v>
      </c>
      <c r="J214" s="1316" t="s">
        <v>1616</v>
      </c>
      <c r="K214" s="1309">
        <v>0</v>
      </c>
      <c r="L214" s="1310" t="s">
        <v>1633</v>
      </c>
      <c r="M214" s="1311">
        <v>0</v>
      </c>
      <c r="N214" s="1312">
        <v>1</v>
      </c>
      <c r="O214" s="1310">
        <v>4</v>
      </c>
      <c r="P214" s="1313">
        <v>52520</v>
      </c>
    </row>
    <row r="215" spans="1:16" x14ac:dyDescent="0.2">
      <c r="A215" s="1302" t="s">
        <v>292</v>
      </c>
      <c r="B215" s="1303" t="s">
        <v>1141</v>
      </c>
      <c r="C215" s="1303" t="s">
        <v>98</v>
      </c>
      <c r="D215" s="1304" t="s">
        <v>2249</v>
      </c>
      <c r="E215" s="1305">
        <v>8000</v>
      </c>
      <c r="F215" s="1306" t="s">
        <v>2250</v>
      </c>
      <c r="G215" s="1307" t="s">
        <v>2251</v>
      </c>
      <c r="H215" s="1307" t="s">
        <v>1819</v>
      </c>
      <c r="I215" s="1307" t="s">
        <v>1598</v>
      </c>
      <c r="J215" s="1308" t="s">
        <v>1604</v>
      </c>
      <c r="K215" s="1309">
        <v>1</v>
      </c>
      <c r="L215" s="1310">
        <v>12</v>
      </c>
      <c r="M215" s="1311">
        <v>83033.33</v>
      </c>
      <c r="N215" s="1312">
        <v>1</v>
      </c>
      <c r="O215" s="1310">
        <v>6</v>
      </c>
      <c r="P215" s="1313">
        <v>48000</v>
      </c>
    </row>
    <row r="216" spans="1:16" x14ac:dyDescent="0.2">
      <c r="A216" s="1302" t="s">
        <v>292</v>
      </c>
      <c r="B216" s="1303" t="s">
        <v>1141</v>
      </c>
      <c r="C216" s="1303" t="s">
        <v>98</v>
      </c>
      <c r="D216" s="1304" t="s">
        <v>2252</v>
      </c>
      <c r="E216" s="1305">
        <v>2000</v>
      </c>
      <c r="F216" s="1306" t="s">
        <v>2253</v>
      </c>
      <c r="G216" s="1307" t="s">
        <v>2254</v>
      </c>
      <c r="H216" s="1307" t="s">
        <v>2255</v>
      </c>
      <c r="I216" s="1307" t="s">
        <v>1621</v>
      </c>
      <c r="J216" s="1308" t="s">
        <v>1599</v>
      </c>
      <c r="K216" s="1309">
        <v>1</v>
      </c>
      <c r="L216" s="1310">
        <v>12</v>
      </c>
      <c r="M216" s="1311">
        <v>23756.160000000003</v>
      </c>
      <c r="N216" s="1312">
        <v>1</v>
      </c>
      <c r="O216" s="1310">
        <v>6</v>
      </c>
      <c r="P216" s="1313">
        <v>11933.33</v>
      </c>
    </row>
    <row r="217" spans="1:16" x14ac:dyDescent="0.2">
      <c r="A217" s="1302" t="s">
        <v>292</v>
      </c>
      <c r="B217" s="1303" t="s">
        <v>1141</v>
      </c>
      <c r="C217" s="1303" t="s">
        <v>98</v>
      </c>
      <c r="D217" s="1304" t="s">
        <v>1676</v>
      </c>
      <c r="E217" s="1305">
        <v>4500</v>
      </c>
      <c r="F217" s="1306" t="s">
        <v>2256</v>
      </c>
      <c r="G217" s="1307" t="s">
        <v>2257</v>
      </c>
      <c r="H217" s="1307" t="s">
        <v>1632</v>
      </c>
      <c r="I217" s="1307" t="s">
        <v>1621</v>
      </c>
      <c r="J217" s="1308" t="s">
        <v>1599</v>
      </c>
      <c r="K217" s="1309">
        <v>1</v>
      </c>
      <c r="L217" s="1310">
        <v>12</v>
      </c>
      <c r="M217" s="1311">
        <v>54300</v>
      </c>
      <c r="N217" s="1312">
        <v>1</v>
      </c>
      <c r="O217" s="1310">
        <v>6</v>
      </c>
      <c r="P217" s="1313">
        <v>27000</v>
      </c>
    </row>
    <row r="218" spans="1:16" ht="22.5" x14ac:dyDescent="0.2">
      <c r="A218" s="1302" t="s">
        <v>292</v>
      </c>
      <c r="B218" s="1303" t="s">
        <v>1141</v>
      </c>
      <c r="C218" s="1303" t="s">
        <v>98</v>
      </c>
      <c r="D218" s="1304" t="s">
        <v>2258</v>
      </c>
      <c r="E218" s="1305">
        <v>8000</v>
      </c>
      <c r="F218" s="1306" t="s">
        <v>2259</v>
      </c>
      <c r="G218" s="1307" t="s">
        <v>2260</v>
      </c>
      <c r="H218" s="1307" t="s">
        <v>1686</v>
      </c>
      <c r="I218" s="1307" t="s">
        <v>1698</v>
      </c>
      <c r="J218" s="1308" t="s">
        <v>1616</v>
      </c>
      <c r="K218" s="1309">
        <v>1</v>
      </c>
      <c r="L218" s="1310">
        <v>6</v>
      </c>
      <c r="M218" s="1311">
        <v>46133.33</v>
      </c>
      <c r="N218" s="1312">
        <v>1</v>
      </c>
      <c r="O218" s="1310">
        <v>6</v>
      </c>
      <c r="P218" s="1313">
        <v>48000</v>
      </c>
    </row>
    <row r="219" spans="1:16" x14ac:dyDescent="0.2">
      <c r="A219" s="1302" t="s">
        <v>292</v>
      </c>
      <c r="B219" s="1303" t="s">
        <v>1141</v>
      </c>
      <c r="C219" s="1303" t="s">
        <v>98</v>
      </c>
      <c r="D219" s="1304" t="s">
        <v>2261</v>
      </c>
      <c r="E219" s="1305">
        <v>7500</v>
      </c>
      <c r="F219" s="1306" t="s">
        <v>2262</v>
      </c>
      <c r="G219" s="1307" t="s">
        <v>2263</v>
      </c>
      <c r="H219" s="1307" t="s">
        <v>1753</v>
      </c>
      <c r="I219" s="1307" t="s">
        <v>1616</v>
      </c>
      <c r="J219" s="1308" t="s">
        <v>1604</v>
      </c>
      <c r="K219" s="1309">
        <v>1</v>
      </c>
      <c r="L219" s="1310">
        <v>12</v>
      </c>
      <c r="M219" s="1311">
        <v>90300</v>
      </c>
      <c r="N219" s="1312">
        <v>1</v>
      </c>
      <c r="O219" s="1310">
        <v>6</v>
      </c>
      <c r="P219" s="1313">
        <v>45000</v>
      </c>
    </row>
    <row r="220" spans="1:16" x14ac:dyDescent="0.2">
      <c r="A220" s="1302" t="s">
        <v>292</v>
      </c>
      <c r="B220" s="1303" t="s">
        <v>1141</v>
      </c>
      <c r="C220" s="1303" t="s">
        <v>98</v>
      </c>
      <c r="D220" s="1304" t="s">
        <v>1996</v>
      </c>
      <c r="E220" s="1305">
        <v>15600</v>
      </c>
      <c r="F220" s="1306" t="s">
        <v>2264</v>
      </c>
      <c r="G220" s="1307" t="s">
        <v>2265</v>
      </c>
      <c r="H220" s="1307" t="s">
        <v>1603</v>
      </c>
      <c r="I220" s="1307" t="s">
        <v>1616</v>
      </c>
      <c r="J220" s="1308" t="s">
        <v>1604</v>
      </c>
      <c r="K220" s="1309">
        <v>1</v>
      </c>
      <c r="L220" s="1310">
        <v>9</v>
      </c>
      <c r="M220" s="1311">
        <v>139560</v>
      </c>
      <c r="N220" s="1312">
        <v>0</v>
      </c>
      <c r="O220" s="1310" t="s">
        <v>1633</v>
      </c>
      <c r="P220" s="1313">
        <v>0</v>
      </c>
    </row>
    <row r="221" spans="1:16" x14ac:dyDescent="0.2">
      <c r="A221" s="1302" t="s">
        <v>292</v>
      </c>
      <c r="B221" s="1303" t="s">
        <v>1141</v>
      </c>
      <c r="C221" s="1303" t="s">
        <v>98</v>
      </c>
      <c r="D221" s="1304" t="s">
        <v>1781</v>
      </c>
      <c r="E221" s="1305">
        <v>3500</v>
      </c>
      <c r="F221" s="1306" t="s">
        <v>2266</v>
      </c>
      <c r="G221" s="1307" t="s">
        <v>2267</v>
      </c>
      <c r="H221" s="1307" t="s">
        <v>1694</v>
      </c>
      <c r="I221" s="1307" t="s">
        <v>1698</v>
      </c>
      <c r="J221" s="1308" t="s">
        <v>1599</v>
      </c>
      <c r="K221" s="1309">
        <v>1</v>
      </c>
      <c r="L221" s="1310">
        <v>12</v>
      </c>
      <c r="M221" s="1311">
        <v>42183.33</v>
      </c>
      <c r="N221" s="1312">
        <v>1</v>
      </c>
      <c r="O221" s="1310">
        <v>6</v>
      </c>
      <c r="P221" s="1313">
        <v>21000</v>
      </c>
    </row>
    <row r="222" spans="1:16" x14ac:dyDescent="0.2">
      <c r="A222" s="1302" t="s">
        <v>292</v>
      </c>
      <c r="B222" s="1303" t="s">
        <v>1141</v>
      </c>
      <c r="C222" s="1303" t="s">
        <v>98</v>
      </c>
      <c r="D222" s="1304" t="s">
        <v>1772</v>
      </c>
      <c r="E222" s="1305">
        <v>10000</v>
      </c>
      <c r="F222" s="1306" t="s">
        <v>2268</v>
      </c>
      <c r="G222" s="1307" t="s">
        <v>2269</v>
      </c>
      <c r="H222" s="1307" t="s">
        <v>1603</v>
      </c>
      <c r="I222" s="1307" t="s">
        <v>1616</v>
      </c>
      <c r="J222" s="1308" t="s">
        <v>1604</v>
      </c>
      <c r="K222" s="1309">
        <v>1</v>
      </c>
      <c r="L222" s="1310">
        <v>12</v>
      </c>
      <c r="M222" s="1311">
        <v>120300</v>
      </c>
      <c r="N222" s="1312">
        <v>1</v>
      </c>
      <c r="O222" s="1310">
        <v>6</v>
      </c>
      <c r="P222" s="1313">
        <v>60000</v>
      </c>
    </row>
    <row r="223" spans="1:16" x14ac:dyDescent="0.2">
      <c r="A223" s="1302" t="s">
        <v>292</v>
      </c>
      <c r="B223" s="1303" t="s">
        <v>1141</v>
      </c>
      <c r="C223" s="1303" t="s">
        <v>98</v>
      </c>
      <c r="D223" s="1304" t="s">
        <v>2100</v>
      </c>
      <c r="E223" s="1305">
        <v>13500</v>
      </c>
      <c r="F223" s="1306" t="s">
        <v>2270</v>
      </c>
      <c r="G223" s="1307" t="s">
        <v>2271</v>
      </c>
      <c r="H223" s="1307" t="s">
        <v>2272</v>
      </c>
      <c r="I223" s="1307" t="s">
        <v>1598</v>
      </c>
      <c r="J223" s="1308" t="s">
        <v>1604</v>
      </c>
      <c r="K223" s="1309">
        <v>1</v>
      </c>
      <c r="L223" s="1310">
        <v>12</v>
      </c>
      <c r="M223" s="1311">
        <v>162300</v>
      </c>
      <c r="N223" s="1312">
        <v>1</v>
      </c>
      <c r="O223" s="1310">
        <v>6</v>
      </c>
      <c r="P223" s="1313">
        <v>81000</v>
      </c>
    </row>
    <row r="224" spans="1:16" ht="22.5" x14ac:dyDescent="0.2">
      <c r="A224" s="1302" t="s">
        <v>292</v>
      </c>
      <c r="B224" s="1303" t="s">
        <v>1141</v>
      </c>
      <c r="C224" s="1303" t="s">
        <v>98</v>
      </c>
      <c r="D224" s="1304" t="s">
        <v>2273</v>
      </c>
      <c r="E224" s="1305">
        <v>12000</v>
      </c>
      <c r="F224" s="1306" t="s">
        <v>2274</v>
      </c>
      <c r="G224" s="1307" t="s">
        <v>2275</v>
      </c>
      <c r="H224" s="1307" t="s">
        <v>1732</v>
      </c>
      <c r="I224" s="1307" t="s">
        <v>1698</v>
      </c>
      <c r="J224" s="1308" t="s">
        <v>1616</v>
      </c>
      <c r="K224" s="1309">
        <v>1</v>
      </c>
      <c r="L224" s="1310">
        <v>6</v>
      </c>
      <c r="M224" s="1311">
        <v>69200</v>
      </c>
      <c r="N224" s="1312">
        <v>1</v>
      </c>
      <c r="O224" s="1310">
        <v>6</v>
      </c>
      <c r="P224" s="1313">
        <v>72000</v>
      </c>
    </row>
    <row r="225" spans="1:16" x14ac:dyDescent="0.2">
      <c r="A225" s="1302" t="s">
        <v>292</v>
      </c>
      <c r="B225" s="1303" t="s">
        <v>1141</v>
      </c>
      <c r="C225" s="1303" t="s">
        <v>98</v>
      </c>
      <c r="D225" s="1304" t="s">
        <v>2198</v>
      </c>
      <c r="E225" s="1305">
        <v>9000</v>
      </c>
      <c r="F225" s="1306" t="s">
        <v>2276</v>
      </c>
      <c r="G225" s="1307" t="s">
        <v>2277</v>
      </c>
      <c r="H225" s="1307" t="s">
        <v>1603</v>
      </c>
      <c r="I225" s="1307" t="s">
        <v>1698</v>
      </c>
      <c r="J225" s="1308" t="s">
        <v>1616</v>
      </c>
      <c r="K225" s="1309">
        <v>1</v>
      </c>
      <c r="L225" s="1310">
        <v>6</v>
      </c>
      <c r="M225" s="1311">
        <v>51020</v>
      </c>
      <c r="N225" s="1312">
        <v>1</v>
      </c>
      <c r="O225" s="1310">
        <v>6</v>
      </c>
      <c r="P225" s="1313">
        <v>53175.92</v>
      </c>
    </row>
    <row r="226" spans="1:16" x14ac:dyDescent="0.2">
      <c r="A226" s="1302" t="s">
        <v>292</v>
      </c>
      <c r="B226" s="1303" t="s">
        <v>1141</v>
      </c>
      <c r="C226" s="1303" t="s">
        <v>98</v>
      </c>
      <c r="D226" s="1304" t="s">
        <v>2278</v>
      </c>
      <c r="E226" s="1305">
        <v>8000</v>
      </c>
      <c r="F226" s="1306" t="s">
        <v>2279</v>
      </c>
      <c r="G226" s="1307" t="s">
        <v>2280</v>
      </c>
      <c r="H226" s="1307" t="s">
        <v>2281</v>
      </c>
      <c r="I226" s="1307" t="s">
        <v>1698</v>
      </c>
      <c r="J226" s="1308" t="s">
        <v>1604</v>
      </c>
      <c r="K226" s="1309">
        <v>1</v>
      </c>
      <c r="L226" s="1310">
        <v>12</v>
      </c>
      <c r="M226" s="1311">
        <v>88796.89</v>
      </c>
      <c r="N226" s="1312">
        <v>1</v>
      </c>
      <c r="O226" s="1310">
        <v>6</v>
      </c>
      <c r="P226" s="1313">
        <v>47874</v>
      </c>
    </row>
    <row r="227" spans="1:16" x14ac:dyDescent="0.2">
      <c r="A227" s="1302" t="s">
        <v>292</v>
      </c>
      <c r="B227" s="1303" t="s">
        <v>1141</v>
      </c>
      <c r="C227" s="1303" t="s">
        <v>98</v>
      </c>
      <c r="D227" s="1304" t="s">
        <v>2282</v>
      </c>
      <c r="E227" s="1305">
        <v>7000</v>
      </c>
      <c r="F227" s="1306" t="s">
        <v>2283</v>
      </c>
      <c r="G227" s="1307" t="s">
        <v>2284</v>
      </c>
      <c r="H227" s="1307" t="s">
        <v>1672</v>
      </c>
      <c r="I227" s="1307" t="s">
        <v>1598</v>
      </c>
      <c r="J227" s="1308" t="s">
        <v>1604</v>
      </c>
      <c r="K227" s="1309">
        <v>1</v>
      </c>
      <c r="L227" s="1310">
        <v>12</v>
      </c>
      <c r="M227" s="1311">
        <v>79992.67</v>
      </c>
      <c r="N227" s="1312">
        <v>1</v>
      </c>
      <c r="O227" s="1310">
        <v>6</v>
      </c>
      <c r="P227" s="1313">
        <v>42000</v>
      </c>
    </row>
    <row r="228" spans="1:16" x14ac:dyDescent="0.2">
      <c r="A228" s="1302" t="s">
        <v>292</v>
      </c>
      <c r="B228" s="1303" t="s">
        <v>1141</v>
      </c>
      <c r="C228" s="1303" t="s">
        <v>98</v>
      </c>
      <c r="D228" s="1304" t="s">
        <v>2285</v>
      </c>
      <c r="E228" s="1305">
        <v>6000</v>
      </c>
      <c r="F228" s="1306" t="s">
        <v>2286</v>
      </c>
      <c r="G228" s="1307" t="s">
        <v>2287</v>
      </c>
      <c r="H228" s="1307" t="s">
        <v>2288</v>
      </c>
      <c r="I228" s="1307" t="s">
        <v>1616</v>
      </c>
      <c r="J228" s="1308" t="s">
        <v>1604</v>
      </c>
      <c r="K228" s="1309">
        <v>1</v>
      </c>
      <c r="L228" s="1310">
        <v>6</v>
      </c>
      <c r="M228" s="1311">
        <v>34600</v>
      </c>
      <c r="N228" s="1312">
        <v>1</v>
      </c>
      <c r="O228" s="1310">
        <v>6</v>
      </c>
      <c r="P228" s="1313">
        <v>36000</v>
      </c>
    </row>
    <row r="229" spans="1:16" ht="22.5" x14ac:dyDescent="0.2">
      <c r="A229" s="1302" t="s">
        <v>292</v>
      </c>
      <c r="B229" s="1303" t="s">
        <v>1141</v>
      </c>
      <c r="C229" s="1303" t="s">
        <v>98</v>
      </c>
      <c r="D229" s="1304" t="s">
        <v>2289</v>
      </c>
      <c r="E229" s="1305">
        <v>15600</v>
      </c>
      <c r="F229" s="1306" t="s">
        <v>2290</v>
      </c>
      <c r="G229" s="1307" t="s">
        <v>2291</v>
      </c>
      <c r="H229" s="1307" t="s">
        <v>1603</v>
      </c>
      <c r="I229" s="1307" t="s">
        <v>1598</v>
      </c>
      <c r="J229" s="1308" t="s">
        <v>1604</v>
      </c>
      <c r="K229" s="1309">
        <v>1</v>
      </c>
      <c r="L229" s="1310">
        <v>3</v>
      </c>
      <c r="M229" s="1311">
        <v>34800</v>
      </c>
      <c r="N229" s="1312">
        <v>1</v>
      </c>
      <c r="O229" s="1310">
        <v>6</v>
      </c>
      <c r="P229" s="1313">
        <v>72900</v>
      </c>
    </row>
    <row r="230" spans="1:16" ht="22.5" x14ac:dyDescent="0.2">
      <c r="A230" s="1302" t="s">
        <v>292</v>
      </c>
      <c r="B230" s="1303" t="s">
        <v>1141</v>
      </c>
      <c r="C230" s="1303" t="s">
        <v>98</v>
      </c>
      <c r="D230" s="1304" t="s">
        <v>1867</v>
      </c>
      <c r="E230" s="1305">
        <v>11000</v>
      </c>
      <c r="F230" s="1306" t="s">
        <v>2292</v>
      </c>
      <c r="G230" s="1307" t="s">
        <v>2293</v>
      </c>
      <c r="H230" s="1307" t="s">
        <v>1908</v>
      </c>
      <c r="I230" s="1307" t="s">
        <v>1598</v>
      </c>
      <c r="J230" s="1308" t="s">
        <v>1604</v>
      </c>
      <c r="K230" s="1309">
        <v>1</v>
      </c>
      <c r="L230" s="1310">
        <v>12</v>
      </c>
      <c r="M230" s="1311">
        <v>103083.33</v>
      </c>
      <c r="N230" s="1312">
        <v>1</v>
      </c>
      <c r="O230" s="1310">
        <v>6</v>
      </c>
      <c r="P230" s="1313">
        <v>66000</v>
      </c>
    </row>
    <row r="231" spans="1:16" x14ac:dyDescent="0.2">
      <c r="A231" s="1302" t="s">
        <v>292</v>
      </c>
      <c r="B231" s="1303" t="s">
        <v>1141</v>
      </c>
      <c r="C231" s="1303" t="s">
        <v>98</v>
      </c>
      <c r="D231" s="1304" t="s">
        <v>1695</v>
      </c>
      <c r="E231" s="1305">
        <v>4500</v>
      </c>
      <c r="F231" s="1306" t="s">
        <v>2294</v>
      </c>
      <c r="G231" s="1307" t="s">
        <v>2295</v>
      </c>
      <c r="H231" s="1307" t="s">
        <v>1812</v>
      </c>
      <c r="I231" s="1307" t="s">
        <v>1698</v>
      </c>
      <c r="J231" s="1308" t="s">
        <v>1599</v>
      </c>
      <c r="K231" s="1309">
        <v>1</v>
      </c>
      <c r="L231" s="1310">
        <v>12</v>
      </c>
      <c r="M231" s="1311">
        <v>44550</v>
      </c>
      <c r="N231" s="1312">
        <v>1</v>
      </c>
      <c r="O231" s="1310">
        <v>6</v>
      </c>
      <c r="P231" s="1313">
        <v>27000</v>
      </c>
    </row>
    <row r="232" spans="1:16" x14ac:dyDescent="0.2">
      <c r="A232" s="1302" t="s">
        <v>292</v>
      </c>
      <c r="B232" s="1303" t="s">
        <v>1141</v>
      </c>
      <c r="C232" s="1303" t="s">
        <v>98</v>
      </c>
      <c r="D232" s="1304" t="s">
        <v>2296</v>
      </c>
      <c r="E232" s="1305">
        <v>6000</v>
      </c>
      <c r="F232" s="1306" t="s">
        <v>2297</v>
      </c>
      <c r="G232" s="1307" t="s">
        <v>2298</v>
      </c>
      <c r="H232" s="1307" t="s">
        <v>1847</v>
      </c>
      <c r="I232" s="1307" t="s">
        <v>1598</v>
      </c>
      <c r="J232" s="1308" t="s">
        <v>1604</v>
      </c>
      <c r="K232" s="1309">
        <v>1</v>
      </c>
      <c r="L232" s="1310">
        <v>2</v>
      </c>
      <c r="M232" s="1311">
        <v>14000</v>
      </c>
      <c r="N232" s="1312">
        <v>1</v>
      </c>
      <c r="O232" s="1310">
        <v>6</v>
      </c>
      <c r="P232" s="1313">
        <v>36000</v>
      </c>
    </row>
    <row r="233" spans="1:16" ht="22.5" x14ac:dyDescent="0.2">
      <c r="A233" s="1302" t="s">
        <v>292</v>
      </c>
      <c r="B233" s="1303" t="s">
        <v>1141</v>
      </c>
      <c r="C233" s="1303" t="s">
        <v>98</v>
      </c>
      <c r="D233" s="1304" t="s">
        <v>2299</v>
      </c>
      <c r="E233" s="1305">
        <v>3000</v>
      </c>
      <c r="F233" s="1306" t="s">
        <v>2300</v>
      </c>
      <c r="G233" s="1307" t="s">
        <v>2301</v>
      </c>
      <c r="H233" s="1307" t="s">
        <v>1632</v>
      </c>
      <c r="I233" s="1307" t="s">
        <v>1598</v>
      </c>
      <c r="J233" s="1308" t="s">
        <v>1599</v>
      </c>
      <c r="K233" s="1309">
        <v>1</v>
      </c>
      <c r="L233" s="1310">
        <v>12</v>
      </c>
      <c r="M233" s="1311">
        <v>36300</v>
      </c>
      <c r="N233" s="1312">
        <v>1</v>
      </c>
      <c r="O233" s="1310">
        <v>6</v>
      </c>
      <c r="P233" s="1313">
        <v>18000</v>
      </c>
    </row>
    <row r="234" spans="1:16" x14ac:dyDescent="0.2">
      <c r="A234" s="1302" t="s">
        <v>292</v>
      </c>
      <c r="B234" s="1303" t="s">
        <v>1141</v>
      </c>
      <c r="C234" s="1303" t="s">
        <v>98</v>
      </c>
      <c r="D234" s="1304" t="s">
        <v>1915</v>
      </c>
      <c r="E234" s="1305">
        <v>12000</v>
      </c>
      <c r="F234" s="1306" t="s">
        <v>2302</v>
      </c>
      <c r="G234" s="1307" t="s">
        <v>2303</v>
      </c>
      <c r="H234" s="1307" t="s">
        <v>2304</v>
      </c>
      <c r="I234" s="1307" t="s">
        <v>1598</v>
      </c>
      <c r="J234" s="1308" t="s">
        <v>1604</v>
      </c>
      <c r="K234" s="1309">
        <v>1</v>
      </c>
      <c r="L234" s="1310">
        <v>12</v>
      </c>
      <c r="M234" s="1311">
        <v>144113.02000000002</v>
      </c>
      <c r="N234" s="1312">
        <v>1</v>
      </c>
      <c r="O234" s="1310">
        <v>6</v>
      </c>
      <c r="P234" s="1313">
        <v>72000</v>
      </c>
    </row>
    <row r="235" spans="1:16" ht="22.5" x14ac:dyDescent="0.2">
      <c r="A235" s="1302" t="s">
        <v>292</v>
      </c>
      <c r="B235" s="1303" t="s">
        <v>1141</v>
      </c>
      <c r="C235" s="1303" t="s">
        <v>98</v>
      </c>
      <c r="D235" s="1304" t="s">
        <v>2305</v>
      </c>
      <c r="E235" s="1305">
        <v>8500</v>
      </c>
      <c r="F235" s="1306" t="s">
        <v>2306</v>
      </c>
      <c r="G235" s="1307" t="s">
        <v>2307</v>
      </c>
      <c r="H235" s="1307" t="s">
        <v>1608</v>
      </c>
      <c r="I235" s="1307" t="s">
        <v>1598</v>
      </c>
      <c r="J235" s="1308" t="s">
        <v>1604</v>
      </c>
      <c r="K235" s="1309">
        <v>1</v>
      </c>
      <c r="L235" s="1310">
        <v>9</v>
      </c>
      <c r="M235" s="1311">
        <v>74433.260000000009</v>
      </c>
      <c r="N235" s="1312">
        <v>1</v>
      </c>
      <c r="O235" s="1310">
        <v>6</v>
      </c>
      <c r="P235" s="1313">
        <v>51000</v>
      </c>
    </row>
    <row r="236" spans="1:16" x14ac:dyDescent="0.2">
      <c r="A236" s="1302" t="s">
        <v>292</v>
      </c>
      <c r="B236" s="1303" t="s">
        <v>1141</v>
      </c>
      <c r="C236" s="1303" t="s">
        <v>98</v>
      </c>
      <c r="D236" s="1304" t="s">
        <v>2308</v>
      </c>
      <c r="E236" s="1305">
        <v>6000</v>
      </c>
      <c r="F236" s="1306" t="s">
        <v>2309</v>
      </c>
      <c r="G236" s="1307" t="s">
        <v>2310</v>
      </c>
      <c r="H236" s="1307" t="s">
        <v>1793</v>
      </c>
      <c r="I236" s="1307" t="s">
        <v>1598</v>
      </c>
      <c r="J236" s="1308" t="s">
        <v>1604</v>
      </c>
      <c r="K236" s="1309">
        <v>1</v>
      </c>
      <c r="L236" s="1310">
        <v>12</v>
      </c>
      <c r="M236" s="1311">
        <v>72300</v>
      </c>
      <c r="N236" s="1312">
        <v>1</v>
      </c>
      <c r="O236" s="1310">
        <v>6</v>
      </c>
      <c r="P236" s="1313">
        <v>36000</v>
      </c>
    </row>
    <row r="237" spans="1:16" x14ac:dyDescent="0.2">
      <c r="A237" s="1302" t="s">
        <v>292</v>
      </c>
      <c r="B237" s="1303" t="s">
        <v>1141</v>
      </c>
      <c r="C237" s="1303" t="s">
        <v>98</v>
      </c>
      <c r="D237" s="1304" t="s">
        <v>2252</v>
      </c>
      <c r="E237" s="1305">
        <v>2000</v>
      </c>
      <c r="F237" s="1306" t="s">
        <v>2311</v>
      </c>
      <c r="G237" s="1307" t="s">
        <v>2312</v>
      </c>
      <c r="H237" s="1307" t="s">
        <v>2313</v>
      </c>
      <c r="I237" s="1307" t="s">
        <v>1598</v>
      </c>
      <c r="J237" s="1308" t="s">
        <v>1599</v>
      </c>
      <c r="K237" s="1309">
        <v>1</v>
      </c>
      <c r="L237" s="1310">
        <v>12</v>
      </c>
      <c r="M237" s="1311">
        <v>23998.31</v>
      </c>
      <c r="N237" s="1312">
        <v>1</v>
      </c>
      <c r="O237" s="1310">
        <v>6</v>
      </c>
      <c r="P237" s="1313">
        <v>11866.67</v>
      </c>
    </row>
    <row r="238" spans="1:16" x14ac:dyDescent="0.2">
      <c r="A238" s="1302" t="s">
        <v>292</v>
      </c>
      <c r="B238" s="1303" t="s">
        <v>1141</v>
      </c>
      <c r="C238" s="1303" t="s">
        <v>98</v>
      </c>
      <c r="D238" s="1314" t="s">
        <v>2314</v>
      </c>
      <c r="E238" s="1305">
        <v>15600</v>
      </c>
      <c r="F238" s="1306" t="s">
        <v>2315</v>
      </c>
      <c r="G238" s="1307" t="s">
        <v>2316</v>
      </c>
      <c r="H238" s="1315" t="s">
        <v>1603</v>
      </c>
      <c r="I238" s="1315" t="s">
        <v>1598</v>
      </c>
      <c r="J238" s="1316" t="s">
        <v>1604</v>
      </c>
      <c r="K238" s="1309">
        <v>0</v>
      </c>
      <c r="L238" s="1310" t="s">
        <v>1633</v>
      </c>
      <c r="M238" s="1311">
        <v>0</v>
      </c>
      <c r="N238" s="1312">
        <v>1</v>
      </c>
      <c r="O238" s="1310">
        <v>2</v>
      </c>
      <c r="P238" s="1313">
        <v>29640</v>
      </c>
    </row>
    <row r="239" spans="1:16" ht="22.5" x14ac:dyDescent="0.2">
      <c r="A239" s="1302" t="s">
        <v>292</v>
      </c>
      <c r="B239" s="1303" t="s">
        <v>1141</v>
      </c>
      <c r="C239" s="1303" t="s">
        <v>98</v>
      </c>
      <c r="D239" s="1304" t="s">
        <v>2317</v>
      </c>
      <c r="E239" s="1305">
        <v>6000</v>
      </c>
      <c r="F239" s="1306" t="s">
        <v>2318</v>
      </c>
      <c r="G239" s="1307" t="s">
        <v>2319</v>
      </c>
      <c r="H239" s="1307" t="s">
        <v>1672</v>
      </c>
      <c r="I239" s="1307" t="s">
        <v>1598</v>
      </c>
      <c r="J239" s="1308" t="s">
        <v>1604</v>
      </c>
      <c r="K239" s="1309">
        <v>1</v>
      </c>
      <c r="L239" s="1310">
        <v>12</v>
      </c>
      <c r="M239" s="1311">
        <v>72300</v>
      </c>
      <c r="N239" s="1312">
        <v>1</v>
      </c>
      <c r="O239" s="1310">
        <v>6</v>
      </c>
      <c r="P239" s="1313">
        <v>31786</v>
      </c>
    </row>
    <row r="240" spans="1:16" x14ac:dyDescent="0.2">
      <c r="A240" s="1302" t="s">
        <v>292</v>
      </c>
      <c r="B240" s="1303" t="s">
        <v>1141</v>
      </c>
      <c r="C240" s="1303" t="s">
        <v>98</v>
      </c>
      <c r="D240" s="1304" t="s">
        <v>2320</v>
      </c>
      <c r="E240" s="1305">
        <v>7000</v>
      </c>
      <c r="F240" s="1306" t="s">
        <v>2321</v>
      </c>
      <c r="G240" s="1307" t="s">
        <v>2322</v>
      </c>
      <c r="H240" s="1307" t="s">
        <v>1819</v>
      </c>
      <c r="I240" s="1307" t="s">
        <v>1598</v>
      </c>
      <c r="J240" s="1308" t="s">
        <v>1604</v>
      </c>
      <c r="K240" s="1309">
        <v>1</v>
      </c>
      <c r="L240" s="1310">
        <v>6</v>
      </c>
      <c r="M240" s="1311">
        <v>39900</v>
      </c>
      <c r="N240" s="1312">
        <v>1</v>
      </c>
      <c r="O240" s="1310">
        <v>1</v>
      </c>
      <c r="P240" s="1313">
        <v>7000</v>
      </c>
    </row>
    <row r="241" spans="1:16" x14ac:dyDescent="0.2">
      <c r="A241" s="1302" t="s">
        <v>292</v>
      </c>
      <c r="B241" s="1303" t="s">
        <v>1141</v>
      </c>
      <c r="C241" s="1303" t="s">
        <v>98</v>
      </c>
      <c r="D241" s="1304" t="s">
        <v>2323</v>
      </c>
      <c r="E241" s="1305">
        <v>7000</v>
      </c>
      <c r="F241" s="1306" t="s">
        <v>2324</v>
      </c>
      <c r="G241" s="1307" t="s">
        <v>2325</v>
      </c>
      <c r="H241" s="1307" t="s">
        <v>2103</v>
      </c>
      <c r="I241" s="1307" t="s">
        <v>1598</v>
      </c>
      <c r="J241" s="1308" t="s">
        <v>1604</v>
      </c>
      <c r="K241" s="1309">
        <v>1</v>
      </c>
      <c r="L241" s="1310">
        <v>11</v>
      </c>
      <c r="M241" s="1311">
        <v>73800</v>
      </c>
      <c r="N241" s="1312">
        <v>0</v>
      </c>
      <c r="O241" s="1310" t="s">
        <v>1633</v>
      </c>
      <c r="P241" s="1313">
        <v>0</v>
      </c>
    </row>
    <row r="242" spans="1:16" x14ac:dyDescent="0.2">
      <c r="A242" s="1302" t="s">
        <v>292</v>
      </c>
      <c r="B242" s="1303" t="s">
        <v>1141</v>
      </c>
      <c r="C242" s="1303" t="s">
        <v>98</v>
      </c>
      <c r="D242" s="1304" t="s">
        <v>2326</v>
      </c>
      <c r="E242" s="1305">
        <v>5000</v>
      </c>
      <c r="F242" s="1306" t="s">
        <v>2327</v>
      </c>
      <c r="G242" s="1307" t="s">
        <v>2328</v>
      </c>
      <c r="H242" s="1307" t="s">
        <v>1819</v>
      </c>
      <c r="I242" s="1307" t="s">
        <v>1616</v>
      </c>
      <c r="J242" s="1308" t="s">
        <v>1604</v>
      </c>
      <c r="K242" s="1309">
        <v>1</v>
      </c>
      <c r="L242" s="1310">
        <v>12</v>
      </c>
      <c r="M242" s="1311">
        <v>60000</v>
      </c>
      <c r="N242" s="1312">
        <v>1</v>
      </c>
      <c r="O242" s="1310">
        <v>1</v>
      </c>
      <c r="P242" s="1313">
        <v>2500</v>
      </c>
    </row>
    <row r="243" spans="1:16" x14ac:dyDescent="0.2">
      <c r="A243" s="1302" t="s">
        <v>292</v>
      </c>
      <c r="B243" s="1303" t="s">
        <v>1141</v>
      </c>
      <c r="C243" s="1303" t="s">
        <v>98</v>
      </c>
      <c r="D243" s="1304" t="s">
        <v>2329</v>
      </c>
      <c r="E243" s="1305">
        <v>8500</v>
      </c>
      <c r="F243" s="1306" t="s">
        <v>2330</v>
      </c>
      <c r="G243" s="1307" t="s">
        <v>2331</v>
      </c>
      <c r="H243" s="1307" t="s">
        <v>1612</v>
      </c>
      <c r="I243" s="1307" t="s">
        <v>1616</v>
      </c>
      <c r="J243" s="1308" t="s">
        <v>1604</v>
      </c>
      <c r="K243" s="1309">
        <v>1</v>
      </c>
      <c r="L243" s="1310">
        <v>12</v>
      </c>
      <c r="M243" s="1311">
        <v>102300</v>
      </c>
      <c r="N243" s="1312">
        <v>1</v>
      </c>
      <c r="O243" s="1310">
        <v>6</v>
      </c>
      <c r="P243" s="1313">
        <v>51000</v>
      </c>
    </row>
    <row r="244" spans="1:16" x14ac:dyDescent="0.2">
      <c r="A244" s="1302" t="s">
        <v>292</v>
      </c>
      <c r="B244" s="1303" t="s">
        <v>1141</v>
      </c>
      <c r="C244" s="1303" t="s">
        <v>98</v>
      </c>
      <c r="D244" s="1304" t="s">
        <v>2332</v>
      </c>
      <c r="E244" s="1305">
        <v>8000</v>
      </c>
      <c r="F244" s="1306" t="s">
        <v>2333</v>
      </c>
      <c r="G244" s="1307" t="s">
        <v>2334</v>
      </c>
      <c r="H244" s="1307" t="s">
        <v>1608</v>
      </c>
      <c r="I244" s="1307" t="s">
        <v>1598</v>
      </c>
      <c r="J244" s="1308" t="s">
        <v>1616</v>
      </c>
      <c r="K244" s="1309">
        <v>1</v>
      </c>
      <c r="L244" s="1310">
        <v>4</v>
      </c>
      <c r="M244" s="1311">
        <v>30933.33</v>
      </c>
      <c r="N244" s="1312">
        <v>1</v>
      </c>
      <c r="O244" s="1310">
        <v>6</v>
      </c>
      <c r="P244" s="1313">
        <v>48000</v>
      </c>
    </row>
    <row r="245" spans="1:16" x14ac:dyDescent="0.2">
      <c r="A245" s="1302" t="s">
        <v>292</v>
      </c>
      <c r="B245" s="1303" t="s">
        <v>1141</v>
      </c>
      <c r="C245" s="1303" t="s">
        <v>98</v>
      </c>
      <c r="D245" s="1304" t="s">
        <v>2335</v>
      </c>
      <c r="E245" s="1305">
        <v>8000</v>
      </c>
      <c r="F245" s="1306" t="s">
        <v>2336</v>
      </c>
      <c r="G245" s="1307" t="s">
        <v>2337</v>
      </c>
      <c r="H245" s="1307" t="s">
        <v>1603</v>
      </c>
      <c r="I245" s="1307" t="s">
        <v>1598</v>
      </c>
      <c r="J245" s="1308" t="s">
        <v>1604</v>
      </c>
      <c r="K245" s="1309">
        <v>1</v>
      </c>
      <c r="L245" s="1310">
        <v>8</v>
      </c>
      <c r="M245" s="1311">
        <v>62766.5</v>
      </c>
      <c r="N245" s="1312">
        <v>1</v>
      </c>
      <c r="O245" s="1310">
        <v>6</v>
      </c>
      <c r="P245" s="1313">
        <v>48000</v>
      </c>
    </row>
    <row r="246" spans="1:16" x14ac:dyDescent="0.2">
      <c r="A246" s="1302" t="s">
        <v>292</v>
      </c>
      <c r="B246" s="1303" t="s">
        <v>1141</v>
      </c>
      <c r="C246" s="1303" t="s">
        <v>98</v>
      </c>
      <c r="D246" s="1304" t="s">
        <v>1803</v>
      </c>
      <c r="E246" s="1305">
        <v>5000</v>
      </c>
      <c r="F246" s="1306" t="s">
        <v>2338</v>
      </c>
      <c r="G246" s="1307" t="s">
        <v>2339</v>
      </c>
      <c r="H246" s="1307" t="s">
        <v>1694</v>
      </c>
      <c r="I246" s="1307" t="s">
        <v>1698</v>
      </c>
      <c r="J246" s="1308" t="s">
        <v>1599</v>
      </c>
      <c r="K246" s="1309">
        <v>1</v>
      </c>
      <c r="L246" s="1310">
        <v>12</v>
      </c>
      <c r="M246" s="1311">
        <v>60150</v>
      </c>
      <c r="N246" s="1312">
        <v>1</v>
      </c>
      <c r="O246" s="1310">
        <v>6</v>
      </c>
      <c r="P246" s="1313">
        <v>30000</v>
      </c>
    </row>
    <row r="247" spans="1:16" x14ac:dyDescent="0.2">
      <c r="A247" s="1302" t="s">
        <v>292</v>
      </c>
      <c r="B247" s="1303" t="s">
        <v>1141</v>
      </c>
      <c r="C247" s="1303" t="s">
        <v>98</v>
      </c>
      <c r="D247" s="1304" t="s">
        <v>2009</v>
      </c>
      <c r="E247" s="1305">
        <v>15600</v>
      </c>
      <c r="F247" s="1306" t="s">
        <v>2340</v>
      </c>
      <c r="G247" s="1307" t="s">
        <v>2341</v>
      </c>
      <c r="H247" s="1307" t="s">
        <v>1603</v>
      </c>
      <c r="I247" s="1307" t="s">
        <v>1598</v>
      </c>
      <c r="J247" s="1308" t="s">
        <v>1604</v>
      </c>
      <c r="K247" s="1309">
        <v>1</v>
      </c>
      <c r="L247" s="1310">
        <v>12</v>
      </c>
      <c r="M247" s="1311">
        <v>187800</v>
      </c>
      <c r="N247" s="1312">
        <v>1</v>
      </c>
      <c r="O247" s="1310">
        <v>6</v>
      </c>
      <c r="P247" s="1313">
        <v>92040</v>
      </c>
    </row>
    <row r="248" spans="1:16" ht="22.5" x14ac:dyDescent="0.2">
      <c r="A248" s="1302" t="s">
        <v>292</v>
      </c>
      <c r="B248" s="1303" t="s">
        <v>1141</v>
      </c>
      <c r="C248" s="1303" t="s">
        <v>98</v>
      </c>
      <c r="D248" s="1304" t="s">
        <v>2258</v>
      </c>
      <c r="E248" s="1305">
        <v>8000</v>
      </c>
      <c r="F248" s="1306" t="s">
        <v>2342</v>
      </c>
      <c r="G248" s="1307" t="s">
        <v>2343</v>
      </c>
      <c r="H248" s="1307" t="s">
        <v>1620</v>
      </c>
      <c r="I248" s="1307" t="s">
        <v>1616</v>
      </c>
      <c r="J248" s="1308" t="s">
        <v>1616</v>
      </c>
      <c r="K248" s="1309">
        <v>1</v>
      </c>
      <c r="L248" s="1310">
        <v>4</v>
      </c>
      <c r="M248" s="1311">
        <v>30933.33</v>
      </c>
      <c r="N248" s="1312">
        <v>1</v>
      </c>
      <c r="O248" s="1310">
        <v>6</v>
      </c>
      <c r="P248" s="1313">
        <v>48000</v>
      </c>
    </row>
    <row r="249" spans="1:16" x14ac:dyDescent="0.2">
      <c r="A249" s="1302" t="s">
        <v>292</v>
      </c>
      <c r="B249" s="1303" t="s">
        <v>1141</v>
      </c>
      <c r="C249" s="1303" t="s">
        <v>98</v>
      </c>
      <c r="D249" s="1304" t="s">
        <v>2344</v>
      </c>
      <c r="E249" s="1305">
        <v>6000</v>
      </c>
      <c r="F249" s="1306" t="s">
        <v>2345</v>
      </c>
      <c r="G249" s="1307" t="s">
        <v>2346</v>
      </c>
      <c r="H249" s="1307" t="s">
        <v>2103</v>
      </c>
      <c r="I249" s="1307" t="s">
        <v>1598</v>
      </c>
      <c r="J249" s="1308" t="s">
        <v>1604</v>
      </c>
      <c r="K249" s="1309">
        <v>1</v>
      </c>
      <c r="L249" s="1310">
        <v>11</v>
      </c>
      <c r="M249" s="1311">
        <v>66300</v>
      </c>
      <c r="N249" s="1312">
        <v>0</v>
      </c>
      <c r="O249" s="1310" t="s">
        <v>1633</v>
      </c>
      <c r="P249" s="1313">
        <v>0</v>
      </c>
    </row>
    <row r="250" spans="1:16" x14ac:dyDescent="0.2">
      <c r="A250" s="1302" t="s">
        <v>292</v>
      </c>
      <c r="B250" s="1303" t="s">
        <v>1141</v>
      </c>
      <c r="C250" s="1303" t="s">
        <v>98</v>
      </c>
      <c r="D250" s="1304" t="s">
        <v>2347</v>
      </c>
      <c r="E250" s="1305">
        <v>8000</v>
      </c>
      <c r="F250" s="1306" t="s">
        <v>2348</v>
      </c>
      <c r="G250" s="1307" t="s">
        <v>2349</v>
      </c>
      <c r="H250" s="1307" t="s">
        <v>1686</v>
      </c>
      <c r="I250" s="1307" t="s">
        <v>1598</v>
      </c>
      <c r="J250" s="1308" t="s">
        <v>1604</v>
      </c>
      <c r="K250" s="1309">
        <v>1</v>
      </c>
      <c r="L250" s="1310">
        <v>12</v>
      </c>
      <c r="M250" s="1311">
        <v>96142.11</v>
      </c>
      <c r="N250" s="1312">
        <v>1</v>
      </c>
      <c r="O250" s="1310">
        <v>6</v>
      </c>
      <c r="P250" s="1313">
        <v>48000</v>
      </c>
    </row>
    <row r="251" spans="1:16" ht="22.5" x14ac:dyDescent="0.2">
      <c r="A251" s="1302" t="s">
        <v>292</v>
      </c>
      <c r="B251" s="1303" t="s">
        <v>1141</v>
      </c>
      <c r="C251" s="1303" t="s">
        <v>98</v>
      </c>
      <c r="D251" s="1304" t="s">
        <v>2350</v>
      </c>
      <c r="E251" s="1305">
        <v>7000</v>
      </c>
      <c r="F251" s="1306" t="s">
        <v>2351</v>
      </c>
      <c r="G251" s="1307" t="s">
        <v>2352</v>
      </c>
      <c r="H251" s="1307" t="s">
        <v>1603</v>
      </c>
      <c r="I251" s="1307" t="s">
        <v>1698</v>
      </c>
      <c r="J251" s="1308" t="s">
        <v>1616</v>
      </c>
      <c r="K251" s="1309">
        <v>1</v>
      </c>
      <c r="L251" s="1310">
        <v>6</v>
      </c>
      <c r="M251" s="1311">
        <v>40366.67</v>
      </c>
      <c r="N251" s="1312">
        <v>1</v>
      </c>
      <c r="O251" s="1310">
        <v>6</v>
      </c>
      <c r="P251" s="1313">
        <v>42000</v>
      </c>
    </row>
    <row r="252" spans="1:16" x14ac:dyDescent="0.2">
      <c r="A252" s="1302" t="s">
        <v>292</v>
      </c>
      <c r="B252" s="1303" t="s">
        <v>1141</v>
      </c>
      <c r="C252" s="1303" t="s">
        <v>98</v>
      </c>
      <c r="D252" s="1304" t="s">
        <v>2296</v>
      </c>
      <c r="E252" s="1305">
        <v>6000</v>
      </c>
      <c r="F252" s="1306" t="s">
        <v>2353</v>
      </c>
      <c r="G252" s="1307" t="s">
        <v>2354</v>
      </c>
      <c r="H252" s="1307" t="s">
        <v>1690</v>
      </c>
      <c r="I252" s="1307" t="s">
        <v>1616</v>
      </c>
      <c r="J252" s="1308" t="s">
        <v>1616</v>
      </c>
      <c r="K252" s="1309">
        <v>1</v>
      </c>
      <c r="L252" s="1310">
        <v>2</v>
      </c>
      <c r="M252" s="1311">
        <v>14000</v>
      </c>
      <c r="N252" s="1312">
        <v>1</v>
      </c>
      <c r="O252" s="1310">
        <v>6</v>
      </c>
      <c r="P252" s="1313">
        <v>36000</v>
      </c>
    </row>
    <row r="253" spans="1:16" x14ac:dyDescent="0.2">
      <c r="A253" s="1302" t="s">
        <v>292</v>
      </c>
      <c r="B253" s="1303" t="s">
        <v>1141</v>
      </c>
      <c r="C253" s="1303" t="s">
        <v>98</v>
      </c>
      <c r="D253" s="1314" t="s">
        <v>1629</v>
      </c>
      <c r="E253" s="1305">
        <v>3000</v>
      </c>
      <c r="F253" s="1306" t="s">
        <v>2355</v>
      </c>
      <c r="G253" s="1307" t="s">
        <v>2356</v>
      </c>
      <c r="H253" s="1315" t="s">
        <v>1612</v>
      </c>
      <c r="I253" s="1315" t="s">
        <v>1698</v>
      </c>
      <c r="J253" s="1316" t="s">
        <v>1604</v>
      </c>
      <c r="K253" s="1309">
        <v>0</v>
      </c>
      <c r="L253" s="1310" t="s">
        <v>1633</v>
      </c>
      <c r="M253" s="1311">
        <v>0</v>
      </c>
      <c r="N253" s="1312">
        <v>1</v>
      </c>
      <c r="O253" s="1310">
        <v>6</v>
      </c>
      <c r="P253" s="1313">
        <v>18500</v>
      </c>
    </row>
    <row r="254" spans="1:16" x14ac:dyDescent="0.2">
      <c r="A254" s="1302" t="s">
        <v>292</v>
      </c>
      <c r="B254" s="1303" t="s">
        <v>1141</v>
      </c>
      <c r="C254" s="1303" t="s">
        <v>98</v>
      </c>
      <c r="D254" s="1304" t="s">
        <v>2357</v>
      </c>
      <c r="E254" s="1305">
        <v>15600</v>
      </c>
      <c r="F254" s="1306" t="s">
        <v>2358</v>
      </c>
      <c r="G254" s="1307" t="s">
        <v>2359</v>
      </c>
      <c r="H254" s="1307" t="s">
        <v>1603</v>
      </c>
      <c r="I254" s="1307" t="s">
        <v>1598</v>
      </c>
      <c r="J254" s="1308" t="s">
        <v>1604</v>
      </c>
      <c r="K254" s="1309">
        <v>1</v>
      </c>
      <c r="L254" s="1310">
        <v>12</v>
      </c>
      <c r="M254" s="1311">
        <v>187800</v>
      </c>
      <c r="N254" s="1312">
        <v>1</v>
      </c>
      <c r="O254" s="1310">
        <v>6</v>
      </c>
      <c r="P254" s="1313">
        <v>92040</v>
      </c>
    </row>
    <row r="255" spans="1:16" ht="22.5" x14ac:dyDescent="0.2">
      <c r="A255" s="1302" t="s">
        <v>292</v>
      </c>
      <c r="B255" s="1303" t="s">
        <v>1141</v>
      </c>
      <c r="C255" s="1303" t="s">
        <v>98</v>
      </c>
      <c r="D255" s="1304" t="s">
        <v>2360</v>
      </c>
      <c r="E255" s="1305">
        <v>6500</v>
      </c>
      <c r="F255" s="1306" t="s">
        <v>2361</v>
      </c>
      <c r="G255" s="1307" t="s">
        <v>2362</v>
      </c>
      <c r="H255" s="1307" t="s">
        <v>2154</v>
      </c>
      <c r="I255" s="1307" t="s">
        <v>1616</v>
      </c>
      <c r="J255" s="1308" t="s">
        <v>1604</v>
      </c>
      <c r="K255" s="1309">
        <v>1</v>
      </c>
      <c r="L255" s="1310">
        <v>6</v>
      </c>
      <c r="M255" s="1311">
        <v>37483.33</v>
      </c>
      <c r="N255" s="1312">
        <v>1</v>
      </c>
      <c r="O255" s="1310">
        <v>6</v>
      </c>
      <c r="P255" s="1313">
        <v>39000</v>
      </c>
    </row>
    <row r="256" spans="1:16" ht="22.5" x14ac:dyDescent="0.2">
      <c r="A256" s="1302" t="s">
        <v>292</v>
      </c>
      <c r="B256" s="1303" t="s">
        <v>1141</v>
      </c>
      <c r="C256" s="1303" t="s">
        <v>98</v>
      </c>
      <c r="D256" s="1304" t="s">
        <v>1982</v>
      </c>
      <c r="E256" s="1305">
        <v>15600</v>
      </c>
      <c r="F256" s="1306" t="s">
        <v>2363</v>
      </c>
      <c r="G256" s="1307" t="s">
        <v>2364</v>
      </c>
      <c r="H256" s="1307" t="s">
        <v>2365</v>
      </c>
      <c r="I256" s="1307" t="s">
        <v>1598</v>
      </c>
      <c r="J256" s="1308" t="s">
        <v>1604</v>
      </c>
      <c r="K256" s="1309">
        <v>1</v>
      </c>
      <c r="L256" s="1310">
        <v>1</v>
      </c>
      <c r="M256" s="1311">
        <v>15600</v>
      </c>
      <c r="N256" s="1312">
        <v>0</v>
      </c>
      <c r="O256" s="1310" t="s">
        <v>1633</v>
      </c>
      <c r="P256" s="1313">
        <v>0</v>
      </c>
    </row>
    <row r="257" spans="1:16" ht="22.5" x14ac:dyDescent="0.2">
      <c r="A257" s="1302" t="s">
        <v>292</v>
      </c>
      <c r="B257" s="1303" t="s">
        <v>1141</v>
      </c>
      <c r="C257" s="1303" t="s">
        <v>98</v>
      </c>
      <c r="D257" s="1304" t="s">
        <v>2366</v>
      </c>
      <c r="E257" s="1305">
        <v>4000</v>
      </c>
      <c r="F257" s="1306" t="s">
        <v>2367</v>
      </c>
      <c r="G257" s="1307" t="s">
        <v>2368</v>
      </c>
      <c r="H257" s="1307" t="s">
        <v>2369</v>
      </c>
      <c r="I257" s="1307" t="s">
        <v>1616</v>
      </c>
      <c r="J257" s="1308" t="s">
        <v>1604</v>
      </c>
      <c r="K257" s="1309">
        <v>1</v>
      </c>
      <c r="L257" s="1310">
        <v>12</v>
      </c>
      <c r="M257" s="1311">
        <v>48300</v>
      </c>
      <c r="N257" s="1312">
        <v>1</v>
      </c>
      <c r="O257" s="1310">
        <v>6</v>
      </c>
      <c r="P257" s="1313">
        <v>24000</v>
      </c>
    </row>
    <row r="258" spans="1:16" ht="22.5" x14ac:dyDescent="0.2">
      <c r="A258" s="1302" t="s">
        <v>292</v>
      </c>
      <c r="B258" s="1303" t="s">
        <v>1141</v>
      </c>
      <c r="C258" s="1303" t="s">
        <v>98</v>
      </c>
      <c r="D258" s="1304" t="s">
        <v>2370</v>
      </c>
      <c r="E258" s="1305">
        <v>6000</v>
      </c>
      <c r="F258" s="1306" t="s">
        <v>2371</v>
      </c>
      <c r="G258" s="1307" t="s">
        <v>2372</v>
      </c>
      <c r="H258" s="1307" t="s">
        <v>2137</v>
      </c>
      <c r="I258" s="1307" t="s">
        <v>1598</v>
      </c>
      <c r="J258" s="1308" t="s">
        <v>1616</v>
      </c>
      <c r="K258" s="1309">
        <v>1</v>
      </c>
      <c r="L258" s="1310">
        <v>6</v>
      </c>
      <c r="M258" s="1311">
        <v>34600</v>
      </c>
      <c r="N258" s="1312">
        <v>1</v>
      </c>
      <c r="O258" s="1310">
        <v>6</v>
      </c>
      <c r="P258" s="1313">
        <v>36000</v>
      </c>
    </row>
    <row r="259" spans="1:16" ht="22.5" x14ac:dyDescent="0.2">
      <c r="A259" s="1302" t="s">
        <v>292</v>
      </c>
      <c r="B259" s="1303" t="s">
        <v>1141</v>
      </c>
      <c r="C259" s="1303" t="s">
        <v>98</v>
      </c>
      <c r="D259" s="1304" t="s">
        <v>2373</v>
      </c>
      <c r="E259" s="1305">
        <v>6000</v>
      </c>
      <c r="F259" s="1306" t="s">
        <v>2374</v>
      </c>
      <c r="G259" s="1307" t="s">
        <v>2375</v>
      </c>
      <c r="H259" s="1307" t="s">
        <v>1819</v>
      </c>
      <c r="I259" s="1307" t="s">
        <v>1616</v>
      </c>
      <c r="J259" s="1308" t="s">
        <v>1604</v>
      </c>
      <c r="K259" s="1309">
        <v>1</v>
      </c>
      <c r="L259" s="1310">
        <v>12</v>
      </c>
      <c r="M259" s="1311">
        <v>72300</v>
      </c>
      <c r="N259" s="1312">
        <v>1</v>
      </c>
      <c r="O259" s="1310">
        <v>6</v>
      </c>
      <c r="P259" s="1313">
        <v>35069</v>
      </c>
    </row>
    <row r="260" spans="1:16" ht="22.5" x14ac:dyDescent="0.2">
      <c r="A260" s="1302" t="s">
        <v>292</v>
      </c>
      <c r="B260" s="1303" t="s">
        <v>1141</v>
      </c>
      <c r="C260" s="1303" t="s">
        <v>98</v>
      </c>
      <c r="D260" s="1314" t="s">
        <v>2376</v>
      </c>
      <c r="E260" s="1305">
        <v>11500</v>
      </c>
      <c r="F260" s="1306" t="s">
        <v>2377</v>
      </c>
      <c r="G260" s="1307" t="s">
        <v>2378</v>
      </c>
      <c r="H260" s="1315" t="s">
        <v>1819</v>
      </c>
      <c r="I260" s="1315" t="s">
        <v>1698</v>
      </c>
      <c r="J260" s="1316" t="s">
        <v>1616</v>
      </c>
      <c r="K260" s="1309">
        <v>0</v>
      </c>
      <c r="L260" s="1310" t="s">
        <v>1633</v>
      </c>
      <c r="M260" s="1311">
        <v>0</v>
      </c>
      <c r="N260" s="1312">
        <v>1</v>
      </c>
      <c r="O260" s="1310">
        <v>6</v>
      </c>
      <c r="P260" s="1313">
        <v>70884.06</v>
      </c>
    </row>
    <row r="261" spans="1:16" x14ac:dyDescent="0.2">
      <c r="A261" s="1302" t="s">
        <v>292</v>
      </c>
      <c r="B261" s="1303" t="s">
        <v>1141</v>
      </c>
      <c r="C261" s="1303" t="s">
        <v>98</v>
      </c>
      <c r="D261" s="1304" t="s">
        <v>2379</v>
      </c>
      <c r="E261" s="1305">
        <v>8000</v>
      </c>
      <c r="F261" s="1306" t="s">
        <v>2380</v>
      </c>
      <c r="G261" s="1307" t="s">
        <v>2381</v>
      </c>
      <c r="H261" s="1307" t="s">
        <v>2382</v>
      </c>
      <c r="I261" s="1307" t="s">
        <v>1598</v>
      </c>
      <c r="J261" s="1308" t="s">
        <v>1616</v>
      </c>
      <c r="K261" s="1309">
        <v>1</v>
      </c>
      <c r="L261" s="1310">
        <v>2</v>
      </c>
      <c r="M261" s="1311">
        <v>12533.33</v>
      </c>
      <c r="N261" s="1312">
        <v>1</v>
      </c>
      <c r="O261" s="1310">
        <v>6</v>
      </c>
      <c r="P261" s="1313">
        <v>47733.33</v>
      </c>
    </row>
    <row r="262" spans="1:16" ht="22.5" x14ac:dyDescent="0.2">
      <c r="A262" s="1302" t="s">
        <v>292</v>
      </c>
      <c r="B262" s="1303" t="s">
        <v>1141</v>
      </c>
      <c r="C262" s="1303" t="s">
        <v>98</v>
      </c>
      <c r="D262" s="1304" t="s">
        <v>2383</v>
      </c>
      <c r="E262" s="1305">
        <v>8000</v>
      </c>
      <c r="F262" s="1306" t="s">
        <v>2384</v>
      </c>
      <c r="G262" s="1307" t="s">
        <v>2385</v>
      </c>
      <c r="H262" s="1307" t="s">
        <v>1686</v>
      </c>
      <c r="I262" s="1307" t="s">
        <v>1598</v>
      </c>
      <c r="J262" s="1308" t="s">
        <v>1604</v>
      </c>
      <c r="K262" s="1309">
        <v>1</v>
      </c>
      <c r="L262" s="1310">
        <v>12</v>
      </c>
      <c r="M262" s="1311">
        <v>96033.33</v>
      </c>
      <c r="N262" s="1312">
        <v>1</v>
      </c>
      <c r="O262" s="1310">
        <v>6</v>
      </c>
      <c r="P262" s="1313">
        <v>47365.56</v>
      </c>
    </row>
    <row r="263" spans="1:16" x14ac:dyDescent="0.2">
      <c r="A263" s="1302" t="s">
        <v>292</v>
      </c>
      <c r="B263" s="1303" t="s">
        <v>1141</v>
      </c>
      <c r="C263" s="1303" t="s">
        <v>98</v>
      </c>
      <c r="D263" s="1304" t="s">
        <v>2386</v>
      </c>
      <c r="E263" s="1305">
        <v>15600</v>
      </c>
      <c r="F263" s="1306" t="s">
        <v>2387</v>
      </c>
      <c r="G263" s="1307" t="s">
        <v>2388</v>
      </c>
      <c r="H263" s="1307" t="s">
        <v>1603</v>
      </c>
      <c r="I263" s="1307" t="s">
        <v>1598</v>
      </c>
      <c r="J263" s="1308" t="s">
        <v>1604</v>
      </c>
      <c r="K263" s="1309">
        <v>1</v>
      </c>
      <c r="L263" s="1310">
        <v>10</v>
      </c>
      <c r="M263" s="1311">
        <v>161500</v>
      </c>
      <c r="N263" s="1312">
        <v>0</v>
      </c>
      <c r="O263" s="1310" t="s">
        <v>1633</v>
      </c>
      <c r="P263" s="1313">
        <v>0</v>
      </c>
    </row>
    <row r="264" spans="1:16" x14ac:dyDescent="0.2">
      <c r="A264" s="1302" t="s">
        <v>292</v>
      </c>
      <c r="B264" s="1303" t="s">
        <v>1141</v>
      </c>
      <c r="C264" s="1303" t="s">
        <v>98</v>
      </c>
      <c r="D264" s="1304" t="s">
        <v>2389</v>
      </c>
      <c r="E264" s="1305">
        <v>8000</v>
      </c>
      <c r="F264" s="1306" t="s">
        <v>2390</v>
      </c>
      <c r="G264" s="1307" t="s">
        <v>2391</v>
      </c>
      <c r="H264" s="1307" t="s">
        <v>1608</v>
      </c>
      <c r="I264" s="1307" t="s">
        <v>1616</v>
      </c>
      <c r="J264" s="1308" t="s">
        <v>1604</v>
      </c>
      <c r="K264" s="1309">
        <v>1</v>
      </c>
      <c r="L264" s="1310">
        <v>12</v>
      </c>
      <c r="M264" s="1311">
        <v>86090.559999999998</v>
      </c>
      <c r="N264" s="1312">
        <v>1</v>
      </c>
      <c r="O264" s="1310">
        <v>6</v>
      </c>
      <c r="P264" s="1313">
        <v>48000</v>
      </c>
    </row>
    <row r="265" spans="1:16" x14ac:dyDescent="0.2">
      <c r="A265" s="1302" t="s">
        <v>292</v>
      </c>
      <c r="B265" s="1303" t="s">
        <v>1141</v>
      </c>
      <c r="C265" s="1303" t="s">
        <v>98</v>
      </c>
      <c r="D265" s="1304" t="s">
        <v>2009</v>
      </c>
      <c r="E265" s="1305">
        <v>15600</v>
      </c>
      <c r="F265" s="1306" t="s">
        <v>2392</v>
      </c>
      <c r="G265" s="1307" t="s">
        <v>2393</v>
      </c>
      <c r="H265" s="1307" t="s">
        <v>2394</v>
      </c>
      <c r="I265" s="1307" t="s">
        <v>1598</v>
      </c>
      <c r="J265" s="1308" t="s">
        <v>1604</v>
      </c>
      <c r="K265" s="1309">
        <v>1</v>
      </c>
      <c r="L265" s="1310">
        <v>3</v>
      </c>
      <c r="M265" s="1311">
        <v>40560</v>
      </c>
      <c r="N265" s="1312">
        <v>0</v>
      </c>
      <c r="O265" s="1310" t="s">
        <v>1633</v>
      </c>
      <c r="P265" s="1313">
        <v>0</v>
      </c>
    </row>
    <row r="266" spans="1:16" ht="22.5" x14ac:dyDescent="0.2">
      <c r="A266" s="1302" t="s">
        <v>292</v>
      </c>
      <c r="B266" s="1303" t="s">
        <v>1141</v>
      </c>
      <c r="C266" s="1303" t="s">
        <v>98</v>
      </c>
      <c r="D266" s="1314" t="s">
        <v>2395</v>
      </c>
      <c r="E266" s="1305">
        <v>12000</v>
      </c>
      <c r="F266" s="1306" t="s">
        <v>2396</v>
      </c>
      <c r="G266" s="1307" t="s">
        <v>2397</v>
      </c>
      <c r="H266" s="1315" t="s">
        <v>2180</v>
      </c>
      <c r="I266" s="1315" t="s">
        <v>1598</v>
      </c>
      <c r="J266" s="1316" t="s">
        <v>1616</v>
      </c>
      <c r="K266" s="1309">
        <v>0</v>
      </c>
      <c r="L266" s="1310" t="s">
        <v>1633</v>
      </c>
      <c r="M266" s="1311">
        <v>0</v>
      </c>
      <c r="N266" s="1312">
        <v>1</v>
      </c>
      <c r="O266" s="1310">
        <v>5</v>
      </c>
      <c r="P266" s="1313">
        <v>60000</v>
      </c>
    </row>
    <row r="267" spans="1:16" x14ac:dyDescent="0.2">
      <c r="A267" s="1302" t="s">
        <v>292</v>
      </c>
      <c r="B267" s="1303" t="s">
        <v>1141</v>
      </c>
      <c r="C267" s="1303" t="s">
        <v>98</v>
      </c>
      <c r="D267" s="1304" t="s">
        <v>2398</v>
      </c>
      <c r="E267" s="1305">
        <v>10500</v>
      </c>
      <c r="F267" s="1306" t="s">
        <v>2399</v>
      </c>
      <c r="G267" s="1307" t="s">
        <v>2400</v>
      </c>
      <c r="H267" s="1307" t="s">
        <v>2281</v>
      </c>
      <c r="I267" s="1307" t="s">
        <v>1598</v>
      </c>
      <c r="J267" s="1308" t="s">
        <v>1604</v>
      </c>
      <c r="K267" s="1309">
        <v>1</v>
      </c>
      <c r="L267" s="1310">
        <v>10</v>
      </c>
      <c r="M267" s="1311">
        <v>109500</v>
      </c>
      <c r="N267" s="1312">
        <v>1</v>
      </c>
      <c r="O267" s="1310">
        <v>6</v>
      </c>
      <c r="P267" s="1313">
        <v>62556.25</v>
      </c>
    </row>
    <row r="268" spans="1:16" x14ac:dyDescent="0.2">
      <c r="A268" s="1302" t="s">
        <v>292</v>
      </c>
      <c r="B268" s="1303" t="s">
        <v>1141</v>
      </c>
      <c r="C268" s="1303" t="s">
        <v>98</v>
      </c>
      <c r="D268" s="1304" t="s">
        <v>2401</v>
      </c>
      <c r="E268" s="1305">
        <v>15000</v>
      </c>
      <c r="F268" s="1306" t="s">
        <v>2402</v>
      </c>
      <c r="G268" s="1307" t="s">
        <v>2403</v>
      </c>
      <c r="H268" s="1307" t="s">
        <v>1603</v>
      </c>
      <c r="I268" s="1307" t="s">
        <v>1598</v>
      </c>
      <c r="J268" s="1308" t="s">
        <v>1604</v>
      </c>
      <c r="K268" s="1309">
        <v>1</v>
      </c>
      <c r="L268" s="1310">
        <v>3</v>
      </c>
      <c r="M268" s="1311">
        <v>37000</v>
      </c>
      <c r="N268" s="1312">
        <v>0</v>
      </c>
      <c r="O268" s="1310" t="s">
        <v>1633</v>
      </c>
      <c r="P268" s="1313">
        <v>0</v>
      </c>
    </row>
    <row r="269" spans="1:16" x14ac:dyDescent="0.2">
      <c r="A269" s="1302" t="s">
        <v>292</v>
      </c>
      <c r="B269" s="1303" t="s">
        <v>1141</v>
      </c>
      <c r="C269" s="1303" t="s">
        <v>98</v>
      </c>
      <c r="D269" s="1304" t="s">
        <v>2296</v>
      </c>
      <c r="E269" s="1305">
        <v>6000</v>
      </c>
      <c r="F269" s="1306" t="s">
        <v>2404</v>
      </c>
      <c r="G269" s="1307" t="s">
        <v>2405</v>
      </c>
      <c r="H269" s="1307" t="s">
        <v>1664</v>
      </c>
      <c r="I269" s="1307" t="s">
        <v>1616</v>
      </c>
      <c r="J269" s="1308" t="s">
        <v>1616</v>
      </c>
      <c r="K269" s="1309">
        <v>1</v>
      </c>
      <c r="L269" s="1310">
        <v>2</v>
      </c>
      <c r="M269" s="1311">
        <v>14000</v>
      </c>
      <c r="N269" s="1312">
        <v>1</v>
      </c>
      <c r="O269" s="1310">
        <v>6</v>
      </c>
      <c r="P269" s="1313">
        <v>36000</v>
      </c>
    </row>
    <row r="270" spans="1:16" x14ac:dyDescent="0.2">
      <c r="A270" s="1302" t="s">
        <v>292</v>
      </c>
      <c r="B270" s="1303" t="s">
        <v>1141</v>
      </c>
      <c r="C270" s="1303" t="s">
        <v>98</v>
      </c>
      <c r="D270" s="1304" t="s">
        <v>2406</v>
      </c>
      <c r="E270" s="1305">
        <v>7000</v>
      </c>
      <c r="F270" s="1306" t="s">
        <v>2407</v>
      </c>
      <c r="G270" s="1307" t="s">
        <v>2408</v>
      </c>
      <c r="H270" s="1307" t="s">
        <v>1672</v>
      </c>
      <c r="I270" s="1307" t="s">
        <v>1616</v>
      </c>
      <c r="J270" s="1308" t="s">
        <v>1604</v>
      </c>
      <c r="K270" s="1309">
        <v>1</v>
      </c>
      <c r="L270" s="1310">
        <v>2</v>
      </c>
      <c r="M270" s="1311">
        <v>10966.67</v>
      </c>
      <c r="N270" s="1312">
        <v>1</v>
      </c>
      <c r="O270" s="1310">
        <v>6</v>
      </c>
      <c r="P270" s="1313">
        <v>42000</v>
      </c>
    </row>
    <row r="271" spans="1:16" x14ac:dyDescent="0.2">
      <c r="A271" s="1302" t="s">
        <v>292</v>
      </c>
      <c r="B271" s="1303" t="s">
        <v>1141</v>
      </c>
      <c r="C271" s="1303" t="s">
        <v>98</v>
      </c>
      <c r="D271" s="1304" t="s">
        <v>2409</v>
      </c>
      <c r="E271" s="1305">
        <v>15600</v>
      </c>
      <c r="F271" s="1306" t="s">
        <v>2410</v>
      </c>
      <c r="G271" s="1307" t="s">
        <v>2411</v>
      </c>
      <c r="H271" s="1307" t="s">
        <v>2412</v>
      </c>
      <c r="I271" s="1307" t="s">
        <v>1616</v>
      </c>
      <c r="J271" s="1308" t="s">
        <v>2413</v>
      </c>
      <c r="K271" s="1309">
        <v>1</v>
      </c>
      <c r="L271" s="1310">
        <v>1</v>
      </c>
      <c r="M271" s="1311">
        <v>8840</v>
      </c>
      <c r="N271" s="1312">
        <v>1</v>
      </c>
      <c r="O271" s="1310">
        <v>3</v>
      </c>
      <c r="P271" s="1313">
        <v>32822.400000000001</v>
      </c>
    </row>
    <row r="272" spans="1:16" x14ac:dyDescent="0.2">
      <c r="A272" s="1302" t="s">
        <v>292</v>
      </c>
      <c r="B272" s="1303" t="s">
        <v>1141</v>
      </c>
      <c r="C272" s="1303" t="s">
        <v>98</v>
      </c>
      <c r="D272" s="1304" t="s">
        <v>2414</v>
      </c>
      <c r="E272" s="1305">
        <v>12000</v>
      </c>
      <c r="F272" s="1306" t="s">
        <v>2415</v>
      </c>
      <c r="G272" s="1307" t="s">
        <v>2416</v>
      </c>
      <c r="H272" s="1307" t="s">
        <v>1603</v>
      </c>
      <c r="I272" s="1307" t="s">
        <v>1598</v>
      </c>
      <c r="J272" s="1308" t="s">
        <v>1604</v>
      </c>
      <c r="K272" s="1309">
        <v>1</v>
      </c>
      <c r="L272" s="1310">
        <v>3</v>
      </c>
      <c r="M272" s="1311">
        <v>36000</v>
      </c>
      <c r="N272" s="1312">
        <v>0</v>
      </c>
      <c r="O272" s="1310" t="s">
        <v>1633</v>
      </c>
      <c r="P272" s="1313">
        <v>0</v>
      </c>
    </row>
    <row r="273" spans="1:16" x14ac:dyDescent="0.2">
      <c r="A273" s="1302" t="s">
        <v>292</v>
      </c>
      <c r="B273" s="1303" t="s">
        <v>1141</v>
      </c>
      <c r="C273" s="1303" t="s">
        <v>98</v>
      </c>
      <c r="D273" s="1304" t="s">
        <v>2261</v>
      </c>
      <c r="E273" s="1305">
        <v>7500</v>
      </c>
      <c r="F273" s="1306" t="s">
        <v>2417</v>
      </c>
      <c r="G273" s="1307" t="s">
        <v>2418</v>
      </c>
      <c r="H273" s="1307" t="s">
        <v>1608</v>
      </c>
      <c r="I273" s="1307" t="s">
        <v>1598</v>
      </c>
      <c r="J273" s="1308" t="s">
        <v>1604</v>
      </c>
      <c r="K273" s="1309">
        <v>1</v>
      </c>
      <c r="L273" s="1310">
        <v>12</v>
      </c>
      <c r="M273" s="1311">
        <v>90300</v>
      </c>
      <c r="N273" s="1312">
        <v>1</v>
      </c>
      <c r="O273" s="1310">
        <v>6</v>
      </c>
      <c r="P273" s="1313">
        <v>45000</v>
      </c>
    </row>
    <row r="274" spans="1:16" ht="22.5" x14ac:dyDescent="0.2">
      <c r="A274" s="1302" t="s">
        <v>292</v>
      </c>
      <c r="B274" s="1303" t="s">
        <v>1141</v>
      </c>
      <c r="C274" s="1303" t="s">
        <v>98</v>
      </c>
      <c r="D274" s="1304" t="s">
        <v>2419</v>
      </c>
      <c r="E274" s="1305">
        <v>6500</v>
      </c>
      <c r="F274" s="1306" t="s">
        <v>2420</v>
      </c>
      <c r="G274" s="1307" t="s">
        <v>2421</v>
      </c>
      <c r="H274" s="1307" t="s">
        <v>1694</v>
      </c>
      <c r="I274" s="1307" t="s">
        <v>1698</v>
      </c>
      <c r="J274" s="1308" t="s">
        <v>1771</v>
      </c>
      <c r="K274" s="1309">
        <v>1</v>
      </c>
      <c r="L274" s="1310">
        <v>12</v>
      </c>
      <c r="M274" s="1311">
        <v>74142</v>
      </c>
      <c r="N274" s="1312">
        <v>1</v>
      </c>
      <c r="O274" s="1310">
        <v>6</v>
      </c>
      <c r="P274" s="1313">
        <v>39000</v>
      </c>
    </row>
    <row r="275" spans="1:16" ht="22.5" x14ac:dyDescent="0.2">
      <c r="A275" s="1302" t="s">
        <v>292</v>
      </c>
      <c r="B275" s="1303" t="s">
        <v>1141</v>
      </c>
      <c r="C275" s="1303" t="s">
        <v>98</v>
      </c>
      <c r="D275" s="1304" t="s">
        <v>2422</v>
      </c>
      <c r="E275" s="1305">
        <v>12000</v>
      </c>
      <c r="F275" s="1306" t="s">
        <v>2423</v>
      </c>
      <c r="G275" s="1307" t="s">
        <v>2424</v>
      </c>
      <c r="H275" s="1307" t="s">
        <v>1603</v>
      </c>
      <c r="I275" s="1307" t="s">
        <v>1616</v>
      </c>
      <c r="J275" s="1308" t="s">
        <v>1604</v>
      </c>
      <c r="K275" s="1309">
        <v>1</v>
      </c>
      <c r="L275" s="1310">
        <v>12</v>
      </c>
      <c r="M275" s="1311">
        <v>138200</v>
      </c>
      <c r="N275" s="1312">
        <v>1</v>
      </c>
      <c r="O275" s="1310">
        <v>6</v>
      </c>
      <c r="P275" s="1313">
        <v>72000</v>
      </c>
    </row>
    <row r="276" spans="1:16" ht="22.5" x14ac:dyDescent="0.2">
      <c r="A276" s="1302" t="s">
        <v>292</v>
      </c>
      <c r="B276" s="1303" t="s">
        <v>1141</v>
      </c>
      <c r="C276" s="1303" t="s">
        <v>98</v>
      </c>
      <c r="D276" s="1304" t="s">
        <v>2425</v>
      </c>
      <c r="E276" s="1305">
        <v>8000</v>
      </c>
      <c r="F276" s="1306" t="s">
        <v>2426</v>
      </c>
      <c r="G276" s="1307" t="s">
        <v>2427</v>
      </c>
      <c r="H276" s="1307" t="s">
        <v>1686</v>
      </c>
      <c r="I276" s="1307" t="s">
        <v>1616</v>
      </c>
      <c r="J276" s="1308" t="s">
        <v>1604</v>
      </c>
      <c r="K276" s="1309">
        <v>1</v>
      </c>
      <c r="L276" s="1310">
        <v>12</v>
      </c>
      <c r="M276" s="1311">
        <v>96300</v>
      </c>
      <c r="N276" s="1312">
        <v>1</v>
      </c>
      <c r="O276" s="1310">
        <v>6</v>
      </c>
      <c r="P276" s="1313">
        <v>48000</v>
      </c>
    </row>
    <row r="277" spans="1:16" x14ac:dyDescent="0.2">
      <c r="A277" s="1302" t="s">
        <v>292</v>
      </c>
      <c r="B277" s="1303" t="s">
        <v>1141</v>
      </c>
      <c r="C277" s="1303" t="s">
        <v>98</v>
      </c>
      <c r="D277" s="1304" t="s">
        <v>1945</v>
      </c>
      <c r="E277" s="1305">
        <v>15600</v>
      </c>
      <c r="F277" s="1306" t="s">
        <v>2428</v>
      </c>
      <c r="G277" s="1307" t="s">
        <v>2429</v>
      </c>
      <c r="H277" s="1307" t="s">
        <v>1709</v>
      </c>
      <c r="I277" s="1307" t="s">
        <v>1598</v>
      </c>
      <c r="J277" s="1308" t="s">
        <v>1604</v>
      </c>
      <c r="K277" s="1309">
        <v>1</v>
      </c>
      <c r="L277" s="1310">
        <v>2</v>
      </c>
      <c r="M277" s="1311">
        <v>18200</v>
      </c>
      <c r="N277" s="1312">
        <v>0</v>
      </c>
      <c r="O277" s="1310" t="s">
        <v>1633</v>
      </c>
      <c r="P277" s="1313">
        <v>0</v>
      </c>
    </row>
    <row r="278" spans="1:16" ht="22.5" x14ac:dyDescent="0.2">
      <c r="A278" s="1302" t="s">
        <v>292</v>
      </c>
      <c r="B278" s="1303" t="s">
        <v>1141</v>
      </c>
      <c r="C278" s="1303" t="s">
        <v>98</v>
      </c>
      <c r="D278" s="1304" t="s">
        <v>2430</v>
      </c>
      <c r="E278" s="1305">
        <v>10000</v>
      </c>
      <c r="F278" s="1306" t="s">
        <v>2431</v>
      </c>
      <c r="G278" s="1307" t="s">
        <v>2432</v>
      </c>
      <c r="H278" s="1307" t="s">
        <v>2394</v>
      </c>
      <c r="I278" s="1307" t="s">
        <v>1598</v>
      </c>
      <c r="J278" s="1308" t="s">
        <v>1604</v>
      </c>
      <c r="K278" s="1309">
        <v>1</v>
      </c>
      <c r="L278" s="1310">
        <v>12</v>
      </c>
      <c r="M278" s="1311">
        <v>106508.88</v>
      </c>
      <c r="N278" s="1312">
        <v>1</v>
      </c>
      <c r="O278" s="1310">
        <v>6</v>
      </c>
      <c r="P278" s="1313">
        <v>59666.67</v>
      </c>
    </row>
    <row r="279" spans="1:16" ht="22.5" x14ac:dyDescent="0.2">
      <c r="A279" s="1302" t="s">
        <v>292</v>
      </c>
      <c r="B279" s="1303" t="s">
        <v>1141</v>
      </c>
      <c r="C279" s="1303" t="s">
        <v>98</v>
      </c>
      <c r="D279" s="1304" t="s">
        <v>2433</v>
      </c>
      <c r="E279" s="1305">
        <v>6000</v>
      </c>
      <c r="F279" s="1306" t="s">
        <v>2434</v>
      </c>
      <c r="G279" s="1307" t="s">
        <v>2435</v>
      </c>
      <c r="H279" s="1307" t="s">
        <v>2436</v>
      </c>
      <c r="I279" s="1307" t="s">
        <v>1598</v>
      </c>
      <c r="J279" s="1308" t="s">
        <v>1604</v>
      </c>
      <c r="K279" s="1309">
        <v>1</v>
      </c>
      <c r="L279" s="1310">
        <v>5</v>
      </c>
      <c r="M279" s="1311">
        <v>30000</v>
      </c>
      <c r="N279" s="1312">
        <v>0</v>
      </c>
      <c r="O279" s="1310" t="s">
        <v>1633</v>
      </c>
      <c r="P279" s="1313">
        <v>0</v>
      </c>
    </row>
    <row r="280" spans="1:16" x14ac:dyDescent="0.2">
      <c r="A280" s="1302" t="s">
        <v>292</v>
      </c>
      <c r="B280" s="1303" t="s">
        <v>1141</v>
      </c>
      <c r="C280" s="1303" t="s">
        <v>98</v>
      </c>
      <c r="D280" s="1304" t="s">
        <v>2437</v>
      </c>
      <c r="E280" s="1305">
        <v>14500</v>
      </c>
      <c r="F280" s="1306" t="s">
        <v>2438</v>
      </c>
      <c r="G280" s="1307" t="s">
        <v>2439</v>
      </c>
      <c r="H280" s="1307" t="s">
        <v>2440</v>
      </c>
      <c r="I280" s="1307" t="s">
        <v>1598</v>
      </c>
      <c r="J280" s="1308" t="s">
        <v>1604</v>
      </c>
      <c r="K280" s="1309">
        <v>1</v>
      </c>
      <c r="L280" s="1310">
        <v>12</v>
      </c>
      <c r="M280" s="1311">
        <v>153696.10999999999</v>
      </c>
      <c r="N280" s="1312">
        <v>1</v>
      </c>
      <c r="O280" s="1310">
        <v>6</v>
      </c>
      <c r="P280" s="1313">
        <v>87000</v>
      </c>
    </row>
    <row r="281" spans="1:16" ht="22.5" x14ac:dyDescent="0.2">
      <c r="A281" s="1302" t="s">
        <v>292</v>
      </c>
      <c r="B281" s="1303" t="s">
        <v>1141</v>
      </c>
      <c r="C281" s="1303" t="s">
        <v>98</v>
      </c>
      <c r="D281" s="1304" t="s">
        <v>2069</v>
      </c>
      <c r="E281" s="1305">
        <v>7000</v>
      </c>
      <c r="F281" s="1306" t="s">
        <v>2441</v>
      </c>
      <c r="G281" s="1307" t="s">
        <v>2442</v>
      </c>
      <c r="H281" s="1307" t="s">
        <v>1702</v>
      </c>
      <c r="I281" s="1307" t="s">
        <v>1598</v>
      </c>
      <c r="J281" s="1308" t="s">
        <v>1604</v>
      </c>
      <c r="K281" s="1309">
        <v>1</v>
      </c>
      <c r="L281" s="1310">
        <v>12</v>
      </c>
      <c r="M281" s="1311">
        <v>84300</v>
      </c>
      <c r="N281" s="1312">
        <v>1</v>
      </c>
      <c r="O281" s="1310">
        <v>6</v>
      </c>
      <c r="P281" s="1313">
        <v>42000</v>
      </c>
    </row>
    <row r="282" spans="1:16" x14ac:dyDescent="0.2">
      <c r="A282" s="1302" t="s">
        <v>292</v>
      </c>
      <c r="B282" s="1303" t="s">
        <v>1141</v>
      </c>
      <c r="C282" s="1303" t="s">
        <v>98</v>
      </c>
      <c r="D282" s="1304" t="s">
        <v>2443</v>
      </c>
      <c r="E282" s="1305">
        <v>4500</v>
      </c>
      <c r="F282" s="1306" t="s">
        <v>2444</v>
      </c>
      <c r="G282" s="1307" t="s">
        <v>2445</v>
      </c>
      <c r="H282" s="1307" t="s">
        <v>2446</v>
      </c>
      <c r="I282" s="1307" t="s">
        <v>1598</v>
      </c>
      <c r="J282" s="1308" t="s">
        <v>1604</v>
      </c>
      <c r="K282" s="1309">
        <v>1</v>
      </c>
      <c r="L282" s="1310">
        <v>1</v>
      </c>
      <c r="M282" s="1311">
        <v>4500</v>
      </c>
      <c r="N282" s="1312">
        <v>0</v>
      </c>
      <c r="O282" s="1310" t="s">
        <v>1633</v>
      </c>
      <c r="P282" s="1313">
        <v>0</v>
      </c>
    </row>
    <row r="283" spans="1:16" x14ac:dyDescent="0.2">
      <c r="A283" s="1302" t="s">
        <v>292</v>
      </c>
      <c r="B283" s="1303" t="s">
        <v>1141</v>
      </c>
      <c r="C283" s="1303" t="s">
        <v>98</v>
      </c>
      <c r="D283" s="1304" t="s">
        <v>2447</v>
      </c>
      <c r="E283" s="1305">
        <v>7000</v>
      </c>
      <c r="F283" s="1306" t="s">
        <v>2448</v>
      </c>
      <c r="G283" s="1307" t="s">
        <v>2449</v>
      </c>
      <c r="H283" s="1307" t="s">
        <v>1992</v>
      </c>
      <c r="I283" s="1307" t="s">
        <v>1598</v>
      </c>
      <c r="J283" s="1308" t="s">
        <v>1604</v>
      </c>
      <c r="K283" s="1309">
        <v>1</v>
      </c>
      <c r="L283" s="1310">
        <v>12</v>
      </c>
      <c r="M283" s="1311">
        <v>84300</v>
      </c>
      <c r="N283" s="1312">
        <v>1</v>
      </c>
      <c r="O283" s="1310">
        <v>6</v>
      </c>
      <c r="P283" s="1313">
        <v>42000</v>
      </c>
    </row>
    <row r="284" spans="1:16" x14ac:dyDescent="0.2">
      <c r="A284" s="1302" t="s">
        <v>292</v>
      </c>
      <c r="B284" s="1303" t="s">
        <v>1141</v>
      </c>
      <c r="C284" s="1303" t="s">
        <v>98</v>
      </c>
      <c r="D284" s="1304" t="s">
        <v>2450</v>
      </c>
      <c r="E284" s="1305">
        <v>4500</v>
      </c>
      <c r="F284" s="1306" t="s">
        <v>2451</v>
      </c>
      <c r="G284" s="1307" t="s">
        <v>2452</v>
      </c>
      <c r="H284" s="1307" t="s">
        <v>2453</v>
      </c>
      <c r="I284" s="1307" t="s">
        <v>1621</v>
      </c>
      <c r="J284" s="1308" t="s">
        <v>1604</v>
      </c>
      <c r="K284" s="1309">
        <v>1</v>
      </c>
      <c r="L284" s="1310">
        <v>12</v>
      </c>
      <c r="M284" s="1311">
        <v>54081.32</v>
      </c>
      <c r="N284" s="1312">
        <v>1</v>
      </c>
      <c r="O284" s="1310">
        <v>6</v>
      </c>
      <c r="P284" s="1313">
        <v>26850</v>
      </c>
    </row>
    <row r="285" spans="1:16" ht="22.5" x14ac:dyDescent="0.2">
      <c r="A285" s="1302" t="s">
        <v>292</v>
      </c>
      <c r="B285" s="1303" t="s">
        <v>1141</v>
      </c>
      <c r="C285" s="1303" t="s">
        <v>98</v>
      </c>
      <c r="D285" s="1304" t="s">
        <v>2454</v>
      </c>
      <c r="E285" s="1305">
        <v>9000</v>
      </c>
      <c r="F285" s="1306" t="s">
        <v>2455</v>
      </c>
      <c r="G285" s="1307" t="s">
        <v>2456</v>
      </c>
      <c r="H285" s="1307" t="s">
        <v>1603</v>
      </c>
      <c r="I285" s="1307" t="s">
        <v>1598</v>
      </c>
      <c r="J285" s="1308" t="s">
        <v>1604</v>
      </c>
      <c r="K285" s="1309">
        <v>1</v>
      </c>
      <c r="L285" s="1310">
        <v>6</v>
      </c>
      <c r="M285" s="1311">
        <v>51900</v>
      </c>
      <c r="N285" s="1312">
        <v>1</v>
      </c>
      <c r="O285" s="1310">
        <v>6</v>
      </c>
      <c r="P285" s="1313">
        <v>53821.87</v>
      </c>
    </row>
    <row r="286" spans="1:16" ht="22.5" x14ac:dyDescent="0.2">
      <c r="A286" s="1302" t="s">
        <v>292</v>
      </c>
      <c r="B286" s="1303" t="s">
        <v>1141</v>
      </c>
      <c r="C286" s="1303" t="s">
        <v>98</v>
      </c>
      <c r="D286" s="1304" t="s">
        <v>2258</v>
      </c>
      <c r="E286" s="1305">
        <v>8000</v>
      </c>
      <c r="F286" s="1306" t="s">
        <v>2457</v>
      </c>
      <c r="G286" s="1307" t="s">
        <v>2458</v>
      </c>
      <c r="H286" s="1307" t="s">
        <v>1682</v>
      </c>
      <c r="I286" s="1307" t="s">
        <v>1598</v>
      </c>
      <c r="J286" s="1308" t="s">
        <v>1616</v>
      </c>
      <c r="K286" s="1309">
        <v>1</v>
      </c>
      <c r="L286" s="1310">
        <v>6</v>
      </c>
      <c r="M286" s="1311">
        <v>46133.33</v>
      </c>
      <c r="N286" s="1312">
        <v>1</v>
      </c>
      <c r="O286" s="1310">
        <v>6</v>
      </c>
      <c r="P286" s="1313">
        <v>48000</v>
      </c>
    </row>
    <row r="287" spans="1:16" x14ac:dyDescent="0.2">
      <c r="A287" s="1302" t="s">
        <v>292</v>
      </c>
      <c r="B287" s="1303" t="s">
        <v>1141</v>
      </c>
      <c r="C287" s="1303" t="s">
        <v>98</v>
      </c>
      <c r="D287" s="1314" t="s">
        <v>2016</v>
      </c>
      <c r="E287" s="1305">
        <v>7000</v>
      </c>
      <c r="F287" s="1306" t="s">
        <v>2459</v>
      </c>
      <c r="G287" s="1307" t="s">
        <v>2460</v>
      </c>
      <c r="H287" s="1315" t="s">
        <v>1603</v>
      </c>
      <c r="I287" s="1315" t="s">
        <v>1598</v>
      </c>
      <c r="J287" s="1316" t="s">
        <v>1616</v>
      </c>
      <c r="K287" s="1309">
        <v>0</v>
      </c>
      <c r="L287" s="1310" t="s">
        <v>1633</v>
      </c>
      <c r="M287" s="1311">
        <v>0</v>
      </c>
      <c r="N287" s="1312">
        <v>1</v>
      </c>
      <c r="O287" s="1310">
        <v>6</v>
      </c>
      <c r="P287" s="1313">
        <v>43166.67</v>
      </c>
    </row>
    <row r="288" spans="1:16" ht="22.5" x14ac:dyDescent="0.2">
      <c r="A288" s="1302" t="s">
        <v>292</v>
      </c>
      <c r="B288" s="1303" t="s">
        <v>1141</v>
      </c>
      <c r="C288" s="1303" t="s">
        <v>98</v>
      </c>
      <c r="D288" s="1304" t="s">
        <v>2461</v>
      </c>
      <c r="E288" s="1305">
        <v>8000</v>
      </c>
      <c r="F288" s="1306" t="s">
        <v>2462</v>
      </c>
      <c r="G288" s="1307" t="s">
        <v>2463</v>
      </c>
      <c r="H288" s="1307" t="s">
        <v>1608</v>
      </c>
      <c r="I288" s="1307" t="s">
        <v>1598</v>
      </c>
      <c r="J288" s="1308" t="s">
        <v>1616</v>
      </c>
      <c r="K288" s="1309">
        <v>1</v>
      </c>
      <c r="L288" s="1310">
        <v>4</v>
      </c>
      <c r="M288" s="1311">
        <v>30817.769999999997</v>
      </c>
      <c r="N288" s="1312">
        <v>1</v>
      </c>
      <c r="O288" s="1310">
        <v>6</v>
      </c>
      <c r="P288" s="1313">
        <v>46471.11</v>
      </c>
    </row>
    <row r="289" spans="1:16" x14ac:dyDescent="0.2">
      <c r="A289" s="1302" t="s">
        <v>292</v>
      </c>
      <c r="B289" s="1303" t="s">
        <v>1141</v>
      </c>
      <c r="C289" s="1303" t="s">
        <v>98</v>
      </c>
      <c r="D289" s="1304" t="s">
        <v>2464</v>
      </c>
      <c r="E289" s="1305">
        <v>8000</v>
      </c>
      <c r="F289" s="1306" t="s">
        <v>2465</v>
      </c>
      <c r="G289" s="1307" t="s">
        <v>2466</v>
      </c>
      <c r="H289" s="1307" t="s">
        <v>1819</v>
      </c>
      <c r="I289" s="1307" t="s">
        <v>1598</v>
      </c>
      <c r="J289" s="1308" t="s">
        <v>1604</v>
      </c>
      <c r="K289" s="1309">
        <v>1</v>
      </c>
      <c r="L289" s="1310">
        <v>6</v>
      </c>
      <c r="M289" s="1311">
        <v>45616.1</v>
      </c>
      <c r="N289" s="1312">
        <v>1</v>
      </c>
      <c r="O289" s="1310">
        <v>1</v>
      </c>
      <c r="P289" s="1313">
        <v>8000</v>
      </c>
    </row>
    <row r="290" spans="1:16" x14ac:dyDescent="0.2">
      <c r="A290" s="1302" t="s">
        <v>292</v>
      </c>
      <c r="B290" s="1303" t="s">
        <v>1141</v>
      </c>
      <c r="C290" s="1303" t="s">
        <v>98</v>
      </c>
      <c r="D290" s="1304" t="s">
        <v>1781</v>
      </c>
      <c r="E290" s="1305">
        <v>5000</v>
      </c>
      <c r="F290" s="1306" t="s">
        <v>2467</v>
      </c>
      <c r="G290" s="1307" t="s">
        <v>2468</v>
      </c>
      <c r="H290" s="1307" t="s">
        <v>1812</v>
      </c>
      <c r="I290" s="1307" t="s">
        <v>1598</v>
      </c>
      <c r="J290" s="1308" t="s">
        <v>1599</v>
      </c>
      <c r="K290" s="1309">
        <v>1</v>
      </c>
      <c r="L290" s="1310">
        <v>12</v>
      </c>
      <c r="M290" s="1311">
        <v>60300</v>
      </c>
      <c r="N290" s="1312">
        <v>1</v>
      </c>
      <c r="O290" s="1310">
        <v>6</v>
      </c>
      <c r="P290" s="1313">
        <v>30000</v>
      </c>
    </row>
    <row r="291" spans="1:16" x14ac:dyDescent="0.2">
      <c r="A291" s="1302" t="s">
        <v>292</v>
      </c>
      <c r="B291" s="1303" t="s">
        <v>1141</v>
      </c>
      <c r="C291" s="1303" t="s">
        <v>98</v>
      </c>
      <c r="D291" s="1304" t="s">
        <v>1784</v>
      </c>
      <c r="E291" s="1305">
        <v>8000</v>
      </c>
      <c r="F291" s="1306" t="s">
        <v>2469</v>
      </c>
      <c r="G291" s="1307" t="s">
        <v>2470</v>
      </c>
      <c r="H291" s="1307" t="s">
        <v>1603</v>
      </c>
      <c r="I291" s="1307" t="s">
        <v>1598</v>
      </c>
      <c r="J291" s="1308" t="s">
        <v>1604</v>
      </c>
      <c r="K291" s="1309">
        <v>1</v>
      </c>
      <c r="L291" s="1310">
        <v>4</v>
      </c>
      <c r="M291" s="1311">
        <v>30933.33</v>
      </c>
      <c r="N291" s="1312">
        <v>1</v>
      </c>
      <c r="O291" s="1310">
        <v>1</v>
      </c>
      <c r="P291" s="1313">
        <v>8000</v>
      </c>
    </row>
    <row r="292" spans="1:16" x14ac:dyDescent="0.2">
      <c r="A292" s="1302" t="s">
        <v>292</v>
      </c>
      <c r="B292" s="1303" t="s">
        <v>1141</v>
      </c>
      <c r="C292" s="1303" t="s">
        <v>98</v>
      </c>
      <c r="D292" s="1304" t="s">
        <v>2198</v>
      </c>
      <c r="E292" s="1305">
        <v>9000</v>
      </c>
      <c r="F292" s="1306" t="s">
        <v>2471</v>
      </c>
      <c r="G292" s="1307" t="s">
        <v>2472</v>
      </c>
      <c r="H292" s="1307" t="s">
        <v>1603</v>
      </c>
      <c r="I292" s="1307" t="s">
        <v>1621</v>
      </c>
      <c r="J292" s="1308" t="s">
        <v>1604</v>
      </c>
      <c r="K292" s="1309">
        <v>1</v>
      </c>
      <c r="L292" s="1310">
        <v>4</v>
      </c>
      <c r="M292" s="1311">
        <v>34612.5</v>
      </c>
      <c r="N292" s="1312">
        <v>1</v>
      </c>
      <c r="O292" s="1310">
        <v>6</v>
      </c>
      <c r="P292" s="1313">
        <v>54000</v>
      </c>
    </row>
    <row r="293" spans="1:16" ht="22.5" x14ac:dyDescent="0.2">
      <c r="A293" s="1302" t="s">
        <v>292</v>
      </c>
      <c r="B293" s="1303" t="s">
        <v>1141</v>
      </c>
      <c r="C293" s="1303" t="s">
        <v>98</v>
      </c>
      <c r="D293" s="1304" t="s">
        <v>2473</v>
      </c>
      <c r="E293" s="1305">
        <v>6000</v>
      </c>
      <c r="F293" s="1306" t="s">
        <v>2474</v>
      </c>
      <c r="G293" s="1307" t="s">
        <v>2475</v>
      </c>
      <c r="H293" s="1307" t="s">
        <v>1732</v>
      </c>
      <c r="I293" s="1307" t="s">
        <v>1598</v>
      </c>
      <c r="J293" s="1308" t="s">
        <v>1616</v>
      </c>
      <c r="K293" s="1309">
        <v>1</v>
      </c>
      <c r="L293" s="1310">
        <v>6</v>
      </c>
      <c r="M293" s="1311">
        <v>34600</v>
      </c>
      <c r="N293" s="1312">
        <v>1</v>
      </c>
      <c r="O293" s="1310">
        <v>6</v>
      </c>
      <c r="P293" s="1313">
        <v>36000</v>
      </c>
    </row>
    <row r="294" spans="1:16" ht="22.5" x14ac:dyDescent="0.2">
      <c r="A294" s="1302" t="s">
        <v>292</v>
      </c>
      <c r="B294" s="1303" t="s">
        <v>1141</v>
      </c>
      <c r="C294" s="1303" t="s">
        <v>98</v>
      </c>
      <c r="D294" s="1304" t="s">
        <v>2476</v>
      </c>
      <c r="E294" s="1305">
        <v>9500</v>
      </c>
      <c r="F294" s="1306" t="s">
        <v>2477</v>
      </c>
      <c r="G294" s="1307" t="s">
        <v>2478</v>
      </c>
      <c r="H294" s="1307" t="s">
        <v>1632</v>
      </c>
      <c r="I294" s="1307" t="s">
        <v>1598</v>
      </c>
      <c r="J294" s="1308" t="s">
        <v>1604</v>
      </c>
      <c r="K294" s="1309">
        <v>1</v>
      </c>
      <c r="L294" s="1310">
        <v>12</v>
      </c>
      <c r="M294" s="1311">
        <v>114300</v>
      </c>
      <c r="N294" s="1312">
        <v>1</v>
      </c>
      <c r="O294" s="1310">
        <v>5</v>
      </c>
      <c r="P294" s="1313">
        <v>47500</v>
      </c>
    </row>
    <row r="295" spans="1:16" ht="22.5" x14ac:dyDescent="0.2">
      <c r="A295" s="1302" t="s">
        <v>292</v>
      </c>
      <c r="B295" s="1303" t="s">
        <v>1141</v>
      </c>
      <c r="C295" s="1303" t="s">
        <v>98</v>
      </c>
      <c r="D295" s="1304" t="s">
        <v>2479</v>
      </c>
      <c r="E295" s="1305">
        <v>10000</v>
      </c>
      <c r="F295" s="1306" t="s">
        <v>2480</v>
      </c>
      <c r="G295" s="1307" t="s">
        <v>2481</v>
      </c>
      <c r="H295" s="1307" t="s">
        <v>2440</v>
      </c>
      <c r="I295" s="1307" t="s">
        <v>1598</v>
      </c>
      <c r="J295" s="1308" t="s">
        <v>1604</v>
      </c>
      <c r="K295" s="1309">
        <v>1</v>
      </c>
      <c r="L295" s="1310">
        <v>12</v>
      </c>
      <c r="M295" s="1311">
        <v>119815.63</v>
      </c>
      <c r="N295" s="1312">
        <v>1</v>
      </c>
      <c r="O295" s="1310">
        <v>6</v>
      </c>
      <c r="P295" s="1313">
        <v>59552.09</v>
      </c>
    </row>
    <row r="296" spans="1:16" x14ac:dyDescent="0.2">
      <c r="A296" s="1302" t="s">
        <v>292</v>
      </c>
      <c r="B296" s="1303" t="s">
        <v>1141</v>
      </c>
      <c r="C296" s="1303" t="s">
        <v>98</v>
      </c>
      <c r="D296" s="1304" t="s">
        <v>1838</v>
      </c>
      <c r="E296" s="1305">
        <v>6500</v>
      </c>
      <c r="F296" s="1306" t="s">
        <v>2482</v>
      </c>
      <c r="G296" s="1307" t="s">
        <v>2483</v>
      </c>
      <c r="H296" s="1307" t="s">
        <v>1608</v>
      </c>
      <c r="I296" s="1307" t="s">
        <v>1598</v>
      </c>
      <c r="J296" s="1308" t="s">
        <v>1616</v>
      </c>
      <c r="K296" s="1309">
        <v>1</v>
      </c>
      <c r="L296" s="1310">
        <v>6</v>
      </c>
      <c r="M296" s="1311">
        <v>37483.33</v>
      </c>
      <c r="N296" s="1312">
        <v>1</v>
      </c>
      <c r="O296" s="1310">
        <v>6</v>
      </c>
      <c r="P296" s="1313">
        <v>39000</v>
      </c>
    </row>
    <row r="297" spans="1:16" x14ac:dyDescent="0.2">
      <c r="A297" s="1302" t="s">
        <v>292</v>
      </c>
      <c r="B297" s="1303" t="s">
        <v>1141</v>
      </c>
      <c r="C297" s="1303" t="s">
        <v>98</v>
      </c>
      <c r="D297" s="1304" t="s">
        <v>1915</v>
      </c>
      <c r="E297" s="1305">
        <v>13000</v>
      </c>
      <c r="F297" s="1306" t="s">
        <v>2484</v>
      </c>
      <c r="G297" s="1307" t="s">
        <v>2485</v>
      </c>
      <c r="H297" s="1307" t="s">
        <v>1612</v>
      </c>
      <c r="I297" s="1307" t="s">
        <v>1598</v>
      </c>
      <c r="J297" s="1308" t="s">
        <v>1604</v>
      </c>
      <c r="K297" s="1309">
        <v>1</v>
      </c>
      <c r="L297" s="1310">
        <v>12</v>
      </c>
      <c r="M297" s="1311">
        <v>152400</v>
      </c>
      <c r="N297" s="1312">
        <v>1</v>
      </c>
      <c r="O297" s="1310">
        <v>6</v>
      </c>
      <c r="P297" s="1313">
        <v>78000</v>
      </c>
    </row>
    <row r="298" spans="1:16" x14ac:dyDescent="0.2">
      <c r="A298" s="1302" t="s">
        <v>292</v>
      </c>
      <c r="B298" s="1303" t="s">
        <v>1141</v>
      </c>
      <c r="C298" s="1303" t="s">
        <v>98</v>
      </c>
      <c r="D298" s="1304" t="s">
        <v>2100</v>
      </c>
      <c r="E298" s="1305">
        <v>12500</v>
      </c>
      <c r="F298" s="1306" t="s">
        <v>2486</v>
      </c>
      <c r="G298" s="1307" t="s">
        <v>2487</v>
      </c>
      <c r="H298" s="1307" t="s">
        <v>1753</v>
      </c>
      <c r="I298" s="1307" t="s">
        <v>1598</v>
      </c>
      <c r="J298" s="1308" t="s">
        <v>1604</v>
      </c>
      <c r="K298" s="1309">
        <v>1</v>
      </c>
      <c r="L298" s="1310">
        <v>11</v>
      </c>
      <c r="M298" s="1311">
        <v>131550</v>
      </c>
      <c r="N298" s="1312">
        <v>0</v>
      </c>
      <c r="O298" s="1310" t="s">
        <v>1633</v>
      </c>
      <c r="P298" s="1313">
        <v>0</v>
      </c>
    </row>
    <row r="299" spans="1:16" x14ac:dyDescent="0.2">
      <c r="A299" s="1302" t="s">
        <v>292</v>
      </c>
      <c r="B299" s="1303" t="s">
        <v>1141</v>
      </c>
      <c r="C299" s="1303" t="s">
        <v>98</v>
      </c>
      <c r="D299" s="1304" t="s">
        <v>2488</v>
      </c>
      <c r="E299" s="1305">
        <v>6000</v>
      </c>
      <c r="F299" s="1306" t="s">
        <v>2489</v>
      </c>
      <c r="G299" s="1307" t="s">
        <v>2490</v>
      </c>
      <c r="H299" s="1307" t="s">
        <v>1603</v>
      </c>
      <c r="I299" s="1307" t="s">
        <v>1598</v>
      </c>
      <c r="J299" s="1308" t="s">
        <v>1604</v>
      </c>
      <c r="K299" s="1309">
        <v>1</v>
      </c>
      <c r="L299" s="1310">
        <v>2</v>
      </c>
      <c r="M299" s="1311">
        <v>17400</v>
      </c>
      <c r="N299" s="1312">
        <v>0</v>
      </c>
      <c r="O299" s="1310" t="s">
        <v>1633</v>
      </c>
      <c r="P299" s="1313">
        <v>0</v>
      </c>
    </row>
    <row r="300" spans="1:16" x14ac:dyDescent="0.2">
      <c r="A300" s="1302" t="s">
        <v>292</v>
      </c>
      <c r="B300" s="1303" t="s">
        <v>1141</v>
      </c>
      <c r="C300" s="1303" t="s">
        <v>98</v>
      </c>
      <c r="D300" s="1304" t="s">
        <v>1768</v>
      </c>
      <c r="E300" s="1305">
        <v>2200</v>
      </c>
      <c r="F300" s="1306" t="s">
        <v>2491</v>
      </c>
      <c r="G300" s="1307" t="s">
        <v>2492</v>
      </c>
      <c r="H300" s="1307" t="s">
        <v>1713</v>
      </c>
      <c r="I300" s="1307" t="s">
        <v>1616</v>
      </c>
      <c r="J300" s="1308" t="s">
        <v>1616</v>
      </c>
      <c r="K300" s="1309">
        <v>1</v>
      </c>
      <c r="L300" s="1310">
        <v>4</v>
      </c>
      <c r="M300" s="1311">
        <v>8506.67</v>
      </c>
      <c r="N300" s="1312">
        <v>1</v>
      </c>
      <c r="O300" s="1310">
        <v>6</v>
      </c>
      <c r="P300" s="1313">
        <v>13126.67</v>
      </c>
    </row>
    <row r="301" spans="1:16" x14ac:dyDescent="0.2">
      <c r="A301" s="1302" t="s">
        <v>292</v>
      </c>
      <c r="B301" s="1303" t="s">
        <v>1141</v>
      </c>
      <c r="C301" s="1303" t="s">
        <v>98</v>
      </c>
      <c r="D301" s="1304" t="s">
        <v>2009</v>
      </c>
      <c r="E301" s="1305">
        <v>15600</v>
      </c>
      <c r="F301" s="1306" t="s">
        <v>2493</v>
      </c>
      <c r="G301" s="1307" t="s">
        <v>2494</v>
      </c>
      <c r="H301" s="1307" t="s">
        <v>1603</v>
      </c>
      <c r="I301" s="1307" t="s">
        <v>1616</v>
      </c>
      <c r="J301" s="1308" t="s">
        <v>1604</v>
      </c>
      <c r="K301" s="1309">
        <v>1</v>
      </c>
      <c r="L301" s="1310">
        <v>3</v>
      </c>
      <c r="M301" s="1311">
        <v>42640</v>
      </c>
      <c r="N301" s="1312">
        <v>0</v>
      </c>
      <c r="O301" s="1310" t="s">
        <v>1633</v>
      </c>
      <c r="P301" s="1313">
        <v>0</v>
      </c>
    </row>
    <row r="302" spans="1:16" x14ac:dyDescent="0.2">
      <c r="A302" s="1302" t="s">
        <v>292</v>
      </c>
      <c r="B302" s="1303" t="s">
        <v>1141</v>
      </c>
      <c r="C302" s="1303" t="s">
        <v>98</v>
      </c>
      <c r="D302" s="1304" t="s">
        <v>2335</v>
      </c>
      <c r="E302" s="1305">
        <v>7000</v>
      </c>
      <c r="F302" s="1306" t="s">
        <v>2495</v>
      </c>
      <c r="G302" s="1307" t="s">
        <v>2496</v>
      </c>
      <c r="H302" s="1307" t="s">
        <v>1603</v>
      </c>
      <c r="I302" s="1307" t="s">
        <v>1598</v>
      </c>
      <c r="J302" s="1308" t="s">
        <v>1604</v>
      </c>
      <c r="K302" s="1309">
        <v>1</v>
      </c>
      <c r="L302" s="1310">
        <v>5</v>
      </c>
      <c r="M302" s="1311">
        <v>35000</v>
      </c>
      <c r="N302" s="1312">
        <v>0</v>
      </c>
      <c r="O302" s="1310" t="s">
        <v>1633</v>
      </c>
      <c r="P302" s="1313">
        <v>0</v>
      </c>
    </row>
    <row r="303" spans="1:16" ht="22.5" x14ac:dyDescent="0.2">
      <c r="A303" s="1302" t="s">
        <v>292</v>
      </c>
      <c r="B303" s="1303" t="s">
        <v>1141</v>
      </c>
      <c r="C303" s="1303" t="s">
        <v>98</v>
      </c>
      <c r="D303" s="1304" t="s">
        <v>1637</v>
      </c>
      <c r="E303" s="1305">
        <v>6000</v>
      </c>
      <c r="F303" s="1306" t="s">
        <v>2497</v>
      </c>
      <c r="G303" s="1307" t="s">
        <v>2498</v>
      </c>
      <c r="H303" s="1307" t="s">
        <v>1612</v>
      </c>
      <c r="I303" s="1307" t="s">
        <v>1698</v>
      </c>
      <c r="J303" s="1308" t="s">
        <v>1616</v>
      </c>
      <c r="K303" s="1309">
        <v>1</v>
      </c>
      <c r="L303" s="1310">
        <v>5</v>
      </c>
      <c r="M303" s="1311">
        <v>27200</v>
      </c>
      <c r="N303" s="1312">
        <v>1</v>
      </c>
      <c r="O303" s="1310">
        <v>6</v>
      </c>
      <c r="P303" s="1313">
        <v>36000</v>
      </c>
    </row>
    <row r="304" spans="1:16" ht="22.5" x14ac:dyDescent="0.2">
      <c r="A304" s="1302" t="s">
        <v>292</v>
      </c>
      <c r="B304" s="1303" t="s">
        <v>1141</v>
      </c>
      <c r="C304" s="1303" t="s">
        <v>98</v>
      </c>
      <c r="D304" s="1304" t="s">
        <v>2473</v>
      </c>
      <c r="E304" s="1305">
        <v>7000</v>
      </c>
      <c r="F304" s="1306" t="s">
        <v>2499</v>
      </c>
      <c r="G304" s="1307" t="s">
        <v>2500</v>
      </c>
      <c r="H304" s="1307" t="s">
        <v>1672</v>
      </c>
      <c r="I304" s="1307" t="s">
        <v>1616</v>
      </c>
      <c r="J304" s="1308" t="s">
        <v>1604</v>
      </c>
      <c r="K304" s="1309">
        <v>1</v>
      </c>
      <c r="L304" s="1310">
        <v>12</v>
      </c>
      <c r="M304" s="1311">
        <v>77266.67</v>
      </c>
      <c r="N304" s="1312">
        <v>1</v>
      </c>
      <c r="O304" s="1310">
        <v>6</v>
      </c>
      <c r="P304" s="1313">
        <v>42000</v>
      </c>
    </row>
    <row r="305" spans="1:16" ht="22.5" x14ac:dyDescent="0.2">
      <c r="A305" s="1302" t="s">
        <v>292</v>
      </c>
      <c r="B305" s="1303" t="s">
        <v>1141</v>
      </c>
      <c r="C305" s="1303" t="s">
        <v>98</v>
      </c>
      <c r="D305" s="1304" t="s">
        <v>2501</v>
      </c>
      <c r="E305" s="1305">
        <v>12000</v>
      </c>
      <c r="F305" s="1306" t="s">
        <v>2502</v>
      </c>
      <c r="G305" s="1307" t="s">
        <v>2503</v>
      </c>
      <c r="H305" s="1307" t="s">
        <v>1672</v>
      </c>
      <c r="I305" s="1307" t="s">
        <v>1598</v>
      </c>
      <c r="J305" s="1308" t="s">
        <v>1604</v>
      </c>
      <c r="K305" s="1309">
        <v>1</v>
      </c>
      <c r="L305" s="1310">
        <v>12</v>
      </c>
      <c r="M305" s="1311">
        <v>144600</v>
      </c>
      <c r="N305" s="1312">
        <v>1</v>
      </c>
      <c r="O305" s="1310">
        <v>6</v>
      </c>
      <c r="P305" s="1313">
        <v>72000</v>
      </c>
    </row>
    <row r="306" spans="1:16" ht="22.5" x14ac:dyDescent="0.2">
      <c r="A306" s="1302" t="s">
        <v>292</v>
      </c>
      <c r="B306" s="1303" t="s">
        <v>1141</v>
      </c>
      <c r="C306" s="1303" t="s">
        <v>98</v>
      </c>
      <c r="D306" s="1304" t="s">
        <v>2504</v>
      </c>
      <c r="E306" s="1305">
        <v>12000</v>
      </c>
      <c r="F306" s="1306" t="s">
        <v>2505</v>
      </c>
      <c r="G306" s="1307" t="s">
        <v>2506</v>
      </c>
      <c r="H306" s="1307" t="s">
        <v>1603</v>
      </c>
      <c r="I306" s="1307" t="s">
        <v>1598</v>
      </c>
      <c r="J306" s="1308" t="s">
        <v>1604</v>
      </c>
      <c r="K306" s="1309">
        <v>1</v>
      </c>
      <c r="L306" s="1310">
        <v>4</v>
      </c>
      <c r="M306" s="1311">
        <v>52800</v>
      </c>
      <c r="N306" s="1312">
        <v>0</v>
      </c>
      <c r="O306" s="1310" t="s">
        <v>1633</v>
      </c>
      <c r="P306" s="1313">
        <v>0</v>
      </c>
    </row>
    <row r="307" spans="1:16" x14ac:dyDescent="0.2">
      <c r="A307" s="1302" t="s">
        <v>292</v>
      </c>
      <c r="B307" s="1303" t="s">
        <v>1141</v>
      </c>
      <c r="C307" s="1303" t="s">
        <v>98</v>
      </c>
      <c r="D307" s="1304" t="s">
        <v>2013</v>
      </c>
      <c r="E307" s="1305">
        <v>8000</v>
      </c>
      <c r="F307" s="1306" t="s">
        <v>2507</v>
      </c>
      <c r="G307" s="1307" t="s">
        <v>2508</v>
      </c>
      <c r="H307" s="1307" t="s">
        <v>1603</v>
      </c>
      <c r="I307" s="1307" t="s">
        <v>1598</v>
      </c>
      <c r="J307" s="1308" t="s">
        <v>1604</v>
      </c>
      <c r="K307" s="1309">
        <v>1</v>
      </c>
      <c r="L307" s="1310">
        <v>7</v>
      </c>
      <c r="M307" s="1311">
        <v>50166.62</v>
      </c>
      <c r="N307" s="1312">
        <v>0</v>
      </c>
      <c r="O307" s="1310" t="s">
        <v>1633</v>
      </c>
      <c r="P307" s="1313">
        <v>0</v>
      </c>
    </row>
    <row r="308" spans="1:16" ht="22.5" x14ac:dyDescent="0.2">
      <c r="A308" s="1302" t="s">
        <v>292</v>
      </c>
      <c r="B308" s="1303" t="s">
        <v>1141</v>
      </c>
      <c r="C308" s="1303" t="s">
        <v>98</v>
      </c>
      <c r="D308" s="1304" t="s">
        <v>2509</v>
      </c>
      <c r="E308" s="1305">
        <v>3000</v>
      </c>
      <c r="F308" s="1306" t="s">
        <v>2510</v>
      </c>
      <c r="G308" s="1307" t="s">
        <v>2511</v>
      </c>
      <c r="H308" s="1307" t="s">
        <v>1659</v>
      </c>
      <c r="I308" s="1307" t="s">
        <v>1660</v>
      </c>
      <c r="J308" s="1308" t="s">
        <v>1659</v>
      </c>
      <c r="K308" s="1309">
        <v>1</v>
      </c>
      <c r="L308" s="1310">
        <v>12</v>
      </c>
      <c r="M308" s="1311">
        <v>36300</v>
      </c>
      <c r="N308" s="1312">
        <v>1</v>
      </c>
      <c r="O308" s="1310">
        <v>6</v>
      </c>
      <c r="P308" s="1313">
        <v>18000</v>
      </c>
    </row>
    <row r="309" spans="1:16" x14ac:dyDescent="0.2">
      <c r="A309" s="1302" t="s">
        <v>292</v>
      </c>
      <c r="B309" s="1303" t="s">
        <v>1141</v>
      </c>
      <c r="C309" s="1303" t="s">
        <v>98</v>
      </c>
      <c r="D309" s="1304" t="s">
        <v>2512</v>
      </c>
      <c r="E309" s="1305">
        <v>6000</v>
      </c>
      <c r="F309" s="1306" t="s">
        <v>2513</v>
      </c>
      <c r="G309" s="1307" t="s">
        <v>2514</v>
      </c>
      <c r="H309" s="1307" t="s">
        <v>1664</v>
      </c>
      <c r="I309" s="1307" t="s">
        <v>1598</v>
      </c>
      <c r="J309" s="1308" t="s">
        <v>1604</v>
      </c>
      <c r="K309" s="1309">
        <v>1</v>
      </c>
      <c r="L309" s="1310">
        <v>12</v>
      </c>
      <c r="M309" s="1311">
        <v>72300</v>
      </c>
      <c r="N309" s="1312">
        <v>1</v>
      </c>
      <c r="O309" s="1310">
        <v>6</v>
      </c>
      <c r="P309" s="1313">
        <v>36000</v>
      </c>
    </row>
    <row r="310" spans="1:16" x14ac:dyDescent="0.2">
      <c r="A310" s="1302" t="s">
        <v>292</v>
      </c>
      <c r="B310" s="1303" t="s">
        <v>1141</v>
      </c>
      <c r="C310" s="1303" t="s">
        <v>98</v>
      </c>
      <c r="D310" s="1304" t="s">
        <v>2515</v>
      </c>
      <c r="E310" s="1305">
        <v>7000</v>
      </c>
      <c r="F310" s="1306" t="s">
        <v>2516</v>
      </c>
      <c r="G310" s="1307" t="s">
        <v>2517</v>
      </c>
      <c r="H310" s="1307" t="s">
        <v>1603</v>
      </c>
      <c r="I310" s="1307" t="s">
        <v>1598</v>
      </c>
      <c r="J310" s="1308" t="s">
        <v>1604</v>
      </c>
      <c r="K310" s="1309">
        <v>1</v>
      </c>
      <c r="L310" s="1310">
        <v>6</v>
      </c>
      <c r="M310" s="1311">
        <v>40366.67</v>
      </c>
      <c r="N310" s="1312">
        <v>1</v>
      </c>
      <c r="O310" s="1310">
        <v>6</v>
      </c>
      <c r="P310" s="1313">
        <v>42000</v>
      </c>
    </row>
    <row r="311" spans="1:16" x14ac:dyDescent="0.2">
      <c r="A311" s="1302" t="s">
        <v>292</v>
      </c>
      <c r="B311" s="1303" t="s">
        <v>1141</v>
      </c>
      <c r="C311" s="1303" t="s">
        <v>98</v>
      </c>
      <c r="D311" s="1314" t="s">
        <v>2518</v>
      </c>
      <c r="E311" s="1305">
        <v>12000</v>
      </c>
      <c r="F311" s="1306" t="s">
        <v>2519</v>
      </c>
      <c r="G311" s="1307" t="s">
        <v>2520</v>
      </c>
      <c r="H311" s="1315" t="s">
        <v>2521</v>
      </c>
      <c r="I311" s="1315" t="s">
        <v>1598</v>
      </c>
      <c r="J311" s="1316" t="s">
        <v>1616</v>
      </c>
      <c r="K311" s="1309">
        <v>0</v>
      </c>
      <c r="L311" s="1310" t="s">
        <v>1633</v>
      </c>
      <c r="M311" s="1311">
        <v>0</v>
      </c>
      <c r="N311" s="1312">
        <v>1</v>
      </c>
      <c r="O311" s="1310">
        <v>6</v>
      </c>
      <c r="P311" s="1313">
        <v>73329.16</v>
      </c>
    </row>
    <row r="312" spans="1:16" ht="22.5" x14ac:dyDescent="0.2">
      <c r="A312" s="1302" t="s">
        <v>292</v>
      </c>
      <c r="B312" s="1303" t="s">
        <v>1141</v>
      </c>
      <c r="C312" s="1303" t="s">
        <v>98</v>
      </c>
      <c r="D312" s="1304" t="s">
        <v>2522</v>
      </c>
      <c r="E312" s="1305">
        <v>6000</v>
      </c>
      <c r="F312" s="1306" t="s">
        <v>2523</v>
      </c>
      <c r="G312" s="1307" t="s">
        <v>2524</v>
      </c>
      <c r="H312" s="1307" t="s">
        <v>1975</v>
      </c>
      <c r="I312" s="1307" t="s">
        <v>1616</v>
      </c>
      <c r="J312" s="1308" t="s">
        <v>1604</v>
      </c>
      <c r="K312" s="1309">
        <v>1</v>
      </c>
      <c r="L312" s="1310">
        <v>12</v>
      </c>
      <c r="M312" s="1311">
        <v>72300</v>
      </c>
      <c r="N312" s="1312">
        <v>1</v>
      </c>
      <c r="O312" s="1310">
        <v>6</v>
      </c>
      <c r="P312" s="1313">
        <v>36000</v>
      </c>
    </row>
    <row r="313" spans="1:16" ht="22.5" x14ac:dyDescent="0.2">
      <c r="A313" s="1302" t="s">
        <v>292</v>
      </c>
      <c r="B313" s="1303" t="s">
        <v>1141</v>
      </c>
      <c r="C313" s="1303" t="s">
        <v>98</v>
      </c>
      <c r="D313" s="1304" t="s">
        <v>2525</v>
      </c>
      <c r="E313" s="1305">
        <v>12000</v>
      </c>
      <c r="F313" s="1306" t="s">
        <v>2526</v>
      </c>
      <c r="G313" s="1307" t="s">
        <v>2527</v>
      </c>
      <c r="H313" s="1307" t="s">
        <v>2166</v>
      </c>
      <c r="I313" s="1307" t="s">
        <v>1598</v>
      </c>
      <c r="J313" s="1308" t="s">
        <v>1604</v>
      </c>
      <c r="K313" s="1309">
        <v>1</v>
      </c>
      <c r="L313" s="1310">
        <v>12</v>
      </c>
      <c r="M313" s="1311">
        <v>144600</v>
      </c>
      <c r="N313" s="1312">
        <v>1</v>
      </c>
      <c r="O313" s="1310">
        <v>6</v>
      </c>
      <c r="P313" s="1313">
        <v>72000</v>
      </c>
    </row>
    <row r="314" spans="1:16" ht="22.5" x14ac:dyDescent="0.2">
      <c r="A314" s="1302" t="s">
        <v>292</v>
      </c>
      <c r="B314" s="1303" t="s">
        <v>1141</v>
      </c>
      <c r="C314" s="1303" t="s">
        <v>98</v>
      </c>
      <c r="D314" s="1304" t="s">
        <v>2528</v>
      </c>
      <c r="E314" s="1305">
        <v>10000</v>
      </c>
      <c r="F314" s="1306" t="s">
        <v>2529</v>
      </c>
      <c r="G314" s="1307" t="s">
        <v>2530</v>
      </c>
      <c r="H314" s="1307" t="s">
        <v>1908</v>
      </c>
      <c r="I314" s="1307" t="s">
        <v>1598</v>
      </c>
      <c r="J314" s="1308" t="s">
        <v>1604</v>
      </c>
      <c r="K314" s="1309">
        <v>1</v>
      </c>
      <c r="L314" s="1310">
        <v>12</v>
      </c>
      <c r="M314" s="1311">
        <v>120300</v>
      </c>
      <c r="N314" s="1312">
        <v>1</v>
      </c>
      <c r="O314" s="1310">
        <v>6</v>
      </c>
      <c r="P314" s="1313">
        <v>60000</v>
      </c>
    </row>
    <row r="315" spans="1:16" x14ac:dyDescent="0.2">
      <c r="A315" s="1302" t="s">
        <v>292</v>
      </c>
      <c r="B315" s="1303" t="s">
        <v>1141</v>
      </c>
      <c r="C315" s="1303" t="s">
        <v>98</v>
      </c>
      <c r="D315" s="1304" t="s">
        <v>2531</v>
      </c>
      <c r="E315" s="1305">
        <v>5000</v>
      </c>
      <c r="F315" s="1306" t="s">
        <v>2532</v>
      </c>
      <c r="G315" s="1307" t="s">
        <v>2533</v>
      </c>
      <c r="H315" s="1307" t="s">
        <v>1819</v>
      </c>
      <c r="I315" s="1307" t="s">
        <v>1598</v>
      </c>
      <c r="J315" s="1308" t="s">
        <v>1616</v>
      </c>
      <c r="K315" s="1309">
        <v>1</v>
      </c>
      <c r="L315" s="1310">
        <v>4</v>
      </c>
      <c r="M315" s="1311">
        <v>19274.650000000001</v>
      </c>
      <c r="N315" s="1312">
        <v>1</v>
      </c>
      <c r="O315" s="1310">
        <v>5</v>
      </c>
      <c r="P315" s="1313">
        <v>25000</v>
      </c>
    </row>
    <row r="316" spans="1:16" x14ac:dyDescent="0.2">
      <c r="A316" s="1302" t="s">
        <v>292</v>
      </c>
      <c r="B316" s="1303" t="s">
        <v>1141</v>
      </c>
      <c r="C316" s="1303" t="s">
        <v>98</v>
      </c>
      <c r="D316" s="1304" t="s">
        <v>2100</v>
      </c>
      <c r="E316" s="1305">
        <v>15600</v>
      </c>
      <c r="F316" s="1306" t="s">
        <v>2534</v>
      </c>
      <c r="G316" s="1307" t="s">
        <v>2535</v>
      </c>
      <c r="H316" s="1307" t="s">
        <v>1612</v>
      </c>
      <c r="I316" s="1307" t="s">
        <v>1598</v>
      </c>
      <c r="J316" s="1308" t="s">
        <v>1604</v>
      </c>
      <c r="K316" s="1309">
        <v>1</v>
      </c>
      <c r="L316" s="1310">
        <v>12</v>
      </c>
      <c r="M316" s="1311">
        <v>187500</v>
      </c>
      <c r="N316" s="1312">
        <v>1</v>
      </c>
      <c r="O316" s="1310">
        <v>1</v>
      </c>
      <c r="P316" s="1313">
        <v>3640</v>
      </c>
    </row>
    <row r="317" spans="1:16" x14ac:dyDescent="0.2">
      <c r="A317" s="1302" t="s">
        <v>292</v>
      </c>
      <c r="B317" s="1303" t="s">
        <v>1141</v>
      </c>
      <c r="C317" s="1303" t="s">
        <v>98</v>
      </c>
      <c r="D317" s="1304" t="s">
        <v>2536</v>
      </c>
      <c r="E317" s="1305">
        <v>8000</v>
      </c>
      <c r="F317" s="1306" t="s">
        <v>2537</v>
      </c>
      <c r="G317" s="1307" t="s">
        <v>2538</v>
      </c>
      <c r="H317" s="1307" t="s">
        <v>1612</v>
      </c>
      <c r="I317" s="1307" t="s">
        <v>1598</v>
      </c>
      <c r="J317" s="1308" t="s">
        <v>1616</v>
      </c>
      <c r="K317" s="1309">
        <v>1</v>
      </c>
      <c r="L317" s="1310">
        <v>5</v>
      </c>
      <c r="M317" s="1311">
        <v>37066.67</v>
      </c>
      <c r="N317" s="1312">
        <v>1</v>
      </c>
      <c r="O317" s="1310">
        <v>6</v>
      </c>
      <c r="P317" s="1313">
        <v>48000</v>
      </c>
    </row>
    <row r="318" spans="1:16" x14ac:dyDescent="0.2">
      <c r="A318" s="1302" t="s">
        <v>292</v>
      </c>
      <c r="B318" s="1303" t="s">
        <v>1141</v>
      </c>
      <c r="C318" s="1303" t="s">
        <v>98</v>
      </c>
      <c r="D318" s="1304" t="s">
        <v>2539</v>
      </c>
      <c r="E318" s="1305">
        <v>13000</v>
      </c>
      <c r="F318" s="1306" t="s">
        <v>2540</v>
      </c>
      <c r="G318" s="1307" t="s">
        <v>2541</v>
      </c>
      <c r="H318" s="1307" t="s">
        <v>1603</v>
      </c>
      <c r="I318" s="1307" t="s">
        <v>1598</v>
      </c>
      <c r="J318" s="1308" t="s">
        <v>1604</v>
      </c>
      <c r="K318" s="1309">
        <v>1</v>
      </c>
      <c r="L318" s="1310">
        <v>4</v>
      </c>
      <c r="M318" s="1311">
        <v>48966.67</v>
      </c>
      <c r="N318" s="1312">
        <v>0</v>
      </c>
      <c r="O318" s="1310" t="s">
        <v>1633</v>
      </c>
      <c r="P318" s="1313">
        <v>0</v>
      </c>
    </row>
    <row r="319" spans="1:16" ht="22.5" x14ac:dyDescent="0.2">
      <c r="A319" s="1302" t="s">
        <v>292</v>
      </c>
      <c r="B319" s="1303" t="s">
        <v>1141</v>
      </c>
      <c r="C319" s="1303" t="s">
        <v>98</v>
      </c>
      <c r="D319" s="1304" t="s">
        <v>2542</v>
      </c>
      <c r="E319" s="1305">
        <v>6000</v>
      </c>
      <c r="F319" s="1306" t="s">
        <v>2543</v>
      </c>
      <c r="G319" s="1307" t="s">
        <v>2544</v>
      </c>
      <c r="H319" s="1307" t="s">
        <v>2154</v>
      </c>
      <c r="I319" s="1307" t="s">
        <v>1616</v>
      </c>
      <c r="J319" s="1308" t="s">
        <v>1604</v>
      </c>
      <c r="K319" s="1309">
        <v>1</v>
      </c>
      <c r="L319" s="1310">
        <v>12</v>
      </c>
      <c r="M319" s="1311">
        <v>71526.67</v>
      </c>
      <c r="N319" s="1312">
        <v>1</v>
      </c>
      <c r="O319" s="1310">
        <v>6</v>
      </c>
      <c r="P319" s="1313">
        <v>35615</v>
      </c>
    </row>
    <row r="320" spans="1:16" x14ac:dyDescent="0.2">
      <c r="A320" s="1302" t="s">
        <v>292</v>
      </c>
      <c r="B320" s="1303" t="s">
        <v>1141</v>
      </c>
      <c r="C320" s="1303" t="s">
        <v>98</v>
      </c>
      <c r="D320" s="1304" t="s">
        <v>1915</v>
      </c>
      <c r="E320" s="1305">
        <v>6500</v>
      </c>
      <c r="F320" s="1306" t="s">
        <v>2545</v>
      </c>
      <c r="G320" s="1307" t="s">
        <v>2546</v>
      </c>
      <c r="H320" s="1307" t="s">
        <v>2369</v>
      </c>
      <c r="I320" s="1307" t="s">
        <v>1616</v>
      </c>
      <c r="J320" s="1308" t="s">
        <v>1604</v>
      </c>
      <c r="K320" s="1309">
        <v>1</v>
      </c>
      <c r="L320" s="1310">
        <v>3</v>
      </c>
      <c r="M320" s="1311">
        <v>19500</v>
      </c>
      <c r="N320" s="1312">
        <v>0</v>
      </c>
      <c r="O320" s="1310" t="s">
        <v>1633</v>
      </c>
      <c r="P320" s="1313">
        <v>0</v>
      </c>
    </row>
    <row r="321" spans="1:16" ht="22.5" x14ac:dyDescent="0.2">
      <c r="A321" s="1302" t="s">
        <v>292</v>
      </c>
      <c r="B321" s="1303" t="s">
        <v>1141</v>
      </c>
      <c r="C321" s="1303" t="s">
        <v>98</v>
      </c>
      <c r="D321" s="1304" t="s">
        <v>2547</v>
      </c>
      <c r="E321" s="1305">
        <v>7000</v>
      </c>
      <c r="F321" s="1306" t="s">
        <v>2548</v>
      </c>
      <c r="G321" s="1307" t="s">
        <v>2549</v>
      </c>
      <c r="H321" s="1307" t="s">
        <v>2060</v>
      </c>
      <c r="I321" s="1307" t="s">
        <v>1598</v>
      </c>
      <c r="J321" s="1308" t="s">
        <v>1604</v>
      </c>
      <c r="K321" s="1309">
        <v>1</v>
      </c>
      <c r="L321" s="1310">
        <v>6</v>
      </c>
      <c r="M321" s="1311">
        <v>40366.67</v>
      </c>
      <c r="N321" s="1312">
        <v>1</v>
      </c>
      <c r="O321" s="1310">
        <v>6</v>
      </c>
      <c r="P321" s="1313">
        <v>42000</v>
      </c>
    </row>
    <row r="322" spans="1:16" ht="22.5" x14ac:dyDescent="0.2">
      <c r="A322" s="1302" t="s">
        <v>292</v>
      </c>
      <c r="B322" s="1303" t="s">
        <v>1141</v>
      </c>
      <c r="C322" s="1303" t="s">
        <v>98</v>
      </c>
      <c r="D322" s="1304" t="s">
        <v>1733</v>
      </c>
      <c r="E322" s="1305">
        <v>4000</v>
      </c>
      <c r="F322" s="1306" t="s">
        <v>2550</v>
      </c>
      <c r="G322" s="1307" t="s">
        <v>2551</v>
      </c>
      <c r="H322" s="1307" t="s">
        <v>1819</v>
      </c>
      <c r="I322" s="1307" t="s">
        <v>1616</v>
      </c>
      <c r="J322" s="1308" t="s">
        <v>1616</v>
      </c>
      <c r="K322" s="1309">
        <v>1</v>
      </c>
      <c r="L322" s="1310">
        <v>6</v>
      </c>
      <c r="M322" s="1311">
        <v>22715.43</v>
      </c>
      <c r="N322" s="1312">
        <v>1</v>
      </c>
      <c r="O322" s="1310">
        <v>6</v>
      </c>
      <c r="P322" s="1313">
        <v>23742.22</v>
      </c>
    </row>
    <row r="323" spans="1:16" ht="22.5" x14ac:dyDescent="0.2">
      <c r="A323" s="1302" t="s">
        <v>292</v>
      </c>
      <c r="B323" s="1303" t="s">
        <v>1141</v>
      </c>
      <c r="C323" s="1303" t="s">
        <v>98</v>
      </c>
      <c r="D323" s="1304" t="s">
        <v>2552</v>
      </c>
      <c r="E323" s="1305">
        <v>12000</v>
      </c>
      <c r="F323" s="1306" t="s">
        <v>2553</v>
      </c>
      <c r="G323" s="1307" t="s">
        <v>2554</v>
      </c>
      <c r="H323" s="1307" t="s">
        <v>1603</v>
      </c>
      <c r="I323" s="1307" t="s">
        <v>1621</v>
      </c>
      <c r="J323" s="1308" t="s">
        <v>1604</v>
      </c>
      <c r="K323" s="1309">
        <v>1</v>
      </c>
      <c r="L323" s="1310">
        <v>3</v>
      </c>
      <c r="M323" s="1311">
        <v>33200</v>
      </c>
      <c r="N323" s="1312">
        <v>0</v>
      </c>
      <c r="O323" s="1310" t="s">
        <v>1633</v>
      </c>
      <c r="P323" s="1313">
        <v>0</v>
      </c>
    </row>
    <row r="324" spans="1:16" ht="22.5" x14ac:dyDescent="0.2">
      <c r="A324" s="1302" t="s">
        <v>292</v>
      </c>
      <c r="B324" s="1303" t="s">
        <v>1141</v>
      </c>
      <c r="C324" s="1303" t="s">
        <v>98</v>
      </c>
      <c r="D324" s="1304" t="s">
        <v>2555</v>
      </c>
      <c r="E324" s="1305">
        <v>7000</v>
      </c>
      <c r="F324" s="1306" t="s">
        <v>2556</v>
      </c>
      <c r="G324" s="1307" t="s">
        <v>2557</v>
      </c>
      <c r="H324" s="1307" t="s">
        <v>1709</v>
      </c>
      <c r="I324" s="1307" t="s">
        <v>1598</v>
      </c>
      <c r="J324" s="1308" t="s">
        <v>1604</v>
      </c>
      <c r="K324" s="1309">
        <v>1</v>
      </c>
      <c r="L324" s="1310">
        <v>12</v>
      </c>
      <c r="M324" s="1311">
        <v>84300</v>
      </c>
      <c r="N324" s="1312">
        <v>1</v>
      </c>
      <c r="O324" s="1310">
        <v>6</v>
      </c>
      <c r="P324" s="1313">
        <v>42000</v>
      </c>
    </row>
    <row r="325" spans="1:16" x14ac:dyDescent="0.2">
      <c r="A325" s="1302" t="s">
        <v>292</v>
      </c>
      <c r="B325" s="1303" t="s">
        <v>1141</v>
      </c>
      <c r="C325" s="1303" t="s">
        <v>98</v>
      </c>
      <c r="D325" s="1304" t="s">
        <v>2558</v>
      </c>
      <c r="E325" s="1305">
        <v>4550</v>
      </c>
      <c r="F325" s="1306" t="s">
        <v>2559</v>
      </c>
      <c r="G325" s="1307" t="s">
        <v>2560</v>
      </c>
      <c r="H325" s="1307" t="s">
        <v>1664</v>
      </c>
      <c r="I325" s="1307" t="s">
        <v>1616</v>
      </c>
      <c r="J325" s="1308" t="s">
        <v>1604</v>
      </c>
      <c r="K325" s="1309">
        <v>1</v>
      </c>
      <c r="L325" s="1310">
        <v>4</v>
      </c>
      <c r="M325" s="1311">
        <v>16835</v>
      </c>
      <c r="N325" s="1312">
        <v>1</v>
      </c>
      <c r="O325" s="1310">
        <v>6</v>
      </c>
      <c r="P325" s="1313">
        <v>27001.72</v>
      </c>
    </row>
    <row r="326" spans="1:16" ht="22.5" x14ac:dyDescent="0.2">
      <c r="A326" s="1302" t="s">
        <v>292</v>
      </c>
      <c r="B326" s="1303" t="s">
        <v>1141</v>
      </c>
      <c r="C326" s="1303" t="s">
        <v>98</v>
      </c>
      <c r="D326" s="1304" t="s">
        <v>2561</v>
      </c>
      <c r="E326" s="1305">
        <v>8000</v>
      </c>
      <c r="F326" s="1306" t="s">
        <v>2562</v>
      </c>
      <c r="G326" s="1307" t="s">
        <v>2563</v>
      </c>
      <c r="H326" s="1307" t="s">
        <v>1672</v>
      </c>
      <c r="I326" s="1307" t="s">
        <v>1598</v>
      </c>
      <c r="J326" s="1308" t="s">
        <v>1604</v>
      </c>
      <c r="K326" s="1309">
        <v>1</v>
      </c>
      <c r="L326" s="1310">
        <v>4</v>
      </c>
      <c r="M326" s="1311">
        <v>30933.33</v>
      </c>
      <c r="N326" s="1312">
        <v>1</v>
      </c>
      <c r="O326" s="1310">
        <v>6</v>
      </c>
      <c r="P326" s="1313">
        <v>48000</v>
      </c>
    </row>
    <row r="327" spans="1:16" ht="22.5" x14ac:dyDescent="0.2">
      <c r="A327" s="1302" t="s">
        <v>292</v>
      </c>
      <c r="B327" s="1303" t="s">
        <v>1141</v>
      </c>
      <c r="C327" s="1303" t="s">
        <v>98</v>
      </c>
      <c r="D327" s="1304" t="s">
        <v>2564</v>
      </c>
      <c r="E327" s="1305">
        <v>8000</v>
      </c>
      <c r="F327" s="1306" t="s">
        <v>2565</v>
      </c>
      <c r="G327" s="1307" t="s">
        <v>2566</v>
      </c>
      <c r="H327" s="1307" t="s">
        <v>1793</v>
      </c>
      <c r="I327" s="1307" t="s">
        <v>1598</v>
      </c>
      <c r="J327" s="1308" t="s">
        <v>1604</v>
      </c>
      <c r="K327" s="1309">
        <v>1</v>
      </c>
      <c r="L327" s="1310">
        <v>11</v>
      </c>
      <c r="M327" s="1311">
        <v>88300</v>
      </c>
      <c r="N327" s="1312">
        <v>0</v>
      </c>
      <c r="O327" s="1310" t="s">
        <v>1633</v>
      </c>
      <c r="P327" s="1313">
        <v>0</v>
      </c>
    </row>
    <row r="328" spans="1:16" x14ac:dyDescent="0.2">
      <c r="A328" s="1302" t="s">
        <v>292</v>
      </c>
      <c r="B328" s="1303" t="s">
        <v>1141</v>
      </c>
      <c r="C328" s="1303" t="s">
        <v>98</v>
      </c>
      <c r="D328" s="1304" t="s">
        <v>2357</v>
      </c>
      <c r="E328" s="1305">
        <v>15600</v>
      </c>
      <c r="F328" s="1306" t="s">
        <v>2567</v>
      </c>
      <c r="G328" s="1307" t="s">
        <v>2568</v>
      </c>
      <c r="H328" s="1307" t="s">
        <v>1603</v>
      </c>
      <c r="I328" s="1307" t="s">
        <v>1598</v>
      </c>
      <c r="J328" s="1308" t="s">
        <v>1604</v>
      </c>
      <c r="K328" s="1309">
        <v>1</v>
      </c>
      <c r="L328" s="1310">
        <v>7</v>
      </c>
      <c r="M328" s="1311">
        <v>115993.33</v>
      </c>
      <c r="N328" s="1312">
        <v>0</v>
      </c>
      <c r="O328" s="1310" t="s">
        <v>1633</v>
      </c>
      <c r="P328" s="1313">
        <v>0</v>
      </c>
    </row>
    <row r="329" spans="1:16" ht="22.5" x14ac:dyDescent="0.2">
      <c r="A329" s="1302" t="s">
        <v>292</v>
      </c>
      <c r="B329" s="1303" t="s">
        <v>1141</v>
      </c>
      <c r="C329" s="1303" t="s">
        <v>98</v>
      </c>
      <c r="D329" s="1304" t="s">
        <v>2569</v>
      </c>
      <c r="E329" s="1305">
        <v>12000</v>
      </c>
      <c r="F329" s="1306" t="s">
        <v>2570</v>
      </c>
      <c r="G329" s="1307" t="s">
        <v>2571</v>
      </c>
      <c r="H329" s="1307" t="s">
        <v>1603</v>
      </c>
      <c r="I329" s="1307" t="s">
        <v>1598</v>
      </c>
      <c r="J329" s="1308" t="s">
        <v>1604</v>
      </c>
      <c r="K329" s="1309">
        <v>1</v>
      </c>
      <c r="L329" s="1310">
        <v>12</v>
      </c>
      <c r="M329" s="1311">
        <v>144300</v>
      </c>
      <c r="N329" s="1312">
        <v>1</v>
      </c>
      <c r="O329" s="1310">
        <v>6</v>
      </c>
      <c r="P329" s="1313">
        <v>72000</v>
      </c>
    </row>
    <row r="330" spans="1:16" ht="22.5" x14ac:dyDescent="0.2">
      <c r="A330" s="1302" t="s">
        <v>292</v>
      </c>
      <c r="B330" s="1303" t="s">
        <v>1141</v>
      </c>
      <c r="C330" s="1303" t="s">
        <v>98</v>
      </c>
      <c r="D330" s="1314" t="s">
        <v>2572</v>
      </c>
      <c r="E330" s="1305">
        <v>15600</v>
      </c>
      <c r="F330" s="1306" t="s">
        <v>2573</v>
      </c>
      <c r="G330" s="1307" t="s">
        <v>2574</v>
      </c>
      <c r="H330" s="1315" t="s">
        <v>1612</v>
      </c>
      <c r="I330" s="1315" t="s">
        <v>1616</v>
      </c>
      <c r="J330" s="1316" t="s">
        <v>1604</v>
      </c>
      <c r="K330" s="1309">
        <v>0</v>
      </c>
      <c r="L330" s="1310" t="s">
        <v>1633</v>
      </c>
      <c r="M330" s="1311">
        <v>0</v>
      </c>
      <c r="N330" s="1312">
        <v>1</v>
      </c>
      <c r="O330" s="1310">
        <v>2</v>
      </c>
      <c r="P330" s="1313">
        <v>28600</v>
      </c>
    </row>
    <row r="331" spans="1:16" x14ac:dyDescent="0.2">
      <c r="A331" s="1302" t="s">
        <v>292</v>
      </c>
      <c r="B331" s="1303" t="s">
        <v>1141</v>
      </c>
      <c r="C331" s="1303" t="s">
        <v>98</v>
      </c>
      <c r="D331" s="1304" t="s">
        <v>2104</v>
      </c>
      <c r="E331" s="1305">
        <v>11000</v>
      </c>
      <c r="F331" s="1306" t="s">
        <v>2575</v>
      </c>
      <c r="G331" s="1307" t="s">
        <v>2576</v>
      </c>
      <c r="H331" s="1307" t="s">
        <v>1603</v>
      </c>
      <c r="I331" s="1307" t="s">
        <v>1598</v>
      </c>
      <c r="J331" s="1308" t="s">
        <v>1604</v>
      </c>
      <c r="K331" s="1309">
        <v>1</v>
      </c>
      <c r="L331" s="1310">
        <v>12</v>
      </c>
      <c r="M331" s="1311">
        <v>116716.67</v>
      </c>
      <c r="N331" s="1312">
        <v>1</v>
      </c>
      <c r="O331" s="1310">
        <v>1</v>
      </c>
      <c r="P331" s="1313">
        <v>11000</v>
      </c>
    </row>
    <row r="332" spans="1:16" ht="22.5" x14ac:dyDescent="0.2">
      <c r="A332" s="1302" t="s">
        <v>292</v>
      </c>
      <c r="B332" s="1303" t="s">
        <v>1141</v>
      </c>
      <c r="C332" s="1303" t="s">
        <v>98</v>
      </c>
      <c r="D332" s="1304" t="s">
        <v>2577</v>
      </c>
      <c r="E332" s="1305">
        <v>6000</v>
      </c>
      <c r="F332" s="1306" t="s">
        <v>2578</v>
      </c>
      <c r="G332" s="1307" t="s">
        <v>2579</v>
      </c>
      <c r="H332" s="1307" t="s">
        <v>2580</v>
      </c>
      <c r="I332" s="1307" t="s">
        <v>1598</v>
      </c>
      <c r="J332" s="1308" t="s">
        <v>1604</v>
      </c>
      <c r="K332" s="1309">
        <v>1</v>
      </c>
      <c r="L332" s="1310">
        <v>12</v>
      </c>
      <c r="M332" s="1311">
        <v>72300</v>
      </c>
      <c r="N332" s="1312">
        <v>1</v>
      </c>
      <c r="O332" s="1310">
        <v>2</v>
      </c>
      <c r="P332" s="1313">
        <v>12000</v>
      </c>
    </row>
    <row r="333" spans="1:16" ht="22.5" x14ac:dyDescent="0.2">
      <c r="A333" s="1302" t="s">
        <v>292</v>
      </c>
      <c r="B333" s="1303" t="s">
        <v>1141</v>
      </c>
      <c r="C333" s="1303" t="s">
        <v>98</v>
      </c>
      <c r="D333" s="1304" t="s">
        <v>2581</v>
      </c>
      <c r="E333" s="1305">
        <v>10000</v>
      </c>
      <c r="F333" s="1306" t="s">
        <v>2582</v>
      </c>
      <c r="G333" s="1307" t="s">
        <v>2583</v>
      </c>
      <c r="H333" s="1307" t="s">
        <v>1603</v>
      </c>
      <c r="I333" s="1307" t="s">
        <v>1598</v>
      </c>
      <c r="J333" s="1308" t="s">
        <v>1604</v>
      </c>
      <c r="K333" s="1309">
        <v>1</v>
      </c>
      <c r="L333" s="1310">
        <v>8</v>
      </c>
      <c r="M333" s="1311">
        <v>74058.960000000006</v>
      </c>
      <c r="N333" s="1312">
        <v>0</v>
      </c>
      <c r="O333" s="1310" t="s">
        <v>1633</v>
      </c>
      <c r="P333" s="1313">
        <v>0</v>
      </c>
    </row>
    <row r="334" spans="1:16" x14ac:dyDescent="0.2">
      <c r="A334" s="1302" t="s">
        <v>292</v>
      </c>
      <c r="B334" s="1303" t="s">
        <v>1141</v>
      </c>
      <c r="C334" s="1303" t="s">
        <v>98</v>
      </c>
      <c r="D334" s="1304" t="s">
        <v>1945</v>
      </c>
      <c r="E334" s="1305">
        <v>15600</v>
      </c>
      <c r="F334" s="1306" t="s">
        <v>2584</v>
      </c>
      <c r="G334" s="1307" t="s">
        <v>2585</v>
      </c>
      <c r="H334" s="1307" t="s">
        <v>1612</v>
      </c>
      <c r="I334" s="1307" t="s">
        <v>1598</v>
      </c>
      <c r="J334" s="1308" t="s">
        <v>1604</v>
      </c>
      <c r="K334" s="1309">
        <v>1</v>
      </c>
      <c r="L334" s="1310">
        <v>5</v>
      </c>
      <c r="M334" s="1311">
        <v>85480</v>
      </c>
      <c r="N334" s="1312">
        <v>0</v>
      </c>
      <c r="O334" s="1310" t="s">
        <v>1633</v>
      </c>
      <c r="P334" s="1313">
        <v>0</v>
      </c>
    </row>
    <row r="335" spans="1:16" x14ac:dyDescent="0.2">
      <c r="A335" s="1302" t="s">
        <v>292</v>
      </c>
      <c r="B335" s="1303" t="s">
        <v>1141</v>
      </c>
      <c r="C335" s="1303" t="s">
        <v>98</v>
      </c>
      <c r="D335" s="1314" t="s">
        <v>2033</v>
      </c>
      <c r="E335" s="1305">
        <v>10500</v>
      </c>
      <c r="F335" s="1306" t="s">
        <v>2586</v>
      </c>
      <c r="G335" s="1307" t="s">
        <v>2587</v>
      </c>
      <c r="H335" s="1315" t="s">
        <v>2588</v>
      </c>
      <c r="I335" s="1315" t="s">
        <v>1598</v>
      </c>
      <c r="J335" s="1316" t="s">
        <v>1604</v>
      </c>
      <c r="K335" s="1309">
        <v>0</v>
      </c>
      <c r="L335" s="1310" t="s">
        <v>1633</v>
      </c>
      <c r="M335" s="1311">
        <v>0</v>
      </c>
      <c r="N335" s="1312">
        <v>1</v>
      </c>
      <c r="O335" s="1310">
        <v>6</v>
      </c>
      <c r="P335" s="1313">
        <v>64750</v>
      </c>
    </row>
    <row r="336" spans="1:16" ht="22.5" x14ac:dyDescent="0.2">
      <c r="A336" s="1302" t="s">
        <v>292</v>
      </c>
      <c r="B336" s="1303" t="s">
        <v>1141</v>
      </c>
      <c r="C336" s="1303" t="s">
        <v>98</v>
      </c>
      <c r="D336" s="1304" t="s">
        <v>2589</v>
      </c>
      <c r="E336" s="1305">
        <v>8000</v>
      </c>
      <c r="F336" s="1306" t="s">
        <v>2590</v>
      </c>
      <c r="G336" s="1307" t="s">
        <v>2591</v>
      </c>
      <c r="H336" s="1307" t="s">
        <v>2592</v>
      </c>
      <c r="I336" s="1307" t="s">
        <v>1598</v>
      </c>
      <c r="J336" s="1308" t="s">
        <v>1604</v>
      </c>
      <c r="K336" s="1309">
        <v>1</v>
      </c>
      <c r="L336" s="1310">
        <v>12</v>
      </c>
      <c r="M336" s="1311">
        <v>95508.88</v>
      </c>
      <c r="N336" s="1312">
        <v>1</v>
      </c>
      <c r="O336" s="1310">
        <v>1</v>
      </c>
      <c r="P336" s="1313">
        <v>7733.33</v>
      </c>
    </row>
    <row r="337" spans="1:16" x14ac:dyDescent="0.2">
      <c r="A337" s="1302" t="s">
        <v>292</v>
      </c>
      <c r="B337" s="1303" t="s">
        <v>1141</v>
      </c>
      <c r="C337" s="1303" t="s">
        <v>98</v>
      </c>
      <c r="D337" s="1304" t="s">
        <v>1683</v>
      </c>
      <c r="E337" s="1305">
        <v>12000</v>
      </c>
      <c r="F337" s="1306" t="s">
        <v>2593</v>
      </c>
      <c r="G337" s="1307" t="s">
        <v>2594</v>
      </c>
      <c r="H337" s="1307" t="s">
        <v>1686</v>
      </c>
      <c r="I337" s="1307" t="s">
        <v>1616</v>
      </c>
      <c r="J337" s="1308" t="s">
        <v>1604</v>
      </c>
      <c r="K337" s="1309">
        <v>1</v>
      </c>
      <c r="L337" s="1310">
        <v>6</v>
      </c>
      <c r="M337" s="1311">
        <v>69200</v>
      </c>
      <c r="N337" s="1312">
        <v>1</v>
      </c>
      <c r="O337" s="1310">
        <v>6</v>
      </c>
      <c r="P337" s="1313">
        <v>72000</v>
      </c>
    </row>
    <row r="338" spans="1:16" x14ac:dyDescent="0.2">
      <c r="A338" s="1302" t="s">
        <v>292</v>
      </c>
      <c r="B338" s="1303" t="s">
        <v>1141</v>
      </c>
      <c r="C338" s="1303" t="s">
        <v>98</v>
      </c>
      <c r="D338" s="1304" t="s">
        <v>1673</v>
      </c>
      <c r="E338" s="1305">
        <v>2000</v>
      </c>
      <c r="F338" s="1306" t="s">
        <v>2595</v>
      </c>
      <c r="G338" s="1307" t="s">
        <v>2596</v>
      </c>
      <c r="H338" s="1307" t="s">
        <v>1901</v>
      </c>
      <c r="I338" s="1307" t="s">
        <v>1621</v>
      </c>
      <c r="J338" s="1308" t="s">
        <v>1599</v>
      </c>
      <c r="K338" s="1309">
        <v>1</v>
      </c>
      <c r="L338" s="1310">
        <v>12</v>
      </c>
      <c r="M338" s="1311">
        <v>24300</v>
      </c>
      <c r="N338" s="1312">
        <v>1</v>
      </c>
      <c r="O338" s="1310">
        <v>6</v>
      </c>
      <c r="P338" s="1313">
        <v>12000</v>
      </c>
    </row>
    <row r="339" spans="1:16" ht="22.5" x14ac:dyDescent="0.2">
      <c r="A339" s="1302" t="s">
        <v>292</v>
      </c>
      <c r="B339" s="1303" t="s">
        <v>1141</v>
      </c>
      <c r="C339" s="1303" t="s">
        <v>98</v>
      </c>
      <c r="D339" s="1304" t="s">
        <v>2597</v>
      </c>
      <c r="E339" s="1305">
        <v>6000</v>
      </c>
      <c r="F339" s="1306" t="s">
        <v>2598</v>
      </c>
      <c r="G339" s="1307" t="s">
        <v>2599</v>
      </c>
      <c r="H339" s="1307" t="s">
        <v>1702</v>
      </c>
      <c r="I339" s="1307" t="s">
        <v>1598</v>
      </c>
      <c r="J339" s="1308" t="s">
        <v>1604</v>
      </c>
      <c r="K339" s="1309">
        <v>1</v>
      </c>
      <c r="L339" s="1310">
        <v>12</v>
      </c>
      <c r="M339" s="1311">
        <v>71900</v>
      </c>
      <c r="N339" s="1312">
        <v>1</v>
      </c>
      <c r="O339" s="1310">
        <v>6</v>
      </c>
      <c r="P339" s="1313">
        <v>36000</v>
      </c>
    </row>
    <row r="340" spans="1:16" x14ac:dyDescent="0.2">
      <c r="A340" s="1302" t="s">
        <v>292</v>
      </c>
      <c r="B340" s="1303" t="s">
        <v>1141</v>
      </c>
      <c r="C340" s="1303" t="s">
        <v>98</v>
      </c>
      <c r="D340" s="1304" t="s">
        <v>2100</v>
      </c>
      <c r="E340" s="1305">
        <v>15600</v>
      </c>
      <c r="F340" s="1306" t="s">
        <v>2600</v>
      </c>
      <c r="G340" s="1307" t="s">
        <v>2601</v>
      </c>
      <c r="H340" s="1307" t="s">
        <v>1603</v>
      </c>
      <c r="I340" s="1307" t="s">
        <v>1598</v>
      </c>
      <c r="J340" s="1308" t="s">
        <v>1604</v>
      </c>
      <c r="K340" s="1309">
        <v>1</v>
      </c>
      <c r="L340" s="1310">
        <v>12</v>
      </c>
      <c r="M340" s="1311">
        <v>180740</v>
      </c>
      <c r="N340" s="1312">
        <v>0</v>
      </c>
      <c r="O340" s="1310" t="s">
        <v>1633</v>
      </c>
      <c r="P340" s="1313">
        <v>0</v>
      </c>
    </row>
    <row r="341" spans="1:16" x14ac:dyDescent="0.2">
      <c r="A341" s="1302" t="s">
        <v>292</v>
      </c>
      <c r="B341" s="1303" t="s">
        <v>1141</v>
      </c>
      <c r="C341" s="1303" t="s">
        <v>98</v>
      </c>
      <c r="D341" s="1304" t="s">
        <v>2602</v>
      </c>
      <c r="E341" s="1305">
        <v>6000</v>
      </c>
      <c r="F341" s="1306" t="s">
        <v>2603</v>
      </c>
      <c r="G341" s="1307" t="s">
        <v>2604</v>
      </c>
      <c r="H341" s="1307" t="s">
        <v>1620</v>
      </c>
      <c r="I341" s="1307" t="s">
        <v>1598</v>
      </c>
      <c r="J341" s="1308" t="s">
        <v>1616</v>
      </c>
      <c r="K341" s="1309">
        <v>1</v>
      </c>
      <c r="L341" s="1310">
        <v>6</v>
      </c>
      <c r="M341" s="1311">
        <v>34600</v>
      </c>
      <c r="N341" s="1312">
        <v>1</v>
      </c>
      <c r="O341" s="1310">
        <v>6</v>
      </c>
      <c r="P341" s="1313">
        <v>36000</v>
      </c>
    </row>
    <row r="342" spans="1:16" x14ac:dyDescent="0.2">
      <c r="A342" s="1302" t="s">
        <v>292</v>
      </c>
      <c r="B342" s="1303" t="s">
        <v>1141</v>
      </c>
      <c r="C342" s="1303" t="s">
        <v>98</v>
      </c>
      <c r="D342" s="1304" t="s">
        <v>1803</v>
      </c>
      <c r="E342" s="1305">
        <v>5000</v>
      </c>
      <c r="F342" s="1306" t="s">
        <v>2605</v>
      </c>
      <c r="G342" s="1307" t="s">
        <v>2606</v>
      </c>
      <c r="H342" s="1307" t="s">
        <v>1694</v>
      </c>
      <c r="I342" s="1307" t="s">
        <v>1598</v>
      </c>
      <c r="J342" s="1308" t="s">
        <v>1599</v>
      </c>
      <c r="K342" s="1309">
        <v>1</v>
      </c>
      <c r="L342" s="1310">
        <v>12</v>
      </c>
      <c r="M342" s="1311">
        <v>60300</v>
      </c>
      <c r="N342" s="1312">
        <v>1</v>
      </c>
      <c r="O342" s="1310">
        <v>6</v>
      </c>
      <c r="P342" s="1313">
        <v>30000</v>
      </c>
    </row>
    <row r="343" spans="1:16" ht="22.5" x14ac:dyDescent="0.2">
      <c r="A343" s="1302" t="s">
        <v>292</v>
      </c>
      <c r="B343" s="1303" t="s">
        <v>1141</v>
      </c>
      <c r="C343" s="1303" t="s">
        <v>98</v>
      </c>
      <c r="D343" s="1304" t="s">
        <v>2607</v>
      </c>
      <c r="E343" s="1305">
        <v>5500</v>
      </c>
      <c r="F343" s="1306" t="s">
        <v>2608</v>
      </c>
      <c r="G343" s="1307" t="s">
        <v>2609</v>
      </c>
      <c r="H343" s="1307" t="s">
        <v>1612</v>
      </c>
      <c r="I343" s="1307" t="s">
        <v>1598</v>
      </c>
      <c r="J343" s="1308" t="s">
        <v>1604</v>
      </c>
      <c r="K343" s="1309">
        <v>1</v>
      </c>
      <c r="L343" s="1310">
        <v>12</v>
      </c>
      <c r="M343" s="1311">
        <v>66300</v>
      </c>
      <c r="N343" s="1312">
        <v>1</v>
      </c>
      <c r="O343" s="1310">
        <v>6</v>
      </c>
      <c r="P343" s="1313">
        <v>33000</v>
      </c>
    </row>
    <row r="344" spans="1:16" x14ac:dyDescent="0.2">
      <c r="A344" s="1302" t="s">
        <v>292</v>
      </c>
      <c r="B344" s="1303" t="s">
        <v>1141</v>
      </c>
      <c r="C344" s="1303" t="s">
        <v>98</v>
      </c>
      <c r="D344" s="1304" t="s">
        <v>2610</v>
      </c>
      <c r="E344" s="1305">
        <v>4500</v>
      </c>
      <c r="F344" s="1306" t="s">
        <v>2611</v>
      </c>
      <c r="G344" s="1307" t="s">
        <v>2612</v>
      </c>
      <c r="H344" s="1307" t="s">
        <v>2613</v>
      </c>
      <c r="I344" s="1307" t="s">
        <v>1616</v>
      </c>
      <c r="J344" s="1308" t="s">
        <v>1604</v>
      </c>
      <c r="K344" s="1309">
        <v>1</v>
      </c>
      <c r="L344" s="1310">
        <v>8</v>
      </c>
      <c r="M344" s="1311">
        <v>36200</v>
      </c>
      <c r="N344" s="1312">
        <v>1</v>
      </c>
      <c r="O344" s="1310">
        <v>6</v>
      </c>
      <c r="P344" s="1313">
        <v>27000</v>
      </c>
    </row>
    <row r="345" spans="1:16" ht="22.5" x14ac:dyDescent="0.2">
      <c r="A345" s="1302" t="s">
        <v>292</v>
      </c>
      <c r="B345" s="1303" t="s">
        <v>1141</v>
      </c>
      <c r="C345" s="1303" t="s">
        <v>98</v>
      </c>
      <c r="D345" s="1304" t="s">
        <v>2614</v>
      </c>
      <c r="E345" s="1305">
        <v>3500</v>
      </c>
      <c r="F345" s="1306" t="s">
        <v>2615</v>
      </c>
      <c r="G345" s="1307" t="s">
        <v>2616</v>
      </c>
      <c r="H345" s="1307" t="s">
        <v>1812</v>
      </c>
      <c r="I345" s="1307" t="s">
        <v>1598</v>
      </c>
      <c r="J345" s="1308" t="s">
        <v>1604</v>
      </c>
      <c r="K345" s="1309">
        <v>1</v>
      </c>
      <c r="L345" s="1310">
        <v>12</v>
      </c>
      <c r="M345" s="1311">
        <v>41796</v>
      </c>
      <c r="N345" s="1312">
        <v>1</v>
      </c>
      <c r="O345" s="1310">
        <v>6</v>
      </c>
      <c r="P345" s="1313">
        <v>21000</v>
      </c>
    </row>
    <row r="346" spans="1:16" ht="22.5" x14ac:dyDescent="0.2">
      <c r="A346" s="1302" t="s">
        <v>292</v>
      </c>
      <c r="B346" s="1303" t="s">
        <v>1141</v>
      </c>
      <c r="C346" s="1303" t="s">
        <v>98</v>
      </c>
      <c r="D346" s="1304" t="s">
        <v>2617</v>
      </c>
      <c r="E346" s="1305">
        <v>6000</v>
      </c>
      <c r="F346" s="1306" t="s">
        <v>2618</v>
      </c>
      <c r="G346" s="1307" t="s">
        <v>2619</v>
      </c>
      <c r="H346" s="1307" t="s">
        <v>1668</v>
      </c>
      <c r="I346" s="1307" t="s">
        <v>1598</v>
      </c>
      <c r="J346" s="1308" t="s">
        <v>1604</v>
      </c>
      <c r="K346" s="1309">
        <v>1</v>
      </c>
      <c r="L346" s="1310">
        <v>12</v>
      </c>
      <c r="M346" s="1311">
        <v>71900</v>
      </c>
      <c r="N346" s="1312">
        <v>1</v>
      </c>
      <c r="O346" s="1310">
        <v>6</v>
      </c>
      <c r="P346" s="1313">
        <v>36000</v>
      </c>
    </row>
    <row r="347" spans="1:16" x14ac:dyDescent="0.2">
      <c r="A347" s="1302" t="s">
        <v>292</v>
      </c>
      <c r="B347" s="1303" t="s">
        <v>1141</v>
      </c>
      <c r="C347" s="1303" t="s">
        <v>98</v>
      </c>
      <c r="D347" s="1304" t="s">
        <v>2620</v>
      </c>
      <c r="E347" s="1305">
        <v>7000</v>
      </c>
      <c r="F347" s="1306" t="s">
        <v>2621</v>
      </c>
      <c r="G347" s="1307" t="s">
        <v>2622</v>
      </c>
      <c r="H347" s="1307" t="s">
        <v>1620</v>
      </c>
      <c r="I347" s="1307" t="s">
        <v>1598</v>
      </c>
      <c r="J347" s="1308" t="s">
        <v>1616</v>
      </c>
      <c r="K347" s="1309">
        <v>1</v>
      </c>
      <c r="L347" s="1310">
        <v>2</v>
      </c>
      <c r="M347" s="1311">
        <v>15400</v>
      </c>
      <c r="N347" s="1312">
        <v>1</v>
      </c>
      <c r="O347" s="1310">
        <v>6</v>
      </c>
      <c r="P347" s="1313">
        <v>41097.770000000004</v>
      </c>
    </row>
    <row r="348" spans="1:16" x14ac:dyDescent="0.2">
      <c r="A348" s="1302" t="s">
        <v>292</v>
      </c>
      <c r="B348" s="1303" t="s">
        <v>1141</v>
      </c>
      <c r="C348" s="1303" t="s">
        <v>98</v>
      </c>
      <c r="D348" s="1304" t="s">
        <v>2623</v>
      </c>
      <c r="E348" s="1305">
        <v>12000</v>
      </c>
      <c r="F348" s="1306" t="s">
        <v>2624</v>
      </c>
      <c r="G348" s="1307" t="s">
        <v>2625</v>
      </c>
      <c r="H348" s="1307" t="s">
        <v>1603</v>
      </c>
      <c r="I348" s="1307" t="s">
        <v>1598</v>
      </c>
      <c r="J348" s="1308" t="s">
        <v>1604</v>
      </c>
      <c r="K348" s="1309">
        <v>1</v>
      </c>
      <c r="L348" s="1310">
        <v>12</v>
      </c>
      <c r="M348" s="1311">
        <v>143900</v>
      </c>
      <c r="N348" s="1312">
        <v>1</v>
      </c>
      <c r="O348" s="1310">
        <v>6</v>
      </c>
      <c r="P348" s="1313">
        <v>72000</v>
      </c>
    </row>
    <row r="349" spans="1:16" ht="22.5" x14ac:dyDescent="0.2">
      <c r="A349" s="1302" t="s">
        <v>292</v>
      </c>
      <c r="B349" s="1303" t="s">
        <v>1141</v>
      </c>
      <c r="C349" s="1303" t="s">
        <v>98</v>
      </c>
      <c r="D349" s="1304" t="s">
        <v>2245</v>
      </c>
      <c r="E349" s="1305">
        <v>15600</v>
      </c>
      <c r="F349" s="1306" t="s">
        <v>2626</v>
      </c>
      <c r="G349" s="1307" t="s">
        <v>2627</v>
      </c>
      <c r="H349" s="1307" t="s">
        <v>1753</v>
      </c>
      <c r="I349" s="1307" t="s">
        <v>1616</v>
      </c>
      <c r="J349" s="1308" t="s">
        <v>1604</v>
      </c>
      <c r="K349" s="1309">
        <v>1</v>
      </c>
      <c r="L349" s="1310">
        <v>2</v>
      </c>
      <c r="M349" s="1311">
        <v>9880</v>
      </c>
      <c r="N349" s="1312">
        <v>0</v>
      </c>
      <c r="O349" s="1310" t="s">
        <v>1633</v>
      </c>
      <c r="P349" s="1313">
        <v>0</v>
      </c>
    </row>
    <row r="350" spans="1:16" x14ac:dyDescent="0.2">
      <c r="A350" s="1302" t="s">
        <v>292</v>
      </c>
      <c r="B350" s="1303" t="s">
        <v>1141</v>
      </c>
      <c r="C350" s="1303" t="s">
        <v>98</v>
      </c>
      <c r="D350" s="1304" t="s">
        <v>1600</v>
      </c>
      <c r="E350" s="1305">
        <v>8000</v>
      </c>
      <c r="F350" s="1306" t="s">
        <v>2628</v>
      </c>
      <c r="G350" s="1307" t="s">
        <v>2629</v>
      </c>
      <c r="H350" s="1307" t="s">
        <v>1603</v>
      </c>
      <c r="I350" s="1307" t="s">
        <v>1598</v>
      </c>
      <c r="J350" s="1308" t="s">
        <v>1604</v>
      </c>
      <c r="K350" s="1309">
        <v>1</v>
      </c>
      <c r="L350" s="1310">
        <v>12</v>
      </c>
      <c r="M350" s="1311">
        <v>96158.33</v>
      </c>
      <c r="N350" s="1312">
        <v>1</v>
      </c>
      <c r="O350" s="1310">
        <v>6</v>
      </c>
      <c r="P350" s="1313">
        <v>48000</v>
      </c>
    </row>
    <row r="351" spans="1:16" ht="22.5" x14ac:dyDescent="0.2">
      <c r="A351" s="1302" t="s">
        <v>292</v>
      </c>
      <c r="B351" s="1303" t="s">
        <v>1141</v>
      </c>
      <c r="C351" s="1303" t="s">
        <v>98</v>
      </c>
      <c r="D351" s="1314" t="s">
        <v>2630</v>
      </c>
      <c r="E351" s="1305">
        <v>9000</v>
      </c>
      <c r="F351" s="1306" t="s">
        <v>2631</v>
      </c>
      <c r="G351" s="1307" t="s">
        <v>2632</v>
      </c>
      <c r="H351" s="1315" t="s">
        <v>1709</v>
      </c>
      <c r="I351" s="1315" t="s">
        <v>1598</v>
      </c>
      <c r="J351" s="1316" t="s">
        <v>1604</v>
      </c>
      <c r="K351" s="1309">
        <v>0</v>
      </c>
      <c r="L351" s="1310" t="s">
        <v>1633</v>
      </c>
      <c r="M351" s="1311">
        <v>0</v>
      </c>
      <c r="N351" s="1312">
        <v>1</v>
      </c>
      <c r="O351" s="1310">
        <v>2</v>
      </c>
      <c r="P351" s="1313">
        <v>22500</v>
      </c>
    </row>
    <row r="352" spans="1:16" ht="22.5" x14ac:dyDescent="0.2">
      <c r="A352" s="1302" t="s">
        <v>292</v>
      </c>
      <c r="B352" s="1303" t="s">
        <v>1141</v>
      </c>
      <c r="C352" s="1303" t="s">
        <v>98</v>
      </c>
      <c r="D352" s="1304" t="s">
        <v>2633</v>
      </c>
      <c r="E352" s="1305">
        <v>7000</v>
      </c>
      <c r="F352" s="1306" t="s">
        <v>2634</v>
      </c>
      <c r="G352" s="1307" t="s">
        <v>2635</v>
      </c>
      <c r="H352" s="1307" t="s">
        <v>2636</v>
      </c>
      <c r="I352" s="1307" t="s">
        <v>1598</v>
      </c>
      <c r="J352" s="1308" t="s">
        <v>1599</v>
      </c>
      <c r="K352" s="1309">
        <v>1</v>
      </c>
      <c r="L352" s="1310">
        <v>12</v>
      </c>
      <c r="M352" s="1311">
        <v>84300</v>
      </c>
      <c r="N352" s="1312">
        <v>1</v>
      </c>
      <c r="O352" s="1310">
        <v>6</v>
      </c>
      <c r="P352" s="1313">
        <v>42000</v>
      </c>
    </row>
    <row r="353" spans="1:16" x14ac:dyDescent="0.2">
      <c r="A353" s="1302" t="s">
        <v>292</v>
      </c>
      <c r="B353" s="1303" t="s">
        <v>1141</v>
      </c>
      <c r="C353" s="1303" t="s">
        <v>98</v>
      </c>
      <c r="D353" s="1314" t="s">
        <v>2637</v>
      </c>
      <c r="E353" s="1305">
        <v>9000</v>
      </c>
      <c r="F353" s="1306" t="s">
        <v>2638</v>
      </c>
      <c r="G353" s="1307" t="s">
        <v>2639</v>
      </c>
      <c r="H353" s="1315" t="s">
        <v>1739</v>
      </c>
      <c r="I353" s="1315" t="s">
        <v>1598</v>
      </c>
      <c r="J353" s="1316" t="s">
        <v>1604</v>
      </c>
      <c r="K353" s="1309">
        <v>0</v>
      </c>
      <c r="L353" s="1310" t="s">
        <v>1633</v>
      </c>
      <c r="M353" s="1311">
        <v>0</v>
      </c>
      <c r="N353" s="1312">
        <v>1</v>
      </c>
      <c r="O353" s="1310">
        <v>6</v>
      </c>
      <c r="P353" s="1313">
        <v>55500</v>
      </c>
    </row>
    <row r="354" spans="1:16" x14ac:dyDescent="0.2">
      <c r="A354" s="1302" t="s">
        <v>292</v>
      </c>
      <c r="B354" s="1303" t="s">
        <v>1141</v>
      </c>
      <c r="C354" s="1303" t="s">
        <v>98</v>
      </c>
      <c r="D354" s="1304" t="s">
        <v>2558</v>
      </c>
      <c r="E354" s="1305">
        <v>5000</v>
      </c>
      <c r="F354" s="1306" t="s">
        <v>2640</v>
      </c>
      <c r="G354" s="1307" t="s">
        <v>2641</v>
      </c>
      <c r="H354" s="1307" t="s">
        <v>1664</v>
      </c>
      <c r="I354" s="1307" t="s">
        <v>1598</v>
      </c>
      <c r="J354" s="1308" t="s">
        <v>1616</v>
      </c>
      <c r="K354" s="1309">
        <v>1</v>
      </c>
      <c r="L354" s="1310">
        <v>1</v>
      </c>
      <c r="M354" s="1311">
        <v>4333.33</v>
      </c>
      <c r="N354" s="1312">
        <v>1</v>
      </c>
      <c r="O354" s="1310">
        <v>6</v>
      </c>
      <c r="P354" s="1313">
        <v>30000</v>
      </c>
    </row>
    <row r="355" spans="1:16" x14ac:dyDescent="0.2">
      <c r="A355" s="1302" t="s">
        <v>292</v>
      </c>
      <c r="B355" s="1303" t="s">
        <v>1141</v>
      </c>
      <c r="C355" s="1303" t="s">
        <v>98</v>
      </c>
      <c r="D355" s="1304" t="s">
        <v>2558</v>
      </c>
      <c r="E355" s="1305">
        <v>5000</v>
      </c>
      <c r="F355" s="1306" t="s">
        <v>2640</v>
      </c>
      <c r="G355" s="1307" t="s">
        <v>2641</v>
      </c>
      <c r="H355" s="1307" t="s">
        <v>1664</v>
      </c>
      <c r="I355" s="1307" t="s">
        <v>1598</v>
      </c>
      <c r="J355" s="1308" t="s">
        <v>1616</v>
      </c>
      <c r="K355" s="1309">
        <v>1</v>
      </c>
      <c r="L355" s="1310">
        <v>1</v>
      </c>
      <c r="M355" s="1311">
        <v>4333.33</v>
      </c>
      <c r="N355" s="1312">
        <v>1</v>
      </c>
      <c r="O355" s="1310">
        <v>6</v>
      </c>
      <c r="P355" s="1313">
        <v>30000</v>
      </c>
    </row>
    <row r="356" spans="1:16" x14ac:dyDescent="0.2">
      <c r="A356" s="1302" t="s">
        <v>292</v>
      </c>
      <c r="B356" s="1303" t="s">
        <v>1141</v>
      </c>
      <c r="C356" s="1303" t="s">
        <v>98</v>
      </c>
      <c r="D356" s="1304" t="s">
        <v>2642</v>
      </c>
      <c r="E356" s="1305">
        <v>6000</v>
      </c>
      <c r="F356" s="1306" t="s">
        <v>2643</v>
      </c>
      <c r="G356" s="1307" t="s">
        <v>2644</v>
      </c>
      <c r="H356" s="1307" t="s">
        <v>2645</v>
      </c>
      <c r="I356" s="1307" t="s">
        <v>1616</v>
      </c>
      <c r="J356" s="1308" t="s">
        <v>1604</v>
      </c>
      <c r="K356" s="1309">
        <v>1</v>
      </c>
      <c r="L356" s="1310">
        <v>12</v>
      </c>
      <c r="M356" s="1311">
        <v>72300</v>
      </c>
      <c r="N356" s="1312">
        <v>1</v>
      </c>
      <c r="O356" s="1310">
        <v>6</v>
      </c>
      <c r="P356" s="1313">
        <v>36000</v>
      </c>
    </row>
    <row r="357" spans="1:16" ht="22.5" x14ac:dyDescent="0.2">
      <c r="A357" s="1302" t="s">
        <v>292</v>
      </c>
      <c r="B357" s="1303" t="s">
        <v>1141</v>
      </c>
      <c r="C357" s="1303" t="s">
        <v>98</v>
      </c>
      <c r="D357" s="1304" t="s">
        <v>2646</v>
      </c>
      <c r="E357" s="1305">
        <v>7500</v>
      </c>
      <c r="F357" s="1306" t="s">
        <v>2647</v>
      </c>
      <c r="G357" s="1307" t="s">
        <v>2648</v>
      </c>
      <c r="H357" s="1307" t="s">
        <v>1655</v>
      </c>
      <c r="I357" s="1307" t="s">
        <v>1598</v>
      </c>
      <c r="J357" s="1308" t="s">
        <v>1604</v>
      </c>
      <c r="K357" s="1309">
        <v>1</v>
      </c>
      <c r="L357" s="1310">
        <v>12</v>
      </c>
      <c r="M357" s="1311">
        <v>90300</v>
      </c>
      <c r="N357" s="1312">
        <v>1</v>
      </c>
      <c r="O357" s="1310">
        <v>6</v>
      </c>
      <c r="P357" s="1313">
        <v>45000</v>
      </c>
    </row>
    <row r="358" spans="1:16" x14ac:dyDescent="0.2">
      <c r="A358" s="1302" t="s">
        <v>292</v>
      </c>
      <c r="B358" s="1303" t="s">
        <v>1141</v>
      </c>
      <c r="C358" s="1303" t="s">
        <v>98</v>
      </c>
      <c r="D358" s="1304" t="s">
        <v>2649</v>
      </c>
      <c r="E358" s="1305">
        <v>8000</v>
      </c>
      <c r="F358" s="1306" t="s">
        <v>2650</v>
      </c>
      <c r="G358" s="1307" t="s">
        <v>2651</v>
      </c>
      <c r="H358" s="1307" t="s">
        <v>1608</v>
      </c>
      <c r="I358" s="1307" t="s">
        <v>1598</v>
      </c>
      <c r="J358" s="1308" t="s">
        <v>1616</v>
      </c>
      <c r="K358" s="1309">
        <v>1</v>
      </c>
      <c r="L358" s="1310">
        <v>4</v>
      </c>
      <c r="M358" s="1311">
        <v>30592.190000000002</v>
      </c>
      <c r="N358" s="1312">
        <v>1</v>
      </c>
      <c r="O358" s="1310">
        <v>6</v>
      </c>
      <c r="P358" s="1313">
        <v>48000</v>
      </c>
    </row>
    <row r="359" spans="1:16" x14ac:dyDescent="0.2">
      <c r="A359" s="1302" t="s">
        <v>292</v>
      </c>
      <c r="B359" s="1303" t="s">
        <v>1141</v>
      </c>
      <c r="C359" s="1303" t="s">
        <v>98</v>
      </c>
      <c r="D359" s="1304" t="s">
        <v>1803</v>
      </c>
      <c r="E359" s="1305">
        <v>3800</v>
      </c>
      <c r="F359" s="1306" t="s">
        <v>2652</v>
      </c>
      <c r="G359" s="1307" t="s">
        <v>2653</v>
      </c>
      <c r="H359" s="1307" t="s">
        <v>1856</v>
      </c>
      <c r="I359" s="1307" t="s">
        <v>1598</v>
      </c>
      <c r="J359" s="1308" t="s">
        <v>1599</v>
      </c>
      <c r="K359" s="1309">
        <v>1</v>
      </c>
      <c r="L359" s="1310">
        <v>12</v>
      </c>
      <c r="M359" s="1311">
        <v>45600.22</v>
      </c>
      <c r="N359" s="1312">
        <v>1</v>
      </c>
      <c r="O359" s="1310">
        <v>6</v>
      </c>
      <c r="P359" s="1313">
        <v>22800</v>
      </c>
    </row>
    <row r="360" spans="1:16" x14ac:dyDescent="0.2">
      <c r="A360" s="1302" t="s">
        <v>292</v>
      </c>
      <c r="B360" s="1303" t="s">
        <v>1141</v>
      </c>
      <c r="C360" s="1303" t="s">
        <v>98</v>
      </c>
      <c r="D360" s="1304" t="s">
        <v>1644</v>
      </c>
      <c r="E360" s="1305">
        <v>6000</v>
      </c>
      <c r="F360" s="1306" t="s">
        <v>2654</v>
      </c>
      <c r="G360" s="1307" t="s">
        <v>2655</v>
      </c>
      <c r="H360" s="1307" t="s">
        <v>2304</v>
      </c>
      <c r="I360" s="1307" t="s">
        <v>1598</v>
      </c>
      <c r="J360" s="1308" t="s">
        <v>1616</v>
      </c>
      <c r="K360" s="1309">
        <v>1</v>
      </c>
      <c r="L360" s="1310">
        <v>6</v>
      </c>
      <c r="M360" s="1311">
        <v>34600</v>
      </c>
      <c r="N360" s="1312">
        <v>1</v>
      </c>
      <c r="O360" s="1310">
        <v>6</v>
      </c>
      <c r="P360" s="1313">
        <v>36000</v>
      </c>
    </row>
    <row r="361" spans="1:16" ht="22.5" x14ac:dyDescent="0.2">
      <c r="A361" s="1302" t="s">
        <v>292</v>
      </c>
      <c r="B361" s="1303" t="s">
        <v>1141</v>
      </c>
      <c r="C361" s="1303" t="s">
        <v>98</v>
      </c>
      <c r="D361" s="1304" t="s">
        <v>2656</v>
      </c>
      <c r="E361" s="1305">
        <v>9500</v>
      </c>
      <c r="F361" s="1306" t="s">
        <v>2657</v>
      </c>
      <c r="G361" s="1307" t="s">
        <v>2658</v>
      </c>
      <c r="H361" s="1307" t="s">
        <v>1655</v>
      </c>
      <c r="I361" s="1307" t="s">
        <v>1598</v>
      </c>
      <c r="J361" s="1308" t="s">
        <v>1604</v>
      </c>
      <c r="K361" s="1309">
        <v>1</v>
      </c>
      <c r="L361" s="1310">
        <v>12</v>
      </c>
      <c r="M361" s="1311">
        <v>114300</v>
      </c>
      <c r="N361" s="1312">
        <v>1</v>
      </c>
      <c r="O361" s="1310">
        <v>6</v>
      </c>
      <c r="P361" s="1313">
        <v>57000</v>
      </c>
    </row>
    <row r="362" spans="1:16" x14ac:dyDescent="0.2">
      <c r="A362" s="1302" t="s">
        <v>292</v>
      </c>
      <c r="B362" s="1303" t="s">
        <v>1141</v>
      </c>
      <c r="C362" s="1303" t="s">
        <v>98</v>
      </c>
      <c r="D362" s="1304" t="s">
        <v>2659</v>
      </c>
      <c r="E362" s="1305">
        <v>9000</v>
      </c>
      <c r="F362" s="1306" t="s">
        <v>2660</v>
      </c>
      <c r="G362" s="1307" t="s">
        <v>2661</v>
      </c>
      <c r="H362" s="1307" t="s">
        <v>1603</v>
      </c>
      <c r="I362" s="1307" t="s">
        <v>1598</v>
      </c>
      <c r="J362" s="1308" t="s">
        <v>1604</v>
      </c>
      <c r="K362" s="1309">
        <v>1</v>
      </c>
      <c r="L362" s="1310">
        <v>6</v>
      </c>
      <c r="M362" s="1311">
        <v>51900</v>
      </c>
      <c r="N362" s="1312">
        <v>1</v>
      </c>
      <c r="O362" s="1310">
        <v>6</v>
      </c>
      <c r="P362" s="1313">
        <v>54000</v>
      </c>
    </row>
    <row r="363" spans="1:16" x14ac:dyDescent="0.2">
      <c r="A363" s="1302" t="s">
        <v>292</v>
      </c>
      <c r="B363" s="1303" t="s">
        <v>1141</v>
      </c>
      <c r="C363" s="1303" t="s">
        <v>98</v>
      </c>
      <c r="D363" s="1304" t="s">
        <v>2406</v>
      </c>
      <c r="E363" s="1305">
        <v>7000</v>
      </c>
      <c r="F363" s="1306" t="s">
        <v>2662</v>
      </c>
      <c r="G363" s="1307" t="s">
        <v>2663</v>
      </c>
      <c r="H363" s="1307" t="s">
        <v>1975</v>
      </c>
      <c r="I363" s="1307" t="s">
        <v>1598</v>
      </c>
      <c r="J363" s="1308" t="s">
        <v>1604</v>
      </c>
      <c r="K363" s="1309">
        <v>1</v>
      </c>
      <c r="L363" s="1310">
        <v>2</v>
      </c>
      <c r="M363" s="1311">
        <v>12366.67</v>
      </c>
      <c r="N363" s="1312">
        <v>0</v>
      </c>
      <c r="O363" s="1310" t="s">
        <v>1633</v>
      </c>
      <c r="P363" s="1313">
        <v>0</v>
      </c>
    </row>
    <row r="364" spans="1:16" x14ac:dyDescent="0.2">
      <c r="A364" s="1302" t="s">
        <v>292</v>
      </c>
      <c r="B364" s="1303" t="s">
        <v>1141</v>
      </c>
      <c r="C364" s="1303" t="s">
        <v>98</v>
      </c>
      <c r="D364" s="1304" t="s">
        <v>1879</v>
      </c>
      <c r="E364" s="1305">
        <v>8000</v>
      </c>
      <c r="F364" s="1306" t="s">
        <v>2664</v>
      </c>
      <c r="G364" s="1307" t="s">
        <v>2665</v>
      </c>
      <c r="H364" s="1307" t="s">
        <v>1672</v>
      </c>
      <c r="I364" s="1307" t="s">
        <v>1598</v>
      </c>
      <c r="J364" s="1308" t="s">
        <v>1604</v>
      </c>
      <c r="K364" s="1309">
        <v>1</v>
      </c>
      <c r="L364" s="1310">
        <v>12</v>
      </c>
      <c r="M364" s="1311">
        <v>83240</v>
      </c>
      <c r="N364" s="1312">
        <v>1</v>
      </c>
      <c r="O364" s="1310">
        <v>6</v>
      </c>
      <c r="P364" s="1313">
        <v>48000</v>
      </c>
    </row>
    <row r="365" spans="1:16" x14ac:dyDescent="0.2">
      <c r="A365" s="1302" t="s">
        <v>292</v>
      </c>
      <c r="B365" s="1303" t="s">
        <v>1141</v>
      </c>
      <c r="C365" s="1303" t="s">
        <v>98</v>
      </c>
      <c r="D365" s="1304" t="s">
        <v>1617</v>
      </c>
      <c r="E365" s="1305">
        <v>3400</v>
      </c>
      <c r="F365" s="1306" t="s">
        <v>2666</v>
      </c>
      <c r="G365" s="1307" t="s">
        <v>2667</v>
      </c>
      <c r="H365" s="1307" t="s">
        <v>1812</v>
      </c>
      <c r="I365" s="1307" t="s">
        <v>1698</v>
      </c>
      <c r="J365" s="1308" t="s">
        <v>1599</v>
      </c>
      <c r="K365" s="1309">
        <v>1</v>
      </c>
      <c r="L365" s="1310">
        <v>12</v>
      </c>
      <c r="M365" s="1311">
        <v>41100</v>
      </c>
      <c r="N365" s="1312">
        <v>1</v>
      </c>
      <c r="O365" s="1310">
        <v>6</v>
      </c>
      <c r="P365" s="1313">
        <v>20400</v>
      </c>
    </row>
    <row r="366" spans="1:16" ht="22.5" x14ac:dyDescent="0.2">
      <c r="A366" s="1302" t="s">
        <v>292</v>
      </c>
      <c r="B366" s="1303" t="s">
        <v>1141</v>
      </c>
      <c r="C366" s="1303" t="s">
        <v>98</v>
      </c>
      <c r="D366" s="1304" t="s">
        <v>2668</v>
      </c>
      <c r="E366" s="1305">
        <v>8000</v>
      </c>
      <c r="F366" s="1306" t="s">
        <v>2669</v>
      </c>
      <c r="G366" s="1307" t="s">
        <v>2670</v>
      </c>
      <c r="H366" s="1307" t="s">
        <v>1620</v>
      </c>
      <c r="I366" s="1307" t="s">
        <v>1616</v>
      </c>
      <c r="J366" s="1308" t="s">
        <v>1616</v>
      </c>
      <c r="K366" s="1309">
        <v>1</v>
      </c>
      <c r="L366" s="1310">
        <v>6</v>
      </c>
      <c r="M366" s="1311">
        <v>46133.33</v>
      </c>
      <c r="N366" s="1312">
        <v>1</v>
      </c>
      <c r="O366" s="1310">
        <v>6</v>
      </c>
      <c r="P366" s="1313">
        <v>48000</v>
      </c>
    </row>
    <row r="367" spans="1:16" x14ac:dyDescent="0.2">
      <c r="A367" s="1302" t="s">
        <v>292</v>
      </c>
      <c r="B367" s="1303" t="s">
        <v>1141</v>
      </c>
      <c r="C367" s="1303" t="s">
        <v>98</v>
      </c>
      <c r="D367" s="1304" t="s">
        <v>1768</v>
      </c>
      <c r="E367" s="1305">
        <v>2000</v>
      </c>
      <c r="F367" s="1306" t="s">
        <v>2671</v>
      </c>
      <c r="G367" s="1307" t="s">
        <v>2672</v>
      </c>
      <c r="H367" s="1307" t="s">
        <v>1659</v>
      </c>
      <c r="I367" s="1307" t="s">
        <v>1660</v>
      </c>
      <c r="J367" s="1308" t="s">
        <v>1659</v>
      </c>
      <c r="K367" s="1309">
        <v>1</v>
      </c>
      <c r="L367" s="1310">
        <v>3</v>
      </c>
      <c r="M367" s="1311">
        <v>6000</v>
      </c>
      <c r="N367" s="1312">
        <v>0</v>
      </c>
      <c r="O367" s="1310" t="s">
        <v>1633</v>
      </c>
      <c r="P367" s="1313">
        <v>0</v>
      </c>
    </row>
    <row r="368" spans="1:16" x14ac:dyDescent="0.2">
      <c r="A368" s="1302" t="s">
        <v>292</v>
      </c>
      <c r="B368" s="1303" t="s">
        <v>1141</v>
      </c>
      <c r="C368" s="1303" t="s">
        <v>98</v>
      </c>
      <c r="D368" s="1304" t="s">
        <v>2673</v>
      </c>
      <c r="E368" s="1305">
        <v>8000</v>
      </c>
      <c r="F368" s="1306" t="s">
        <v>2674</v>
      </c>
      <c r="G368" s="1307" t="s">
        <v>2675</v>
      </c>
      <c r="H368" s="1307" t="s">
        <v>1651</v>
      </c>
      <c r="I368" s="1307" t="s">
        <v>1598</v>
      </c>
      <c r="J368" s="1308" t="s">
        <v>1616</v>
      </c>
      <c r="K368" s="1309">
        <v>1</v>
      </c>
      <c r="L368" s="1310">
        <v>4</v>
      </c>
      <c r="M368" s="1311">
        <v>30933.33</v>
      </c>
      <c r="N368" s="1312">
        <v>1</v>
      </c>
      <c r="O368" s="1310">
        <v>6</v>
      </c>
      <c r="P368" s="1313">
        <v>48000</v>
      </c>
    </row>
    <row r="369" spans="1:16" x14ac:dyDescent="0.2">
      <c r="A369" s="1302" t="s">
        <v>292</v>
      </c>
      <c r="B369" s="1303" t="s">
        <v>1141</v>
      </c>
      <c r="C369" s="1303" t="s">
        <v>98</v>
      </c>
      <c r="D369" s="1304" t="s">
        <v>2676</v>
      </c>
      <c r="E369" s="1305">
        <v>8500</v>
      </c>
      <c r="F369" s="1306" t="s">
        <v>2677</v>
      </c>
      <c r="G369" s="1307" t="s">
        <v>2678</v>
      </c>
      <c r="H369" s="1307" t="s">
        <v>1647</v>
      </c>
      <c r="I369" s="1307" t="s">
        <v>1598</v>
      </c>
      <c r="J369" s="1308" t="s">
        <v>1604</v>
      </c>
      <c r="K369" s="1309">
        <v>1</v>
      </c>
      <c r="L369" s="1310">
        <v>12</v>
      </c>
      <c r="M369" s="1311">
        <v>102300</v>
      </c>
      <c r="N369" s="1312">
        <v>1</v>
      </c>
      <c r="O369" s="1310">
        <v>6</v>
      </c>
      <c r="P369" s="1313">
        <v>51000</v>
      </c>
    </row>
    <row r="370" spans="1:16" x14ac:dyDescent="0.2">
      <c r="A370" s="1302" t="s">
        <v>292</v>
      </c>
      <c r="B370" s="1303" t="s">
        <v>1141</v>
      </c>
      <c r="C370" s="1303" t="s">
        <v>98</v>
      </c>
      <c r="D370" s="1304" t="s">
        <v>2679</v>
      </c>
      <c r="E370" s="1305">
        <v>6000</v>
      </c>
      <c r="F370" s="1306" t="s">
        <v>2680</v>
      </c>
      <c r="G370" s="1307" t="s">
        <v>2681</v>
      </c>
      <c r="H370" s="1307" t="s">
        <v>1732</v>
      </c>
      <c r="I370" s="1307" t="s">
        <v>1598</v>
      </c>
      <c r="J370" s="1308" t="s">
        <v>1616</v>
      </c>
      <c r="K370" s="1309">
        <v>1</v>
      </c>
      <c r="L370" s="1310">
        <v>5</v>
      </c>
      <c r="M370" s="1311">
        <v>31400</v>
      </c>
      <c r="N370" s="1312">
        <v>1</v>
      </c>
      <c r="O370" s="1310">
        <v>6</v>
      </c>
      <c r="P370" s="1313">
        <v>36000</v>
      </c>
    </row>
    <row r="371" spans="1:16" ht="22.5" x14ac:dyDescent="0.2">
      <c r="A371" s="1302" t="s">
        <v>292</v>
      </c>
      <c r="B371" s="1303" t="s">
        <v>1141</v>
      </c>
      <c r="C371" s="1303" t="s">
        <v>98</v>
      </c>
      <c r="D371" s="1304" t="s">
        <v>2682</v>
      </c>
      <c r="E371" s="1305">
        <v>6000</v>
      </c>
      <c r="F371" s="1306" t="s">
        <v>2683</v>
      </c>
      <c r="G371" s="1307" t="s">
        <v>2684</v>
      </c>
      <c r="H371" s="1307" t="s">
        <v>1975</v>
      </c>
      <c r="I371" s="1307" t="s">
        <v>1598</v>
      </c>
      <c r="J371" s="1308" t="s">
        <v>1616</v>
      </c>
      <c r="K371" s="1309">
        <v>1</v>
      </c>
      <c r="L371" s="1310">
        <v>6</v>
      </c>
      <c r="M371" s="1311">
        <v>34600</v>
      </c>
      <c r="N371" s="1312">
        <v>0</v>
      </c>
      <c r="O371" s="1310" t="s">
        <v>1633</v>
      </c>
      <c r="P371" s="1313">
        <v>0</v>
      </c>
    </row>
    <row r="372" spans="1:16" ht="22.5" x14ac:dyDescent="0.2">
      <c r="A372" s="1302" t="s">
        <v>292</v>
      </c>
      <c r="B372" s="1303" t="s">
        <v>1141</v>
      </c>
      <c r="C372" s="1303" t="s">
        <v>98</v>
      </c>
      <c r="D372" s="1304" t="s">
        <v>2685</v>
      </c>
      <c r="E372" s="1305">
        <v>7000</v>
      </c>
      <c r="F372" s="1306" t="s">
        <v>2686</v>
      </c>
      <c r="G372" s="1307" t="s">
        <v>2687</v>
      </c>
      <c r="H372" s="1307" t="s">
        <v>1702</v>
      </c>
      <c r="I372" s="1307" t="s">
        <v>1598</v>
      </c>
      <c r="J372" s="1308" t="s">
        <v>1616</v>
      </c>
      <c r="K372" s="1309">
        <v>1</v>
      </c>
      <c r="L372" s="1310">
        <v>4</v>
      </c>
      <c r="M372" s="1311">
        <v>27066.67</v>
      </c>
      <c r="N372" s="1312">
        <v>1</v>
      </c>
      <c r="O372" s="1310">
        <v>6</v>
      </c>
      <c r="P372" s="1313">
        <v>42000</v>
      </c>
    </row>
    <row r="373" spans="1:16" x14ac:dyDescent="0.2">
      <c r="A373" s="1302" t="s">
        <v>292</v>
      </c>
      <c r="B373" s="1303" t="s">
        <v>1141</v>
      </c>
      <c r="C373" s="1303" t="s">
        <v>98</v>
      </c>
      <c r="D373" s="1304" t="s">
        <v>2013</v>
      </c>
      <c r="E373" s="1305">
        <v>8000</v>
      </c>
      <c r="F373" s="1306" t="s">
        <v>2688</v>
      </c>
      <c r="G373" s="1307" t="s">
        <v>2689</v>
      </c>
      <c r="H373" s="1307" t="s">
        <v>2690</v>
      </c>
      <c r="I373" s="1307" t="s">
        <v>1598</v>
      </c>
      <c r="J373" s="1308" t="s">
        <v>1604</v>
      </c>
      <c r="K373" s="1309">
        <v>1</v>
      </c>
      <c r="L373" s="1310">
        <v>7</v>
      </c>
      <c r="M373" s="1311">
        <v>50166.62</v>
      </c>
      <c r="N373" s="1312">
        <v>0</v>
      </c>
      <c r="O373" s="1310" t="s">
        <v>1633</v>
      </c>
      <c r="P373" s="1313">
        <v>0</v>
      </c>
    </row>
    <row r="374" spans="1:16" x14ac:dyDescent="0.2">
      <c r="A374" s="1302" t="s">
        <v>292</v>
      </c>
      <c r="B374" s="1303" t="s">
        <v>1141</v>
      </c>
      <c r="C374" s="1303" t="s">
        <v>98</v>
      </c>
      <c r="D374" s="1304" t="s">
        <v>1676</v>
      </c>
      <c r="E374" s="1305">
        <v>6000</v>
      </c>
      <c r="F374" s="1306" t="s">
        <v>2691</v>
      </c>
      <c r="G374" s="1307" t="s">
        <v>2692</v>
      </c>
      <c r="H374" s="1307" t="s">
        <v>2693</v>
      </c>
      <c r="I374" s="1307" t="s">
        <v>1598</v>
      </c>
      <c r="J374" s="1308" t="s">
        <v>1604</v>
      </c>
      <c r="K374" s="1309">
        <v>1</v>
      </c>
      <c r="L374" s="1310">
        <v>12</v>
      </c>
      <c r="M374" s="1311">
        <v>71123.02</v>
      </c>
      <c r="N374" s="1312">
        <v>1</v>
      </c>
      <c r="O374" s="1310">
        <v>6</v>
      </c>
      <c r="P374" s="1313">
        <v>36000</v>
      </c>
    </row>
    <row r="375" spans="1:16" ht="22.5" x14ac:dyDescent="0.2">
      <c r="A375" s="1302" t="s">
        <v>292</v>
      </c>
      <c r="B375" s="1303" t="s">
        <v>1141</v>
      </c>
      <c r="C375" s="1303" t="s">
        <v>98</v>
      </c>
      <c r="D375" s="1304" t="s">
        <v>2694</v>
      </c>
      <c r="E375" s="1305">
        <v>10000</v>
      </c>
      <c r="F375" s="1306" t="s">
        <v>2695</v>
      </c>
      <c r="G375" s="1307" t="s">
        <v>2696</v>
      </c>
      <c r="H375" s="1307" t="s">
        <v>2394</v>
      </c>
      <c r="I375" s="1307" t="s">
        <v>1698</v>
      </c>
      <c r="J375" s="1308" t="s">
        <v>1616</v>
      </c>
      <c r="K375" s="1309">
        <v>1</v>
      </c>
      <c r="L375" s="1310">
        <v>2</v>
      </c>
      <c r="M375" s="1311">
        <v>23333.33</v>
      </c>
      <c r="N375" s="1312">
        <v>1</v>
      </c>
      <c r="O375" s="1310">
        <v>5</v>
      </c>
      <c r="P375" s="1313">
        <v>50000</v>
      </c>
    </row>
    <row r="376" spans="1:16" x14ac:dyDescent="0.2">
      <c r="A376" s="1302" t="s">
        <v>292</v>
      </c>
      <c r="B376" s="1303" t="s">
        <v>1141</v>
      </c>
      <c r="C376" s="1303" t="s">
        <v>98</v>
      </c>
      <c r="D376" s="1304" t="s">
        <v>2697</v>
      </c>
      <c r="E376" s="1305">
        <v>3500</v>
      </c>
      <c r="F376" s="1306" t="s">
        <v>2698</v>
      </c>
      <c r="G376" s="1307" t="s">
        <v>2699</v>
      </c>
      <c r="H376" s="1307" t="s">
        <v>1812</v>
      </c>
      <c r="I376" s="1307" t="s">
        <v>1698</v>
      </c>
      <c r="J376" s="1308" t="s">
        <v>1604</v>
      </c>
      <c r="K376" s="1309">
        <v>1</v>
      </c>
      <c r="L376" s="1310">
        <v>12</v>
      </c>
      <c r="M376" s="1311">
        <v>42300</v>
      </c>
      <c r="N376" s="1312">
        <v>1</v>
      </c>
      <c r="O376" s="1310">
        <v>6</v>
      </c>
      <c r="P376" s="1313">
        <v>21000</v>
      </c>
    </row>
    <row r="377" spans="1:16" x14ac:dyDescent="0.2">
      <c r="A377" s="1302" t="s">
        <v>292</v>
      </c>
      <c r="B377" s="1303" t="s">
        <v>1141</v>
      </c>
      <c r="C377" s="1303" t="s">
        <v>98</v>
      </c>
      <c r="D377" s="1304" t="s">
        <v>2219</v>
      </c>
      <c r="E377" s="1305">
        <v>10000</v>
      </c>
      <c r="F377" s="1306" t="s">
        <v>2700</v>
      </c>
      <c r="G377" s="1307" t="s">
        <v>2701</v>
      </c>
      <c r="H377" s="1307" t="s">
        <v>1620</v>
      </c>
      <c r="I377" s="1307" t="s">
        <v>1598</v>
      </c>
      <c r="J377" s="1308" t="s">
        <v>1604</v>
      </c>
      <c r="K377" s="1309">
        <v>1</v>
      </c>
      <c r="L377" s="1310">
        <v>12</v>
      </c>
      <c r="M377" s="1311">
        <v>120300</v>
      </c>
      <c r="N377" s="1312">
        <v>1</v>
      </c>
      <c r="O377" s="1310">
        <v>6</v>
      </c>
      <c r="P377" s="1313">
        <v>60000</v>
      </c>
    </row>
    <row r="378" spans="1:16" ht="22.5" x14ac:dyDescent="0.2">
      <c r="A378" s="1302" t="s">
        <v>292</v>
      </c>
      <c r="B378" s="1303" t="s">
        <v>1141</v>
      </c>
      <c r="C378" s="1303" t="s">
        <v>98</v>
      </c>
      <c r="D378" s="1304" t="s">
        <v>2702</v>
      </c>
      <c r="E378" s="1305">
        <v>7500</v>
      </c>
      <c r="F378" s="1306" t="s">
        <v>2703</v>
      </c>
      <c r="G378" s="1307" t="s">
        <v>2704</v>
      </c>
      <c r="H378" s="1307" t="s">
        <v>2369</v>
      </c>
      <c r="I378" s="1307" t="s">
        <v>1598</v>
      </c>
      <c r="J378" s="1308" t="s">
        <v>1604</v>
      </c>
      <c r="K378" s="1309">
        <v>1</v>
      </c>
      <c r="L378" s="1310">
        <v>12</v>
      </c>
      <c r="M378" s="1311">
        <v>89800</v>
      </c>
      <c r="N378" s="1312">
        <v>1</v>
      </c>
      <c r="O378" s="1310">
        <v>6</v>
      </c>
      <c r="P378" s="1313">
        <v>44859.9</v>
      </c>
    </row>
    <row r="379" spans="1:16" ht="22.5" x14ac:dyDescent="0.2">
      <c r="A379" s="1302" t="s">
        <v>292</v>
      </c>
      <c r="B379" s="1303" t="s">
        <v>1141</v>
      </c>
      <c r="C379" s="1303" t="s">
        <v>98</v>
      </c>
      <c r="D379" s="1304" t="s">
        <v>2705</v>
      </c>
      <c r="E379" s="1305">
        <v>9000</v>
      </c>
      <c r="F379" s="1306" t="s">
        <v>2706</v>
      </c>
      <c r="G379" s="1307" t="s">
        <v>2707</v>
      </c>
      <c r="H379" s="1307" t="s">
        <v>1603</v>
      </c>
      <c r="I379" s="1307" t="s">
        <v>1616</v>
      </c>
      <c r="J379" s="1308" t="s">
        <v>1604</v>
      </c>
      <c r="K379" s="1309">
        <v>1</v>
      </c>
      <c r="L379" s="1310">
        <v>12</v>
      </c>
      <c r="M379" s="1311">
        <v>97870</v>
      </c>
      <c r="N379" s="1312">
        <v>1</v>
      </c>
      <c r="O379" s="1310">
        <v>6</v>
      </c>
      <c r="P379" s="1313">
        <v>54000</v>
      </c>
    </row>
    <row r="380" spans="1:16" x14ac:dyDescent="0.2">
      <c r="A380" s="1302" t="s">
        <v>292</v>
      </c>
      <c r="B380" s="1303" t="s">
        <v>1141</v>
      </c>
      <c r="C380" s="1303" t="s">
        <v>98</v>
      </c>
      <c r="D380" s="1304" t="s">
        <v>2708</v>
      </c>
      <c r="E380" s="1305">
        <v>6000</v>
      </c>
      <c r="F380" s="1306" t="s">
        <v>2709</v>
      </c>
      <c r="G380" s="1307" t="s">
        <v>2710</v>
      </c>
      <c r="H380" s="1307" t="s">
        <v>1608</v>
      </c>
      <c r="I380" s="1307" t="s">
        <v>1598</v>
      </c>
      <c r="J380" s="1308" t="s">
        <v>1616</v>
      </c>
      <c r="K380" s="1309">
        <v>1</v>
      </c>
      <c r="L380" s="1310">
        <v>6</v>
      </c>
      <c r="M380" s="1311">
        <v>34200</v>
      </c>
      <c r="N380" s="1312">
        <v>1</v>
      </c>
      <c r="O380" s="1310">
        <v>6</v>
      </c>
      <c r="P380" s="1313">
        <v>35040</v>
      </c>
    </row>
    <row r="381" spans="1:16" x14ac:dyDescent="0.2">
      <c r="A381" s="1302" t="s">
        <v>292</v>
      </c>
      <c r="B381" s="1303" t="s">
        <v>1141</v>
      </c>
      <c r="C381" s="1303" t="s">
        <v>98</v>
      </c>
      <c r="D381" s="1304" t="s">
        <v>2100</v>
      </c>
      <c r="E381" s="1305">
        <v>15600</v>
      </c>
      <c r="F381" s="1306" t="s">
        <v>2711</v>
      </c>
      <c r="G381" s="1307" t="s">
        <v>2712</v>
      </c>
      <c r="H381" s="1307" t="s">
        <v>1603</v>
      </c>
      <c r="I381" s="1307" t="s">
        <v>1616</v>
      </c>
      <c r="J381" s="1308" t="s">
        <v>1604</v>
      </c>
      <c r="K381" s="1309">
        <v>1</v>
      </c>
      <c r="L381" s="1310">
        <v>12</v>
      </c>
      <c r="M381" s="1311">
        <v>187500</v>
      </c>
      <c r="N381" s="1312">
        <v>1</v>
      </c>
      <c r="O381" s="1310">
        <v>2</v>
      </c>
      <c r="P381" s="1313">
        <v>21840</v>
      </c>
    </row>
    <row r="382" spans="1:16" x14ac:dyDescent="0.2">
      <c r="A382" s="1302" t="s">
        <v>292</v>
      </c>
      <c r="B382" s="1303" t="s">
        <v>1141</v>
      </c>
      <c r="C382" s="1303" t="s">
        <v>98</v>
      </c>
      <c r="D382" s="1314" t="s">
        <v>2713</v>
      </c>
      <c r="E382" s="1305">
        <v>6000</v>
      </c>
      <c r="F382" s="1306" t="s">
        <v>2714</v>
      </c>
      <c r="G382" s="1307" t="s">
        <v>2715</v>
      </c>
      <c r="H382" s="1315" t="s">
        <v>1690</v>
      </c>
      <c r="I382" s="1315" t="s">
        <v>1598</v>
      </c>
      <c r="J382" s="1316" t="s">
        <v>1616</v>
      </c>
      <c r="K382" s="1309">
        <v>0</v>
      </c>
      <c r="L382" s="1310" t="s">
        <v>1633</v>
      </c>
      <c r="M382" s="1311">
        <v>0</v>
      </c>
      <c r="N382" s="1312">
        <v>1</v>
      </c>
      <c r="O382" s="1310">
        <v>6</v>
      </c>
      <c r="P382" s="1313">
        <v>37000</v>
      </c>
    </row>
    <row r="383" spans="1:16" ht="22.5" x14ac:dyDescent="0.2">
      <c r="A383" s="1302" t="s">
        <v>292</v>
      </c>
      <c r="B383" s="1303" t="s">
        <v>1141</v>
      </c>
      <c r="C383" s="1303" t="s">
        <v>98</v>
      </c>
      <c r="D383" s="1304" t="s">
        <v>2716</v>
      </c>
      <c r="E383" s="1305">
        <v>10500</v>
      </c>
      <c r="F383" s="1306" t="s">
        <v>2717</v>
      </c>
      <c r="G383" s="1307" t="s">
        <v>2718</v>
      </c>
      <c r="H383" s="1307" t="s">
        <v>1647</v>
      </c>
      <c r="I383" s="1307" t="s">
        <v>1698</v>
      </c>
      <c r="J383" s="1308" t="s">
        <v>1604</v>
      </c>
      <c r="K383" s="1309">
        <v>1</v>
      </c>
      <c r="L383" s="1310">
        <v>12</v>
      </c>
      <c r="M383" s="1311">
        <v>126300</v>
      </c>
      <c r="N383" s="1312">
        <v>1</v>
      </c>
      <c r="O383" s="1310">
        <v>6</v>
      </c>
      <c r="P383" s="1313">
        <v>63000</v>
      </c>
    </row>
    <row r="384" spans="1:16" x14ac:dyDescent="0.2">
      <c r="A384" s="1302" t="s">
        <v>292</v>
      </c>
      <c r="B384" s="1303" t="s">
        <v>1141</v>
      </c>
      <c r="C384" s="1303" t="s">
        <v>98</v>
      </c>
      <c r="D384" s="1304" t="s">
        <v>2719</v>
      </c>
      <c r="E384" s="1305">
        <v>6000</v>
      </c>
      <c r="F384" s="1306" t="s">
        <v>2720</v>
      </c>
      <c r="G384" s="1307" t="s">
        <v>2721</v>
      </c>
      <c r="H384" s="1307" t="s">
        <v>1620</v>
      </c>
      <c r="I384" s="1307" t="s">
        <v>1598</v>
      </c>
      <c r="J384" s="1308" t="s">
        <v>1616</v>
      </c>
      <c r="K384" s="1309">
        <v>1</v>
      </c>
      <c r="L384" s="1310">
        <v>6</v>
      </c>
      <c r="M384" s="1311">
        <v>34600</v>
      </c>
      <c r="N384" s="1312">
        <v>1</v>
      </c>
      <c r="O384" s="1310">
        <v>6</v>
      </c>
      <c r="P384" s="1313">
        <v>36000</v>
      </c>
    </row>
    <row r="385" spans="1:16" x14ac:dyDescent="0.2">
      <c r="A385" s="1302" t="s">
        <v>292</v>
      </c>
      <c r="B385" s="1303" t="s">
        <v>1141</v>
      </c>
      <c r="C385" s="1303" t="s">
        <v>98</v>
      </c>
      <c r="D385" s="1304" t="s">
        <v>2722</v>
      </c>
      <c r="E385" s="1305">
        <v>8000</v>
      </c>
      <c r="F385" s="1306" t="s">
        <v>2723</v>
      </c>
      <c r="G385" s="1307" t="s">
        <v>2724</v>
      </c>
      <c r="H385" s="1307" t="s">
        <v>1603</v>
      </c>
      <c r="I385" s="1307" t="s">
        <v>1598</v>
      </c>
      <c r="J385" s="1308" t="s">
        <v>1604</v>
      </c>
      <c r="K385" s="1309">
        <v>1</v>
      </c>
      <c r="L385" s="1310">
        <v>12</v>
      </c>
      <c r="M385" s="1311">
        <v>96027.95</v>
      </c>
      <c r="N385" s="1312">
        <v>1</v>
      </c>
      <c r="O385" s="1310">
        <v>6</v>
      </c>
      <c r="P385" s="1313">
        <v>48000</v>
      </c>
    </row>
    <row r="386" spans="1:16" ht="22.5" x14ac:dyDescent="0.2">
      <c r="A386" s="1302" t="s">
        <v>292</v>
      </c>
      <c r="B386" s="1303" t="s">
        <v>1141</v>
      </c>
      <c r="C386" s="1303" t="s">
        <v>98</v>
      </c>
      <c r="D386" s="1304" t="s">
        <v>2509</v>
      </c>
      <c r="E386" s="1305">
        <v>3000</v>
      </c>
      <c r="F386" s="1306" t="s">
        <v>2725</v>
      </c>
      <c r="G386" s="1307" t="s">
        <v>2726</v>
      </c>
      <c r="H386" s="1307" t="s">
        <v>1659</v>
      </c>
      <c r="I386" s="1307" t="s">
        <v>1660</v>
      </c>
      <c r="J386" s="1308" t="s">
        <v>1659</v>
      </c>
      <c r="K386" s="1309">
        <v>1</v>
      </c>
      <c r="L386" s="1310">
        <v>12</v>
      </c>
      <c r="M386" s="1311">
        <v>35520</v>
      </c>
      <c r="N386" s="1312">
        <v>1</v>
      </c>
      <c r="O386" s="1310">
        <v>6</v>
      </c>
      <c r="P386" s="1313">
        <v>17903.330000000002</v>
      </c>
    </row>
    <row r="387" spans="1:16" x14ac:dyDescent="0.2">
      <c r="A387" s="1302" t="s">
        <v>292</v>
      </c>
      <c r="B387" s="1303" t="s">
        <v>1141</v>
      </c>
      <c r="C387" s="1303" t="s">
        <v>98</v>
      </c>
      <c r="D387" s="1304" t="s">
        <v>2727</v>
      </c>
      <c r="E387" s="1305">
        <v>8500</v>
      </c>
      <c r="F387" s="1306" t="s">
        <v>2728</v>
      </c>
      <c r="G387" s="1307" t="s">
        <v>2729</v>
      </c>
      <c r="H387" s="1307" t="s">
        <v>1608</v>
      </c>
      <c r="I387" s="1307" t="s">
        <v>1616</v>
      </c>
      <c r="J387" s="1308" t="s">
        <v>1604</v>
      </c>
      <c r="K387" s="1309">
        <v>1</v>
      </c>
      <c r="L387" s="1310">
        <v>5</v>
      </c>
      <c r="M387" s="1311">
        <v>41938.79</v>
      </c>
      <c r="N387" s="1312">
        <v>0</v>
      </c>
      <c r="O387" s="1310" t="s">
        <v>1633</v>
      </c>
      <c r="P387" s="1313">
        <v>0</v>
      </c>
    </row>
    <row r="388" spans="1:16" ht="22.5" x14ac:dyDescent="0.2">
      <c r="A388" s="1302" t="s">
        <v>292</v>
      </c>
      <c r="B388" s="1303" t="s">
        <v>1141</v>
      </c>
      <c r="C388" s="1303" t="s">
        <v>98</v>
      </c>
      <c r="D388" s="1304" t="s">
        <v>2730</v>
      </c>
      <c r="E388" s="1305">
        <v>10500</v>
      </c>
      <c r="F388" s="1306" t="s">
        <v>2731</v>
      </c>
      <c r="G388" s="1307" t="s">
        <v>2732</v>
      </c>
      <c r="H388" s="1307" t="s">
        <v>1732</v>
      </c>
      <c r="I388" s="1307" t="s">
        <v>1598</v>
      </c>
      <c r="J388" s="1308" t="s">
        <v>1604</v>
      </c>
      <c r="K388" s="1309">
        <v>1</v>
      </c>
      <c r="L388" s="1310">
        <v>12</v>
      </c>
      <c r="M388" s="1311">
        <v>126300</v>
      </c>
      <c r="N388" s="1312">
        <v>1</v>
      </c>
      <c r="O388" s="1310">
        <v>6</v>
      </c>
      <c r="P388" s="1313">
        <v>63000</v>
      </c>
    </row>
    <row r="389" spans="1:16" x14ac:dyDescent="0.2">
      <c r="A389" s="1302" t="s">
        <v>292</v>
      </c>
      <c r="B389" s="1303" t="s">
        <v>1141</v>
      </c>
      <c r="C389" s="1303" t="s">
        <v>98</v>
      </c>
      <c r="D389" s="1304" t="s">
        <v>2722</v>
      </c>
      <c r="E389" s="1305">
        <v>8000</v>
      </c>
      <c r="F389" s="1306" t="s">
        <v>2733</v>
      </c>
      <c r="G389" s="1307" t="s">
        <v>2734</v>
      </c>
      <c r="H389" s="1307" t="s">
        <v>1603</v>
      </c>
      <c r="I389" s="1307" t="s">
        <v>1598</v>
      </c>
      <c r="J389" s="1308" t="s">
        <v>1604</v>
      </c>
      <c r="K389" s="1309">
        <v>1</v>
      </c>
      <c r="L389" s="1310">
        <v>12</v>
      </c>
      <c r="M389" s="1311">
        <v>96300</v>
      </c>
      <c r="N389" s="1312">
        <v>1</v>
      </c>
      <c r="O389" s="1310">
        <v>6</v>
      </c>
      <c r="P389" s="1313">
        <v>48000</v>
      </c>
    </row>
    <row r="390" spans="1:16" x14ac:dyDescent="0.2">
      <c r="A390" s="1302" t="s">
        <v>292</v>
      </c>
      <c r="B390" s="1303" t="s">
        <v>1141</v>
      </c>
      <c r="C390" s="1303" t="s">
        <v>98</v>
      </c>
      <c r="D390" s="1304" t="s">
        <v>1970</v>
      </c>
      <c r="E390" s="1305">
        <v>5000</v>
      </c>
      <c r="F390" s="1306" t="s">
        <v>2735</v>
      </c>
      <c r="G390" s="1307" t="s">
        <v>2736</v>
      </c>
      <c r="H390" s="1307" t="s">
        <v>2446</v>
      </c>
      <c r="I390" s="1307" t="s">
        <v>1598</v>
      </c>
      <c r="J390" s="1308" t="s">
        <v>1604</v>
      </c>
      <c r="K390" s="1309">
        <v>1</v>
      </c>
      <c r="L390" s="1310">
        <v>12</v>
      </c>
      <c r="M390" s="1311">
        <v>59586.559999999998</v>
      </c>
      <c r="N390" s="1312">
        <v>1</v>
      </c>
      <c r="O390" s="1310">
        <v>6</v>
      </c>
      <c r="P390" s="1313">
        <v>30000</v>
      </c>
    </row>
    <row r="391" spans="1:16" x14ac:dyDescent="0.2">
      <c r="A391" s="1302" t="s">
        <v>292</v>
      </c>
      <c r="B391" s="1303" t="s">
        <v>1141</v>
      </c>
      <c r="C391" s="1303" t="s">
        <v>98</v>
      </c>
      <c r="D391" s="1304" t="s">
        <v>1676</v>
      </c>
      <c r="E391" s="1305">
        <v>9500</v>
      </c>
      <c r="F391" s="1306" t="s">
        <v>2737</v>
      </c>
      <c r="G391" s="1307" t="s">
        <v>2738</v>
      </c>
      <c r="H391" s="1307" t="s">
        <v>1603</v>
      </c>
      <c r="I391" s="1307" t="s">
        <v>1598</v>
      </c>
      <c r="J391" s="1308" t="s">
        <v>1604</v>
      </c>
      <c r="K391" s="1309">
        <v>1</v>
      </c>
      <c r="L391" s="1310">
        <v>12</v>
      </c>
      <c r="M391" s="1311">
        <v>114300</v>
      </c>
      <c r="N391" s="1312">
        <v>1</v>
      </c>
      <c r="O391" s="1310">
        <v>1</v>
      </c>
      <c r="P391" s="1313">
        <v>9500</v>
      </c>
    </row>
    <row r="392" spans="1:16" x14ac:dyDescent="0.2">
      <c r="A392" s="1302" t="s">
        <v>292</v>
      </c>
      <c r="B392" s="1303" t="s">
        <v>1141</v>
      </c>
      <c r="C392" s="1303" t="s">
        <v>98</v>
      </c>
      <c r="D392" s="1304" t="s">
        <v>2192</v>
      </c>
      <c r="E392" s="1305">
        <v>6000</v>
      </c>
      <c r="F392" s="1306" t="s">
        <v>2739</v>
      </c>
      <c r="G392" s="1307" t="s">
        <v>2740</v>
      </c>
      <c r="H392" s="1307" t="s">
        <v>1672</v>
      </c>
      <c r="I392" s="1307" t="s">
        <v>1598</v>
      </c>
      <c r="J392" s="1308" t="s">
        <v>1616</v>
      </c>
      <c r="K392" s="1309">
        <v>1</v>
      </c>
      <c r="L392" s="1310">
        <v>4</v>
      </c>
      <c r="M392" s="1311">
        <v>23200</v>
      </c>
      <c r="N392" s="1312">
        <v>1</v>
      </c>
      <c r="O392" s="1310">
        <v>6</v>
      </c>
      <c r="P392" s="1313">
        <v>36000</v>
      </c>
    </row>
    <row r="393" spans="1:16" ht="22.5" x14ac:dyDescent="0.2">
      <c r="A393" s="1302" t="s">
        <v>292</v>
      </c>
      <c r="B393" s="1303" t="s">
        <v>1141</v>
      </c>
      <c r="C393" s="1303" t="s">
        <v>98</v>
      </c>
      <c r="D393" s="1304" t="s">
        <v>2741</v>
      </c>
      <c r="E393" s="1305">
        <v>3500</v>
      </c>
      <c r="F393" s="1306" t="s">
        <v>2742</v>
      </c>
      <c r="G393" s="1307" t="s">
        <v>2743</v>
      </c>
      <c r="H393" s="1307" t="s">
        <v>1672</v>
      </c>
      <c r="I393" s="1307" t="s">
        <v>1616</v>
      </c>
      <c r="J393" s="1308" t="s">
        <v>1604</v>
      </c>
      <c r="K393" s="1309">
        <v>1</v>
      </c>
      <c r="L393" s="1310">
        <v>6</v>
      </c>
      <c r="M393" s="1311">
        <v>20183.330000000002</v>
      </c>
      <c r="N393" s="1312">
        <v>1</v>
      </c>
      <c r="O393" s="1310">
        <v>6</v>
      </c>
      <c r="P393" s="1313">
        <v>21000</v>
      </c>
    </row>
    <row r="394" spans="1:16" ht="22.5" x14ac:dyDescent="0.2">
      <c r="A394" s="1302" t="s">
        <v>292</v>
      </c>
      <c r="B394" s="1303" t="s">
        <v>1141</v>
      </c>
      <c r="C394" s="1303" t="s">
        <v>98</v>
      </c>
      <c r="D394" s="1304" t="s">
        <v>2744</v>
      </c>
      <c r="E394" s="1305">
        <v>4000</v>
      </c>
      <c r="F394" s="1306" t="s">
        <v>2745</v>
      </c>
      <c r="G394" s="1307" t="s">
        <v>2746</v>
      </c>
      <c r="H394" s="1307" t="s">
        <v>1620</v>
      </c>
      <c r="I394" s="1307" t="s">
        <v>1660</v>
      </c>
      <c r="J394" s="1308" t="s">
        <v>1604</v>
      </c>
      <c r="K394" s="1309">
        <v>1</v>
      </c>
      <c r="L394" s="1310">
        <v>3</v>
      </c>
      <c r="M394" s="1311">
        <v>11733.33</v>
      </c>
      <c r="N394" s="1312">
        <v>0</v>
      </c>
      <c r="O394" s="1310" t="s">
        <v>1633</v>
      </c>
      <c r="P394" s="1313">
        <v>0</v>
      </c>
    </row>
    <row r="395" spans="1:16" ht="22.5" x14ac:dyDescent="0.2">
      <c r="A395" s="1302" t="s">
        <v>292</v>
      </c>
      <c r="B395" s="1303" t="s">
        <v>1141</v>
      </c>
      <c r="C395" s="1303" t="s">
        <v>98</v>
      </c>
      <c r="D395" s="1304" t="s">
        <v>2747</v>
      </c>
      <c r="E395" s="1305">
        <v>7000</v>
      </c>
      <c r="F395" s="1306" t="s">
        <v>2748</v>
      </c>
      <c r="G395" s="1307" t="s">
        <v>2749</v>
      </c>
      <c r="H395" s="1307" t="s">
        <v>2228</v>
      </c>
      <c r="I395" s="1307" t="s">
        <v>1598</v>
      </c>
      <c r="J395" s="1308" t="s">
        <v>1604</v>
      </c>
      <c r="K395" s="1309">
        <v>1</v>
      </c>
      <c r="L395" s="1310">
        <v>12</v>
      </c>
      <c r="M395" s="1311">
        <v>84300</v>
      </c>
      <c r="N395" s="1312">
        <v>1</v>
      </c>
      <c r="O395" s="1310">
        <v>6</v>
      </c>
      <c r="P395" s="1313">
        <v>42000</v>
      </c>
    </row>
    <row r="396" spans="1:16" x14ac:dyDescent="0.2">
      <c r="A396" s="1302" t="s">
        <v>292</v>
      </c>
      <c r="B396" s="1303" t="s">
        <v>1141</v>
      </c>
      <c r="C396" s="1303" t="s">
        <v>98</v>
      </c>
      <c r="D396" s="1304" t="s">
        <v>2198</v>
      </c>
      <c r="E396" s="1305">
        <v>10500</v>
      </c>
      <c r="F396" s="1306" t="s">
        <v>2750</v>
      </c>
      <c r="G396" s="1307" t="s">
        <v>2751</v>
      </c>
      <c r="H396" s="1307" t="s">
        <v>1620</v>
      </c>
      <c r="I396" s="1307" t="s">
        <v>1598</v>
      </c>
      <c r="J396" s="1308" t="s">
        <v>1616</v>
      </c>
      <c r="K396" s="1309">
        <v>1</v>
      </c>
      <c r="L396" s="1310">
        <v>6</v>
      </c>
      <c r="M396" s="1311">
        <v>60550</v>
      </c>
      <c r="N396" s="1312">
        <v>1</v>
      </c>
      <c r="O396" s="1310">
        <v>6</v>
      </c>
      <c r="P396" s="1313">
        <v>62650</v>
      </c>
    </row>
    <row r="397" spans="1:16" ht="22.5" x14ac:dyDescent="0.2">
      <c r="A397" s="1302" t="s">
        <v>292</v>
      </c>
      <c r="B397" s="1303" t="s">
        <v>1141</v>
      </c>
      <c r="C397" s="1303" t="s">
        <v>98</v>
      </c>
      <c r="D397" s="1304" t="s">
        <v>2430</v>
      </c>
      <c r="E397" s="1305">
        <v>10000</v>
      </c>
      <c r="F397" s="1306" t="s">
        <v>2752</v>
      </c>
      <c r="G397" s="1307" t="s">
        <v>2753</v>
      </c>
      <c r="H397" s="1307" t="s">
        <v>2394</v>
      </c>
      <c r="I397" s="1307" t="s">
        <v>1598</v>
      </c>
      <c r="J397" s="1308" t="s">
        <v>1604</v>
      </c>
      <c r="K397" s="1309">
        <v>1</v>
      </c>
      <c r="L397" s="1310">
        <v>12</v>
      </c>
      <c r="M397" s="1311">
        <v>106256.88</v>
      </c>
      <c r="N397" s="1312">
        <v>1</v>
      </c>
      <c r="O397" s="1310">
        <v>6</v>
      </c>
      <c r="P397" s="1313">
        <v>60000</v>
      </c>
    </row>
    <row r="398" spans="1:16" ht="22.5" x14ac:dyDescent="0.2">
      <c r="A398" s="1302" t="s">
        <v>292</v>
      </c>
      <c r="B398" s="1303" t="s">
        <v>1141</v>
      </c>
      <c r="C398" s="1303" t="s">
        <v>98</v>
      </c>
      <c r="D398" s="1304" t="s">
        <v>2754</v>
      </c>
      <c r="E398" s="1305">
        <v>12500</v>
      </c>
      <c r="F398" s="1306" t="s">
        <v>2755</v>
      </c>
      <c r="G398" s="1307" t="s">
        <v>2756</v>
      </c>
      <c r="H398" s="1307" t="s">
        <v>1603</v>
      </c>
      <c r="I398" s="1307" t="s">
        <v>1598</v>
      </c>
      <c r="J398" s="1308" t="s">
        <v>1604</v>
      </c>
      <c r="K398" s="1309">
        <v>1</v>
      </c>
      <c r="L398" s="1310">
        <v>12</v>
      </c>
      <c r="M398" s="1311">
        <v>150300</v>
      </c>
      <c r="N398" s="1312">
        <v>1</v>
      </c>
      <c r="O398" s="1310">
        <v>6</v>
      </c>
      <c r="P398" s="1313">
        <v>75000</v>
      </c>
    </row>
    <row r="399" spans="1:16" x14ac:dyDescent="0.2">
      <c r="A399" s="1302" t="s">
        <v>292</v>
      </c>
      <c r="B399" s="1303" t="s">
        <v>1141</v>
      </c>
      <c r="C399" s="1303" t="s">
        <v>98</v>
      </c>
      <c r="D399" s="1304" t="s">
        <v>2757</v>
      </c>
      <c r="E399" s="1305">
        <v>12000</v>
      </c>
      <c r="F399" s="1306" t="s">
        <v>2758</v>
      </c>
      <c r="G399" s="1307" t="s">
        <v>2759</v>
      </c>
      <c r="H399" s="1307" t="s">
        <v>2645</v>
      </c>
      <c r="I399" s="1307" t="s">
        <v>1616</v>
      </c>
      <c r="J399" s="1308" t="s">
        <v>1604</v>
      </c>
      <c r="K399" s="1309">
        <v>1</v>
      </c>
      <c r="L399" s="1310">
        <v>11</v>
      </c>
      <c r="M399" s="1311">
        <v>131880</v>
      </c>
      <c r="N399" s="1312">
        <v>0</v>
      </c>
      <c r="O399" s="1310" t="s">
        <v>1633</v>
      </c>
      <c r="P399" s="1313">
        <v>0</v>
      </c>
    </row>
    <row r="400" spans="1:16" x14ac:dyDescent="0.2">
      <c r="A400" s="1302" t="s">
        <v>292</v>
      </c>
      <c r="B400" s="1303" t="s">
        <v>1141</v>
      </c>
      <c r="C400" s="1303" t="s">
        <v>98</v>
      </c>
      <c r="D400" s="1304" t="s">
        <v>2760</v>
      </c>
      <c r="E400" s="1305">
        <v>4550</v>
      </c>
      <c r="F400" s="1306" t="s">
        <v>2761</v>
      </c>
      <c r="G400" s="1307" t="s">
        <v>2762</v>
      </c>
      <c r="H400" s="1307" t="s">
        <v>2645</v>
      </c>
      <c r="I400" s="1307" t="s">
        <v>1598</v>
      </c>
      <c r="J400" s="1308" t="s">
        <v>1604</v>
      </c>
      <c r="K400" s="1309">
        <v>1</v>
      </c>
      <c r="L400" s="1310">
        <v>6</v>
      </c>
      <c r="M400" s="1311">
        <v>26996.660000000003</v>
      </c>
      <c r="N400" s="1312">
        <v>0</v>
      </c>
      <c r="O400" s="1310" t="s">
        <v>1633</v>
      </c>
      <c r="P400" s="1313">
        <v>0</v>
      </c>
    </row>
    <row r="401" spans="1:16" ht="22.5" x14ac:dyDescent="0.2">
      <c r="A401" s="1302" t="s">
        <v>292</v>
      </c>
      <c r="B401" s="1303" t="s">
        <v>1141</v>
      </c>
      <c r="C401" s="1303" t="s">
        <v>98</v>
      </c>
      <c r="D401" s="1304" t="s">
        <v>2763</v>
      </c>
      <c r="E401" s="1305">
        <v>4500</v>
      </c>
      <c r="F401" s="1306" t="s">
        <v>2764</v>
      </c>
      <c r="G401" s="1307" t="s">
        <v>2765</v>
      </c>
      <c r="H401" s="1307" t="s">
        <v>1847</v>
      </c>
      <c r="I401" s="1307" t="s">
        <v>1598</v>
      </c>
      <c r="J401" s="1308" t="s">
        <v>1604</v>
      </c>
      <c r="K401" s="1309">
        <v>1</v>
      </c>
      <c r="L401" s="1310">
        <v>12</v>
      </c>
      <c r="M401" s="1311">
        <v>54300</v>
      </c>
      <c r="N401" s="1312">
        <v>1</v>
      </c>
      <c r="O401" s="1310">
        <v>6</v>
      </c>
      <c r="P401" s="1313">
        <v>26850</v>
      </c>
    </row>
    <row r="402" spans="1:16" x14ac:dyDescent="0.2">
      <c r="A402" s="1302" t="s">
        <v>292</v>
      </c>
      <c r="B402" s="1303" t="s">
        <v>1141</v>
      </c>
      <c r="C402" s="1303" t="s">
        <v>98</v>
      </c>
      <c r="D402" s="1304" t="s">
        <v>1729</v>
      </c>
      <c r="E402" s="1305">
        <v>11000</v>
      </c>
      <c r="F402" s="1306" t="s">
        <v>2766</v>
      </c>
      <c r="G402" s="1307" t="s">
        <v>2767</v>
      </c>
      <c r="H402" s="1307" t="s">
        <v>1819</v>
      </c>
      <c r="I402" s="1307" t="s">
        <v>1598</v>
      </c>
      <c r="J402" s="1308" t="s">
        <v>1604</v>
      </c>
      <c r="K402" s="1309">
        <v>1</v>
      </c>
      <c r="L402" s="1310">
        <v>12</v>
      </c>
      <c r="M402" s="1311">
        <v>132300</v>
      </c>
      <c r="N402" s="1312">
        <v>1</v>
      </c>
      <c r="O402" s="1310">
        <v>6</v>
      </c>
      <c r="P402" s="1313">
        <v>66000</v>
      </c>
    </row>
    <row r="403" spans="1:16" ht="22.5" x14ac:dyDescent="0.2">
      <c r="A403" s="1302" t="s">
        <v>292</v>
      </c>
      <c r="B403" s="1303" t="s">
        <v>1141</v>
      </c>
      <c r="C403" s="1303" t="s">
        <v>98</v>
      </c>
      <c r="D403" s="1304" t="s">
        <v>1867</v>
      </c>
      <c r="E403" s="1305">
        <v>11000</v>
      </c>
      <c r="F403" s="1306" t="s">
        <v>2768</v>
      </c>
      <c r="G403" s="1307" t="s">
        <v>2769</v>
      </c>
      <c r="H403" s="1307" t="s">
        <v>1672</v>
      </c>
      <c r="I403" s="1307" t="s">
        <v>1598</v>
      </c>
      <c r="J403" s="1308" t="s">
        <v>1604</v>
      </c>
      <c r="K403" s="1309">
        <v>1</v>
      </c>
      <c r="L403" s="1310">
        <v>2</v>
      </c>
      <c r="M403" s="1311">
        <v>17233.330000000002</v>
      </c>
      <c r="N403" s="1312">
        <v>1</v>
      </c>
      <c r="O403" s="1310">
        <v>6</v>
      </c>
      <c r="P403" s="1313">
        <v>66000</v>
      </c>
    </row>
    <row r="404" spans="1:16" x14ac:dyDescent="0.2">
      <c r="A404" s="1302" t="s">
        <v>292</v>
      </c>
      <c r="B404" s="1303" t="s">
        <v>1141</v>
      </c>
      <c r="C404" s="1303" t="s">
        <v>98</v>
      </c>
      <c r="D404" s="1304" t="s">
        <v>1781</v>
      </c>
      <c r="E404" s="1305">
        <v>5000</v>
      </c>
      <c r="F404" s="1306" t="s">
        <v>2770</v>
      </c>
      <c r="G404" s="1307" t="s">
        <v>2771</v>
      </c>
      <c r="H404" s="1307" t="s">
        <v>1819</v>
      </c>
      <c r="I404" s="1307" t="s">
        <v>1616</v>
      </c>
      <c r="J404" s="1308" t="s">
        <v>1604</v>
      </c>
      <c r="K404" s="1309">
        <v>1</v>
      </c>
      <c r="L404" s="1310">
        <v>12</v>
      </c>
      <c r="M404" s="1311">
        <v>60300</v>
      </c>
      <c r="N404" s="1312">
        <v>1</v>
      </c>
      <c r="O404" s="1310">
        <v>6</v>
      </c>
      <c r="P404" s="1313">
        <v>30000</v>
      </c>
    </row>
    <row r="405" spans="1:16" ht="22.5" x14ac:dyDescent="0.2">
      <c r="A405" s="1302" t="s">
        <v>292</v>
      </c>
      <c r="B405" s="1303" t="s">
        <v>1141</v>
      </c>
      <c r="C405" s="1303" t="s">
        <v>98</v>
      </c>
      <c r="D405" s="1304" t="s">
        <v>2561</v>
      </c>
      <c r="E405" s="1305">
        <v>8000</v>
      </c>
      <c r="F405" s="1306" t="s">
        <v>2772</v>
      </c>
      <c r="G405" s="1307" t="s">
        <v>2773</v>
      </c>
      <c r="H405" s="1307" t="s">
        <v>1686</v>
      </c>
      <c r="I405" s="1307" t="s">
        <v>1598</v>
      </c>
      <c r="J405" s="1308" t="s">
        <v>1604</v>
      </c>
      <c r="K405" s="1309">
        <v>1</v>
      </c>
      <c r="L405" s="1310">
        <v>6</v>
      </c>
      <c r="M405" s="1311">
        <v>46133.33</v>
      </c>
      <c r="N405" s="1312">
        <v>1</v>
      </c>
      <c r="O405" s="1310">
        <v>6</v>
      </c>
      <c r="P405" s="1313">
        <v>47466.67</v>
      </c>
    </row>
    <row r="406" spans="1:16" ht="22.5" x14ac:dyDescent="0.2">
      <c r="A406" s="1302" t="s">
        <v>292</v>
      </c>
      <c r="B406" s="1303" t="s">
        <v>1141</v>
      </c>
      <c r="C406" s="1303" t="s">
        <v>98</v>
      </c>
      <c r="D406" s="1304" t="s">
        <v>1982</v>
      </c>
      <c r="E406" s="1305">
        <v>15600</v>
      </c>
      <c r="F406" s="1306" t="s">
        <v>2774</v>
      </c>
      <c r="G406" s="1307" t="s">
        <v>2775</v>
      </c>
      <c r="H406" s="1307" t="s">
        <v>1732</v>
      </c>
      <c r="I406" s="1307" t="s">
        <v>1598</v>
      </c>
      <c r="J406" s="1308" t="s">
        <v>1604</v>
      </c>
      <c r="K406" s="1309">
        <v>1</v>
      </c>
      <c r="L406" s="1310">
        <v>2</v>
      </c>
      <c r="M406" s="1311">
        <v>31200</v>
      </c>
      <c r="N406" s="1312">
        <v>0</v>
      </c>
      <c r="O406" s="1310" t="s">
        <v>1633</v>
      </c>
      <c r="P406" s="1313">
        <v>0</v>
      </c>
    </row>
    <row r="407" spans="1:16" x14ac:dyDescent="0.2">
      <c r="A407" s="1302" t="s">
        <v>292</v>
      </c>
      <c r="B407" s="1303" t="s">
        <v>1141</v>
      </c>
      <c r="C407" s="1303" t="s">
        <v>98</v>
      </c>
      <c r="D407" s="1304" t="s">
        <v>1617</v>
      </c>
      <c r="E407" s="1305">
        <v>5000</v>
      </c>
      <c r="F407" s="1306" t="s">
        <v>2776</v>
      </c>
      <c r="G407" s="1307" t="s">
        <v>2777</v>
      </c>
      <c r="H407" s="1307" t="s">
        <v>1612</v>
      </c>
      <c r="I407" s="1307" t="s">
        <v>1616</v>
      </c>
      <c r="J407" s="1308" t="s">
        <v>1604</v>
      </c>
      <c r="K407" s="1309">
        <v>1</v>
      </c>
      <c r="L407" s="1310">
        <v>12</v>
      </c>
      <c r="M407" s="1311">
        <v>59312.619999999995</v>
      </c>
      <c r="N407" s="1312">
        <v>1</v>
      </c>
      <c r="O407" s="1310">
        <v>6</v>
      </c>
      <c r="P407" s="1313">
        <v>29948.959999999999</v>
      </c>
    </row>
    <row r="408" spans="1:16" x14ac:dyDescent="0.2">
      <c r="A408" s="1302" t="s">
        <v>292</v>
      </c>
      <c r="B408" s="1303" t="s">
        <v>1141</v>
      </c>
      <c r="C408" s="1303" t="s">
        <v>98</v>
      </c>
      <c r="D408" s="1304" t="s">
        <v>2778</v>
      </c>
      <c r="E408" s="1305">
        <v>10000</v>
      </c>
      <c r="F408" s="1306" t="s">
        <v>2779</v>
      </c>
      <c r="G408" s="1307" t="s">
        <v>2780</v>
      </c>
      <c r="H408" s="1307" t="s">
        <v>2394</v>
      </c>
      <c r="I408" s="1307" t="s">
        <v>1598</v>
      </c>
      <c r="J408" s="1308" t="s">
        <v>1616</v>
      </c>
      <c r="K408" s="1309">
        <v>1</v>
      </c>
      <c r="L408" s="1310">
        <v>6</v>
      </c>
      <c r="M408" s="1311">
        <v>57666.67</v>
      </c>
      <c r="N408" s="1312">
        <v>1</v>
      </c>
      <c r="O408" s="1310">
        <v>6</v>
      </c>
      <c r="P408" s="1313">
        <v>60000</v>
      </c>
    </row>
    <row r="409" spans="1:16" ht="22.5" x14ac:dyDescent="0.2">
      <c r="A409" s="1302" t="s">
        <v>292</v>
      </c>
      <c r="B409" s="1303" t="s">
        <v>1141</v>
      </c>
      <c r="C409" s="1303" t="s">
        <v>98</v>
      </c>
      <c r="D409" s="1304" t="s">
        <v>2376</v>
      </c>
      <c r="E409" s="1305">
        <v>11500</v>
      </c>
      <c r="F409" s="1306" t="s">
        <v>2781</v>
      </c>
      <c r="G409" s="1307" t="s">
        <v>2782</v>
      </c>
      <c r="H409" s="1307" t="s">
        <v>1640</v>
      </c>
      <c r="I409" s="1307" t="s">
        <v>1598</v>
      </c>
      <c r="J409" s="1308" t="s">
        <v>1604</v>
      </c>
      <c r="K409" s="1309">
        <v>1</v>
      </c>
      <c r="L409" s="1310">
        <v>6</v>
      </c>
      <c r="M409" s="1311">
        <v>65748.06</v>
      </c>
      <c r="N409" s="1312">
        <v>0</v>
      </c>
      <c r="O409" s="1310" t="s">
        <v>1633</v>
      </c>
      <c r="P409" s="1313">
        <v>0</v>
      </c>
    </row>
    <row r="410" spans="1:16" ht="22.5" x14ac:dyDescent="0.2">
      <c r="A410" s="1302" t="s">
        <v>292</v>
      </c>
      <c r="B410" s="1303" t="s">
        <v>1141</v>
      </c>
      <c r="C410" s="1303" t="s">
        <v>98</v>
      </c>
      <c r="D410" s="1304" t="s">
        <v>2783</v>
      </c>
      <c r="E410" s="1305">
        <v>8000</v>
      </c>
      <c r="F410" s="1306" t="s">
        <v>2784</v>
      </c>
      <c r="G410" s="1307" t="s">
        <v>2785</v>
      </c>
      <c r="H410" s="1307" t="s">
        <v>1819</v>
      </c>
      <c r="I410" s="1307" t="s">
        <v>1598</v>
      </c>
      <c r="J410" s="1308" t="s">
        <v>1616</v>
      </c>
      <c r="K410" s="1309">
        <v>1</v>
      </c>
      <c r="L410" s="1310">
        <v>6</v>
      </c>
      <c r="M410" s="1311">
        <v>46133.33</v>
      </c>
      <c r="N410" s="1312">
        <v>1</v>
      </c>
      <c r="O410" s="1310">
        <v>6</v>
      </c>
      <c r="P410" s="1313">
        <v>48000</v>
      </c>
    </row>
    <row r="411" spans="1:16" x14ac:dyDescent="0.2">
      <c r="A411" s="1302" t="s">
        <v>292</v>
      </c>
      <c r="B411" s="1303" t="s">
        <v>1141</v>
      </c>
      <c r="C411" s="1303" t="s">
        <v>98</v>
      </c>
      <c r="D411" s="1304" t="s">
        <v>2786</v>
      </c>
      <c r="E411" s="1305">
        <v>6000</v>
      </c>
      <c r="F411" s="1306" t="s">
        <v>2787</v>
      </c>
      <c r="G411" s="1307" t="s">
        <v>2788</v>
      </c>
      <c r="H411" s="1307" t="s">
        <v>1603</v>
      </c>
      <c r="I411" s="1307" t="s">
        <v>1616</v>
      </c>
      <c r="J411" s="1308" t="s">
        <v>1616</v>
      </c>
      <c r="K411" s="1309">
        <v>1</v>
      </c>
      <c r="L411" s="1310">
        <v>4</v>
      </c>
      <c r="M411" s="1311">
        <v>27800</v>
      </c>
      <c r="N411" s="1312">
        <v>1</v>
      </c>
      <c r="O411" s="1310">
        <v>6</v>
      </c>
      <c r="P411" s="1313">
        <v>36000</v>
      </c>
    </row>
    <row r="412" spans="1:16" x14ac:dyDescent="0.2">
      <c r="A412" s="1302" t="s">
        <v>292</v>
      </c>
      <c r="B412" s="1303" t="s">
        <v>1141</v>
      </c>
      <c r="C412" s="1303" t="s">
        <v>98</v>
      </c>
      <c r="D412" s="1304" t="s">
        <v>2789</v>
      </c>
      <c r="E412" s="1305">
        <v>11000</v>
      </c>
      <c r="F412" s="1306" t="s">
        <v>2790</v>
      </c>
      <c r="G412" s="1307" t="s">
        <v>2791</v>
      </c>
      <c r="H412" s="1307" t="s">
        <v>1608</v>
      </c>
      <c r="I412" s="1307" t="s">
        <v>1598</v>
      </c>
      <c r="J412" s="1308" t="s">
        <v>1604</v>
      </c>
      <c r="K412" s="1309">
        <v>1</v>
      </c>
      <c r="L412" s="1310">
        <v>12</v>
      </c>
      <c r="M412" s="1311">
        <v>118633.33</v>
      </c>
      <c r="N412" s="1312">
        <v>1</v>
      </c>
      <c r="O412" s="1310">
        <v>6</v>
      </c>
      <c r="P412" s="1313">
        <v>66000</v>
      </c>
    </row>
    <row r="413" spans="1:16" x14ac:dyDescent="0.2">
      <c r="A413" s="1302" t="s">
        <v>292</v>
      </c>
      <c r="B413" s="1303" t="s">
        <v>1141</v>
      </c>
      <c r="C413" s="1303" t="s">
        <v>98</v>
      </c>
      <c r="D413" s="1314" t="s">
        <v>1912</v>
      </c>
      <c r="E413" s="1305">
        <v>8000</v>
      </c>
      <c r="F413" s="1306" t="s">
        <v>2792</v>
      </c>
      <c r="G413" s="1307" t="s">
        <v>2793</v>
      </c>
      <c r="H413" s="1315" t="s">
        <v>1686</v>
      </c>
      <c r="I413" s="1315" t="s">
        <v>1598</v>
      </c>
      <c r="J413" s="1316" t="s">
        <v>1616</v>
      </c>
      <c r="K413" s="1309">
        <v>0</v>
      </c>
      <c r="L413" s="1310" t="s">
        <v>1633</v>
      </c>
      <c r="M413" s="1311">
        <v>0</v>
      </c>
      <c r="N413" s="1312">
        <v>1</v>
      </c>
      <c r="O413" s="1310">
        <v>6</v>
      </c>
      <c r="P413" s="1313">
        <v>49177.770000000004</v>
      </c>
    </row>
    <row r="414" spans="1:16" ht="22.5" x14ac:dyDescent="0.2">
      <c r="A414" s="1302" t="s">
        <v>292</v>
      </c>
      <c r="B414" s="1303" t="s">
        <v>1141</v>
      </c>
      <c r="C414" s="1303" t="s">
        <v>98</v>
      </c>
      <c r="D414" s="1304" t="s">
        <v>2794</v>
      </c>
      <c r="E414" s="1305">
        <v>10000</v>
      </c>
      <c r="F414" s="1306" t="s">
        <v>2795</v>
      </c>
      <c r="G414" s="1307" t="s">
        <v>2796</v>
      </c>
      <c r="H414" s="1307" t="s">
        <v>1603</v>
      </c>
      <c r="I414" s="1307" t="s">
        <v>1598</v>
      </c>
      <c r="J414" s="1308" t="s">
        <v>1604</v>
      </c>
      <c r="K414" s="1309">
        <v>1</v>
      </c>
      <c r="L414" s="1310">
        <v>12</v>
      </c>
      <c r="M414" s="1311">
        <v>117833.34</v>
      </c>
      <c r="N414" s="1312">
        <v>1</v>
      </c>
      <c r="O414" s="1310">
        <v>6</v>
      </c>
      <c r="P414" s="1313">
        <v>60000</v>
      </c>
    </row>
    <row r="415" spans="1:16" x14ac:dyDescent="0.2">
      <c r="A415" s="1302" t="s">
        <v>292</v>
      </c>
      <c r="B415" s="1303" t="s">
        <v>1141</v>
      </c>
      <c r="C415" s="1303" t="s">
        <v>98</v>
      </c>
      <c r="D415" s="1304" t="s">
        <v>2797</v>
      </c>
      <c r="E415" s="1305">
        <v>5000</v>
      </c>
      <c r="F415" s="1306" t="s">
        <v>2798</v>
      </c>
      <c r="G415" s="1307" t="s">
        <v>2799</v>
      </c>
      <c r="H415" s="1307" t="s">
        <v>1632</v>
      </c>
      <c r="I415" s="1307" t="s">
        <v>1598</v>
      </c>
      <c r="J415" s="1308" t="s">
        <v>1599</v>
      </c>
      <c r="K415" s="1309">
        <v>1</v>
      </c>
      <c r="L415" s="1310">
        <v>12</v>
      </c>
      <c r="M415" s="1311">
        <v>59914.58</v>
      </c>
      <c r="N415" s="1312">
        <v>1</v>
      </c>
      <c r="O415" s="1310">
        <v>6</v>
      </c>
      <c r="P415" s="1313">
        <v>29947.919999999998</v>
      </c>
    </row>
    <row r="416" spans="1:16" ht="22.5" x14ac:dyDescent="0.2">
      <c r="A416" s="1302" t="s">
        <v>292</v>
      </c>
      <c r="B416" s="1303" t="s">
        <v>1141</v>
      </c>
      <c r="C416" s="1303" t="s">
        <v>98</v>
      </c>
      <c r="D416" s="1304" t="s">
        <v>2019</v>
      </c>
      <c r="E416" s="1305">
        <v>15600</v>
      </c>
      <c r="F416" s="1306" t="s">
        <v>2800</v>
      </c>
      <c r="G416" s="1307" t="s">
        <v>2801</v>
      </c>
      <c r="H416" s="1307" t="s">
        <v>1612</v>
      </c>
      <c r="I416" s="1307" t="s">
        <v>1616</v>
      </c>
      <c r="J416" s="1308" t="s">
        <v>1604</v>
      </c>
      <c r="K416" s="1309">
        <v>1</v>
      </c>
      <c r="L416" s="1310">
        <v>10</v>
      </c>
      <c r="M416" s="1311">
        <v>156300</v>
      </c>
      <c r="N416" s="1312">
        <v>0</v>
      </c>
      <c r="O416" s="1310" t="s">
        <v>1633</v>
      </c>
      <c r="P416" s="1313">
        <v>0</v>
      </c>
    </row>
    <row r="417" spans="1:16" ht="22.5" x14ac:dyDescent="0.2">
      <c r="A417" s="1302" t="s">
        <v>292</v>
      </c>
      <c r="B417" s="1303" t="s">
        <v>1141</v>
      </c>
      <c r="C417" s="1303" t="s">
        <v>98</v>
      </c>
      <c r="D417" s="1304" t="s">
        <v>2802</v>
      </c>
      <c r="E417" s="1305">
        <v>2700</v>
      </c>
      <c r="F417" s="1306" t="s">
        <v>2803</v>
      </c>
      <c r="G417" s="1307" t="s">
        <v>2804</v>
      </c>
      <c r="H417" s="1307" t="s">
        <v>1694</v>
      </c>
      <c r="I417" s="1307" t="s">
        <v>1616</v>
      </c>
      <c r="J417" s="1308" t="s">
        <v>1599</v>
      </c>
      <c r="K417" s="1309">
        <v>1</v>
      </c>
      <c r="L417" s="1310">
        <v>12</v>
      </c>
      <c r="M417" s="1311">
        <v>32095.39</v>
      </c>
      <c r="N417" s="1312">
        <v>1</v>
      </c>
      <c r="O417" s="1310">
        <v>6</v>
      </c>
      <c r="P417" s="1313">
        <v>16200</v>
      </c>
    </row>
    <row r="418" spans="1:16" ht="22.5" x14ac:dyDescent="0.2">
      <c r="A418" s="1302" t="s">
        <v>292</v>
      </c>
      <c r="B418" s="1303" t="s">
        <v>1141</v>
      </c>
      <c r="C418" s="1303" t="s">
        <v>98</v>
      </c>
      <c r="D418" s="1304" t="s">
        <v>2805</v>
      </c>
      <c r="E418" s="1305">
        <v>7500</v>
      </c>
      <c r="F418" s="1306" t="s">
        <v>2806</v>
      </c>
      <c r="G418" s="1307" t="s">
        <v>2807</v>
      </c>
      <c r="H418" s="1307" t="s">
        <v>1608</v>
      </c>
      <c r="I418" s="1307" t="s">
        <v>1598</v>
      </c>
      <c r="J418" s="1308" t="s">
        <v>1604</v>
      </c>
      <c r="K418" s="1309">
        <v>1</v>
      </c>
      <c r="L418" s="1310">
        <v>12</v>
      </c>
      <c r="M418" s="1311">
        <v>90212.790000000008</v>
      </c>
      <c r="N418" s="1312">
        <v>1</v>
      </c>
      <c r="O418" s="1310">
        <v>3</v>
      </c>
      <c r="P418" s="1313">
        <v>22500</v>
      </c>
    </row>
    <row r="419" spans="1:16" x14ac:dyDescent="0.2">
      <c r="A419" s="1302" t="s">
        <v>292</v>
      </c>
      <c r="B419" s="1303" t="s">
        <v>1141</v>
      </c>
      <c r="C419" s="1303" t="s">
        <v>98</v>
      </c>
      <c r="D419" s="1304" t="s">
        <v>2009</v>
      </c>
      <c r="E419" s="1305">
        <v>15600</v>
      </c>
      <c r="F419" s="1306" t="s">
        <v>2808</v>
      </c>
      <c r="G419" s="1307" t="s">
        <v>2809</v>
      </c>
      <c r="H419" s="1307" t="s">
        <v>1713</v>
      </c>
      <c r="I419" s="1307" t="s">
        <v>1598</v>
      </c>
      <c r="J419" s="1308" t="s">
        <v>1604</v>
      </c>
      <c r="K419" s="1309">
        <v>1</v>
      </c>
      <c r="L419" s="1310">
        <v>10</v>
      </c>
      <c r="M419" s="1311">
        <v>143300</v>
      </c>
      <c r="N419" s="1312">
        <v>0</v>
      </c>
      <c r="O419" s="1310" t="s">
        <v>1633</v>
      </c>
      <c r="P419" s="1313">
        <v>0</v>
      </c>
    </row>
    <row r="420" spans="1:16" ht="22.5" x14ac:dyDescent="0.2">
      <c r="A420" s="1302" t="s">
        <v>292</v>
      </c>
      <c r="B420" s="1303" t="s">
        <v>1141</v>
      </c>
      <c r="C420" s="1303" t="s">
        <v>98</v>
      </c>
      <c r="D420" s="1304" t="s">
        <v>2810</v>
      </c>
      <c r="E420" s="1305">
        <v>12000</v>
      </c>
      <c r="F420" s="1306" t="s">
        <v>2811</v>
      </c>
      <c r="G420" s="1307" t="s">
        <v>2812</v>
      </c>
      <c r="H420" s="1307" t="s">
        <v>1647</v>
      </c>
      <c r="I420" s="1307" t="s">
        <v>1598</v>
      </c>
      <c r="J420" s="1308" t="s">
        <v>1604</v>
      </c>
      <c r="K420" s="1309">
        <v>1</v>
      </c>
      <c r="L420" s="1310">
        <v>12</v>
      </c>
      <c r="M420" s="1311">
        <v>143890</v>
      </c>
      <c r="N420" s="1312">
        <v>1</v>
      </c>
      <c r="O420" s="1310">
        <v>6</v>
      </c>
      <c r="P420" s="1313">
        <v>71213.33</v>
      </c>
    </row>
    <row r="421" spans="1:16" ht="22.5" x14ac:dyDescent="0.2">
      <c r="A421" s="1302" t="s">
        <v>292</v>
      </c>
      <c r="B421" s="1303" t="s">
        <v>1141</v>
      </c>
      <c r="C421" s="1303" t="s">
        <v>98</v>
      </c>
      <c r="D421" s="1304" t="s">
        <v>2813</v>
      </c>
      <c r="E421" s="1305">
        <v>5000</v>
      </c>
      <c r="F421" s="1306" t="s">
        <v>2814</v>
      </c>
      <c r="G421" s="1307" t="s">
        <v>2815</v>
      </c>
      <c r="H421" s="1307" t="s">
        <v>1732</v>
      </c>
      <c r="I421" s="1307" t="s">
        <v>1598</v>
      </c>
      <c r="J421" s="1308" t="s">
        <v>1616</v>
      </c>
      <c r="K421" s="1309">
        <v>1</v>
      </c>
      <c r="L421" s="1310">
        <v>4</v>
      </c>
      <c r="M421" s="1311">
        <v>19333.330000000002</v>
      </c>
      <c r="N421" s="1312">
        <v>1</v>
      </c>
      <c r="O421" s="1310">
        <v>6</v>
      </c>
      <c r="P421" s="1313">
        <v>30000</v>
      </c>
    </row>
    <row r="422" spans="1:16" x14ac:dyDescent="0.2">
      <c r="A422" s="1302" t="s">
        <v>292</v>
      </c>
      <c r="B422" s="1303" t="s">
        <v>1141</v>
      </c>
      <c r="C422" s="1303" t="s">
        <v>98</v>
      </c>
      <c r="D422" s="1304" t="s">
        <v>2816</v>
      </c>
      <c r="E422" s="1305">
        <v>3200</v>
      </c>
      <c r="F422" s="1306" t="s">
        <v>2817</v>
      </c>
      <c r="G422" s="1307" t="s">
        <v>2818</v>
      </c>
      <c r="H422" s="1307" t="s">
        <v>1812</v>
      </c>
      <c r="I422" s="1307" t="s">
        <v>1698</v>
      </c>
      <c r="J422" s="1308" t="s">
        <v>1771</v>
      </c>
      <c r="K422" s="1309">
        <v>1</v>
      </c>
      <c r="L422" s="1310">
        <v>12</v>
      </c>
      <c r="M422" s="1311">
        <v>38700</v>
      </c>
      <c r="N422" s="1312">
        <v>1</v>
      </c>
      <c r="O422" s="1310">
        <v>6</v>
      </c>
      <c r="P422" s="1313">
        <v>19200</v>
      </c>
    </row>
    <row r="423" spans="1:16" ht="22.5" x14ac:dyDescent="0.2">
      <c r="A423" s="1302" t="s">
        <v>292</v>
      </c>
      <c r="B423" s="1303" t="s">
        <v>1141</v>
      </c>
      <c r="C423" s="1303" t="s">
        <v>98</v>
      </c>
      <c r="D423" s="1304" t="s">
        <v>2819</v>
      </c>
      <c r="E423" s="1305">
        <v>14500</v>
      </c>
      <c r="F423" s="1306" t="s">
        <v>2820</v>
      </c>
      <c r="G423" s="1307" t="s">
        <v>2821</v>
      </c>
      <c r="H423" s="1307" t="s">
        <v>1603</v>
      </c>
      <c r="I423" s="1307" t="s">
        <v>1598</v>
      </c>
      <c r="J423" s="1308" t="s">
        <v>1604</v>
      </c>
      <c r="K423" s="1309">
        <v>1</v>
      </c>
      <c r="L423" s="1310">
        <v>12</v>
      </c>
      <c r="M423" s="1311">
        <v>174300</v>
      </c>
      <c r="N423" s="1312">
        <v>1</v>
      </c>
      <c r="O423" s="1310">
        <v>6</v>
      </c>
      <c r="P423" s="1313">
        <v>87000</v>
      </c>
    </row>
    <row r="424" spans="1:16" ht="22.5" x14ac:dyDescent="0.2">
      <c r="A424" s="1302" t="s">
        <v>292</v>
      </c>
      <c r="B424" s="1303" t="s">
        <v>1141</v>
      </c>
      <c r="C424" s="1303" t="s">
        <v>98</v>
      </c>
      <c r="D424" s="1304" t="s">
        <v>2822</v>
      </c>
      <c r="E424" s="1305">
        <v>7000</v>
      </c>
      <c r="F424" s="1306" t="s">
        <v>2823</v>
      </c>
      <c r="G424" s="1307" t="s">
        <v>2824</v>
      </c>
      <c r="H424" s="1307" t="s">
        <v>2825</v>
      </c>
      <c r="I424" s="1307" t="s">
        <v>1616</v>
      </c>
      <c r="J424" s="1308" t="s">
        <v>1604</v>
      </c>
      <c r="K424" s="1309">
        <v>1</v>
      </c>
      <c r="L424" s="1310">
        <v>12</v>
      </c>
      <c r="M424" s="1311">
        <v>83390</v>
      </c>
      <c r="N424" s="1312">
        <v>1</v>
      </c>
      <c r="O424" s="1310">
        <v>6</v>
      </c>
      <c r="P424" s="1313">
        <v>41766.67</v>
      </c>
    </row>
    <row r="425" spans="1:16" x14ac:dyDescent="0.2">
      <c r="A425" s="1302" t="s">
        <v>292</v>
      </c>
      <c r="B425" s="1303" t="s">
        <v>1141</v>
      </c>
      <c r="C425" s="1303" t="s">
        <v>98</v>
      </c>
      <c r="D425" s="1304" t="s">
        <v>2826</v>
      </c>
      <c r="E425" s="1305">
        <v>4800</v>
      </c>
      <c r="F425" s="1306" t="s">
        <v>2827</v>
      </c>
      <c r="G425" s="1307" t="s">
        <v>2828</v>
      </c>
      <c r="H425" s="1307" t="s">
        <v>2829</v>
      </c>
      <c r="I425" s="1307" t="s">
        <v>1598</v>
      </c>
      <c r="J425" s="1308" t="s">
        <v>1604</v>
      </c>
      <c r="K425" s="1309">
        <v>1</v>
      </c>
      <c r="L425" s="1310">
        <v>1</v>
      </c>
      <c r="M425" s="1311">
        <v>4800</v>
      </c>
      <c r="N425" s="1312">
        <v>0</v>
      </c>
      <c r="O425" s="1310" t="s">
        <v>1633</v>
      </c>
      <c r="P425" s="1313">
        <v>0</v>
      </c>
    </row>
    <row r="426" spans="1:16" ht="22.5" x14ac:dyDescent="0.2">
      <c r="A426" s="1302" t="s">
        <v>292</v>
      </c>
      <c r="B426" s="1303" t="s">
        <v>1141</v>
      </c>
      <c r="C426" s="1303" t="s">
        <v>98</v>
      </c>
      <c r="D426" s="1304" t="s">
        <v>2830</v>
      </c>
      <c r="E426" s="1305">
        <v>8000</v>
      </c>
      <c r="F426" s="1306" t="s">
        <v>2831</v>
      </c>
      <c r="G426" s="1307" t="s">
        <v>2832</v>
      </c>
      <c r="H426" s="1307" t="s">
        <v>1603</v>
      </c>
      <c r="I426" s="1307" t="s">
        <v>1598</v>
      </c>
      <c r="J426" s="1308" t="s">
        <v>1604</v>
      </c>
      <c r="K426" s="1309">
        <v>1</v>
      </c>
      <c r="L426" s="1310">
        <v>3</v>
      </c>
      <c r="M426" s="1311">
        <v>24466.53</v>
      </c>
      <c r="N426" s="1312">
        <v>0</v>
      </c>
      <c r="O426" s="1310" t="s">
        <v>1633</v>
      </c>
      <c r="P426" s="1313">
        <v>0</v>
      </c>
    </row>
    <row r="427" spans="1:16" ht="22.5" x14ac:dyDescent="0.2">
      <c r="A427" s="1302" t="s">
        <v>292</v>
      </c>
      <c r="B427" s="1303" t="s">
        <v>1141</v>
      </c>
      <c r="C427" s="1303" t="s">
        <v>98</v>
      </c>
      <c r="D427" s="1304" t="s">
        <v>2833</v>
      </c>
      <c r="E427" s="1305">
        <v>9000</v>
      </c>
      <c r="F427" s="1306" t="s">
        <v>2834</v>
      </c>
      <c r="G427" s="1307" t="s">
        <v>2835</v>
      </c>
      <c r="H427" s="1307" t="s">
        <v>1992</v>
      </c>
      <c r="I427" s="1307" t="s">
        <v>1598</v>
      </c>
      <c r="J427" s="1308" t="s">
        <v>1604</v>
      </c>
      <c r="K427" s="1309">
        <v>1</v>
      </c>
      <c r="L427" s="1310">
        <v>12</v>
      </c>
      <c r="M427" s="1311">
        <v>95733.18</v>
      </c>
      <c r="N427" s="1312">
        <v>1</v>
      </c>
      <c r="O427" s="1310">
        <v>6</v>
      </c>
      <c r="P427" s="1313">
        <v>54000</v>
      </c>
    </row>
    <row r="428" spans="1:16" x14ac:dyDescent="0.2">
      <c r="A428" s="1302" t="s">
        <v>292</v>
      </c>
      <c r="B428" s="1303" t="s">
        <v>1141</v>
      </c>
      <c r="C428" s="1303" t="s">
        <v>98</v>
      </c>
      <c r="D428" s="1304" t="s">
        <v>2836</v>
      </c>
      <c r="E428" s="1305">
        <v>5500</v>
      </c>
      <c r="F428" s="1306" t="s">
        <v>2837</v>
      </c>
      <c r="G428" s="1307" t="s">
        <v>2838</v>
      </c>
      <c r="H428" s="1307" t="s">
        <v>1664</v>
      </c>
      <c r="I428" s="1307" t="s">
        <v>1616</v>
      </c>
      <c r="J428" s="1308" t="s">
        <v>1604</v>
      </c>
      <c r="K428" s="1309">
        <v>1</v>
      </c>
      <c r="L428" s="1310">
        <v>12</v>
      </c>
      <c r="M428" s="1311">
        <v>66202.489999999991</v>
      </c>
      <c r="N428" s="1312">
        <v>1</v>
      </c>
      <c r="O428" s="1310">
        <v>6</v>
      </c>
      <c r="P428" s="1313">
        <v>33000</v>
      </c>
    </row>
    <row r="429" spans="1:16" ht="22.5" x14ac:dyDescent="0.2">
      <c r="A429" s="1302" t="s">
        <v>292</v>
      </c>
      <c r="B429" s="1303" t="s">
        <v>1141</v>
      </c>
      <c r="C429" s="1303" t="s">
        <v>98</v>
      </c>
      <c r="D429" s="1304" t="s">
        <v>2258</v>
      </c>
      <c r="E429" s="1305">
        <v>8000</v>
      </c>
      <c r="F429" s="1306" t="s">
        <v>2839</v>
      </c>
      <c r="G429" s="1307" t="s">
        <v>2840</v>
      </c>
      <c r="H429" s="1307" t="s">
        <v>1664</v>
      </c>
      <c r="I429" s="1307" t="s">
        <v>1616</v>
      </c>
      <c r="J429" s="1308" t="s">
        <v>1616</v>
      </c>
      <c r="K429" s="1309">
        <v>1</v>
      </c>
      <c r="L429" s="1310">
        <v>6</v>
      </c>
      <c r="M429" s="1311">
        <v>46133.33</v>
      </c>
      <c r="N429" s="1312">
        <v>1</v>
      </c>
      <c r="O429" s="1310">
        <v>1</v>
      </c>
      <c r="P429" s="1313">
        <v>8000</v>
      </c>
    </row>
    <row r="430" spans="1:16" x14ac:dyDescent="0.2">
      <c r="A430" s="1302" t="s">
        <v>292</v>
      </c>
      <c r="B430" s="1303" t="s">
        <v>1141</v>
      </c>
      <c r="C430" s="1303" t="s">
        <v>98</v>
      </c>
      <c r="D430" s="1304" t="s">
        <v>2841</v>
      </c>
      <c r="E430" s="1305">
        <v>6000</v>
      </c>
      <c r="F430" s="1306" t="s">
        <v>2842</v>
      </c>
      <c r="G430" s="1307" t="s">
        <v>2843</v>
      </c>
      <c r="H430" s="1307" t="s">
        <v>2844</v>
      </c>
      <c r="I430" s="1307" t="s">
        <v>1616</v>
      </c>
      <c r="J430" s="1308" t="s">
        <v>1604</v>
      </c>
      <c r="K430" s="1309">
        <v>1</v>
      </c>
      <c r="L430" s="1310">
        <v>1</v>
      </c>
      <c r="M430" s="1311">
        <v>5200</v>
      </c>
      <c r="N430" s="1312">
        <v>0</v>
      </c>
      <c r="O430" s="1310" t="s">
        <v>1633</v>
      </c>
      <c r="P430" s="1313">
        <v>0</v>
      </c>
    </row>
    <row r="431" spans="1:16" ht="22.5" x14ac:dyDescent="0.2">
      <c r="A431" s="1302" t="s">
        <v>292</v>
      </c>
      <c r="B431" s="1303" t="s">
        <v>1141</v>
      </c>
      <c r="C431" s="1303" t="s">
        <v>98</v>
      </c>
      <c r="D431" s="1304" t="s">
        <v>2845</v>
      </c>
      <c r="E431" s="1305">
        <v>2500</v>
      </c>
      <c r="F431" s="1306" t="s">
        <v>2846</v>
      </c>
      <c r="G431" s="1307" t="s">
        <v>2847</v>
      </c>
      <c r="H431" s="1307" t="s">
        <v>2848</v>
      </c>
      <c r="I431" s="1307" t="s">
        <v>1621</v>
      </c>
      <c r="J431" s="1308" t="s">
        <v>1988</v>
      </c>
      <c r="K431" s="1309">
        <v>1</v>
      </c>
      <c r="L431" s="1310">
        <v>12</v>
      </c>
      <c r="M431" s="1311">
        <v>61500</v>
      </c>
      <c r="N431" s="1312">
        <v>1</v>
      </c>
      <c r="O431" s="1310">
        <v>6</v>
      </c>
      <c r="P431" s="1313">
        <v>15000</v>
      </c>
    </row>
    <row r="432" spans="1:16" ht="33.75" x14ac:dyDescent="0.2">
      <c r="A432" s="1302" t="s">
        <v>292</v>
      </c>
      <c r="B432" s="1303" t="s">
        <v>1141</v>
      </c>
      <c r="C432" s="1303" t="s">
        <v>98</v>
      </c>
      <c r="D432" s="1304" t="s">
        <v>2849</v>
      </c>
      <c r="E432" s="1305">
        <v>8000</v>
      </c>
      <c r="F432" s="1306" t="s">
        <v>2850</v>
      </c>
      <c r="G432" s="1307" t="s">
        <v>2851</v>
      </c>
      <c r="H432" s="1307" t="s">
        <v>1847</v>
      </c>
      <c r="I432" s="1307" t="s">
        <v>1598</v>
      </c>
      <c r="J432" s="1308" t="s">
        <v>1604</v>
      </c>
      <c r="K432" s="1309">
        <v>1</v>
      </c>
      <c r="L432" s="1310">
        <v>4</v>
      </c>
      <c r="M432" s="1311">
        <v>31200</v>
      </c>
      <c r="N432" s="1312">
        <v>1</v>
      </c>
      <c r="O432" s="1310">
        <v>6</v>
      </c>
      <c r="P432" s="1313">
        <v>48000</v>
      </c>
    </row>
    <row r="433" spans="1:16" ht="22.5" x14ac:dyDescent="0.2">
      <c r="A433" s="1302" t="s">
        <v>292</v>
      </c>
      <c r="B433" s="1303" t="s">
        <v>1141</v>
      </c>
      <c r="C433" s="1303" t="s">
        <v>98</v>
      </c>
      <c r="D433" s="1304" t="s">
        <v>2852</v>
      </c>
      <c r="E433" s="1305">
        <v>2500</v>
      </c>
      <c r="F433" s="1306" t="s">
        <v>2853</v>
      </c>
      <c r="G433" s="1307" t="s">
        <v>2854</v>
      </c>
      <c r="H433" s="1307" t="s">
        <v>24</v>
      </c>
      <c r="I433" s="1307" t="s">
        <v>1660</v>
      </c>
      <c r="J433" s="1308" t="s">
        <v>1659</v>
      </c>
      <c r="K433" s="1309">
        <v>1</v>
      </c>
      <c r="L433" s="1310">
        <v>12</v>
      </c>
      <c r="M433" s="1311">
        <v>30300</v>
      </c>
      <c r="N433" s="1312">
        <v>1</v>
      </c>
      <c r="O433" s="1310">
        <v>6</v>
      </c>
      <c r="P433" s="1313">
        <v>12420</v>
      </c>
    </row>
    <row r="434" spans="1:16" ht="22.5" x14ac:dyDescent="0.2">
      <c r="A434" s="1302" t="s">
        <v>292</v>
      </c>
      <c r="B434" s="1303" t="s">
        <v>1141</v>
      </c>
      <c r="C434" s="1303" t="s">
        <v>98</v>
      </c>
      <c r="D434" s="1304" t="s">
        <v>2855</v>
      </c>
      <c r="E434" s="1305">
        <v>6000</v>
      </c>
      <c r="F434" s="1306" t="s">
        <v>2856</v>
      </c>
      <c r="G434" s="1307" t="s">
        <v>2857</v>
      </c>
      <c r="H434" s="1307" t="s">
        <v>2304</v>
      </c>
      <c r="I434" s="1307" t="s">
        <v>1598</v>
      </c>
      <c r="J434" s="1308" t="s">
        <v>1616</v>
      </c>
      <c r="K434" s="1309">
        <v>1</v>
      </c>
      <c r="L434" s="1310">
        <v>4</v>
      </c>
      <c r="M434" s="1311">
        <v>27800</v>
      </c>
      <c r="N434" s="1312">
        <v>1</v>
      </c>
      <c r="O434" s="1310">
        <v>6</v>
      </c>
      <c r="P434" s="1313">
        <v>36000</v>
      </c>
    </row>
    <row r="435" spans="1:16" x14ac:dyDescent="0.2">
      <c r="A435" s="1302" t="s">
        <v>292</v>
      </c>
      <c r="B435" s="1303" t="s">
        <v>1141</v>
      </c>
      <c r="C435" s="1303" t="s">
        <v>98</v>
      </c>
      <c r="D435" s="1314" t="s">
        <v>2858</v>
      </c>
      <c r="E435" s="1305">
        <v>6000</v>
      </c>
      <c r="F435" s="1306" t="s">
        <v>2859</v>
      </c>
      <c r="G435" s="1307" t="s">
        <v>2860</v>
      </c>
      <c r="H435" s="1315" t="s">
        <v>1686</v>
      </c>
      <c r="I435" s="1315" t="s">
        <v>1598</v>
      </c>
      <c r="J435" s="1316" t="s">
        <v>1616</v>
      </c>
      <c r="K435" s="1309">
        <v>0</v>
      </c>
      <c r="L435" s="1310" t="s">
        <v>1633</v>
      </c>
      <c r="M435" s="1311">
        <v>0</v>
      </c>
      <c r="N435" s="1312">
        <v>1</v>
      </c>
      <c r="O435" s="1310">
        <v>6</v>
      </c>
      <c r="P435" s="1313">
        <v>37000</v>
      </c>
    </row>
    <row r="436" spans="1:16" x14ac:dyDescent="0.2">
      <c r="A436" s="1302" t="s">
        <v>292</v>
      </c>
      <c r="B436" s="1303" t="s">
        <v>1141</v>
      </c>
      <c r="C436" s="1303" t="s">
        <v>98</v>
      </c>
      <c r="D436" s="1304" t="s">
        <v>2335</v>
      </c>
      <c r="E436" s="1305">
        <v>7000</v>
      </c>
      <c r="F436" s="1306" t="s">
        <v>2861</v>
      </c>
      <c r="G436" s="1307" t="s">
        <v>2862</v>
      </c>
      <c r="H436" s="1307" t="s">
        <v>1620</v>
      </c>
      <c r="I436" s="1307" t="s">
        <v>1598</v>
      </c>
      <c r="J436" s="1308" t="s">
        <v>1616</v>
      </c>
      <c r="K436" s="1309">
        <v>1</v>
      </c>
      <c r="L436" s="1310">
        <v>6</v>
      </c>
      <c r="M436" s="1311">
        <v>40366.67</v>
      </c>
      <c r="N436" s="1312">
        <v>1</v>
      </c>
      <c r="O436" s="1310">
        <v>6</v>
      </c>
      <c r="P436" s="1313">
        <v>42000</v>
      </c>
    </row>
    <row r="437" spans="1:16" x14ac:dyDescent="0.2">
      <c r="A437" s="1302" t="s">
        <v>292</v>
      </c>
      <c r="B437" s="1303" t="s">
        <v>1141</v>
      </c>
      <c r="C437" s="1303" t="s">
        <v>98</v>
      </c>
      <c r="D437" s="1304" t="s">
        <v>2863</v>
      </c>
      <c r="E437" s="1305">
        <v>3000</v>
      </c>
      <c r="F437" s="1306" t="s">
        <v>2864</v>
      </c>
      <c r="G437" s="1307" t="s">
        <v>2865</v>
      </c>
      <c r="H437" s="1307" t="s">
        <v>1659</v>
      </c>
      <c r="I437" s="1307" t="s">
        <v>1621</v>
      </c>
      <c r="J437" s="1308" t="s">
        <v>1659</v>
      </c>
      <c r="K437" s="1309">
        <v>1</v>
      </c>
      <c r="L437" s="1310">
        <v>6</v>
      </c>
      <c r="M437" s="1311">
        <v>17300</v>
      </c>
      <c r="N437" s="1312">
        <v>1</v>
      </c>
      <c r="O437" s="1310">
        <v>6</v>
      </c>
      <c r="P437" s="1313">
        <v>18000</v>
      </c>
    </row>
    <row r="438" spans="1:16" x14ac:dyDescent="0.2">
      <c r="A438" s="1302" t="s">
        <v>292</v>
      </c>
      <c r="B438" s="1303" t="s">
        <v>1141</v>
      </c>
      <c r="C438" s="1303" t="s">
        <v>98</v>
      </c>
      <c r="D438" s="1304" t="s">
        <v>1832</v>
      </c>
      <c r="E438" s="1305">
        <v>8000</v>
      </c>
      <c r="F438" s="1306" t="s">
        <v>2866</v>
      </c>
      <c r="G438" s="1307" t="s">
        <v>2867</v>
      </c>
      <c r="H438" s="1307" t="s">
        <v>1664</v>
      </c>
      <c r="I438" s="1307" t="s">
        <v>1598</v>
      </c>
      <c r="J438" s="1308" t="s">
        <v>1604</v>
      </c>
      <c r="K438" s="1309">
        <v>1</v>
      </c>
      <c r="L438" s="1310">
        <v>1</v>
      </c>
      <c r="M438" s="1311">
        <v>8000</v>
      </c>
      <c r="N438" s="1312">
        <v>1</v>
      </c>
      <c r="O438" s="1310">
        <v>2</v>
      </c>
      <c r="P438" s="1313">
        <v>16000</v>
      </c>
    </row>
    <row r="439" spans="1:16" ht="22.5" x14ac:dyDescent="0.2">
      <c r="A439" s="1302" t="s">
        <v>292</v>
      </c>
      <c r="B439" s="1303" t="s">
        <v>1141</v>
      </c>
      <c r="C439" s="1303" t="s">
        <v>98</v>
      </c>
      <c r="D439" s="1304" t="s">
        <v>2868</v>
      </c>
      <c r="E439" s="1305">
        <v>8000</v>
      </c>
      <c r="F439" s="1306" t="s">
        <v>2869</v>
      </c>
      <c r="G439" s="1307" t="s">
        <v>2870</v>
      </c>
      <c r="H439" s="1307" t="s">
        <v>1608</v>
      </c>
      <c r="I439" s="1307" t="s">
        <v>1616</v>
      </c>
      <c r="J439" s="1308" t="s">
        <v>1599</v>
      </c>
      <c r="K439" s="1309">
        <v>1</v>
      </c>
      <c r="L439" s="1310">
        <v>12</v>
      </c>
      <c r="M439" s="1311">
        <v>96300</v>
      </c>
      <c r="N439" s="1312">
        <v>1</v>
      </c>
      <c r="O439" s="1310">
        <v>6</v>
      </c>
      <c r="P439" s="1313">
        <v>48000</v>
      </c>
    </row>
    <row r="440" spans="1:16" x14ac:dyDescent="0.2">
      <c r="A440" s="1302" t="s">
        <v>292</v>
      </c>
      <c r="B440" s="1303" t="s">
        <v>1141</v>
      </c>
      <c r="C440" s="1303" t="s">
        <v>98</v>
      </c>
      <c r="D440" s="1304" t="s">
        <v>2871</v>
      </c>
      <c r="E440" s="1305">
        <v>7000</v>
      </c>
      <c r="F440" s="1306" t="s">
        <v>2872</v>
      </c>
      <c r="G440" s="1307" t="s">
        <v>2873</v>
      </c>
      <c r="H440" s="1307" t="s">
        <v>1753</v>
      </c>
      <c r="I440" s="1307" t="s">
        <v>1616</v>
      </c>
      <c r="J440" s="1308" t="s">
        <v>1604</v>
      </c>
      <c r="K440" s="1309">
        <v>1</v>
      </c>
      <c r="L440" s="1310">
        <v>12</v>
      </c>
      <c r="M440" s="1311">
        <v>83906.25</v>
      </c>
      <c r="N440" s="1312">
        <v>1</v>
      </c>
      <c r="O440" s="1310">
        <v>6</v>
      </c>
      <c r="P440" s="1313">
        <v>41097.770000000004</v>
      </c>
    </row>
    <row r="441" spans="1:16" ht="22.5" x14ac:dyDescent="0.2">
      <c r="A441" s="1302" t="s">
        <v>292</v>
      </c>
      <c r="B441" s="1303" t="s">
        <v>1141</v>
      </c>
      <c r="C441" s="1303" t="s">
        <v>98</v>
      </c>
      <c r="D441" s="1304" t="s">
        <v>2874</v>
      </c>
      <c r="E441" s="1305">
        <v>7500</v>
      </c>
      <c r="F441" s="1306" t="s">
        <v>2875</v>
      </c>
      <c r="G441" s="1307" t="s">
        <v>2876</v>
      </c>
      <c r="H441" s="1307" t="s">
        <v>1612</v>
      </c>
      <c r="I441" s="1307" t="s">
        <v>1598</v>
      </c>
      <c r="J441" s="1308" t="s">
        <v>1604</v>
      </c>
      <c r="K441" s="1309">
        <v>1</v>
      </c>
      <c r="L441" s="1310">
        <v>12</v>
      </c>
      <c r="M441" s="1311">
        <v>90300</v>
      </c>
      <c r="N441" s="1312">
        <v>1</v>
      </c>
      <c r="O441" s="1310">
        <v>6</v>
      </c>
      <c r="P441" s="1313">
        <v>45000</v>
      </c>
    </row>
    <row r="442" spans="1:16" ht="22.5" x14ac:dyDescent="0.2">
      <c r="A442" s="1302" t="s">
        <v>292</v>
      </c>
      <c r="B442" s="1303" t="s">
        <v>1141</v>
      </c>
      <c r="C442" s="1303" t="s">
        <v>98</v>
      </c>
      <c r="D442" s="1304" t="s">
        <v>2877</v>
      </c>
      <c r="E442" s="1305">
        <v>8000</v>
      </c>
      <c r="F442" s="1306" t="s">
        <v>2878</v>
      </c>
      <c r="G442" s="1307" t="s">
        <v>2879</v>
      </c>
      <c r="H442" s="1307" t="s">
        <v>1690</v>
      </c>
      <c r="I442" s="1307" t="s">
        <v>1698</v>
      </c>
      <c r="J442" s="1308" t="s">
        <v>1604</v>
      </c>
      <c r="K442" s="1309">
        <v>1</v>
      </c>
      <c r="L442" s="1310">
        <v>6</v>
      </c>
      <c r="M442" s="1311">
        <v>46133.33</v>
      </c>
      <c r="N442" s="1312">
        <v>1</v>
      </c>
      <c r="O442" s="1310">
        <v>6</v>
      </c>
      <c r="P442" s="1313">
        <v>48000</v>
      </c>
    </row>
    <row r="443" spans="1:16" x14ac:dyDescent="0.2">
      <c r="A443" s="1302" t="s">
        <v>292</v>
      </c>
      <c r="B443" s="1303" t="s">
        <v>1141</v>
      </c>
      <c r="C443" s="1303" t="s">
        <v>98</v>
      </c>
      <c r="D443" s="1304" t="s">
        <v>1996</v>
      </c>
      <c r="E443" s="1305">
        <v>15600</v>
      </c>
      <c r="F443" s="1306" t="s">
        <v>2880</v>
      </c>
      <c r="G443" s="1307" t="s">
        <v>2881</v>
      </c>
      <c r="H443" s="1307" t="s">
        <v>1686</v>
      </c>
      <c r="I443" s="1307" t="s">
        <v>1598</v>
      </c>
      <c r="J443" s="1308" t="s">
        <v>1604</v>
      </c>
      <c r="K443" s="1309">
        <v>1</v>
      </c>
      <c r="L443" s="1310">
        <v>12</v>
      </c>
      <c r="M443" s="1311">
        <v>90300</v>
      </c>
      <c r="N443" s="1312">
        <v>1</v>
      </c>
      <c r="O443" s="1310">
        <v>6</v>
      </c>
      <c r="P443" s="1313">
        <v>45000</v>
      </c>
    </row>
    <row r="444" spans="1:16" ht="22.5" x14ac:dyDescent="0.2">
      <c r="A444" s="1302" t="s">
        <v>292</v>
      </c>
      <c r="B444" s="1303" t="s">
        <v>1141</v>
      </c>
      <c r="C444" s="1303" t="s">
        <v>98</v>
      </c>
      <c r="D444" s="1304" t="s">
        <v>2882</v>
      </c>
      <c r="E444" s="1305">
        <v>7000</v>
      </c>
      <c r="F444" s="1306" t="s">
        <v>2883</v>
      </c>
      <c r="G444" s="1307" t="s">
        <v>2884</v>
      </c>
      <c r="H444" s="1307" t="s">
        <v>1603</v>
      </c>
      <c r="I444" s="1307" t="s">
        <v>1598</v>
      </c>
      <c r="J444" s="1308" t="s">
        <v>1616</v>
      </c>
      <c r="K444" s="1309">
        <v>1</v>
      </c>
      <c r="L444" s="1310">
        <v>2</v>
      </c>
      <c r="M444" s="1311">
        <v>16333.33</v>
      </c>
      <c r="N444" s="1312">
        <v>1</v>
      </c>
      <c r="O444" s="1310">
        <v>6</v>
      </c>
      <c r="P444" s="1313">
        <v>42000</v>
      </c>
    </row>
    <row r="445" spans="1:16" x14ac:dyDescent="0.2">
      <c r="A445" s="1302" t="s">
        <v>292</v>
      </c>
      <c r="B445" s="1303" t="s">
        <v>1141</v>
      </c>
      <c r="C445" s="1303" t="s">
        <v>98</v>
      </c>
      <c r="D445" s="1304" t="s">
        <v>1890</v>
      </c>
      <c r="E445" s="1305">
        <v>12000</v>
      </c>
      <c r="F445" s="1306" t="s">
        <v>2885</v>
      </c>
      <c r="G445" s="1307" t="s">
        <v>2886</v>
      </c>
      <c r="H445" s="1307" t="s">
        <v>1603</v>
      </c>
      <c r="I445" s="1307" t="s">
        <v>1616</v>
      </c>
      <c r="J445" s="1308" t="s">
        <v>1604</v>
      </c>
      <c r="K445" s="1309">
        <v>1</v>
      </c>
      <c r="L445" s="1310">
        <v>2</v>
      </c>
      <c r="M445" s="1311">
        <v>27923.33</v>
      </c>
      <c r="N445" s="1312">
        <v>1</v>
      </c>
      <c r="O445" s="1310">
        <v>6</v>
      </c>
      <c r="P445" s="1313">
        <v>72000</v>
      </c>
    </row>
    <row r="446" spans="1:16" ht="22.5" x14ac:dyDescent="0.2">
      <c r="A446" s="1302" t="s">
        <v>292</v>
      </c>
      <c r="B446" s="1303" t="s">
        <v>1141</v>
      </c>
      <c r="C446" s="1303" t="s">
        <v>98</v>
      </c>
      <c r="D446" s="1304" t="s">
        <v>1982</v>
      </c>
      <c r="E446" s="1305">
        <v>15600</v>
      </c>
      <c r="F446" s="1306" t="s">
        <v>2887</v>
      </c>
      <c r="G446" s="1307" t="s">
        <v>2888</v>
      </c>
      <c r="H446" s="1307" t="s">
        <v>1647</v>
      </c>
      <c r="I446" s="1307" t="s">
        <v>1598</v>
      </c>
      <c r="J446" s="1308" t="s">
        <v>1604</v>
      </c>
      <c r="K446" s="1309">
        <v>1</v>
      </c>
      <c r="L446" s="1310">
        <v>3</v>
      </c>
      <c r="M446" s="1311">
        <v>28700</v>
      </c>
      <c r="N446" s="1312">
        <v>0</v>
      </c>
      <c r="O446" s="1310" t="s">
        <v>1633</v>
      </c>
      <c r="P446" s="1313">
        <v>0</v>
      </c>
    </row>
    <row r="447" spans="1:16" x14ac:dyDescent="0.2">
      <c r="A447" s="1302" t="s">
        <v>292</v>
      </c>
      <c r="B447" s="1303" t="s">
        <v>1141</v>
      </c>
      <c r="C447" s="1303" t="s">
        <v>98</v>
      </c>
      <c r="D447" s="1304" t="s">
        <v>1996</v>
      </c>
      <c r="E447" s="1305">
        <v>15600</v>
      </c>
      <c r="F447" s="1306" t="s">
        <v>2889</v>
      </c>
      <c r="G447" s="1307" t="s">
        <v>2890</v>
      </c>
      <c r="H447" s="1307" t="s">
        <v>2693</v>
      </c>
      <c r="I447" s="1307" t="s">
        <v>1598</v>
      </c>
      <c r="J447" s="1308" t="s">
        <v>1604</v>
      </c>
      <c r="K447" s="1309">
        <v>1</v>
      </c>
      <c r="L447" s="1310">
        <v>12</v>
      </c>
      <c r="M447" s="1311">
        <v>187500</v>
      </c>
      <c r="N447" s="1312">
        <v>1</v>
      </c>
      <c r="O447" s="1310">
        <v>6</v>
      </c>
      <c r="P447" s="1313">
        <v>92040</v>
      </c>
    </row>
    <row r="448" spans="1:16" ht="22.5" x14ac:dyDescent="0.2">
      <c r="A448" s="1302" t="s">
        <v>292</v>
      </c>
      <c r="B448" s="1303" t="s">
        <v>1141</v>
      </c>
      <c r="C448" s="1303" t="s">
        <v>98</v>
      </c>
      <c r="D448" s="1304" t="s">
        <v>2891</v>
      </c>
      <c r="E448" s="1305">
        <v>6000</v>
      </c>
      <c r="F448" s="1306" t="s">
        <v>2892</v>
      </c>
      <c r="G448" s="1307" t="s">
        <v>2893</v>
      </c>
      <c r="H448" s="1307" t="s">
        <v>1640</v>
      </c>
      <c r="I448" s="1307" t="s">
        <v>1616</v>
      </c>
      <c r="J448" s="1308" t="s">
        <v>1604</v>
      </c>
      <c r="K448" s="1309">
        <v>1</v>
      </c>
      <c r="L448" s="1310">
        <v>2</v>
      </c>
      <c r="M448" s="1311">
        <v>14000</v>
      </c>
      <c r="N448" s="1312">
        <v>0</v>
      </c>
      <c r="O448" s="1310" t="s">
        <v>1633</v>
      </c>
      <c r="P448" s="1313">
        <v>0</v>
      </c>
    </row>
    <row r="449" spans="1:16" x14ac:dyDescent="0.2">
      <c r="A449" s="1302" t="s">
        <v>292</v>
      </c>
      <c r="B449" s="1303" t="s">
        <v>1141</v>
      </c>
      <c r="C449" s="1303" t="s">
        <v>98</v>
      </c>
      <c r="D449" s="1304" t="s">
        <v>2894</v>
      </c>
      <c r="E449" s="1305">
        <v>11000</v>
      </c>
      <c r="F449" s="1306" t="s">
        <v>2895</v>
      </c>
      <c r="G449" s="1307" t="s">
        <v>2896</v>
      </c>
      <c r="H449" s="1307" t="s">
        <v>1603</v>
      </c>
      <c r="I449" s="1307" t="s">
        <v>1598</v>
      </c>
      <c r="J449" s="1308" t="s">
        <v>1604</v>
      </c>
      <c r="K449" s="1309">
        <v>1</v>
      </c>
      <c r="L449" s="1310">
        <v>2</v>
      </c>
      <c r="M449" s="1311">
        <v>25666.67</v>
      </c>
      <c r="N449" s="1312">
        <v>0</v>
      </c>
      <c r="O449" s="1310" t="s">
        <v>1633</v>
      </c>
      <c r="P449" s="1313">
        <v>0</v>
      </c>
    </row>
    <row r="450" spans="1:16" ht="22.5" x14ac:dyDescent="0.2">
      <c r="A450" s="1302" t="s">
        <v>292</v>
      </c>
      <c r="B450" s="1303" t="s">
        <v>1141</v>
      </c>
      <c r="C450" s="1303" t="s">
        <v>98</v>
      </c>
      <c r="D450" s="1304" t="s">
        <v>2897</v>
      </c>
      <c r="E450" s="1305">
        <v>5000</v>
      </c>
      <c r="F450" s="1306" t="s">
        <v>2898</v>
      </c>
      <c r="G450" s="1307" t="s">
        <v>2899</v>
      </c>
      <c r="H450" s="1307" t="s">
        <v>2137</v>
      </c>
      <c r="I450" s="1307" t="s">
        <v>1598</v>
      </c>
      <c r="J450" s="1308" t="s">
        <v>1599</v>
      </c>
      <c r="K450" s="1309">
        <v>1</v>
      </c>
      <c r="L450" s="1310">
        <v>12</v>
      </c>
      <c r="M450" s="1311">
        <v>60300</v>
      </c>
      <c r="N450" s="1312">
        <v>1</v>
      </c>
      <c r="O450" s="1310">
        <v>6</v>
      </c>
      <c r="P450" s="1313">
        <v>30000</v>
      </c>
    </row>
    <row r="451" spans="1:16" ht="22.5" x14ac:dyDescent="0.2">
      <c r="A451" s="1302" t="s">
        <v>292</v>
      </c>
      <c r="B451" s="1303" t="s">
        <v>1141</v>
      </c>
      <c r="C451" s="1303" t="s">
        <v>98</v>
      </c>
      <c r="D451" s="1304" t="s">
        <v>2900</v>
      </c>
      <c r="E451" s="1305">
        <v>8000</v>
      </c>
      <c r="F451" s="1306" t="s">
        <v>2901</v>
      </c>
      <c r="G451" s="1307" t="s">
        <v>2902</v>
      </c>
      <c r="H451" s="1307" t="s">
        <v>1672</v>
      </c>
      <c r="I451" s="1307" t="s">
        <v>1598</v>
      </c>
      <c r="J451" s="1308" t="s">
        <v>1604</v>
      </c>
      <c r="K451" s="1309">
        <v>1</v>
      </c>
      <c r="L451" s="1310">
        <v>12</v>
      </c>
      <c r="M451" s="1311">
        <v>96300</v>
      </c>
      <c r="N451" s="1312">
        <v>1</v>
      </c>
      <c r="O451" s="1310">
        <v>6</v>
      </c>
      <c r="P451" s="1313">
        <v>48000</v>
      </c>
    </row>
    <row r="452" spans="1:16" ht="22.5" x14ac:dyDescent="0.2">
      <c r="A452" s="1302" t="s">
        <v>292</v>
      </c>
      <c r="B452" s="1303" t="s">
        <v>1141</v>
      </c>
      <c r="C452" s="1303" t="s">
        <v>98</v>
      </c>
      <c r="D452" s="1304" t="s">
        <v>2903</v>
      </c>
      <c r="E452" s="1305">
        <v>6000</v>
      </c>
      <c r="F452" s="1306" t="s">
        <v>2904</v>
      </c>
      <c r="G452" s="1307" t="s">
        <v>2905</v>
      </c>
      <c r="H452" s="1307" t="s">
        <v>2906</v>
      </c>
      <c r="I452" s="1307" t="s">
        <v>1598</v>
      </c>
      <c r="J452" s="1308" t="s">
        <v>1604</v>
      </c>
      <c r="K452" s="1309">
        <v>1</v>
      </c>
      <c r="L452" s="1310">
        <v>2</v>
      </c>
      <c r="M452" s="1311">
        <v>14000</v>
      </c>
      <c r="N452" s="1312">
        <v>1</v>
      </c>
      <c r="O452" s="1310">
        <v>3</v>
      </c>
      <c r="P452" s="1313">
        <v>17413.330000000002</v>
      </c>
    </row>
    <row r="453" spans="1:16" x14ac:dyDescent="0.2">
      <c r="A453" s="1302" t="s">
        <v>292</v>
      </c>
      <c r="B453" s="1303" t="s">
        <v>1141</v>
      </c>
      <c r="C453" s="1303" t="s">
        <v>98</v>
      </c>
      <c r="D453" s="1304" t="s">
        <v>2907</v>
      </c>
      <c r="E453" s="1305">
        <v>10000</v>
      </c>
      <c r="F453" s="1306" t="s">
        <v>2908</v>
      </c>
      <c r="G453" s="1307" t="s">
        <v>2909</v>
      </c>
      <c r="H453" s="1307" t="s">
        <v>1847</v>
      </c>
      <c r="I453" s="1307" t="s">
        <v>1598</v>
      </c>
      <c r="J453" s="1308" t="s">
        <v>1604</v>
      </c>
      <c r="K453" s="1309">
        <v>1</v>
      </c>
      <c r="L453" s="1310">
        <v>12</v>
      </c>
      <c r="M453" s="1311">
        <v>119966.67</v>
      </c>
      <c r="N453" s="1312">
        <v>1</v>
      </c>
      <c r="O453" s="1310">
        <v>6</v>
      </c>
      <c r="P453" s="1313">
        <v>59666.67</v>
      </c>
    </row>
    <row r="454" spans="1:16" x14ac:dyDescent="0.2">
      <c r="A454" s="1302" t="s">
        <v>292</v>
      </c>
      <c r="B454" s="1303" t="s">
        <v>1141</v>
      </c>
      <c r="C454" s="1303" t="s">
        <v>98</v>
      </c>
      <c r="D454" s="1304" t="s">
        <v>2910</v>
      </c>
      <c r="E454" s="1305">
        <v>7000</v>
      </c>
      <c r="F454" s="1306" t="s">
        <v>2911</v>
      </c>
      <c r="G454" s="1307" t="s">
        <v>2912</v>
      </c>
      <c r="H454" s="1307" t="s">
        <v>2913</v>
      </c>
      <c r="I454" s="1307" t="s">
        <v>1598</v>
      </c>
      <c r="J454" s="1308" t="s">
        <v>1604</v>
      </c>
      <c r="K454" s="1309">
        <v>1</v>
      </c>
      <c r="L454" s="1310">
        <v>3</v>
      </c>
      <c r="M454" s="1311">
        <v>21000</v>
      </c>
      <c r="N454" s="1312">
        <v>0</v>
      </c>
      <c r="O454" s="1310" t="s">
        <v>1633</v>
      </c>
      <c r="P454" s="1313">
        <v>0</v>
      </c>
    </row>
    <row r="455" spans="1:16" x14ac:dyDescent="0.2">
      <c r="A455" s="1302" t="s">
        <v>292</v>
      </c>
      <c r="B455" s="1303" t="s">
        <v>1141</v>
      </c>
      <c r="C455" s="1303" t="s">
        <v>98</v>
      </c>
      <c r="D455" s="1304" t="s">
        <v>2009</v>
      </c>
      <c r="E455" s="1305">
        <v>15600</v>
      </c>
      <c r="F455" s="1306" t="s">
        <v>2914</v>
      </c>
      <c r="G455" s="1307" t="s">
        <v>2915</v>
      </c>
      <c r="H455" s="1307" t="s">
        <v>1603</v>
      </c>
      <c r="I455" s="1307" t="s">
        <v>1598</v>
      </c>
      <c r="J455" s="1308" t="s">
        <v>1604</v>
      </c>
      <c r="K455" s="1309">
        <v>1</v>
      </c>
      <c r="L455" s="1310">
        <v>2</v>
      </c>
      <c r="M455" s="1311">
        <v>34320</v>
      </c>
      <c r="N455" s="1312">
        <v>0</v>
      </c>
      <c r="O455" s="1310" t="s">
        <v>1633</v>
      </c>
      <c r="P455" s="1313">
        <v>0</v>
      </c>
    </row>
    <row r="456" spans="1:16" x14ac:dyDescent="0.2">
      <c r="A456" s="1302" t="s">
        <v>292</v>
      </c>
      <c r="B456" s="1303" t="s">
        <v>1141</v>
      </c>
      <c r="C456" s="1303" t="s">
        <v>98</v>
      </c>
      <c r="D456" s="1304" t="s">
        <v>2916</v>
      </c>
      <c r="E456" s="1305">
        <v>3000</v>
      </c>
      <c r="F456" s="1306" t="s">
        <v>2917</v>
      </c>
      <c r="G456" s="1307" t="s">
        <v>2918</v>
      </c>
      <c r="H456" s="1307" t="s">
        <v>2919</v>
      </c>
      <c r="I456" s="1307" t="s">
        <v>1660</v>
      </c>
      <c r="J456" s="1308" t="s">
        <v>1604</v>
      </c>
      <c r="K456" s="1309">
        <v>1</v>
      </c>
      <c r="L456" s="1310">
        <v>12</v>
      </c>
      <c r="M456" s="1311">
        <v>36300</v>
      </c>
      <c r="N456" s="1312">
        <v>1</v>
      </c>
      <c r="O456" s="1310">
        <v>6</v>
      </c>
      <c r="P456" s="1313">
        <v>18000</v>
      </c>
    </row>
    <row r="457" spans="1:16" x14ac:dyDescent="0.2">
      <c r="A457" s="1302" t="s">
        <v>292</v>
      </c>
      <c r="B457" s="1303" t="s">
        <v>1141</v>
      </c>
      <c r="C457" s="1303" t="s">
        <v>98</v>
      </c>
      <c r="D457" s="1314" t="s">
        <v>1876</v>
      </c>
      <c r="E457" s="1305">
        <v>12000</v>
      </c>
      <c r="F457" s="1306" t="s">
        <v>2920</v>
      </c>
      <c r="G457" s="1307" t="s">
        <v>2921</v>
      </c>
      <c r="H457" s="1315" t="s">
        <v>1603</v>
      </c>
      <c r="I457" s="1315" t="s">
        <v>1598</v>
      </c>
      <c r="J457" s="1316" t="s">
        <v>1616</v>
      </c>
      <c r="K457" s="1309">
        <v>0</v>
      </c>
      <c r="L457" s="1310" t="s">
        <v>1633</v>
      </c>
      <c r="M457" s="1311">
        <v>0</v>
      </c>
      <c r="N457" s="1312">
        <v>1</v>
      </c>
      <c r="O457" s="1310">
        <v>6</v>
      </c>
      <c r="P457" s="1313">
        <v>74000</v>
      </c>
    </row>
    <row r="458" spans="1:16" x14ac:dyDescent="0.2">
      <c r="A458" s="1302" t="s">
        <v>292</v>
      </c>
      <c r="B458" s="1303" t="s">
        <v>1141</v>
      </c>
      <c r="C458" s="1303" t="s">
        <v>98</v>
      </c>
      <c r="D458" s="1304" t="s">
        <v>2922</v>
      </c>
      <c r="E458" s="1305">
        <v>2500</v>
      </c>
      <c r="F458" s="1306" t="s">
        <v>2923</v>
      </c>
      <c r="G458" s="1307" t="s">
        <v>2924</v>
      </c>
      <c r="H458" s="1307" t="s">
        <v>1659</v>
      </c>
      <c r="I458" s="1307" t="s">
        <v>1698</v>
      </c>
      <c r="J458" s="1308" t="s">
        <v>1659</v>
      </c>
      <c r="K458" s="1309">
        <v>1</v>
      </c>
      <c r="L458" s="1310">
        <v>12</v>
      </c>
      <c r="M458" s="1311">
        <v>30300</v>
      </c>
      <c r="N458" s="1312">
        <v>1</v>
      </c>
      <c r="O458" s="1310">
        <v>6</v>
      </c>
      <c r="P458" s="1313">
        <v>15000</v>
      </c>
    </row>
    <row r="459" spans="1:16" ht="22.5" x14ac:dyDescent="0.2">
      <c r="A459" s="1302" t="s">
        <v>292</v>
      </c>
      <c r="B459" s="1303" t="s">
        <v>1141</v>
      </c>
      <c r="C459" s="1303" t="s">
        <v>98</v>
      </c>
      <c r="D459" s="1304" t="s">
        <v>2925</v>
      </c>
      <c r="E459" s="1305">
        <v>6000</v>
      </c>
      <c r="F459" s="1306" t="s">
        <v>2926</v>
      </c>
      <c r="G459" s="1307" t="s">
        <v>2927</v>
      </c>
      <c r="H459" s="1307" t="s">
        <v>1651</v>
      </c>
      <c r="I459" s="1307" t="s">
        <v>1616</v>
      </c>
      <c r="J459" s="1308" t="s">
        <v>1604</v>
      </c>
      <c r="K459" s="1309">
        <v>1</v>
      </c>
      <c r="L459" s="1310">
        <v>6</v>
      </c>
      <c r="M459" s="1311">
        <v>34400</v>
      </c>
      <c r="N459" s="1312">
        <v>1</v>
      </c>
      <c r="O459" s="1310">
        <v>1</v>
      </c>
      <c r="P459" s="1313">
        <v>6000</v>
      </c>
    </row>
    <row r="460" spans="1:16" x14ac:dyDescent="0.2">
      <c r="A460" s="1302" t="s">
        <v>292</v>
      </c>
      <c r="B460" s="1303" t="s">
        <v>1141</v>
      </c>
      <c r="C460" s="1303" t="s">
        <v>98</v>
      </c>
      <c r="D460" s="1304" t="s">
        <v>1915</v>
      </c>
      <c r="E460" s="1305">
        <v>8000</v>
      </c>
      <c r="F460" s="1306" t="s">
        <v>2928</v>
      </c>
      <c r="G460" s="1307" t="s">
        <v>2929</v>
      </c>
      <c r="H460" s="1307" t="s">
        <v>1753</v>
      </c>
      <c r="I460" s="1307" t="s">
        <v>1598</v>
      </c>
      <c r="J460" s="1308" t="s">
        <v>1604</v>
      </c>
      <c r="K460" s="1309">
        <v>1</v>
      </c>
      <c r="L460" s="1310">
        <v>7</v>
      </c>
      <c r="M460" s="1311">
        <v>56300</v>
      </c>
      <c r="N460" s="1312">
        <v>0</v>
      </c>
      <c r="O460" s="1310" t="s">
        <v>1633</v>
      </c>
      <c r="P460" s="1313">
        <v>0</v>
      </c>
    </row>
    <row r="461" spans="1:16" ht="22.5" x14ac:dyDescent="0.2">
      <c r="A461" s="1302" t="s">
        <v>292</v>
      </c>
      <c r="B461" s="1303" t="s">
        <v>1141</v>
      </c>
      <c r="C461" s="1303" t="s">
        <v>98</v>
      </c>
      <c r="D461" s="1304" t="s">
        <v>2930</v>
      </c>
      <c r="E461" s="1305">
        <v>4200</v>
      </c>
      <c r="F461" s="1306" t="s">
        <v>2931</v>
      </c>
      <c r="G461" s="1307" t="s">
        <v>2932</v>
      </c>
      <c r="H461" s="1307" t="s">
        <v>1694</v>
      </c>
      <c r="I461" s="1307" t="s">
        <v>1621</v>
      </c>
      <c r="J461" s="1308" t="s">
        <v>1599</v>
      </c>
      <c r="K461" s="1309">
        <v>1</v>
      </c>
      <c r="L461" s="1310">
        <v>12</v>
      </c>
      <c r="M461" s="1311">
        <v>50700</v>
      </c>
      <c r="N461" s="1312">
        <v>1</v>
      </c>
      <c r="O461" s="1310">
        <v>6</v>
      </c>
      <c r="P461" s="1313">
        <v>25200</v>
      </c>
    </row>
    <row r="462" spans="1:16" ht="33.75" x14ac:dyDescent="0.2">
      <c r="A462" s="1302" t="s">
        <v>292</v>
      </c>
      <c r="B462" s="1303" t="s">
        <v>1141</v>
      </c>
      <c r="C462" s="1303" t="s">
        <v>98</v>
      </c>
      <c r="D462" s="1304" t="s">
        <v>2933</v>
      </c>
      <c r="E462" s="1305">
        <v>11500</v>
      </c>
      <c r="F462" s="1306" t="s">
        <v>2934</v>
      </c>
      <c r="G462" s="1307" t="s">
        <v>2935</v>
      </c>
      <c r="H462" s="1307" t="s">
        <v>1732</v>
      </c>
      <c r="I462" s="1307" t="s">
        <v>1598</v>
      </c>
      <c r="J462" s="1308" t="s">
        <v>1616</v>
      </c>
      <c r="K462" s="1309">
        <v>1</v>
      </c>
      <c r="L462" s="1310">
        <v>6</v>
      </c>
      <c r="M462" s="1311">
        <v>66316.67</v>
      </c>
      <c r="N462" s="1312">
        <v>1</v>
      </c>
      <c r="O462" s="1310">
        <v>6</v>
      </c>
      <c r="P462" s="1313">
        <v>69000</v>
      </c>
    </row>
    <row r="463" spans="1:16" ht="22.5" x14ac:dyDescent="0.2">
      <c r="A463" s="1302" t="s">
        <v>292</v>
      </c>
      <c r="B463" s="1303" t="s">
        <v>1141</v>
      </c>
      <c r="C463" s="1303" t="s">
        <v>98</v>
      </c>
      <c r="D463" s="1304" t="s">
        <v>2936</v>
      </c>
      <c r="E463" s="1305">
        <v>8000</v>
      </c>
      <c r="F463" s="1306" t="s">
        <v>2937</v>
      </c>
      <c r="G463" s="1307" t="s">
        <v>2938</v>
      </c>
      <c r="H463" s="1307" t="s">
        <v>1672</v>
      </c>
      <c r="I463" s="1307" t="s">
        <v>1616</v>
      </c>
      <c r="J463" s="1308" t="s">
        <v>1604</v>
      </c>
      <c r="K463" s="1309">
        <v>1</v>
      </c>
      <c r="L463" s="1310">
        <v>12</v>
      </c>
      <c r="M463" s="1311">
        <v>96300</v>
      </c>
      <c r="N463" s="1312">
        <v>1</v>
      </c>
      <c r="O463" s="1310">
        <v>6</v>
      </c>
      <c r="P463" s="1313">
        <v>48000</v>
      </c>
    </row>
    <row r="464" spans="1:16" x14ac:dyDescent="0.2">
      <c r="A464" s="1302" t="s">
        <v>292</v>
      </c>
      <c r="B464" s="1303" t="s">
        <v>1141</v>
      </c>
      <c r="C464" s="1303" t="s">
        <v>98</v>
      </c>
      <c r="D464" s="1304" t="s">
        <v>1600</v>
      </c>
      <c r="E464" s="1305">
        <v>9000</v>
      </c>
      <c r="F464" s="1306" t="s">
        <v>2939</v>
      </c>
      <c r="G464" s="1307" t="s">
        <v>2940</v>
      </c>
      <c r="H464" s="1307" t="s">
        <v>1603</v>
      </c>
      <c r="I464" s="1307" t="s">
        <v>1598</v>
      </c>
      <c r="J464" s="1308" t="s">
        <v>1616</v>
      </c>
      <c r="K464" s="1309">
        <v>1</v>
      </c>
      <c r="L464" s="1310">
        <v>4</v>
      </c>
      <c r="M464" s="1311">
        <v>32866.559999999998</v>
      </c>
      <c r="N464" s="1312">
        <v>1</v>
      </c>
      <c r="O464" s="1310">
        <v>6</v>
      </c>
      <c r="P464" s="1313">
        <v>54000</v>
      </c>
    </row>
    <row r="465" spans="1:16" ht="22.5" x14ac:dyDescent="0.2">
      <c r="A465" s="1302" t="s">
        <v>292</v>
      </c>
      <c r="B465" s="1303" t="s">
        <v>1141</v>
      </c>
      <c r="C465" s="1303" t="s">
        <v>98</v>
      </c>
      <c r="D465" s="1304" t="s">
        <v>2941</v>
      </c>
      <c r="E465" s="1305">
        <v>7000</v>
      </c>
      <c r="F465" s="1306" t="s">
        <v>2942</v>
      </c>
      <c r="G465" s="1307" t="s">
        <v>2943</v>
      </c>
      <c r="H465" s="1307" t="s">
        <v>1690</v>
      </c>
      <c r="I465" s="1307" t="s">
        <v>1616</v>
      </c>
      <c r="J465" s="1308" t="s">
        <v>1604</v>
      </c>
      <c r="K465" s="1309">
        <v>1</v>
      </c>
      <c r="L465" s="1310">
        <v>12</v>
      </c>
      <c r="M465" s="1311">
        <v>84066.67</v>
      </c>
      <c r="N465" s="1312">
        <v>1</v>
      </c>
      <c r="O465" s="1310">
        <v>6</v>
      </c>
      <c r="P465" s="1313">
        <v>42000</v>
      </c>
    </row>
    <row r="466" spans="1:16" ht="22.5" x14ac:dyDescent="0.2">
      <c r="A466" s="1302" t="s">
        <v>292</v>
      </c>
      <c r="B466" s="1303" t="s">
        <v>1141</v>
      </c>
      <c r="C466" s="1303" t="s">
        <v>98</v>
      </c>
      <c r="D466" s="1304" t="s">
        <v>2944</v>
      </c>
      <c r="E466" s="1305">
        <v>7000</v>
      </c>
      <c r="F466" s="1306" t="s">
        <v>2945</v>
      </c>
      <c r="G466" s="1307" t="s">
        <v>2946</v>
      </c>
      <c r="H466" s="1307" t="s">
        <v>2166</v>
      </c>
      <c r="I466" s="1307" t="s">
        <v>1598</v>
      </c>
      <c r="J466" s="1308" t="s">
        <v>1604</v>
      </c>
      <c r="K466" s="1309">
        <v>1</v>
      </c>
      <c r="L466" s="1310">
        <v>12</v>
      </c>
      <c r="M466" s="1311">
        <v>84066.67</v>
      </c>
      <c r="N466" s="1312">
        <v>1</v>
      </c>
      <c r="O466" s="1310">
        <v>6</v>
      </c>
      <c r="P466" s="1313">
        <v>42000</v>
      </c>
    </row>
    <row r="467" spans="1:16" x14ac:dyDescent="0.2">
      <c r="A467" s="1302" t="s">
        <v>292</v>
      </c>
      <c r="B467" s="1303" t="s">
        <v>1141</v>
      </c>
      <c r="C467" s="1303" t="s">
        <v>98</v>
      </c>
      <c r="D467" s="1304" t="s">
        <v>2947</v>
      </c>
      <c r="E467" s="1305">
        <v>7000</v>
      </c>
      <c r="F467" s="1306" t="s">
        <v>2948</v>
      </c>
      <c r="G467" s="1307" t="s">
        <v>2949</v>
      </c>
      <c r="H467" s="1307" t="s">
        <v>1686</v>
      </c>
      <c r="I467" s="1307" t="s">
        <v>1598</v>
      </c>
      <c r="J467" s="1308" t="s">
        <v>1616</v>
      </c>
      <c r="K467" s="1309">
        <v>1</v>
      </c>
      <c r="L467" s="1310">
        <v>4</v>
      </c>
      <c r="M467" s="1311">
        <v>27066.67</v>
      </c>
      <c r="N467" s="1312">
        <v>1</v>
      </c>
      <c r="O467" s="1310">
        <v>6</v>
      </c>
      <c r="P467" s="1313">
        <v>42000</v>
      </c>
    </row>
    <row r="468" spans="1:16" x14ac:dyDescent="0.2">
      <c r="A468" s="1302" t="s">
        <v>292</v>
      </c>
      <c r="B468" s="1303" t="s">
        <v>1141</v>
      </c>
      <c r="C468" s="1303" t="s">
        <v>98</v>
      </c>
      <c r="D468" s="1314" t="s">
        <v>1902</v>
      </c>
      <c r="E468" s="1305">
        <v>8000</v>
      </c>
      <c r="F468" s="1306" t="s">
        <v>2950</v>
      </c>
      <c r="G468" s="1307" t="s">
        <v>2951</v>
      </c>
      <c r="H468" s="1315" t="s">
        <v>1603</v>
      </c>
      <c r="I468" s="1315" t="s">
        <v>1598</v>
      </c>
      <c r="J468" s="1316" t="s">
        <v>1616</v>
      </c>
      <c r="K468" s="1309">
        <v>0</v>
      </c>
      <c r="L468" s="1310" t="s">
        <v>1633</v>
      </c>
      <c r="M468" s="1311">
        <v>0</v>
      </c>
      <c r="N468" s="1312">
        <v>1</v>
      </c>
      <c r="O468" s="1310">
        <v>4</v>
      </c>
      <c r="P468" s="1313">
        <v>33333.33</v>
      </c>
    </row>
    <row r="469" spans="1:16" x14ac:dyDescent="0.2">
      <c r="A469" s="1302" t="s">
        <v>292</v>
      </c>
      <c r="B469" s="1303" t="s">
        <v>1141</v>
      </c>
      <c r="C469" s="1303" t="s">
        <v>98</v>
      </c>
      <c r="D469" s="1304" t="s">
        <v>2952</v>
      </c>
      <c r="E469" s="1305">
        <v>15500</v>
      </c>
      <c r="F469" s="1306" t="s">
        <v>2953</v>
      </c>
      <c r="G469" s="1307" t="s">
        <v>2954</v>
      </c>
      <c r="H469" s="1307" t="s">
        <v>1608</v>
      </c>
      <c r="I469" s="1307" t="s">
        <v>1598</v>
      </c>
      <c r="J469" s="1308" t="s">
        <v>1604</v>
      </c>
      <c r="K469" s="1309">
        <v>1</v>
      </c>
      <c r="L469" s="1310">
        <v>12</v>
      </c>
      <c r="M469" s="1311">
        <v>186300</v>
      </c>
      <c r="N469" s="1312">
        <v>1</v>
      </c>
      <c r="O469" s="1310">
        <v>6</v>
      </c>
      <c r="P469" s="1313">
        <v>91450</v>
      </c>
    </row>
    <row r="470" spans="1:16" ht="22.5" x14ac:dyDescent="0.2">
      <c r="A470" s="1302" t="s">
        <v>292</v>
      </c>
      <c r="B470" s="1303" t="s">
        <v>1141</v>
      </c>
      <c r="C470" s="1303" t="s">
        <v>98</v>
      </c>
      <c r="D470" s="1304" t="s">
        <v>2955</v>
      </c>
      <c r="E470" s="1305">
        <v>3500</v>
      </c>
      <c r="F470" s="1306" t="s">
        <v>2956</v>
      </c>
      <c r="G470" s="1307" t="s">
        <v>2957</v>
      </c>
      <c r="H470" s="1307" t="s">
        <v>1819</v>
      </c>
      <c r="I470" s="1307" t="s">
        <v>1616</v>
      </c>
      <c r="J470" s="1308" t="s">
        <v>1604</v>
      </c>
      <c r="K470" s="1309">
        <v>1</v>
      </c>
      <c r="L470" s="1310">
        <v>12</v>
      </c>
      <c r="M470" s="1311">
        <v>42300</v>
      </c>
      <c r="N470" s="1312">
        <v>1</v>
      </c>
      <c r="O470" s="1310">
        <v>6</v>
      </c>
      <c r="P470" s="1313">
        <v>21000</v>
      </c>
    </row>
    <row r="471" spans="1:16" ht="22.5" x14ac:dyDescent="0.2">
      <c r="A471" s="1302" t="s">
        <v>292</v>
      </c>
      <c r="B471" s="1303" t="s">
        <v>1141</v>
      </c>
      <c r="C471" s="1303" t="s">
        <v>98</v>
      </c>
      <c r="D471" s="1304" t="s">
        <v>2958</v>
      </c>
      <c r="E471" s="1305">
        <v>8500</v>
      </c>
      <c r="F471" s="1306" t="s">
        <v>2959</v>
      </c>
      <c r="G471" s="1307" t="s">
        <v>2960</v>
      </c>
      <c r="H471" s="1307" t="s">
        <v>1603</v>
      </c>
      <c r="I471" s="1307" t="s">
        <v>1598</v>
      </c>
      <c r="J471" s="1308" t="s">
        <v>1604</v>
      </c>
      <c r="K471" s="1309">
        <v>1</v>
      </c>
      <c r="L471" s="1310">
        <v>12</v>
      </c>
      <c r="M471" s="1311">
        <v>102300</v>
      </c>
      <c r="N471" s="1312">
        <v>1</v>
      </c>
      <c r="O471" s="1310">
        <v>6</v>
      </c>
      <c r="P471" s="1313">
        <v>51000</v>
      </c>
    </row>
    <row r="472" spans="1:16" ht="22.5" x14ac:dyDescent="0.2">
      <c r="A472" s="1302" t="s">
        <v>292</v>
      </c>
      <c r="B472" s="1303" t="s">
        <v>1141</v>
      </c>
      <c r="C472" s="1303" t="s">
        <v>98</v>
      </c>
      <c r="D472" s="1304" t="s">
        <v>2961</v>
      </c>
      <c r="E472" s="1305">
        <v>8000</v>
      </c>
      <c r="F472" s="1306" t="s">
        <v>2962</v>
      </c>
      <c r="G472" s="1307" t="s">
        <v>2963</v>
      </c>
      <c r="H472" s="1307" t="s">
        <v>1603</v>
      </c>
      <c r="I472" s="1307" t="s">
        <v>1598</v>
      </c>
      <c r="J472" s="1308" t="s">
        <v>1604</v>
      </c>
      <c r="K472" s="1309">
        <v>1</v>
      </c>
      <c r="L472" s="1310">
        <v>6</v>
      </c>
      <c r="M472" s="1311">
        <v>45975</v>
      </c>
      <c r="N472" s="1312">
        <v>1</v>
      </c>
      <c r="O472" s="1310">
        <v>1</v>
      </c>
      <c r="P472" s="1313">
        <v>6133.18</v>
      </c>
    </row>
    <row r="473" spans="1:16" x14ac:dyDescent="0.2">
      <c r="A473" s="1302" t="s">
        <v>292</v>
      </c>
      <c r="B473" s="1303" t="s">
        <v>1141</v>
      </c>
      <c r="C473" s="1303" t="s">
        <v>98</v>
      </c>
      <c r="D473" s="1304" t="s">
        <v>1673</v>
      </c>
      <c r="E473" s="1305">
        <v>2000</v>
      </c>
      <c r="F473" s="1306" t="s">
        <v>2964</v>
      </c>
      <c r="G473" s="1307" t="s">
        <v>2965</v>
      </c>
      <c r="H473" s="1307" t="s">
        <v>1901</v>
      </c>
      <c r="I473" s="1307" t="s">
        <v>1621</v>
      </c>
      <c r="J473" s="1308" t="s">
        <v>1659</v>
      </c>
      <c r="K473" s="1309">
        <v>1</v>
      </c>
      <c r="L473" s="1310">
        <v>12</v>
      </c>
      <c r="M473" s="1311">
        <v>24300</v>
      </c>
      <c r="N473" s="1312">
        <v>1</v>
      </c>
      <c r="O473" s="1310">
        <v>6</v>
      </c>
      <c r="P473" s="1313">
        <v>12000</v>
      </c>
    </row>
    <row r="474" spans="1:16" ht="22.5" x14ac:dyDescent="0.2">
      <c r="A474" s="1302" t="s">
        <v>292</v>
      </c>
      <c r="B474" s="1303" t="s">
        <v>1141</v>
      </c>
      <c r="C474" s="1303" t="s">
        <v>98</v>
      </c>
      <c r="D474" s="1304" t="s">
        <v>2966</v>
      </c>
      <c r="E474" s="1305">
        <v>7000</v>
      </c>
      <c r="F474" s="1306" t="s">
        <v>2967</v>
      </c>
      <c r="G474" s="1307" t="s">
        <v>2968</v>
      </c>
      <c r="H474" s="1307" t="s">
        <v>1732</v>
      </c>
      <c r="I474" s="1307" t="s">
        <v>1598</v>
      </c>
      <c r="J474" s="1308" t="s">
        <v>1604</v>
      </c>
      <c r="K474" s="1309">
        <v>1</v>
      </c>
      <c r="L474" s="1310">
        <v>12</v>
      </c>
      <c r="M474" s="1311">
        <v>84300</v>
      </c>
      <c r="N474" s="1312">
        <v>1</v>
      </c>
      <c r="O474" s="1310">
        <v>6</v>
      </c>
      <c r="P474" s="1313">
        <v>42000</v>
      </c>
    </row>
    <row r="475" spans="1:16" x14ac:dyDescent="0.2">
      <c r="A475" s="1302" t="s">
        <v>292</v>
      </c>
      <c r="B475" s="1303" t="s">
        <v>1141</v>
      </c>
      <c r="C475" s="1303" t="s">
        <v>98</v>
      </c>
      <c r="D475" s="1304" t="s">
        <v>1768</v>
      </c>
      <c r="E475" s="1305">
        <v>3000</v>
      </c>
      <c r="F475" s="1306" t="s">
        <v>2969</v>
      </c>
      <c r="G475" s="1307" t="s">
        <v>2970</v>
      </c>
      <c r="H475" s="1307" t="s">
        <v>2971</v>
      </c>
      <c r="I475" s="1307" t="s">
        <v>1598</v>
      </c>
      <c r="J475" s="1308" t="s">
        <v>1599</v>
      </c>
      <c r="K475" s="1309">
        <v>1</v>
      </c>
      <c r="L475" s="1310">
        <v>12</v>
      </c>
      <c r="M475" s="1311">
        <v>36300</v>
      </c>
      <c r="N475" s="1312">
        <v>1</v>
      </c>
      <c r="O475" s="1310">
        <v>6</v>
      </c>
      <c r="P475" s="1313">
        <v>18000</v>
      </c>
    </row>
    <row r="476" spans="1:16" ht="22.5" x14ac:dyDescent="0.2">
      <c r="A476" s="1302" t="s">
        <v>292</v>
      </c>
      <c r="B476" s="1303" t="s">
        <v>1141</v>
      </c>
      <c r="C476" s="1303" t="s">
        <v>98</v>
      </c>
      <c r="D476" s="1304" t="s">
        <v>2972</v>
      </c>
      <c r="E476" s="1305">
        <v>7000</v>
      </c>
      <c r="F476" s="1306" t="s">
        <v>2973</v>
      </c>
      <c r="G476" s="1307" t="s">
        <v>2974</v>
      </c>
      <c r="H476" s="1307" t="s">
        <v>1612</v>
      </c>
      <c r="I476" s="1307" t="s">
        <v>1598</v>
      </c>
      <c r="J476" s="1308" t="s">
        <v>1616</v>
      </c>
      <c r="K476" s="1309">
        <v>1</v>
      </c>
      <c r="L476" s="1310">
        <v>4</v>
      </c>
      <c r="M476" s="1311">
        <v>26976.25</v>
      </c>
      <c r="N476" s="1312">
        <v>1</v>
      </c>
      <c r="O476" s="1310">
        <v>6</v>
      </c>
      <c r="P476" s="1313">
        <v>42000</v>
      </c>
    </row>
    <row r="477" spans="1:16" x14ac:dyDescent="0.2">
      <c r="A477" s="1302" t="s">
        <v>292</v>
      </c>
      <c r="B477" s="1303" t="s">
        <v>1141</v>
      </c>
      <c r="C477" s="1303" t="s">
        <v>98</v>
      </c>
      <c r="D477" s="1304" t="s">
        <v>2398</v>
      </c>
      <c r="E477" s="1305">
        <v>9500</v>
      </c>
      <c r="F477" s="1306" t="s">
        <v>2975</v>
      </c>
      <c r="G477" s="1307" t="s">
        <v>2976</v>
      </c>
      <c r="H477" s="1307" t="s">
        <v>1686</v>
      </c>
      <c r="I477" s="1307" t="s">
        <v>1598</v>
      </c>
      <c r="J477" s="1308" t="s">
        <v>1616</v>
      </c>
      <c r="K477" s="1309">
        <v>1</v>
      </c>
      <c r="L477" s="1310">
        <v>6</v>
      </c>
      <c r="M477" s="1311">
        <v>54783.33</v>
      </c>
      <c r="N477" s="1312">
        <v>1</v>
      </c>
      <c r="O477" s="1310">
        <v>6</v>
      </c>
      <c r="P477" s="1313">
        <v>57000</v>
      </c>
    </row>
    <row r="478" spans="1:16" x14ac:dyDescent="0.2">
      <c r="A478" s="1302" t="s">
        <v>292</v>
      </c>
      <c r="B478" s="1303" t="s">
        <v>1141</v>
      </c>
      <c r="C478" s="1303" t="s">
        <v>98</v>
      </c>
      <c r="D478" s="1304" t="s">
        <v>2100</v>
      </c>
      <c r="E478" s="1305">
        <v>15600</v>
      </c>
      <c r="F478" s="1306" t="s">
        <v>2977</v>
      </c>
      <c r="G478" s="1307" t="s">
        <v>2978</v>
      </c>
      <c r="H478" s="1307" t="s">
        <v>1702</v>
      </c>
      <c r="I478" s="1307" t="s">
        <v>1616</v>
      </c>
      <c r="J478" s="1308" t="s">
        <v>2979</v>
      </c>
      <c r="K478" s="1309">
        <v>1</v>
      </c>
      <c r="L478" s="1310">
        <v>12</v>
      </c>
      <c r="M478" s="1311">
        <v>187500</v>
      </c>
      <c r="N478" s="1312">
        <v>1</v>
      </c>
      <c r="O478" s="1310">
        <v>2</v>
      </c>
      <c r="P478" s="1313">
        <v>31200</v>
      </c>
    </row>
    <row r="479" spans="1:16" x14ac:dyDescent="0.2">
      <c r="A479" s="1302" t="s">
        <v>292</v>
      </c>
      <c r="B479" s="1303" t="s">
        <v>1141</v>
      </c>
      <c r="C479" s="1303" t="s">
        <v>98</v>
      </c>
      <c r="D479" s="1304" t="s">
        <v>2100</v>
      </c>
      <c r="E479" s="1305">
        <v>15600</v>
      </c>
      <c r="F479" s="1306" t="s">
        <v>2980</v>
      </c>
      <c r="G479" s="1307" t="s">
        <v>2981</v>
      </c>
      <c r="H479" s="1307" t="s">
        <v>1709</v>
      </c>
      <c r="I479" s="1307" t="s">
        <v>1598</v>
      </c>
      <c r="J479" s="1308" t="s">
        <v>1604</v>
      </c>
      <c r="K479" s="1309">
        <v>1</v>
      </c>
      <c r="L479" s="1310">
        <v>10</v>
      </c>
      <c r="M479" s="1311">
        <v>147980</v>
      </c>
      <c r="N479" s="1312">
        <v>0</v>
      </c>
      <c r="O479" s="1310" t="s">
        <v>1633</v>
      </c>
      <c r="P479" s="1313">
        <v>0</v>
      </c>
    </row>
    <row r="480" spans="1:16" x14ac:dyDescent="0.2">
      <c r="A480" s="1302" t="s">
        <v>292</v>
      </c>
      <c r="B480" s="1303" t="s">
        <v>1141</v>
      </c>
      <c r="C480" s="1303" t="s">
        <v>98</v>
      </c>
      <c r="D480" s="1314" t="s">
        <v>2104</v>
      </c>
      <c r="E480" s="1305">
        <v>13000</v>
      </c>
      <c r="F480" s="1306" t="s">
        <v>2982</v>
      </c>
      <c r="G480" s="1307" t="s">
        <v>2983</v>
      </c>
      <c r="H480" s="1315" t="s">
        <v>1603</v>
      </c>
      <c r="I480" s="1315" t="s">
        <v>1598</v>
      </c>
      <c r="J480" s="1316" t="s">
        <v>1616</v>
      </c>
      <c r="K480" s="1309">
        <v>0</v>
      </c>
      <c r="L480" s="1310" t="s">
        <v>1633</v>
      </c>
      <c r="M480" s="1311">
        <v>0</v>
      </c>
      <c r="N480" s="1312">
        <v>1</v>
      </c>
      <c r="O480" s="1310">
        <v>5</v>
      </c>
      <c r="P480" s="1313">
        <v>65000</v>
      </c>
    </row>
    <row r="481" spans="1:16" ht="22.5" x14ac:dyDescent="0.2">
      <c r="A481" s="1302" t="s">
        <v>292</v>
      </c>
      <c r="B481" s="1303" t="s">
        <v>1141</v>
      </c>
      <c r="C481" s="1303" t="s">
        <v>98</v>
      </c>
      <c r="D481" s="1304" t="s">
        <v>2984</v>
      </c>
      <c r="E481" s="1305">
        <v>8000</v>
      </c>
      <c r="F481" s="1306" t="s">
        <v>2985</v>
      </c>
      <c r="G481" s="1307" t="s">
        <v>2986</v>
      </c>
      <c r="H481" s="1307" t="s">
        <v>1847</v>
      </c>
      <c r="I481" s="1307" t="s">
        <v>1598</v>
      </c>
      <c r="J481" s="1308" t="s">
        <v>1604</v>
      </c>
      <c r="K481" s="1309">
        <v>1</v>
      </c>
      <c r="L481" s="1310">
        <v>12</v>
      </c>
      <c r="M481" s="1311">
        <v>96300</v>
      </c>
      <c r="N481" s="1312">
        <v>1</v>
      </c>
      <c r="O481" s="1310">
        <v>6</v>
      </c>
      <c r="P481" s="1313">
        <v>48000</v>
      </c>
    </row>
    <row r="482" spans="1:16" ht="22.5" x14ac:dyDescent="0.2">
      <c r="A482" s="1302" t="s">
        <v>292</v>
      </c>
      <c r="B482" s="1303" t="s">
        <v>1141</v>
      </c>
      <c r="C482" s="1303" t="s">
        <v>98</v>
      </c>
      <c r="D482" s="1304" t="s">
        <v>2987</v>
      </c>
      <c r="E482" s="1305">
        <v>12000</v>
      </c>
      <c r="F482" s="1306" t="s">
        <v>2988</v>
      </c>
      <c r="G482" s="1307" t="s">
        <v>2989</v>
      </c>
      <c r="H482" s="1307" t="s">
        <v>1603</v>
      </c>
      <c r="I482" s="1307" t="s">
        <v>1598</v>
      </c>
      <c r="J482" s="1308" t="s">
        <v>1604</v>
      </c>
      <c r="K482" s="1309">
        <v>1</v>
      </c>
      <c r="L482" s="1310">
        <v>12</v>
      </c>
      <c r="M482" s="1311">
        <v>144600</v>
      </c>
      <c r="N482" s="1312">
        <v>1</v>
      </c>
      <c r="O482" s="1310">
        <v>6</v>
      </c>
      <c r="P482" s="1313">
        <v>71939.17</v>
      </c>
    </row>
    <row r="483" spans="1:16" x14ac:dyDescent="0.2">
      <c r="A483" s="1302" t="s">
        <v>292</v>
      </c>
      <c r="B483" s="1303" t="s">
        <v>1141</v>
      </c>
      <c r="C483" s="1303" t="s">
        <v>98</v>
      </c>
      <c r="D483" s="1304" t="s">
        <v>2990</v>
      </c>
      <c r="E483" s="1305">
        <v>10500</v>
      </c>
      <c r="F483" s="1306" t="s">
        <v>2991</v>
      </c>
      <c r="G483" s="1307" t="s">
        <v>2992</v>
      </c>
      <c r="H483" s="1307" t="s">
        <v>1603</v>
      </c>
      <c r="I483" s="1307" t="s">
        <v>1598</v>
      </c>
      <c r="J483" s="1308" t="s">
        <v>1604</v>
      </c>
      <c r="K483" s="1309">
        <v>1</v>
      </c>
      <c r="L483" s="1310">
        <v>7</v>
      </c>
      <c r="M483" s="1311">
        <v>73800</v>
      </c>
      <c r="N483" s="1312">
        <v>0</v>
      </c>
      <c r="O483" s="1310" t="s">
        <v>1633</v>
      </c>
      <c r="P483" s="1313">
        <v>0</v>
      </c>
    </row>
    <row r="484" spans="1:16" ht="33.75" x14ac:dyDescent="0.2">
      <c r="A484" s="1302" t="s">
        <v>292</v>
      </c>
      <c r="B484" s="1303" t="s">
        <v>1141</v>
      </c>
      <c r="C484" s="1303" t="s">
        <v>98</v>
      </c>
      <c r="D484" s="1304" t="s">
        <v>2993</v>
      </c>
      <c r="E484" s="1305">
        <v>10000</v>
      </c>
      <c r="F484" s="1306" t="s">
        <v>2994</v>
      </c>
      <c r="G484" s="1307" t="s">
        <v>2995</v>
      </c>
      <c r="H484" s="1307" t="s">
        <v>1632</v>
      </c>
      <c r="I484" s="1307" t="s">
        <v>1598</v>
      </c>
      <c r="J484" s="1308" t="s">
        <v>1604</v>
      </c>
      <c r="K484" s="1309">
        <v>1</v>
      </c>
      <c r="L484" s="1310">
        <v>12</v>
      </c>
      <c r="M484" s="1311">
        <v>107300</v>
      </c>
      <c r="N484" s="1312">
        <v>1</v>
      </c>
      <c r="O484" s="1310">
        <v>6</v>
      </c>
      <c r="P484" s="1313">
        <v>60000</v>
      </c>
    </row>
    <row r="485" spans="1:16" ht="22.5" x14ac:dyDescent="0.2">
      <c r="A485" s="1302" t="s">
        <v>292</v>
      </c>
      <c r="B485" s="1303" t="s">
        <v>1141</v>
      </c>
      <c r="C485" s="1303" t="s">
        <v>98</v>
      </c>
      <c r="D485" s="1304" t="s">
        <v>2996</v>
      </c>
      <c r="E485" s="1305">
        <v>8000</v>
      </c>
      <c r="F485" s="1306" t="s">
        <v>2997</v>
      </c>
      <c r="G485" s="1307" t="s">
        <v>2998</v>
      </c>
      <c r="H485" s="1307" t="s">
        <v>1647</v>
      </c>
      <c r="I485" s="1307" t="s">
        <v>1598</v>
      </c>
      <c r="J485" s="1308" t="s">
        <v>1616</v>
      </c>
      <c r="K485" s="1309">
        <v>1</v>
      </c>
      <c r="L485" s="1310">
        <v>4</v>
      </c>
      <c r="M485" s="1311">
        <v>30859.440000000002</v>
      </c>
      <c r="N485" s="1312">
        <v>1</v>
      </c>
      <c r="O485" s="1310">
        <v>6</v>
      </c>
      <c r="P485" s="1313">
        <v>47217.78</v>
      </c>
    </row>
    <row r="486" spans="1:16" x14ac:dyDescent="0.2">
      <c r="A486" s="1302" t="s">
        <v>292</v>
      </c>
      <c r="B486" s="1303" t="s">
        <v>1141</v>
      </c>
      <c r="C486" s="1303" t="s">
        <v>98</v>
      </c>
      <c r="D486" s="1304" t="s">
        <v>2999</v>
      </c>
      <c r="E486" s="1305">
        <v>8000</v>
      </c>
      <c r="F486" s="1306" t="s">
        <v>3000</v>
      </c>
      <c r="G486" s="1307" t="s">
        <v>3001</v>
      </c>
      <c r="H486" s="1307" t="s">
        <v>3002</v>
      </c>
      <c r="I486" s="1307" t="s">
        <v>1616</v>
      </c>
      <c r="J486" s="1308" t="s">
        <v>1604</v>
      </c>
      <c r="K486" s="1309">
        <v>1</v>
      </c>
      <c r="L486" s="1310">
        <v>12</v>
      </c>
      <c r="M486" s="1311">
        <v>67296.67</v>
      </c>
      <c r="N486" s="1312">
        <v>1</v>
      </c>
      <c r="O486" s="1310">
        <v>6</v>
      </c>
      <c r="P486" s="1313">
        <v>48000</v>
      </c>
    </row>
    <row r="487" spans="1:16" x14ac:dyDescent="0.2">
      <c r="A487" s="1302" t="s">
        <v>292</v>
      </c>
      <c r="B487" s="1303" t="s">
        <v>1141</v>
      </c>
      <c r="C487" s="1303" t="s">
        <v>98</v>
      </c>
      <c r="D487" s="1304" t="s">
        <v>2104</v>
      </c>
      <c r="E487" s="1305">
        <v>13000</v>
      </c>
      <c r="F487" s="1306" t="s">
        <v>3003</v>
      </c>
      <c r="G487" s="1307" t="s">
        <v>3004</v>
      </c>
      <c r="H487" s="1307" t="s">
        <v>1603</v>
      </c>
      <c r="I487" s="1307" t="s">
        <v>1598</v>
      </c>
      <c r="J487" s="1308" t="s">
        <v>1604</v>
      </c>
      <c r="K487" s="1309">
        <v>1</v>
      </c>
      <c r="L487" s="1310">
        <v>11</v>
      </c>
      <c r="M487" s="1311">
        <v>139184</v>
      </c>
      <c r="N487" s="1312">
        <v>0</v>
      </c>
      <c r="O487" s="1310" t="s">
        <v>1633</v>
      </c>
      <c r="P487" s="1313">
        <v>0</v>
      </c>
    </row>
    <row r="488" spans="1:16" ht="22.5" x14ac:dyDescent="0.2">
      <c r="A488" s="1302" t="s">
        <v>292</v>
      </c>
      <c r="B488" s="1303" t="s">
        <v>1141</v>
      </c>
      <c r="C488" s="1303" t="s">
        <v>98</v>
      </c>
      <c r="D488" s="1304" t="s">
        <v>3005</v>
      </c>
      <c r="E488" s="1305">
        <v>5500</v>
      </c>
      <c r="F488" s="1306" t="s">
        <v>3006</v>
      </c>
      <c r="G488" s="1307" t="s">
        <v>3007</v>
      </c>
      <c r="H488" s="1307" t="s">
        <v>1694</v>
      </c>
      <c r="I488" s="1307" t="s">
        <v>1698</v>
      </c>
      <c r="J488" s="1308" t="s">
        <v>1599</v>
      </c>
      <c r="K488" s="1309">
        <v>1</v>
      </c>
      <c r="L488" s="1310">
        <v>12</v>
      </c>
      <c r="M488" s="1311">
        <v>66300</v>
      </c>
      <c r="N488" s="1312">
        <v>1</v>
      </c>
      <c r="O488" s="1310">
        <v>6</v>
      </c>
      <c r="P488" s="1313">
        <v>33000</v>
      </c>
    </row>
    <row r="489" spans="1:16" ht="22.5" x14ac:dyDescent="0.2">
      <c r="A489" s="1302" t="s">
        <v>292</v>
      </c>
      <c r="B489" s="1303" t="s">
        <v>1141</v>
      </c>
      <c r="C489" s="1303" t="s">
        <v>98</v>
      </c>
      <c r="D489" s="1304" t="s">
        <v>3008</v>
      </c>
      <c r="E489" s="1305">
        <v>5000</v>
      </c>
      <c r="F489" s="1306" t="s">
        <v>3009</v>
      </c>
      <c r="G489" s="1307" t="s">
        <v>3010</v>
      </c>
      <c r="H489" s="1307" t="s">
        <v>1826</v>
      </c>
      <c r="I489" s="1307" t="s">
        <v>1598</v>
      </c>
      <c r="J489" s="1308" t="s">
        <v>1604</v>
      </c>
      <c r="K489" s="1309">
        <v>1</v>
      </c>
      <c r="L489" s="1310">
        <v>8</v>
      </c>
      <c r="M489" s="1311">
        <v>39655.18</v>
      </c>
      <c r="N489" s="1312">
        <v>0</v>
      </c>
      <c r="O489" s="1310" t="s">
        <v>1633</v>
      </c>
      <c r="P489" s="1313">
        <v>0</v>
      </c>
    </row>
    <row r="490" spans="1:16" ht="22.5" x14ac:dyDescent="0.2">
      <c r="A490" s="1302" t="s">
        <v>292</v>
      </c>
      <c r="B490" s="1303" t="s">
        <v>1141</v>
      </c>
      <c r="C490" s="1303" t="s">
        <v>98</v>
      </c>
      <c r="D490" s="1304" t="s">
        <v>3011</v>
      </c>
      <c r="E490" s="1305">
        <v>6000</v>
      </c>
      <c r="F490" s="1306" t="s">
        <v>3012</v>
      </c>
      <c r="G490" s="1307" t="s">
        <v>3013</v>
      </c>
      <c r="H490" s="1307" t="s">
        <v>1690</v>
      </c>
      <c r="I490" s="1307" t="s">
        <v>1598</v>
      </c>
      <c r="J490" s="1308" t="s">
        <v>1604</v>
      </c>
      <c r="K490" s="1309">
        <v>1</v>
      </c>
      <c r="L490" s="1310">
        <v>6</v>
      </c>
      <c r="M490" s="1311">
        <v>33400</v>
      </c>
      <c r="N490" s="1312">
        <v>0</v>
      </c>
      <c r="O490" s="1310" t="s">
        <v>1633</v>
      </c>
      <c r="P490" s="1313">
        <v>0</v>
      </c>
    </row>
    <row r="491" spans="1:16" x14ac:dyDescent="0.2">
      <c r="A491" s="1302" t="s">
        <v>292</v>
      </c>
      <c r="B491" s="1303" t="s">
        <v>1141</v>
      </c>
      <c r="C491" s="1303" t="s">
        <v>98</v>
      </c>
      <c r="D491" s="1304" t="s">
        <v>2296</v>
      </c>
      <c r="E491" s="1305">
        <v>6000</v>
      </c>
      <c r="F491" s="1306" t="s">
        <v>3014</v>
      </c>
      <c r="G491" s="1307" t="s">
        <v>3015</v>
      </c>
      <c r="H491" s="1307" t="s">
        <v>1612</v>
      </c>
      <c r="I491" s="1307" t="s">
        <v>1598</v>
      </c>
      <c r="J491" s="1308" t="s">
        <v>1616</v>
      </c>
      <c r="K491" s="1309">
        <v>1</v>
      </c>
      <c r="L491" s="1310">
        <v>2</v>
      </c>
      <c r="M491" s="1311">
        <v>14000</v>
      </c>
      <c r="N491" s="1312">
        <v>1</v>
      </c>
      <c r="O491" s="1310">
        <v>6</v>
      </c>
      <c r="P491" s="1313">
        <v>31786</v>
      </c>
    </row>
    <row r="492" spans="1:16" ht="22.5" x14ac:dyDescent="0.2">
      <c r="A492" s="1302" t="s">
        <v>292</v>
      </c>
      <c r="B492" s="1303" t="s">
        <v>1141</v>
      </c>
      <c r="C492" s="1303" t="s">
        <v>98</v>
      </c>
      <c r="D492" s="1304" t="s">
        <v>3016</v>
      </c>
      <c r="E492" s="1305">
        <v>8500</v>
      </c>
      <c r="F492" s="1306" t="s">
        <v>3017</v>
      </c>
      <c r="G492" s="1307" t="s">
        <v>3018</v>
      </c>
      <c r="H492" s="1307" t="s">
        <v>2580</v>
      </c>
      <c r="I492" s="1307" t="s">
        <v>1598</v>
      </c>
      <c r="J492" s="1308" t="s">
        <v>1604</v>
      </c>
      <c r="K492" s="1309">
        <v>1</v>
      </c>
      <c r="L492" s="1310">
        <v>12</v>
      </c>
      <c r="M492" s="1311">
        <v>102300</v>
      </c>
      <c r="N492" s="1312">
        <v>0</v>
      </c>
      <c r="O492" s="1310" t="s">
        <v>1633</v>
      </c>
      <c r="P492" s="1313">
        <v>0</v>
      </c>
    </row>
    <row r="493" spans="1:16" ht="22.5" x14ac:dyDescent="0.2">
      <c r="A493" s="1302" t="s">
        <v>292</v>
      </c>
      <c r="B493" s="1303" t="s">
        <v>1141</v>
      </c>
      <c r="C493" s="1303" t="s">
        <v>98</v>
      </c>
      <c r="D493" s="1304" t="s">
        <v>3019</v>
      </c>
      <c r="E493" s="1305">
        <v>8000</v>
      </c>
      <c r="F493" s="1306" t="s">
        <v>3020</v>
      </c>
      <c r="G493" s="1307" t="s">
        <v>3021</v>
      </c>
      <c r="H493" s="1307" t="s">
        <v>1847</v>
      </c>
      <c r="I493" s="1307" t="s">
        <v>1616</v>
      </c>
      <c r="J493" s="1308" t="s">
        <v>1604</v>
      </c>
      <c r="K493" s="1309">
        <v>1</v>
      </c>
      <c r="L493" s="1310">
        <v>12</v>
      </c>
      <c r="M493" s="1311">
        <v>96300</v>
      </c>
      <c r="N493" s="1312">
        <v>1</v>
      </c>
      <c r="O493" s="1310">
        <v>6</v>
      </c>
      <c r="P493" s="1313">
        <v>48000</v>
      </c>
    </row>
    <row r="494" spans="1:16" x14ac:dyDescent="0.2">
      <c r="A494" s="1302" t="s">
        <v>292</v>
      </c>
      <c r="B494" s="1303" t="s">
        <v>1141</v>
      </c>
      <c r="C494" s="1303" t="s">
        <v>98</v>
      </c>
      <c r="D494" s="1304" t="s">
        <v>3022</v>
      </c>
      <c r="E494" s="1305">
        <v>7000</v>
      </c>
      <c r="F494" s="1306" t="s">
        <v>3023</v>
      </c>
      <c r="G494" s="1307" t="s">
        <v>3024</v>
      </c>
      <c r="H494" s="1307" t="s">
        <v>1975</v>
      </c>
      <c r="I494" s="1307" t="s">
        <v>1598</v>
      </c>
      <c r="J494" s="1308" t="s">
        <v>1616</v>
      </c>
      <c r="K494" s="1309">
        <v>1</v>
      </c>
      <c r="L494" s="1310">
        <v>4</v>
      </c>
      <c r="M494" s="1311">
        <v>27066.67</v>
      </c>
      <c r="N494" s="1312">
        <v>1</v>
      </c>
      <c r="O494" s="1310">
        <v>6</v>
      </c>
      <c r="P494" s="1313">
        <v>37184</v>
      </c>
    </row>
    <row r="495" spans="1:16" ht="33.75" x14ac:dyDescent="0.2">
      <c r="A495" s="1302" t="s">
        <v>292</v>
      </c>
      <c r="B495" s="1303" t="s">
        <v>1141</v>
      </c>
      <c r="C495" s="1303" t="s">
        <v>98</v>
      </c>
      <c r="D495" s="1304" t="s">
        <v>3025</v>
      </c>
      <c r="E495" s="1305">
        <v>10000</v>
      </c>
      <c r="F495" s="1306" t="s">
        <v>3026</v>
      </c>
      <c r="G495" s="1307" t="s">
        <v>3027</v>
      </c>
      <c r="H495" s="1307" t="s">
        <v>1702</v>
      </c>
      <c r="I495" s="1307" t="s">
        <v>1598</v>
      </c>
      <c r="J495" s="1308" t="s">
        <v>1604</v>
      </c>
      <c r="K495" s="1309">
        <v>1</v>
      </c>
      <c r="L495" s="1310">
        <v>12</v>
      </c>
      <c r="M495" s="1311">
        <v>107033.33</v>
      </c>
      <c r="N495" s="1312">
        <v>1</v>
      </c>
      <c r="O495" s="1310">
        <v>6</v>
      </c>
      <c r="P495" s="1313">
        <v>60000</v>
      </c>
    </row>
    <row r="496" spans="1:16" ht="22.5" x14ac:dyDescent="0.2">
      <c r="A496" s="1302" t="s">
        <v>292</v>
      </c>
      <c r="B496" s="1303" t="s">
        <v>1141</v>
      </c>
      <c r="C496" s="1303" t="s">
        <v>98</v>
      </c>
      <c r="D496" s="1304" t="s">
        <v>3028</v>
      </c>
      <c r="E496" s="1305">
        <v>3500</v>
      </c>
      <c r="F496" s="1306" t="s">
        <v>3029</v>
      </c>
      <c r="G496" s="1307" t="s">
        <v>3030</v>
      </c>
      <c r="H496" s="1307" t="s">
        <v>1664</v>
      </c>
      <c r="I496" s="1307" t="s">
        <v>1598</v>
      </c>
      <c r="J496" s="1308" t="s">
        <v>1616</v>
      </c>
      <c r="K496" s="1309">
        <v>1</v>
      </c>
      <c r="L496" s="1310">
        <v>4</v>
      </c>
      <c r="M496" s="1311">
        <v>13533.33</v>
      </c>
      <c r="N496" s="1312">
        <v>1</v>
      </c>
      <c r="O496" s="1310">
        <v>6</v>
      </c>
      <c r="P496" s="1313">
        <v>21000</v>
      </c>
    </row>
    <row r="497" spans="1:16" x14ac:dyDescent="0.2">
      <c r="A497" s="1302" t="s">
        <v>292</v>
      </c>
      <c r="B497" s="1303" t="s">
        <v>1141</v>
      </c>
      <c r="C497" s="1303" t="s">
        <v>98</v>
      </c>
      <c r="D497" s="1304" t="s">
        <v>3031</v>
      </c>
      <c r="E497" s="1305">
        <v>6000</v>
      </c>
      <c r="F497" s="1306" t="s">
        <v>3032</v>
      </c>
      <c r="G497" s="1307" t="s">
        <v>3033</v>
      </c>
      <c r="H497" s="1307" t="s">
        <v>1668</v>
      </c>
      <c r="I497" s="1307" t="s">
        <v>1598</v>
      </c>
      <c r="J497" s="1308" t="s">
        <v>1604</v>
      </c>
      <c r="K497" s="1309">
        <v>1</v>
      </c>
      <c r="L497" s="1310">
        <v>2</v>
      </c>
      <c r="M497" s="1311">
        <v>10400</v>
      </c>
      <c r="N497" s="1312">
        <v>0</v>
      </c>
      <c r="O497" s="1310" t="s">
        <v>1633</v>
      </c>
      <c r="P497" s="1313">
        <v>0</v>
      </c>
    </row>
    <row r="498" spans="1:16" x14ac:dyDescent="0.2">
      <c r="A498" s="1302" t="s">
        <v>292</v>
      </c>
      <c r="B498" s="1303" t="s">
        <v>1141</v>
      </c>
      <c r="C498" s="1303" t="s">
        <v>98</v>
      </c>
      <c r="D498" s="1304" t="s">
        <v>1803</v>
      </c>
      <c r="E498" s="1305">
        <v>4000</v>
      </c>
      <c r="F498" s="1306" t="s">
        <v>3034</v>
      </c>
      <c r="G498" s="1307" t="s">
        <v>3035</v>
      </c>
      <c r="H498" s="1307" t="s">
        <v>1694</v>
      </c>
      <c r="I498" s="1307" t="s">
        <v>1698</v>
      </c>
      <c r="J498" s="1308" t="s">
        <v>1599</v>
      </c>
      <c r="K498" s="1309">
        <v>1</v>
      </c>
      <c r="L498" s="1310">
        <v>12</v>
      </c>
      <c r="M498" s="1311">
        <v>48300</v>
      </c>
      <c r="N498" s="1312">
        <v>1</v>
      </c>
      <c r="O498" s="1310">
        <v>6</v>
      </c>
      <c r="P498" s="1313">
        <v>24000</v>
      </c>
    </row>
    <row r="499" spans="1:16" x14ac:dyDescent="0.2">
      <c r="A499" s="1302" t="s">
        <v>292</v>
      </c>
      <c r="B499" s="1303" t="s">
        <v>1141</v>
      </c>
      <c r="C499" s="1303" t="s">
        <v>98</v>
      </c>
      <c r="D499" s="1304" t="s">
        <v>1617</v>
      </c>
      <c r="E499" s="1305">
        <v>3000</v>
      </c>
      <c r="F499" s="1306" t="s">
        <v>3036</v>
      </c>
      <c r="G499" s="1307" t="s">
        <v>3037</v>
      </c>
      <c r="H499" s="1307" t="s">
        <v>1694</v>
      </c>
      <c r="I499" s="1307" t="s">
        <v>1598</v>
      </c>
      <c r="J499" s="1308" t="s">
        <v>1599</v>
      </c>
      <c r="K499" s="1309">
        <v>1</v>
      </c>
      <c r="L499" s="1310">
        <v>12</v>
      </c>
      <c r="M499" s="1311">
        <v>36300</v>
      </c>
      <c r="N499" s="1312">
        <v>1</v>
      </c>
      <c r="O499" s="1310">
        <v>6</v>
      </c>
      <c r="P499" s="1313">
        <v>17900</v>
      </c>
    </row>
    <row r="500" spans="1:16" x14ac:dyDescent="0.2">
      <c r="A500" s="1302" t="s">
        <v>292</v>
      </c>
      <c r="B500" s="1303" t="s">
        <v>1141</v>
      </c>
      <c r="C500" s="1303" t="s">
        <v>98</v>
      </c>
      <c r="D500" s="1304" t="s">
        <v>1996</v>
      </c>
      <c r="E500" s="1305">
        <v>14500</v>
      </c>
      <c r="F500" s="1306" t="s">
        <v>3038</v>
      </c>
      <c r="G500" s="1307" t="s">
        <v>3039</v>
      </c>
      <c r="H500" s="1307" t="s">
        <v>1603</v>
      </c>
      <c r="I500" s="1307" t="s">
        <v>1598</v>
      </c>
      <c r="J500" s="1308" t="s">
        <v>1604</v>
      </c>
      <c r="K500" s="1309">
        <v>1</v>
      </c>
      <c r="L500" s="1310">
        <v>12</v>
      </c>
      <c r="M500" s="1311">
        <v>174180.51</v>
      </c>
      <c r="N500" s="1312">
        <v>1</v>
      </c>
      <c r="O500" s="1310">
        <v>6</v>
      </c>
      <c r="P500" s="1313">
        <v>87000</v>
      </c>
    </row>
    <row r="501" spans="1:16" ht="22.5" x14ac:dyDescent="0.2">
      <c r="A501" s="1302" t="s">
        <v>292</v>
      </c>
      <c r="B501" s="1303" t="s">
        <v>1141</v>
      </c>
      <c r="C501" s="1303" t="s">
        <v>98</v>
      </c>
      <c r="D501" s="1304" t="s">
        <v>3040</v>
      </c>
      <c r="E501" s="1305">
        <v>3500</v>
      </c>
      <c r="F501" s="1306" t="s">
        <v>3041</v>
      </c>
      <c r="G501" s="1307" t="s">
        <v>3042</v>
      </c>
      <c r="H501" s="1307" t="s">
        <v>1709</v>
      </c>
      <c r="I501" s="1307" t="s">
        <v>1616</v>
      </c>
      <c r="J501" s="1308" t="s">
        <v>1616</v>
      </c>
      <c r="K501" s="1309">
        <v>1</v>
      </c>
      <c r="L501" s="1310">
        <v>6</v>
      </c>
      <c r="M501" s="1311">
        <v>20118.919999999998</v>
      </c>
      <c r="N501" s="1312">
        <v>1</v>
      </c>
      <c r="O501" s="1310">
        <v>6</v>
      </c>
      <c r="P501" s="1313">
        <v>21000</v>
      </c>
    </row>
    <row r="502" spans="1:16" x14ac:dyDescent="0.2">
      <c r="A502" s="1302" t="s">
        <v>292</v>
      </c>
      <c r="B502" s="1303" t="s">
        <v>1141</v>
      </c>
      <c r="C502" s="1303" t="s">
        <v>98</v>
      </c>
      <c r="D502" s="1304" t="s">
        <v>3043</v>
      </c>
      <c r="E502" s="1305">
        <v>3500</v>
      </c>
      <c r="F502" s="1306" t="s">
        <v>3044</v>
      </c>
      <c r="G502" s="1307" t="s">
        <v>3045</v>
      </c>
      <c r="H502" s="1307" t="s">
        <v>1694</v>
      </c>
      <c r="I502" s="1307" t="s">
        <v>1598</v>
      </c>
      <c r="J502" s="1308" t="s">
        <v>1599</v>
      </c>
      <c r="K502" s="1309">
        <v>1</v>
      </c>
      <c r="L502" s="1310">
        <v>6</v>
      </c>
      <c r="M502" s="1311">
        <v>20183.330000000002</v>
      </c>
      <c r="N502" s="1312">
        <v>1</v>
      </c>
      <c r="O502" s="1310">
        <v>6</v>
      </c>
      <c r="P502" s="1313">
        <v>20883.330000000002</v>
      </c>
    </row>
    <row r="503" spans="1:16" ht="22.5" x14ac:dyDescent="0.2">
      <c r="A503" s="1302" t="s">
        <v>292</v>
      </c>
      <c r="B503" s="1303" t="s">
        <v>1141</v>
      </c>
      <c r="C503" s="1303" t="s">
        <v>98</v>
      </c>
      <c r="D503" s="1304" t="s">
        <v>3046</v>
      </c>
      <c r="E503" s="1305">
        <v>3000</v>
      </c>
      <c r="F503" s="1306" t="s">
        <v>3047</v>
      </c>
      <c r="G503" s="1307" t="s">
        <v>3048</v>
      </c>
      <c r="H503" s="1307" t="s">
        <v>1632</v>
      </c>
      <c r="I503" s="1307" t="s">
        <v>1621</v>
      </c>
      <c r="J503" s="1308" t="s">
        <v>1599</v>
      </c>
      <c r="K503" s="1309">
        <v>1</v>
      </c>
      <c r="L503" s="1310">
        <v>12</v>
      </c>
      <c r="M503" s="1311">
        <v>36216.080000000002</v>
      </c>
      <c r="N503" s="1312">
        <v>1</v>
      </c>
      <c r="O503" s="1310">
        <v>6</v>
      </c>
      <c r="P503" s="1313">
        <v>18000</v>
      </c>
    </row>
    <row r="504" spans="1:16" ht="22.5" x14ac:dyDescent="0.2">
      <c r="A504" s="1302" t="s">
        <v>292</v>
      </c>
      <c r="B504" s="1303" t="s">
        <v>1141</v>
      </c>
      <c r="C504" s="1303" t="s">
        <v>98</v>
      </c>
      <c r="D504" s="1304" t="s">
        <v>2877</v>
      </c>
      <c r="E504" s="1305">
        <v>8000</v>
      </c>
      <c r="F504" s="1306" t="s">
        <v>3049</v>
      </c>
      <c r="G504" s="1307" t="s">
        <v>3050</v>
      </c>
      <c r="H504" s="1307" t="s">
        <v>1690</v>
      </c>
      <c r="I504" s="1307" t="s">
        <v>1616</v>
      </c>
      <c r="J504" s="1308" t="s">
        <v>1616</v>
      </c>
      <c r="K504" s="1309">
        <v>1</v>
      </c>
      <c r="L504" s="1310">
        <v>6</v>
      </c>
      <c r="M504" s="1311">
        <v>46133.33</v>
      </c>
      <c r="N504" s="1312">
        <v>1</v>
      </c>
      <c r="O504" s="1310">
        <v>6</v>
      </c>
      <c r="P504" s="1313">
        <v>48000</v>
      </c>
    </row>
    <row r="505" spans="1:16" x14ac:dyDescent="0.2">
      <c r="A505" s="1302" t="s">
        <v>292</v>
      </c>
      <c r="B505" s="1303" t="s">
        <v>1141</v>
      </c>
      <c r="C505" s="1303" t="s">
        <v>98</v>
      </c>
      <c r="D505" s="1304" t="s">
        <v>3051</v>
      </c>
      <c r="E505" s="1305">
        <v>6000</v>
      </c>
      <c r="F505" s="1306" t="s">
        <v>3052</v>
      </c>
      <c r="G505" s="1307" t="s">
        <v>3053</v>
      </c>
      <c r="H505" s="1307" t="s">
        <v>1668</v>
      </c>
      <c r="I505" s="1307" t="s">
        <v>1598</v>
      </c>
      <c r="J505" s="1308" t="s">
        <v>1616</v>
      </c>
      <c r="K505" s="1309">
        <v>1</v>
      </c>
      <c r="L505" s="1310">
        <v>6</v>
      </c>
      <c r="M505" s="1311">
        <v>34600</v>
      </c>
      <c r="N505" s="1312">
        <v>1</v>
      </c>
      <c r="O505" s="1310">
        <v>6</v>
      </c>
      <c r="P505" s="1313">
        <v>36000</v>
      </c>
    </row>
    <row r="506" spans="1:16" x14ac:dyDescent="0.2">
      <c r="A506" s="1302" t="s">
        <v>292</v>
      </c>
      <c r="B506" s="1303" t="s">
        <v>1141</v>
      </c>
      <c r="C506" s="1303" t="s">
        <v>98</v>
      </c>
      <c r="D506" s="1304" t="s">
        <v>3054</v>
      </c>
      <c r="E506" s="1305">
        <v>7000</v>
      </c>
      <c r="F506" s="1306" t="s">
        <v>3055</v>
      </c>
      <c r="G506" s="1307" t="s">
        <v>3056</v>
      </c>
      <c r="H506" s="1307" t="s">
        <v>3057</v>
      </c>
      <c r="I506" s="1307" t="s">
        <v>1598</v>
      </c>
      <c r="J506" s="1308" t="s">
        <v>1616</v>
      </c>
      <c r="K506" s="1309">
        <v>1</v>
      </c>
      <c r="L506" s="1310">
        <v>6</v>
      </c>
      <c r="M506" s="1311">
        <v>40366.67</v>
      </c>
      <c r="N506" s="1312">
        <v>1</v>
      </c>
      <c r="O506" s="1310">
        <v>6</v>
      </c>
      <c r="P506" s="1313">
        <v>42000</v>
      </c>
    </row>
    <row r="507" spans="1:16" x14ac:dyDescent="0.2">
      <c r="A507" s="1302" t="s">
        <v>292</v>
      </c>
      <c r="B507" s="1303" t="s">
        <v>1141</v>
      </c>
      <c r="C507" s="1303" t="s">
        <v>98</v>
      </c>
      <c r="D507" s="1304" t="s">
        <v>3058</v>
      </c>
      <c r="E507" s="1305">
        <v>5000</v>
      </c>
      <c r="F507" s="1306" t="s">
        <v>3059</v>
      </c>
      <c r="G507" s="1307" t="s">
        <v>3060</v>
      </c>
      <c r="H507" s="1307" t="s">
        <v>1608</v>
      </c>
      <c r="I507" s="1307" t="s">
        <v>1616</v>
      </c>
      <c r="J507" s="1308" t="s">
        <v>1604</v>
      </c>
      <c r="K507" s="1309">
        <v>1</v>
      </c>
      <c r="L507" s="1310">
        <v>12</v>
      </c>
      <c r="M507" s="1311">
        <v>60123.33</v>
      </c>
      <c r="N507" s="1312">
        <v>1</v>
      </c>
      <c r="O507" s="1310">
        <v>6</v>
      </c>
      <c r="P507" s="1313">
        <v>29833.33</v>
      </c>
    </row>
    <row r="508" spans="1:16" x14ac:dyDescent="0.2">
      <c r="A508" s="1302" t="s">
        <v>292</v>
      </c>
      <c r="B508" s="1303" t="s">
        <v>1141</v>
      </c>
      <c r="C508" s="1303" t="s">
        <v>98</v>
      </c>
      <c r="D508" s="1304" t="s">
        <v>3051</v>
      </c>
      <c r="E508" s="1305">
        <v>6000</v>
      </c>
      <c r="F508" s="1306" t="s">
        <v>3061</v>
      </c>
      <c r="G508" s="1307" t="s">
        <v>3062</v>
      </c>
      <c r="H508" s="1307" t="s">
        <v>1975</v>
      </c>
      <c r="I508" s="1307" t="s">
        <v>1598</v>
      </c>
      <c r="J508" s="1308" t="s">
        <v>1616</v>
      </c>
      <c r="K508" s="1309">
        <v>1</v>
      </c>
      <c r="L508" s="1310">
        <v>6</v>
      </c>
      <c r="M508" s="1311">
        <v>34600</v>
      </c>
      <c r="N508" s="1312">
        <v>1</v>
      </c>
      <c r="O508" s="1310">
        <v>6</v>
      </c>
      <c r="P508" s="1313">
        <v>33000</v>
      </c>
    </row>
    <row r="509" spans="1:16" x14ac:dyDescent="0.2">
      <c r="A509" s="1302" t="s">
        <v>292</v>
      </c>
      <c r="B509" s="1303" t="s">
        <v>1141</v>
      </c>
      <c r="C509" s="1303" t="s">
        <v>98</v>
      </c>
      <c r="D509" s="1304" t="s">
        <v>3063</v>
      </c>
      <c r="E509" s="1305">
        <v>5000</v>
      </c>
      <c r="F509" s="1306" t="s">
        <v>3064</v>
      </c>
      <c r="G509" s="1307" t="s">
        <v>3065</v>
      </c>
      <c r="H509" s="1307" t="s">
        <v>1664</v>
      </c>
      <c r="I509" s="1307" t="s">
        <v>1616</v>
      </c>
      <c r="J509" s="1308" t="s">
        <v>1604</v>
      </c>
      <c r="K509" s="1309">
        <v>1</v>
      </c>
      <c r="L509" s="1310">
        <v>11</v>
      </c>
      <c r="M509" s="1311">
        <v>53466.54</v>
      </c>
      <c r="N509" s="1312">
        <v>1</v>
      </c>
      <c r="O509" s="1310">
        <v>2</v>
      </c>
      <c r="P509" s="1313">
        <v>5666.63</v>
      </c>
    </row>
    <row r="510" spans="1:16" ht="22.5" x14ac:dyDescent="0.2">
      <c r="A510" s="1302" t="s">
        <v>292</v>
      </c>
      <c r="B510" s="1303" t="s">
        <v>1141</v>
      </c>
      <c r="C510" s="1303" t="s">
        <v>98</v>
      </c>
      <c r="D510" s="1304" t="s">
        <v>3066</v>
      </c>
      <c r="E510" s="1305">
        <v>9860</v>
      </c>
      <c r="F510" s="1306" t="s">
        <v>3067</v>
      </c>
      <c r="G510" s="1307" t="s">
        <v>3068</v>
      </c>
      <c r="H510" s="1307" t="s">
        <v>2166</v>
      </c>
      <c r="I510" s="1307" t="s">
        <v>1598</v>
      </c>
      <c r="J510" s="1308" t="s">
        <v>1604</v>
      </c>
      <c r="K510" s="1309">
        <v>1</v>
      </c>
      <c r="L510" s="1310">
        <v>12</v>
      </c>
      <c r="M510" s="1311">
        <v>118620</v>
      </c>
      <c r="N510" s="1312">
        <v>1</v>
      </c>
      <c r="O510" s="1310">
        <v>6</v>
      </c>
      <c r="P510" s="1313">
        <v>59160</v>
      </c>
    </row>
    <row r="511" spans="1:16" ht="22.5" x14ac:dyDescent="0.2">
      <c r="A511" s="1302" t="s">
        <v>292</v>
      </c>
      <c r="B511" s="1303" t="s">
        <v>1141</v>
      </c>
      <c r="C511" s="1303" t="s">
        <v>98</v>
      </c>
      <c r="D511" s="1304" t="s">
        <v>3069</v>
      </c>
      <c r="E511" s="1305">
        <v>8500</v>
      </c>
      <c r="F511" s="1306" t="s">
        <v>3070</v>
      </c>
      <c r="G511" s="1307" t="s">
        <v>3071</v>
      </c>
      <c r="H511" s="1307" t="s">
        <v>2365</v>
      </c>
      <c r="I511" s="1307" t="s">
        <v>1598</v>
      </c>
      <c r="J511" s="1308" t="s">
        <v>1604</v>
      </c>
      <c r="K511" s="1309">
        <v>1</v>
      </c>
      <c r="L511" s="1310">
        <v>12</v>
      </c>
      <c r="M511" s="1311">
        <v>101866.73999999999</v>
      </c>
      <c r="N511" s="1312">
        <v>1</v>
      </c>
      <c r="O511" s="1310">
        <v>6</v>
      </c>
      <c r="P511" s="1313">
        <v>51000</v>
      </c>
    </row>
    <row r="512" spans="1:16" x14ac:dyDescent="0.2">
      <c r="A512" s="1302" t="s">
        <v>292</v>
      </c>
      <c r="B512" s="1303" t="s">
        <v>1141</v>
      </c>
      <c r="C512" s="1303" t="s">
        <v>98</v>
      </c>
      <c r="D512" s="1304" t="s">
        <v>1729</v>
      </c>
      <c r="E512" s="1305">
        <v>10500</v>
      </c>
      <c r="F512" s="1306" t="s">
        <v>3072</v>
      </c>
      <c r="G512" s="1307" t="s">
        <v>3073</v>
      </c>
      <c r="H512" s="1307" t="s">
        <v>1690</v>
      </c>
      <c r="I512" s="1307" t="s">
        <v>1598</v>
      </c>
      <c r="J512" s="1308" t="s">
        <v>1604</v>
      </c>
      <c r="K512" s="1309">
        <v>1</v>
      </c>
      <c r="L512" s="1310">
        <v>12</v>
      </c>
      <c r="M512" s="1311">
        <v>126686.36</v>
      </c>
      <c r="N512" s="1312">
        <v>1</v>
      </c>
      <c r="O512" s="1310">
        <v>6</v>
      </c>
      <c r="P512" s="1313">
        <v>63000</v>
      </c>
    </row>
    <row r="513" spans="1:16" ht="22.5" x14ac:dyDescent="0.2">
      <c r="A513" s="1302" t="s">
        <v>292</v>
      </c>
      <c r="B513" s="1303" t="s">
        <v>1141</v>
      </c>
      <c r="C513" s="1303" t="s">
        <v>98</v>
      </c>
      <c r="D513" s="1304" t="s">
        <v>3074</v>
      </c>
      <c r="E513" s="1305">
        <v>7000</v>
      </c>
      <c r="F513" s="1306" t="s">
        <v>3075</v>
      </c>
      <c r="G513" s="1307" t="s">
        <v>3076</v>
      </c>
      <c r="H513" s="1307" t="s">
        <v>1948</v>
      </c>
      <c r="I513" s="1307" t="s">
        <v>1598</v>
      </c>
      <c r="J513" s="1308" t="s">
        <v>1604</v>
      </c>
      <c r="K513" s="1309">
        <v>1</v>
      </c>
      <c r="L513" s="1310">
        <v>6</v>
      </c>
      <c r="M513" s="1311">
        <v>39900</v>
      </c>
      <c r="N513" s="1312">
        <v>0</v>
      </c>
      <c r="O513" s="1310" t="s">
        <v>1633</v>
      </c>
      <c r="P513" s="1313">
        <v>0</v>
      </c>
    </row>
    <row r="514" spans="1:16" ht="22.5" x14ac:dyDescent="0.2">
      <c r="A514" s="1302" t="s">
        <v>292</v>
      </c>
      <c r="B514" s="1303" t="s">
        <v>1141</v>
      </c>
      <c r="C514" s="1303" t="s">
        <v>98</v>
      </c>
      <c r="D514" s="1304" t="s">
        <v>3077</v>
      </c>
      <c r="E514" s="1305">
        <v>10000</v>
      </c>
      <c r="F514" s="1306" t="s">
        <v>3078</v>
      </c>
      <c r="G514" s="1307" t="s">
        <v>3079</v>
      </c>
      <c r="H514" s="1307" t="s">
        <v>1612</v>
      </c>
      <c r="I514" s="1307" t="s">
        <v>1598</v>
      </c>
      <c r="J514" s="1308" t="s">
        <v>1604</v>
      </c>
      <c r="K514" s="1309">
        <v>1</v>
      </c>
      <c r="L514" s="1310">
        <v>12</v>
      </c>
      <c r="M514" s="1311">
        <v>106508.88</v>
      </c>
      <c r="N514" s="1312">
        <v>1</v>
      </c>
      <c r="O514" s="1310">
        <v>6</v>
      </c>
      <c r="P514" s="1313">
        <v>60000</v>
      </c>
    </row>
    <row r="515" spans="1:16" x14ac:dyDescent="0.2">
      <c r="A515" s="1302" t="s">
        <v>292</v>
      </c>
      <c r="B515" s="1303" t="s">
        <v>1141</v>
      </c>
      <c r="C515" s="1303" t="s">
        <v>98</v>
      </c>
      <c r="D515" s="1304" t="s">
        <v>2054</v>
      </c>
      <c r="E515" s="1305">
        <v>1800</v>
      </c>
      <c r="F515" s="1306" t="s">
        <v>3080</v>
      </c>
      <c r="G515" s="1307" t="s">
        <v>3081</v>
      </c>
      <c r="H515" s="1307" t="s">
        <v>3082</v>
      </c>
      <c r="I515" s="1307" t="s">
        <v>1621</v>
      </c>
      <c r="J515" s="1308" t="s">
        <v>1599</v>
      </c>
      <c r="K515" s="1309">
        <v>1</v>
      </c>
      <c r="L515" s="1310">
        <v>4</v>
      </c>
      <c r="M515" s="1311">
        <v>6960</v>
      </c>
      <c r="N515" s="1312">
        <v>1</v>
      </c>
      <c r="O515" s="1310">
        <v>6</v>
      </c>
      <c r="P515" s="1313">
        <v>10800</v>
      </c>
    </row>
    <row r="516" spans="1:16" x14ac:dyDescent="0.2">
      <c r="A516" s="1302" t="s">
        <v>292</v>
      </c>
      <c r="B516" s="1303" t="s">
        <v>1141</v>
      </c>
      <c r="C516" s="1303" t="s">
        <v>98</v>
      </c>
      <c r="D516" s="1304" t="s">
        <v>3083</v>
      </c>
      <c r="E516" s="1305">
        <v>3000</v>
      </c>
      <c r="F516" s="1306" t="s">
        <v>3084</v>
      </c>
      <c r="G516" s="1307" t="s">
        <v>3085</v>
      </c>
      <c r="H516" s="1307" t="s">
        <v>1819</v>
      </c>
      <c r="I516" s="1307" t="s">
        <v>1598</v>
      </c>
      <c r="J516" s="1308" t="s">
        <v>1604</v>
      </c>
      <c r="K516" s="1309">
        <v>1</v>
      </c>
      <c r="L516" s="1310">
        <v>12</v>
      </c>
      <c r="M516" s="1311">
        <v>35819.72</v>
      </c>
      <c r="N516" s="1312">
        <v>1</v>
      </c>
      <c r="O516" s="1310">
        <v>6</v>
      </c>
      <c r="P516" s="1313">
        <v>17800</v>
      </c>
    </row>
    <row r="517" spans="1:16" x14ac:dyDescent="0.2">
      <c r="A517" s="1302" t="s">
        <v>292</v>
      </c>
      <c r="B517" s="1303" t="s">
        <v>1141</v>
      </c>
      <c r="C517" s="1303" t="s">
        <v>98</v>
      </c>
      <c r="D517" s="1304" t="s">
        <v>1772</v>
      </c>
      <c r="E517" s="1305">
        <v>9000</v>
      </c>
      <c r="F517" s="1306" t="s">
        <v>3086</v>
      </c>
      <c r="G517" s="1307" t="s">
        <v>3087</v>
      </c>
      <c r="H517" s="1307" t="s">
        <v>1603</v>
      </c>
      <c r="I517" s="1307" t="s">
        <v>1598</v>
      </c>
      <c r="J517" s="1308" t="s">
        <v>1604</v>
      </c>
      <c r="K517" s="1309">
        <v>1</v>
      </c>
      <c r="L517" s="1310">
        <v>12</v>
      </c>
      <c r="M517" s="1311">
        <v>108300</v>
      </c>
      <c r="N517" s="1312">
        <v>1</v>
      </c>
      <c r="O517" s="1310">
        <v>6</v>
      </c>
      <c r="P517" s="1313">
        <v>53887.5</v>
      </c>
    </row>
    <row r="518" spans="1:16" ht="22.5" x14ac:dyDescent="0.2">
      <c r="A518" s="1302" t="s">
        <v>292</v>
      </c>
      <c r="B518" s="1303" t="s">
        <v>1141</v>
      </c>
      <c r="C518" s="1303" t="s">
        <v>98</v>
      </c>
      <c r="D518" s="1304" t="s">
        <v>2258</v>
      </c>
      <c r="E518" s="1305">
        <v>8000</v>
      </c>
      <c r="F518" s="1306" t="s">
        <v>3088</v>
      </c>
      <c r="G518" s="1307" t="s">
        <v>3089</v>
      </c>
      <c r="H518" s="1307" t="s">
        <v>2180</v>
      </c>
      <c r="I518" s="1307" t="s">
        <v>1598</v>
      </c>
      <c r="J518" s="1308" t="s">
        <v>1616</v>
      </c>
      <c r="K518" s="1309">
        <v>1</v>
      </c>
      <c r="L518" s="1310">
        <v>4</v>
      </c>
      <c r="M518" s="1311">
        <v>30933.33</v>
      </c>
      <c r="N518" s="1312">
        <v>1</v>
      </c>
      <c r="O518" s="1310">
        <v>5</v>
      </c>
      <c r="P518" s="1313">
        <v>36000</v>
      </c>
    </row>
    <row r="519" spans="1:16" ht="22.5" x14ac:dyDescent="0.2">
      <c r="A519" s="1302" t="s">
        <v>292</v>
      </c>
      <c r="B519" s="1303" t="s">
        <v>1141</v>
      </c>
      <c r="C519" s="1303" t="s">
        <v>98</v>
      </c>
      <c r="D519" s="1304" t="s">
        <v>2630</v>
      </c>
      <c r="E519" s="1305">
        <v>9000</v>
      </c>
      <c r="F519" s="1306" t="s">
        <v>3090</v>
      </c>
      <c r="G519" s="1307" t="s">
        <v>3091</v>
      </c>
      <c r="H519" s="1307" t="s">
        <v>1709</v>
      </c>
      <c r="I519" s="1307" t="s">
        <v>1598</v>
      </c>
      <c r="J519" s="1308" t="s">
        <v>1604</v>
      </c>
      <c r="K519" s="1309">
        <v>1</v>
      </c>
      <c r="L519" s="1310">
        <v>12</v>
      </c>
      <c r="M519" s="1311">
        <v>108300</v>
      </c>
      <c r="N519" s="1312">
        <v>1</v>
      </c>
      <c r="O519" s="1310">
        <v>2</v>
      </c>
      <c r="P519" s="1313">
        <v>10200</v>
      </c>
    </row>
    <row r="520" spans="1:16" x14ac:dyDescent="0.2">
      <c r="A520" s="1302" t="s">
        <v>292</v>
      </c>
      <c r="B520" s="1303" t="s">
        <v>1141</v>
      </c>
      <c r="C520" s="1303" t="s">
        <v>98</v>
      </c>
      <c r="D520" s="1304" t="s">
        <v>3092</v>
      </c>
      <c r="E520" s="1305">
        <v>3400</v>
      </c>
      <c r="F520" s="1306" t="s">
        <v>3093</v>
      </c>
      <c r="G520" s="1307" t="s">
        <v>3094</v>
      </c>
      <c r="H520" s="1307" t="s">
        <v>2060</v>
      </c>
      <c r="I520" s="1307" t="s">
        <v>1616</v>
      </c>
      <c r="J520" s="1308" t="s">
        <v>1604</v>
      </c>
      <c r="K520" s="1309">
        <v>1</v>
      </c>
      <c r="L520" s="1310">
        <v>12</v>
      </c>
      <c r="M520" s="1311">
        <v>40650.439999999995</v>
      </c>
      <c r="N520" s="1312">
        <v>1</v>
      </c>
      <c r="O520" s="1310">
        <v>6</v>
      </c>
      <c r="P520" s="1313">
        <v>20400</v>
      </c>
    </row>
    <row r="521" spans="1:16" x14ac:dyDescent="0.2">
      <c r="A521" s="1302" t="s">
        <v>292</v>
      </c>
      <c r="B521" s="1303" t="s">
        <v>1141</v>
      </c>
      <c r="C521" s="1303" t="s">
        <v>98</v>
      </c>
      <c r="D521" s="1304" t="s">
        <v>2406</v>
      </c>
      <c r="E521" s="1305">
        <v>7000</v>
      </c>
      <c r="F521" s="1306" t="s">
        <v>3095</v>
      </c>
      <c r="G521" s="1307" t="s">
        <v>3096</v>
      </c>
      <c r="H521" s="1307" t="s">
        <v>1847</v>
      </c>
      <c r="I521" s="1307" t="s">
        <v>1598</v>
      </c>
      <c r="J521" s="1308" t="s">
        <v>1616</v>
      </c>
      <c r="K521" s="1309">
        <v>1</v>
      </c>
      <c r="L521" s="1310">
        <v>4</v>
      </c>
      <c r="M521" s="1311">
        <v>27066.67</v>
      </c>
      <c r="N521" s="1312">
        <v>1</v>
      </c>
      <c r="O521" s="1310">
        <v>6</v>
      </c>
      <c r="P521" s="1313">
        <v>42000</v>
      </c>
    </row>
    <row r="522" spans="1:16" ht="22.5" x14ac:dyDescent="0.2">
      <c r="A522" s="1302" t="s">
        <v>292</v>
      </c>
      <c r="B522" s="1303" t="s">
        <v>1141</v>
      </c>
      <c r="C522" s="1303" t="s">
        <v>98</v>
      </c>
      <c r="D522" s="1304" t="s">
        <v>3097</v>
      </c>
      <c r="E522" s="1305">
        <v>4000</v>
      </c>
      <c r="F522" s="1306" t="s">
        <v>3098</v>
      </c>
      <c r="G522" s="1307" t="s">
        <v>3099</v>
      </c>
      <c r="H522" s="1307" t="s">
        <v>1682</v>
      </c>
      <c r="I522" s="1307" t="s">
        <v>1616</v>
      </c>
      <c r="J522" s="1308" t="s">
        <v>1616</v>
      </c>
      <c r="K522" s="1309">
        <v>1</v>
      </c>
      <c r="L522" s="1310">
        <v>6</v>
      </c>
      <c r="M522" s="1311">
        <v>23066.67</v>
      </c>
      <c r="N522" s="1312">
        <v>1</v>
      </c>
      <c r="O522" s="1310">
        <v>6</v>
      </c>
      <c r="P522" s="1313">
        <v>24000</v>
      </c>
    </row>
    <row r="523" spans="1:16" x14ac:dyDescent="0.2">
      <c r="A523" s="1302" t="s">
        <v>292</v>
      </c>
      <c r="B523" s="1303" t="s">
        <v>1141</v>
      </c>
      <c r="C523" s="1303" t="s">
        <v>98</v>
      </c>
      <c r="D523" s="1304" t="s">
        <v>1844</v>
      </c>
      <c r="E523" s="1305">
        <v>6000</v>
      </c>
      <c r="F523" s="1306" t="s">
        <v>3100</v>
      </c>
      <c r="G523" s="1307" t="s">
        <v>3101</v>
      </c>
      <c r="H523" s="1307" t="s">
        <v>1847</v>
      </c>
      <c r="I523" s="1307" t="s">
        <v>1598</v>
      </c>
      <c r="J523" s="1308" t="s">
        <v>1604</v>
      </c>
      <c r="K523" s="1309">
        <v>1</v>
      </c>
      <c r="L523" s="1310">
        <v>11</v>
      </c>
      <c r="M523" s="1311">
        <v>69300</v>
      </c>
      <c r="N523" s="1312">
        <v>0</v>
      </c>
      <c r="O523" s="1310" t="s">
        <v>1633</v>
      </c>
      <c r="P523" s="1313">
        <v>0</v>
      </c>
    </row>
    <row r="524" spans="1:16" ht="22.5" x14ac:dyDescent="0.2">
      <c r="A524" s="1302" t="s">
        <v>292</v>
      </c>
      <c r="B524" s="1303" t="s">
        <v>1141</v>
      </c>
      <c r="C524" s="1303" t="s">
        <v>98</v>
      </c>
      <c r="D524" s="1304" t="s">
        <v>3102</v>
      </c>
      <c r="E524" s="1305">
        <v>6000</v>
      </c>
      <c r="F524" s="1306" t="s">
        <v>3103</v>
      </c>
      <c r="G524" s="1307" t="s">
        <v>3104</v>
      </c>
      <c r="H524" s="1307" t="s">
        <v>3105</v>
      </c>
      <c r="I524" s="1307" t="s">
        <v>1598</v>
      </c>
      <c r="J524" s="1308" t="s">
        <v>1604</v>
      </c>
      <c r="K524" s="1309">
        <v>1</v>
      </c>
      <c r="L524" s="1310">
        <v>3</v>
      </c>
      <c r="M524" s="1311">
        <v>18000</v>
      </c>
      <c r="N524" s="1312">
        <v>1</v>
      </c>
      <c r="O524" s="1310">
        <v>6</v>
      </c>
      <c r="P524" s="1313">
        <v>35800</v>
      </c>
    </row>
    <row r="525" spans="1:16" ht="22.5" x14ac:dyDescent="0.2">
      <c r="A525" s="1302" t="s">
        <v>292</v>
      </c>
      <c r="B525" s="1303" t="s">
        <v>1141</v>
      </c>
      <c r="C525" s="1303" t="s">
        <v>98</v>
      </c>
      <c r="D525" s="1304" t="s">
        <v>3106</v>
      </c>
      <c r="E525" s="1305">
        <v>10000</v>
      </c>
      <c r="F525" s="1306" t="s">
        <v>3107</v>
      </c>
      <c r="G525" s="1307" t="s">
        <v>3108</v>
      </c>
      <c r="H525" s="1307" t="s">
        <v>1672</v>
      </c>
      <c r="I525" s="1307" t="s">
        <v>1598</v>
      </c>
      <c r="J525" s="1308" t="s">
        <v>1604</v>
      </c>
      <c r="K525" s="1309">
        <v>1</v>
      </c>
      <c r="L525" s="1310">
        <v>12</v>
      </c>
      <c r="M525" s="1311">
        <v>120300</v>
      </c>
      <c r="N525" s="1312">
        <v>1</v>
      </c>
      <c r="O525" s="1310">
        <v>6</v>
      </c>
      <c r="P525" s="1313">
        <v>60000</v>
      </c>
    </row>
    <row r="526" spans="1:16" x14ac:dyDescent="0.2">
      <c r="A526" s="1302" t="s">
        <v>292</v>
      </c>
      <c r="B526" s="1303" t="s">
        <v>1141</v>
      </c>
      <c r="C526" s="1303" t="s">
        <v>98</v>
      </c>
      <c r="D526" s="1304" t="s">
        <v>2722</v>
      </c>
      <c r="E526" s="1305">
        <v>8000</v>
      </c>
      <c r="F526" s="1306" t="s">
        <v>3109</v>
      </c>
      <c r="G526" s="1307" t="s">
        <v>3110</v>
      </c>
      <c r="H526" s="1307" t="s">
        <v>1603</v>
      </c>
      <c r="I526" s="1307" t="s">
        <v>1598</v>
      </c>
      <c r="J526" s="1308" t="s">
        <v>1604</v>
      </c>
      <c r="K526" s="1309">
        <v>1</v>
      </c>
      <c r="L526" s="1310">
        <v>12</v>
      </c>
      <c r="M526" s="1311">
        <v>96003.33</v>
      </c>
      <c r="N526" s="1312">
        <v>1</v>
      </c>
      <c r="O526" s="1310">
        <v>6</v>
      </c>
      <c r="P526" s="1313">
        <v>48000</v>
      </c>
    </row>
    <row r="527" spans="1:16" ht="22.5" x14ac:dyDescent="0.2">
      <c r="A527" s="1302" t="s">
        <v>292</v>
      </c>
      <c r="B527" s="1303" t="s">
        <v>1141</v>
      </c>
      <c r="C527" s="1303" t="s">
        <v>98</v>
      </c>
      <c r="D527" s="1304" t="s">
        <v>2509</v>
      </c>
      <c r="E527" s="1305">
        <v>3000</v>
      </c>
      <c r="F527" s="1306" t="s">
        <v>3111</v>
      </c>
      <c r="G527" s="1307" t="s">
        <v>3112</v>
      </c>
      <c r="H527" s="1307" t="s">
        <v>1659</v>
      </c>
      <c r="I527" s="1307" t="s">
        <v>1660</v>
      </c>
      <c r="J527" s="1308" t="s">
        <v>1659</v>
      </c>
      <c r="K527" s="1309">
        <v>1</v>
      </c>
      <c r="L527" s="1310">
        <v>12</v>
      </c>
      <c r="M527" s="1311">
        <v>36300</v>
      </c>
      <c r="N527" s="1312">
        <v>1</v>
      </c>
      <c r="O527" s="1310">
        <v>6</v>
      </c>
      <c r="P527" s="1313">
        <v>18000</v>
      </c>
    </row>
    <row r="528" spans="1:16" x14ac:dyDescent="0.2">
      <c r="A528" s="1302" t="s">
        <v>292</v>
      </c>
      <c r="B528" s="1303" t="s">
        <v>1141</v>
      </c>
      <c r="C528" s="1303" t="s">
        <v>98</v>
      </c>
      <c r="D528" s="1304" t="s">
        <v>2713</v>
      </c>
      <c r="E528" s="1305">
        <v>7000</v>
      </c>
      <c r="F528" s="1306" t="s">
        <v>3113</v>
      </c>
      <c r="G528" s="1307" t="s">
        <v>3114</v>
      </c>
      <c r="H528" s="1307" t="s">
        <v>1975</v>
      </c>
      <c r="I528" s="1307" t="s">
        <v>1598</v>
      </c>
      <c r="J528" s="1308" t="s">
        <v>1604</v>
      </c>
      <c r="K528" s="1309">
        <v>1</v>
      </c>
      <c r="L528" s="1310">
        <v>12</v>
      </c>
      <c r="M528" s="1311">
        <v>84300</v>
      </c>
      <c r="N528" s="1312">
        <v>1</v>
      </c>
      <c r="O528" s="1310">
        <v>6</v>
      </c>
      <c r="P528" s="1313">
        <v>42000</v>
      </c>
    </row>
    <row r="529" spans="1:16" ht="22.5" x14ac:dyDescent="0.2">
      <c r="A529" s="1302" t="s">
        <v>292</v>
      </c>
      <c r="B529" s="1303" t="s">
        <v>1141</v>
      </c>
      <c r="C529" s="1303" t="s">
        <v>98</v>
      </c>
      <c r="D529" s="1304" t="s">
        <v>2057</v>
      </c>
      <c r="E529" s="1305">
        <v>12500</v>
      </c>
      <c r="F529" s="1306" t="s">
        <v>3115</v>
      </c>
      <c r="G529" s="1307" t="s">
        <v>3116</v>
      </c>
      <c r="H529" s="1307" t="s">
        <v>3117</v>
      </c>
      <c r="I529" s="1307" t="s">
        <v>1598</v>
      </c>
      <c r="J529" s="1308" t="s">
        <v>1604</v>
      </c>
      <c r="K529" s="1309">
        <v>1</v>
      </c>
      <c r="L529" s="1310">
        <v>6</v>
      </c>
      <c r="M529" s="1311">
        <v>72083.33</v>
      </c>
      <c r="N529" s="1312">
        <v>0</v>
      </c>
      <c r="O529" s="1310" t="s">
        <v>1633</v>
      </c>
      <c r="P529" s="1313">
        <v>0</v>
      </c>
    </row>
    <row r="530" spans="1:16" ht="22.5" x14ac:dyDescent="0.2">
      <c r="A530" s="1302" t="s">
        <v>292</v>
      </c>
      <c r="B530" s="1303" t="s">
        <v>1141</v>
      </c>
      <c r="C530" s="1303" t="s">
        <v>98</v>
      </c>
      <c r="D530" s="1304" t="s">
        <v>3118</v>
      </c>
      <c r="E530" s="1305">
        <v>8000</v>
      </c>
      <c r="F530" s="1306" t="s">
        <v>3119</v>
      </c>
      <c r="G530" s="1307" t="s">
        <v>3120</v>
      </c>
      <c r="H530" s="1307" t="s">
        <v>1668</v>
      </c>
      <c r="I530" s="1307" t="s">
        <v>1698</v>
      </c>
      <c r="J530" s="1308" t="s">
        <v>1616</v>
      </c>
      <c r="K530" s="1309">
        <v>1</v>
      </c>
      <c r="L530" s="1310">
        <v>4</v>
      </c>
      <c r="M530" s="1311">
        <v>30933.33</v>
      </c>
      <c r="N530" s="1312">
        <v>1</v>
      </c>
      <c r="O530" s="1310">
        <v>6</v>
      </c>
      <c r="P530" s="1313">
        <v>48000</v>
      </c>
    </row>
    <row r="531" spans="1:16" ht="22.5" x14ac:dyDescent="0.2">
      <c r="A531" s="1302" t="s">
        <v>292</v>
      </c>
      <c r="B531" s="1303" t="s">
        <v>1141</v>
      </c>
      <c r="C531" s="1303" t="s">
        <v>98</v>
      </c>
      <c r="D531" s="1304" t="s">
        <v>3102</v>
      </c>
      <c r="E531" s="1305">
        <v>7000</v>
      </c>
      <c r="F531" s="1306" t="s">
        <v>3121</v>
      </c>
      <c r="G531" s="1307" t="s">
        <v>3122</v>
      </c>
      <c r="H531" s="1307" t="s">
        <v>1732</v>
      </c>
      <c r="I531" s="1307" t="s">
        <v>1598</v>
      </c>
      <c r="J531" s="1308" t="s">
        <v>1604</v>
      </c>
      <c r="K531" s="1309">
        <v>1</v>
      </c>
      <c r="L531" s="1310">
        <v>6</v>
      </c>
      <c r="M531" s="1311">
        <v>40366.67</v>
      </c>
      <c r="N531" s="1312">
        <v>1</v>
      </c>
      <c r="O531" s="1310">
        <v>3</v>
      </c>
      <c r="P531" s="1313">
        <v>15400</v>
      </c>
    </row>
    <row r="532" spans="1:16" x14ac:dyDescent="0.2">
      <c r="A532" s="1302" t="s">
        <v>292</v>
      </c>
      <c r="B532" s="1303" t="s">
        <v>1141</v>
      </c>
      <c r="C532" s="1303" t="s">
        <v>98</v>
      </c>
      <c r="D532" s="1304" t="s">
        <v>3123</v>
      </c>
      <c r="E532" s="1305">
        <v>10500</v>
      </c>
      <c r="F532" s="1306" t="s">
        <v>3124</v>
      </c>
      <c r="G532" s="1307" t="s">
        <v>3125</v>
      </c>
      <c r="H532" s="1307" t="s">
        <v>3126</v>
      </c>
      <c r="I532" s="1307" t="s">
        <v>1598</v>
      </c>
      <c r="J532" s="1308" t="s">
        <v>1616</v>
      </c>
      <c r="K532" s="1309">
        <v>1</v>
      </c>
      <c r="L532" s="1310">
        <v>4</v>
      </c>
      <c r="M532" s="1311">
        <v>40363.020000000004</v>
      </c>
      <c r="N532" s="1312">
        <v>1</v>
      </c>
      <c r="O532" s="1310">
        <v>6</v>
      </c>
      <c r="P532" s="1313">
        <v>62650</v>
      </c>
    </row>
    <row r="533" spans="1:16" x14ac:dyDescent="0.2">
      <c r="A533" s="1302" t="s">
        <v>292</v>
      </c>
      <c r="B533" s="1303" t="s">
        <v>1141</v>
      </c>
      <c r="C533" s="1303" t="s">
        <v>98</v>
      </c>
      <c r="D533" s="1304" t="s">
        <v>2198</v>
      </c>
      <c r="E533" s="1305">
        <v>10000</v>
      </c>
      <c r="F533" s="1306" t="s">
        <v>3127</v>
      </c>
      <c r="G533" s="1307" t="s">
        <v>3128</v>
      </c>
      <c r="H533" s="1307" t="s">
        <v>1603</v>
      </c>
      <c r="I533" s="1307" t="s">
        <v>1598</v>
      </c>
      <c r="J533" s="1308" t="s">
        <v>1604</v>
      </c>
      <c r="K533" s="1309">
        <v>1</v>
      </c>
      <c r="L533" s="1310">
        <v>4</v>
      </c>
      <c r="M533" s="1311">
        <v>40000</v>
      </c>
      <c r="N533" s="1312">
        <v>0</v>
      </c>
      <c r="O533" s="1310" t="s">
        <v>1633</v>
      </c>
      <c r="P533" s="1313">
        <v>0</v>
      </c>
    </row>
    <row r="534" spans="1:16" ht="22.5" x14ac:dyDescent="0.2">
      <c r="A534" s="1302" t="s">
        <v>292</v>
      </c>
      <c r="B534" s="1303" t="s">
        <v>1141</v>
      </c>
      <c r="C534" s="1303" t="s">
        <v>98</v>
      </c>
      <c r="D534" s="1304" t="s">
        <v>1993</v>
      </c>
      <c r="E534" s="1305">
        <v>4000</v>
      </c>
      <c r="F534" s="1306" t="s">
        <v>3129</v>
      </c>
      <c r="G534" s="1307" t="s">
        <v>3130</v>
      </c>
      <c r="H534" s="1307" t="s">
        <v>1612</v>
      </c>
      <c r="I534" s="1307" t="s">
        <v>1616</v>
      </c>
      <c r="J534" s="1308" t="s">
        <v>1616</v>
      </c>
      <c r="K534" s="1309">
        <v>1</v>
      </c>
      <c r="L534" s="1310">
        <v>3</v>
      </c>
      <c r="M534" s="1311">
        <v>17600</v>
      </c>
      <c r="N534" s="1312">
        <v>1</v>
      </c>
      <c r="O534" s="1310">
        <v>6</v>
      </c>
      <c r="P534" s="1313">
        <v>24000</v>
      </c>
    </row>
    <row r="535" spans="1:16" ht="22.5" x14ac:dyDescent="0.2">
      <c r="A535" s="1302" t="s">
        <v>292</v>
      </c>
      <c r="B535" s="1303" t="s">
        <v>1141</v>
      </c>
      <c r="C535" s="1303" t="s">
        <v>98</v>
      </c>
      <c r="D535" s="1314" t="s">
        <v>1794</v>
      </c>
      <c r="E535" s="1305">
        <v>15600</v>
      </c>
      <c r="F535" s="1306" t="s">
        <v>3131</v>
      </c>
      <c r="G535" s="1307" t="s">
        <v>3132</v>
      </c>
      <c r="H535" s="1315" t="s">
        <v>1647</v>
      </c>
      <c r="I535" s="1315" t="s">
        <v>1598</v>
      </c>
      <c r="J535" s="1316" t="s">
        <v>1604</v>
      </c>
      <c r="K535" s="1309">
        <v>0</v>
      </c>
      <c r="L535" s="1310" t="s">
        <v>1633</v>
      </c>
      <c r="M535" s="1311">
        <v>0</v>
      </c>
      <c r="N535" s="1312">
        <v>1</v>
      </c>
      <c r="O535" s="1310">
        <v>2</v>
      </c>
      <c r="P535" s="1313">
        <v>35360</v>
      </c>
    </row>
    <row r="536" spans="1:16" x14ac:dyDescent="0.2">
      <c r="A536" s="1302" t="s">
        <v>292</v>
      </c>
      <c r="B536" s="1303" t="s">
        <v>1141</v>
      </c>
      <c r="C536" s="1303" t="s">
        <v>98</v>
      </c>
      <c r="D536" s="1304" t="s">
        <v>3133</v>
      </c>
      <c r="E536" s="1305">
        <v>5500</v>
      </c>
      <c r="F536" s="1306" t="s">
        <v>3134</v>
      </c>
      <c r="G536" s="1307" t="s">
        <v>3135</v>
      </c>
      <c r="H536" s="1307" t="s">
        <v>1655</v>
      </c>
      <c r="I536" s="1307" t="s">
        <v>1598</v>
      </c>
      <c r="J536" s="1308" t="s">
        <v>1616</v>
      </c>
      <c r="K536" s="1309">
        <v>1</v>
      </c>
      <c r="L536" s="1310">
        <v>9</v>
      </c>
      <c r="M536" s="1311">
        <v>49333.24</v>
      </c>
      <c r="N536" s="1312">
        <v>1</v>
      </c>
      <c r="O536" s="1310">
        <v>6</v>
      </c>
      <c r="P536" s="1313">
        <v>33000</v>
      </c>
    </row>
    <row r="537" spans="1:16" x14ac:dyDescent="0.2">
      <c r="A537" s="1302" t="s">
        <v>292</v>
      </c>
      <c r="B537" s="1303" t="s">
        <v>1141</v>
      </c>
      <c r="C537" s="1303" t="s">
        <v>98</v>
      </c>
      <c r="D537" s="1314" t="s">
        <v>3136</v>
      </c>
      <c r="E537" s="1305">
        <v>15600</v>
      </c>
      <c r="F537" s="1306" t="s">
        <v>3137</v>
      </c>
      <c r="G537" s="1307" t="s">
        <v>3138</v>
      </c>
      <c r="H537" s="1315" t="s">
        <v>1603</v>
      </c>
      <c r="I537" s="1315" t="s">
        <v>1598</v>
      </c>
      <c r="J537" s="1316" t="s">
        <v>1604</v>
      </c>
      <c r="K537" s="1309">
        <v>0</v>
      </c>
      <c r="L537" s="1310" t="s">
        <v>1633</v>
      </c>
      <c r="M537" s="1311">
        <v>0</v>
      </c>
      <c r="N537" s="1312">
        <v>1</v>
      </c>
      <c r="O537" s="1310">
        <v>1</v>
      </c>
      <c r="P537" s="1313">
        <v>6240</v>
      </c>
    </row>
    <row r="538" spans="1:16" ht="22.5" x14ac:dyDescent="0.2">
      <c r="A538" s="1302" t="s">
        <v>292</v>
      </c>
      <c r="B538" s="1303" t="s">
        <v>1141</v>
      </c>
      <c r="C538" s="1303" t="s">
        <v>98</v>
      </c>
      <c r="D538" s="1304" t="s">
        <v>3139</v>
      </c>
      <c r="E538" s="1305">
        <v>6000</v>
      </c>
      <c r="F538" s="1306" t="s">
        <v>3140</v>
      </c>
      <c r="G538" s="1307" t="s">
        <v>3141</v>
      </c>
      <c r="H538" s="1307" t="s">
        <v>3142</v>
      </c>
      <c r="I538" s="1307" t="s">
        <v>1616</v>
      </c>
      <c r="J538" s="1308" t="s">
        <v>1616</v>
      </c>
      <c r="K538" s="1309">
        <v>1</v>
      </c>
      <c r="L538" s="1310">
        <v>6</v>
      </c>
      <c r="M538" s="1311">
        <v>34200</v>
      </c>
      <c r="N538" s="1312">
        <v>1</v>
      </c>
      <c r="O538" s="1310">
        <v>6</v>
      </c>
      <c r="P538" s="1313">
        <v>36000</v>
      </c>
    </row>
    <row r="539" spans="1:16" x14ac:dyDescent="0.2">
      <c r="A539" s="1302" t="s">
        <v>292</v>
      </c>
      <c r="B539" s="1303" t="s">
        <v>1141</v>
      </c>
      <c r="C539" s="1303" t="s">
        <v>98</v>
      </c>
      <c r="D539" s="1304" t="s">
        <v>2347</v>
      </c>
      <c r="E539" s="1305">
        <v>8000</v>
      </c>
      <c r="F539" s="1306" t="s">
        <v>3143</v>
      </c>
      <c r="G539" s="1307" t="s">
        <v>3144</v>
      </c>
      <c r="H539" s="1307" t="s">
        <v>1686</v>
      </c>
      <c r="I539" s="1307" t="s">
        <v>1616</v>
      </c>
      <c r="J539" s="1308" t="s">
        <v>1604</v>
      </c>
      <c r="K539" s="1309">
        <v>1</v>
      </c>
      <c r="L539" s="1310">
        <v>12</v>
      </c>
      <c r="M539" s="1311">
        <v>76566.66</v>
      </c>
      <c r="N539" s="1312">
        <v>1</v>
      </c>
      <c r="O539" s="1310">
        <v>6</v>
      </c>
      <c r="P539" s="1313">
        <v>48000</v>
      </c>
    </row>
    <row r="540" spans="1:16" ht="22.5" x14ac:dyDescent="0.2">
      <c r="A540" s="1302" t="s">
        <v>292</v>
      </c>
      <c r="B540" s="1303" t="s">
        <v>1141</v>
      </c>
      <c r="C540" s="1303" t="s">
        <v>98</v>
      </c>
      <c r="D540" s="1304" t="s">
        <v>3145</v>
      </c>
      <c r="E540" s="1305">
        <v>12000</v>
      </c>
      <c r="F540" s="1306" t="s">
        <v>3146</v>
      </c>
      <c r="G540" s="1307" t="s">
        <v>3147</v>
      </c>
      <c r="H540" s="1307" t="s">
        <v>1702</v>
      </c>
      <c r="I540" s="1307" t="s">
        <v>1598</v>
      </c>
      <c r="J540" s="1308" t="s">
        <v>1604</v>
      </c>
      <c r="K540" s="1309">
        <v>1</v>
      </c>
      <c r="L540" s="1310">
        <v>12</v>
      </c>
      <c r="M540" s="1311">
        <v>144300</v>
      </c>
      <c r="N540" s="1312">
        <v>1</v>
      </c>
      <c r="O540" s="1310">
        <v>6</v>
      </c>
      <c r="P540" s="1313">
        <v>72000</v>
      </c>
    </row>
    <row r="541" spans="1:16" x14ac:dyDescent="0.2">
      <c r="A541" s="1302" t="s">
        <v>292</v>
      </c>
      <c r="B541" s="1303" t="s">
        <v>1141</v>
      </c>
      <c r="C541" s="1303" t="s">
        <v>98</v>
      </c>
      <c r="D541" s="1304" t="s">
        <v>2329</v>
      </c>
      <c r="E541" s="1305">
        <v>8500</v>
      </c>
      <c r="F541" s="1306" t="s">
        <v>3148</v>
      </c>
      <c r="G541" s="1307" t="s">
        <v>3149</v>
      </c>
      <c r="H541" s="1307" t="s">
        <v>2394</v>
      </c>
      <c r="I541" s="1307" t="s">
        <v>1598</v>
      </c>
      <c r="J541" s="1308" t="s">
        <v>1604</v>
      </c>
      <c r="K541" s="1309">
        <v>1</v>
      </c>
      <c r="L541" s="1310">
        <v>12</v>
      </c>
      <c r="M541" s="1311">
        <v>102300</v>
      </c>
      <c r="N541" s="1312">
        <v>1</v>
      </c>
      <c r="O541" s="1310">
        <v>6</v>
      </c>
      <c r="P541" s="1313">
        <v>51000</v>
      </c>
    </row>
    <row r="542" spans="1:16" ht="22.5" x14ac:dyDescent="0.2">
      <c r="A542" s="1302" t="s">
        <v>292</v>
      </c>
      <c r="B542" s="1303" t="s">
        <v>1141</v>
      </c>
      <c r="C542" s="1303" t="s">
        <v>98</v>
      </c>
      <c r="D542" s="1304" t="s">
        <v>2900</v>
      </c>
      <c r="E542" s="1305">
        <v>8000</v>
      </c>
      <c r="F542" s="1306" t="s">
        <v>3150</v>
      </c>
      <c r="G542" s="1307" t="s">
        <v>3151</v>
      </c>
      <c r="H542" s="1307" t="s">
        <v>1682</v>
      </c>
      <c r="I542" s="1307" t="s">
        <v>1598</v>
      </c>
      <c r="J542" s="1308" t="s">
        <v>1604</v>
      </c>
      <c r="K542" s="1309">
        <v>1</v>
      </c>
      <c r="L542" s="1310">
        <v>12</v>
      </c>
      <c r="M542" s="1311">
        <v>96158.73</v>
      </c>
      <c r="N542" s="1312">
        <v>1</v>
      </c>
      <c r="O542" s="1310">
        <v>6</v>
      </c>
      <c r="P542" s="1313">
        <v>48000</v>
      </c>
    </row>
    <row r="543" spans="1:16" x14ac:dyDescent="0.2">
      <c r="A543" s="1302" t="s">
        <v>292</v>
      </c>
      <c r="B543" s="1303" t="s">
        <v>1141</v>
      </c>
      <c r="C543" s="1303" t="s">
        <v>98</v>
      </c>
      <c r="D543" s="1304" t="s">
        <v>3152</v>
      </c>
      <c r="E543" s="1305">
        <v>7000</v>
      </c>
      <c r="F543" s="1306" t="s">
        <v>3153</v>
      </c>
      <c r="G543" s="1307" t="s">
        <v>3154</v>
      </c>
      <c r="H543" s="1307" t="s">
        <v>3126</v>
      </c>
      <c r="I543" s="1307" t="s">
        <v>1598</v>
      </c>
      <c r="J543" s="1308" t="s">
        <v>1604</v>
      </c>
      <c r="K543" s="1309">
        <v>1</v>
      </c>
      <c r="L543" s="1310">
        <v>12</v>
      </c>
      <c r="M543" s="1311">
        <v>83589.069999999992</v>
      </c>
      <c r="N543" s="1312">
        <v>1</v>
      </c>
      <c r="O543" s="1310">
        <v>6</v>
      </c>
      <c r="P543" s="1313">
        <v>41766.67</v>
      </c>
    </row>
    <row r="544" spans="1:16" ht="22.5" x14ac:dyDescent="0.2">
      <c r="A544" s="1302" t="s">
        <v>292</v>
      </c>
      <c r="B544" s="1303" t="s">
        <v>1141</v>
      </c>
      <c r="C544" s="1303" t="s">
        <v>98</v>
      </c>
      <c r="D544" s="1304" t="s">
        <v>2195</v>
      </c>
      <c r="E544" s="1305">
        <v>3500</v>
      </c>
      <c r="F544" s="1306" t="s">
        <v>3155</v>
      </c>
      <c r="G544" s="1307" t="s">
        <v>3156</v>
      </c>
      <c r="H544" s="1307" t="s">
        <v>1659</v>
      </c>
      <c r="I544" s="1307" t="s">
        <v>1621</v>
      </c>
      <c r="J544" s="1308" t="s">
        <v>1988</v>
      </c>
      <c r="K544" s="1309">
        <v>1</v>
      </c>
      <c r="L544" s="1310">
        <v>12</v>
      </c>
      <c r="M544" s="1311">
        <v>42300</v>
      </c>
      <c r="N544" s="1312">
        <v>1</v>
      </c>
      <c r="O544" s="1310">
        <v>6</v>
      </c>
      <c r="P544" s="1313">
        <v>21000</v>
      </c>
    </row>
    <row r="545" spans="1:16" x14ac:dyDescent="0.2">
      <c r="A545" s="1302" t="s">
        <v>292</v>
      </c>
      <c r="B545" s="1303" t="s">
        <v>1141</v>
      </c>
      <c r="C545" s="1303" t="s">
        <v>98</v>
      </c>
      <c r="D545" s="1304" t="s">
        <v>2009</v>
      </c>
      <c r="E545" s="1305">
        <v>15600</v>
      </c>
      <c r="F545" s="1306" t="s">
        <v>3157</v>
      </c>
      <c r="G545" s="1307" t="s">
        <v>3158</v>
      </c>
      <c r="H545" s="1307" t="s">
        <v>1603</v>
      </c>
      <c r="I545" s="1307" t="s">
        <v>1598</v>
      </c>
      <c r="J545" s="1308" t="s">
        <v>1604</v>
      </c>
      <c r="K545" s="1309">
        <v>1</v>
      </c>
      <c r="L545" s="1310">
        <v>6</v>
      </c>
      <c r="M545" s="1311">
        <v>140180</v>
      </c>
      <c r="N545" s="1312">
        <v>0</v>
      </c>
      <c r="O545" s="1310" t="s">
        <v>1633</v>
      </c>
      <c r="P545" s="1313">
        <v>0</v>
      </c>
    </row>
    <row r="546" spans="1:16" x14ac:dyDescent="0.2">
      <c r="A546" s="1302" t="s">
        <v>292</v>
      </c>
      <c r="B546" s="1303" t="s">
        <v>1141</v>
      </c>
      <c r="C546" s="1303" t="s">
        <v>98</v>
      </c>
      <c r="D546" s="1304" t="s">
        <v>2198</v>
      </c>
      <c r="E546" s="1305">
        <v>9000</v>
      </c>
      <c r="F546" s="1306" t="s">
        <v>3159</v>
      </c>
      <c r="G546" s="1307" t="s">
        <v>3160</v>
      </c>
      <c r="H546" s="1307" t="s">
        <v>1620</v>
      </c>
      <c r="I546" s="1307" t="s">
        <v>1598</v>
      </c>
      <c r="J546" s="1308" t="s">
        <v>1616</v>
      </c>
      <c r="K546" s="1309">
        <v>1</v>
      </c>
      <c r="L546" s="1310">
        <v>6</v>
      </c>
      <c r="M546" s="1311">
        <v>51900</v>
      </c>
      <c r="N546" s="1312">
        <v>1</v>
      </c>
      <c r="O546" s="1310">
        <v>6</v>
      </c>
      <c r="P546" s="1313">
        <v>54000</v>
      </c>
    </row>
    <row r="547" spans="1:16" x14ac:dyDescent="0.2">
      <c r="A547" s="1302" t="s">
        <v>292</v>
      </c>
      <c r="B547" s="1303" t="s">
        <v>1141</v>
      </c>
      <c r="C547" s="1303" t="s">
        <v>98</v>
      </c>
      <c r="D547" s="1304" t="s">
        <v>2198</v>
      </c>
      <c r="E547" s="1305">
        <v>9000</v>
      </c>
      <c r="F547" s="1306" t="s">
        <v>3161</v>
      </c>
      <c r="G547" s="1307" t="s">
        <v>3162</v>
      </c>
      <c r="H547" s="1307" t="s">
        <v>1603</v>
      </c>
      <c r="I547" s="1307" t="s">
        <v>1598</v>
      </c>
      <c r="J547" s="1308" t="s">
        <v>1616</v>
      </c>
      <c r="K547" s="1309">
        <v>1</v>
      </c>
      <c r="L547" s="1310">
        <v>6</v>
      </c>
      <c r="M547" s="1311">
        <v>51900</v>
      </c>
      <c r="N547" s="1312">
        <v>1</v>
      </c>
      <c r="O547" s="1310">
        <v>6</v>
      </c>
      <c r="P547" s="1313">
        <v>54000</v>
      </c>
    </row>
    <row r="548" spans="1:16" ht="22.5" x14ac:dyDescent="0.2">
      <c r="A548" s="1302" t="s">
        <v>292</v>
      </c>
      <c r="B548" s="1303" t="s">
        <v>1141</v>
      </c>
      <c r="C548" s="1303" t="s">
        <v>98</v>
      </c>
      <c r="D548" s="1304" t="s">
        <v>3163</v>
      </c>
      <c r="E548" s="1305">
        <v>8500</v>
      </c>
      <c r="F548" s="1306" t="s">
        <v>3164</v>
      </c>
      <c r="G548" s="1307" t="s">
        <v>3165</v>
      </c>
      <c r="H548" s="1307" t="s">
        <v>1702</v>
      </c>
      <c r="I548" s="1307" t="s">
        <v>1598</v>
      </c>
      <c r="J548" s="1308" t="s">
        <v>1616</v>
      </c>
      <c r="K548" s="1309">
        <v>1</v>
      </c>
      <c r="L548" s="1310">
        <v>2</v>
      </c>
      <c r="M548" s="1311">
        <v>16150</v>
      </c>
      <c r="N548" s="1312">
        <v>1</v>
      </c>
      <c r="O548" s="1310">
        <v>5</v>
      </c>
      <c r="P548" s="1313">
        <v>42500</v>
      </c>
    </row>
    <row r="549" spans="1:16" ht="22.5" x14ac:dyDescent="0.2">
      <c r="A549" s="1302" t="s">
        <v>292</v>
      </c>
      <c r="B549" s="1303" t="s">
        <v>1141</v>
      </c>
      <c r="C549" s="1303" t="s">
        <v>98</v>
      </c>
      <c r="D549" s="1304" t="s">
        <v>3166</v>
      </c>
      <c r="E549" s="1305">
        <v>13000</v>
      </c>
      <c r="F549" s="1306" t="s">
        <v>3167</v>
      </c>
      <c r="G549" s="1307" t="s">
        <v>3168</v>
      </c>
      <c r="H549" s="1307" t="s">
        <v>1664</v>
      </c>
      <c r="I549" s="1307" t="s">
        <v>1598</v>
      </c>
      <c r="J549" s="1308" t="s">
        <v>1604</v>
      </c>
      <c r="K549" s="1309">
        <v>1</v>
      </c>
      <c r="L549" s="1310">
        <v>12</v>
      </c>
      <c r="M549" s="1311">
        <v>156300</v>
      </c>
      <c r="N549" s="1312">
        <v>1</v>
      </c>
      <c r="O549" s="1310">
        <v>6</v>
      </c>
      <c r="P549" s="1313">
        <v>78000</v>
      </c>
    </row>
    <row r="550" spans="1:16" ht="22.5" x14ac:dyDescent="0.2">
      <c r="A550" s="1302" t="s">
        <v>292</v>
      </c>
      <c r="B550" s="1303" t="s">
        <v>1141</v>
      </c>
      <c r="C550" s="1303" t="s">
        <v>98</v>
      </c>
      <c r="D550" s="1304" t="s">
        <v>3169</v>
      </c>
      <c r="E550" s="1305">
        <v>2600</v>
      </c>
      <c r="F550" s="1306" t="s">
        <v>3170</v>
      </c>
      <c r="G550" s="1307" t="s">
        <v>3171</v>
      </c>
      <c r="H550" s="1307" t="s">
        <v>1659</v>
      </c>
      <c r="I550" s="1307" t="s">
        <v>1621</v>
      </c>
      <c r="J550" s="1308" t="s">
        <v>1988</v>
      </c>
      <c r="K550" s="1309">
        <v>1</v>
      </c>
      <c r="L550" s="1310">
        <v>12</v>
      </c>
      <c r="M550" s="1311">
        <v>31413.33</v>
      </c>
      <c r="N550" s="1312">
        <v>1</v>
      </c>
      <c r="O550" s="1310">
        <v>6</v>
      </c>
      <c r="P550" s="1313">
        <v>15600</v>
      </c>
    </row>
    <row r="551" spans="1:16" x14ac:dyDescent="0.2">
      <c r="A551" s="1302" t="s">
        <v>292</v>
      </c>
      <c r="B551" s="1303" t="s">
        <v>1141</v>
      </c>
      <c r="C551" s="1303" t="s">
        <v>98</v>
      </c>
      <c r="D551" s="1304" t="s">
        <v>3172</v>
      </c>
      <c r="E551" s="1305">
        <v>4500</v>
      </c>
      <c r="F551" s="1306" t="s">
        <v>3173</v>
      </c>
      <c r="G551" s="1307" t="s">
        <v>3174</v>
      </c>
      <c r="H551" s="1307" t="s">
        <v>1608</v>
      </c>
      <c r="I551" s="1307" t="s">
        <v>1621</v>
      </c>
      <c r="J551" s="1308" t="s">
        <v>1604</v>
      </c>
      <c r="K551" s="1309">
        <v>1</v>
      </c>
      <c r="L551" s="1310">
        <v>12</v>
      </c>
      <c r="M551" s="1311">
        <v>54300</v>
      </c>
      <c r="N551" s="1312">
        <v>1</v>
      </c>
      <c r="O551" s="1310">
        <v>6</v>
      </c>
      <c r="P551" s="1313">
        <v>27000</v>
      </c>
    </row>
    <row r="552" spans="1:16" x14ac:dyDescent="0.2">
      <c r="A552" s="1302" t="s">
        <v>292</v>
      </c>
      <c r="B552" s="1303" t="s">
        <v>1141</v>
      </c>
      <c r="C552" s="1303" t="s">
        <v>98</v>
      </c>
      <c r="D552" s="1304" t="s">
        <v>1600</v>
      </c>
      <c r="E552" s="1305">
        <v>8500</v>
      </c>
      <c r="F552" s="1306" t="s">
        <v>3175</v>
      </c>
      <c r="G552" s="1307" t="s">
        <v>3176</v>
      </c>
      <c r="H552" s="1307" t="s">
        <v>1603</v>
      </c>
      <c r="I552" s="1307" t="s">
        <v>1598</v>
      </c>
      <c r="J552" s="1308" t="s">
        <v>1604</v>
      </c>
      <c r="K552" s="1309">
        <v>1</v>
      </c>
      <c r="L552" s="1310">
        <v>8</v>
      </c>
      <c r="M552" s="1311">
        <v>71204.679999999993</v>
      </c>
      <c r="N552" s="1312">
        <v>1</v>
      </c>
      <c r="O552" s="1310">
        <v>6</v>
      </c>
      <c r="P552" s="1313">
        <v>51000</v>
      </c>
    </row>
    <row r="553" spans="1:16" ht="22.5" x14ac:dyDescent="0.2">
      <c r="A553" s="1302" t="s">
        <v>292</v>
      </c>
      <c r="B553" s="1303" t="s">
        <v>1141</v>
      </c>
      <c r="C553" s="1303" t="s">
        <v>98</v>
      </c>
      <c r="D553" s="1304" t="s">
        <v>3177</v>
      </c>
      <c r="E553" s="1305">
        <v>13000</v>
      </c>
      <c r="F553" s="1306" t="s">
        <v>3178</v>
      </c>
      <c r="G553" s="1307" t="s">
        <v>3179</v>
      </c>
      <c r="H553" s="1307" t="s">
        <v>1603</v>
      </c>
      <c r="I553" s="1307" t="s">
        <v>1598</v>
      </c>
      <c r="J553" s="1308" t="s">
        <v>1604</v>
      </c>
      <c r="K553" s="1309">
        <v>1</v>
      </c>
      <c r="L553" s="1310">
        <v>2</v>
      </c>
      <c r="M553" s="1311">
        <v>15600</v>
      </c>
      <c r="N553" s="1312">
        <v>0</v>
      </c>
      <c r="O553" s="1310" t="s">
        <v>1633</v>
      </c>
      <c r="P553" s="1313">
        <v>0</v>
      </c>
    </row>
    <row r="554" spans="1:16" x14ac:dyDescent="0.2">
      <c r="A554" s="1302" t="s">
        <v>292</v>
      </c>
      <c r="B554" s="1303" t="s">
        <v>1141</v>
      </c>
      <c r="C554" s="1303" t="s">
        <v>98</v>
      </c>
      <c r="D554" s="1304" t="s">
        <v>3180</v>
      </c>
      <c r="E554" s="1305">
        <v>7000</v>
      </c>
      <c r="F554" s="1306" t="s">
        <v>3181</v>
      </c>
      <c r="G554" s="1307" t="s">
        <v>3182</v>
      </c>
      <c r="H554" s="1307" t="s">
        <v>1686</v>
      </c>
      <c r="I554" s="1307" t="s">
        <v>1598</v>
      </c>
      <c r="J554" s="1308" t="s">
        <v>1616</v>
      </c>
      <c r="K554" s="1309">
        <v>1</v>
      </c>
      <c r="L554" s="1310">
        <v>9</v>
      </c>
      <c r="M554" s="1311">
        <v>62966.57</v>
      </c>
      <c r="N554" s="1312">
        <v>1</v>
      </c>
      <c r="O554" s="1310">
        <v>6</v>
      </c>
      <c r="P554" s="1313">
        <v>42000</v>
      </c>
    </row>
    <row r="555" spans="1:16" x14ac:dyDescent="0.2">
      <c r="A555" s="1302" t="s">
        <v>292</v>
      </c>
      <c r="B555" s="1303" t="s">
        <v>1141</v>
      </c>
      <c r="C555" s="1303" t="s">
        <v>98</v>
      </c>
      <c r="D555" s="1304" t="s">
        <v>3183</v>
      </c>
      <c r="E555" s="1305">
        <v>2500</v>
      </c>
      <c r="F555" s="1306" t="s">
        <v>3184</v>
      </c>
      <c r="G555" s="1307" t="s">
        <v>3185</v>
      </c>
      <c r="H555" s="1307" t="s">
        <v>1694</v>
      </c>
      <c r="I555" s="1307" t="s">
        <v>1598</v>
      </c>
      <c r="J555" s="1308" t="s">
        <v>1599</v>
      </c>
      <c r="K555" s="1309">
        <v>1</v>
      </c>
      <c r="L555" s="1310">
        <v>2</v>
      </c>
      <c r="M555" s="1311">
        <v>3916.67</v>
      </c>
      <c r="N555" s="1312">
        <v>1</v>
      </c>
      <c r="O555" s="1310">
        <v>6</v>
      </c>
      <c r="P555" s="1313">
        <v>15000</v>
      </c>
    </row>
    <row r="556" spans="1:16" x14ac:dyDescent="0.2">
      <c r="A556" s="1302" t="s">
        <v>292</v>
      </c>
      <c r="B556" s="1303" t="s">
        <v>1141</v>
      </c>
      <c r="C556" s="1303" t="s">
        <v>98</v>
      </c>
      <c r="D556" s="1304" t="s">
        <v>1784</v>
      </c>
      <c r="E556" s="1305">
        <v>8000</v>
      </c>
      <c r="F556" s="1306" t="s">
        <v>3186</v>
      </c>
      <c r="G556" s="1307" t="s">
        <v>3187</v>
      </c>
      <c r="H556" s="1307" t="s">
        <v>1603</v>
      </c>
      <c r="I556" s="1307" t="s">
        <v>1598</v>
      </c>
      <c r="J556" s="1308" t="s">
        <v>1604</v>
      </c>
      <c r="K556" s="1309">
        <v>1</v>
      </c>
      <c r="L556" s="1310">
        <v>3</v>
      </c>
      <c r="M556" s="1311">
        <v>21600</v>
      </c>
      <c r="N556" s="1312">
        <v>0</v>
      </c>
      <c r="O556" s="1310" t="s">
        <v>1633</v>
      </c>
      <c r="P556" s="1313">
        <v>0</v>
      </c>
    </row>
    <row r="557" spans="1:16" x14ac:dyDescent="0.2">
      <c r="A557" s="1302" t="s">
        <v>292</v>
      </c>
      <c r="B557" s="1303" t="s">
        <v>1141</v>
      </c>
      <c r="C557" s="1303" t="s">
        <v>98</v>
      </c>
      <c r="D557" s="1304" t="s">
        <v>2104</v>
      </c>
      <c r="E557" s="1305">
        <v>11000</v>
      </c>
      <c r="F557" s="1306" t="s">
        <v>3188</v>
      </c>
      <c r="G557" s="1307" t="s">
        <v>3189</v>
      </c>
      <c r="H557" s="1307" t="s">
        <v>1603</v>
      </c>
      <c r="I557" s="1307" t="s">
        <v>1616</v>
      </c>
      <c r="J557" s="1308" t="s">
        <v>1604</v>
      </c>
      <c r="K557" s="1309">
        <v>1</v>
      </c>
      <c r="L557" s="1310">
        <v>12</v>
      </c>
      <c r="M557" s="1311">
        <v>132300</v>
      </c>
      <c r="N557" s="1312">
        <v>1</v>
      </c>
      <c r="O557" s="1310">
        <v>6</v>
      </c>
      <c r="P557" s="1313">
        <v>66000</v>
      </c>
    </row>
    <row r="558" spans="1:16" x14ac:dyDescent="0.2">
      <c r="A558" s="1302" t="s">
        <v>292</v>
      </c>
      <c r="B558" s="1303" t="s">
        <v>1141</v>
      </c>
      <c r="C558" s="1303" t="s">
        <v>98</v>
      </c>
      <c r="D558" s="1304" t="s">
        <v>2110</v>
      </c>
      <c r="E558" s="1305">
        <v>9000</v>
      </c>
      <c r="F558" s="1306" t="s">
        <v>3190</v>
      </c>
      <c r="G558" s="1307" t="s">
        <v>3191</v>
      </c>
      <c r="H558" s="1307" t="s">
        <v>1672</v>
      </c>
      <c r="I558" s="1307" t="s">
        <v>1598</v>
      </c>
      <c r="J558" s="1308" t="s">
        <v>1616</v>
      </c>
      <c r="K558" s="1309">
        <v>1</v>
      </c>
      <c r="L558" s="1310">
        <v>4</v>
      </c>
      <c r="M558" s="1311">
        <v>34800</v>
      </c>
      <c r="N558" s="1312">
        <v>1</v>
      </c>
      <c r="O558" s="1310">
        <v>6</v>
      </c>
      <c r="P558" s="1313">
        <v>53981.25</v>
      </c>
    </row>
    <row r="559" spans="1:16" x14ac:dyDescent="0.2">
      <c r="A559" s="1302" t="s">
        <v>292</v>
      </c>
      <c r="B559" s="1303" t="s">
        <v>1141</v>
      </c>
      <c r="C559" s="1303" t="s">
        <v>98</v>
      </c>
      <c r="D559" s="1304" t="s">
        <v>1882</v>
      </c>
      <c r="E559" s="1305">
        <v>7000</v>
      </c>
      <c r="F559" s="1306" t="s">
        <v>3192</v>
      </c>
      <c r="G559" s="1307" t="s">
        <v>3193</v>
      </c>
      <c r="H559" s="1307" t="s">
        <v>1603</v>
      </c>
      <c r="I559" s="1307" t="s">
        <v>1598</v>
      </c>
      <c r="J559" s="1308" t="s">
        <v>1604</v>
      </c>
      <c r="K559" s="1309">
        <v>1</v>
      </c>
      <c r="L559" s="1310">
        <v>10</v>
      </c>
      <c r="M559" s="1311">
        <v>61883.19</v>
      </c>
      <c r="N559" s="1312">
        <v>1</v>
      </c>
      <c r="O559" s="1310">
        <v>6</v>
      </c>
      <c r="P559" s="1313">
        <v>42000</v>
      </c>
    </row>
    <row r="560" spans="1:16" x14ac:dyDescent="0.2">
      <c r="A560" s="1302" t="s">
        <v>292</v>
      </c>
      <c r="B560" s="1303" t="s">
        <v>1141</v>
      </c>
      <c r="C560" s="1303" t="s">
        <v>98</v>
      </c>
      <c r="D560" s="1304" t="s">
        <v>3194</v>
      </c>
      <c r="E560" s="1305">
        <v>5000</v>
      </c>
      <c r="F560" s="1306" t="s">
        <v>3195</v>
      </c>
      <c r="G560" s="1307" t="s">
        <v>3196</v>
      </c>
      <c r="H560" s="1307" t="s">
        <v>1702</v>
      </c>
      <c r="I560" s="1307" t="s">
        <v>1616</v>
      </c>
      <c r="J560" s="1308" t="s">
        <v>1616</v>
      </c>
      <c r="K560" s="1309">
        <v>1</v>
      </c>
      <c r="L560" s="1310">
        <v>6</v>
      </c>
      <c r="M560" s="1311">
        <v>28833.33</v>
      </c>
      <c r="N560" s="1312">
        <v>1</v>
      </c>
      <c r="O560" s="1310">
        <v>6</v>
      </c>
      <c r="P560" s="1313">
        <v>30000</v>
      </c>
    </row>
    <row r="561" spans="1:16" ht="22.5" x14ac:dyDescent="0.2">
      <c r="A561" s="1302" t="s">
        <v>292</v>
      </c>
      <c r="B561" s="1303" t="s">
        <v>1141</v>
      </c>
      <c r="C561" s="1303" t="s">
        <v>98</v>
      </c>
      <c r="D561" s="1304" t="s">
        <v>3197</v>
      </c>
      <c r="E561" s="1305">
        <v>8500</v>
      </c>
      <c r="F561" s="1306" t="s">
        <v>3198</v>
      </c>
      <c r="G561" s="1307" t="s">
        <v>3199</v>
      </c>
      <c r="H561" s="1307" t="s">
        <v>3200</v>
      </c>
      <c r="I561" s="1307" t="s">
        <v>1598</v>
      </c>
      <c r="J561" s="1308" t="s">
        <v>1604</v>
      </c>
      <c r="K561" s="1309">
        <v>1</v>
      </c>
      <c r="L561" s="1310">
        <v>12</v>
      </c>
      <c r="M561" s="1311">
        <v>102300</v>
      </c>
      <c r="N561" s="1312">
        <v>1</v>
      </c>
      <c r="O561" s="1310">
        <v>6</v>
      </c>
      <c r="P561" s="1313">
        <v>51000</v>
      </c>
    </row>
    <row r="562" spans="1:16" x14ac:dyDescent="0.2">
      <c r="A562" s="1302" t="s">
        <v>292</v>
      </c>
      <c r="B562" s="1303" t="s">
        <v>1141</v>
      </c>
      <c r="C562" s="1303" t="s">
        <v>98</v>
      </c>
      <c r="D562" s="1304" t="s">
        <v>3201</v>
      </c>
      <c r="E562" s="1305">
        <v>3000</v>
      </c>
      <c r="F562" s="1306" t="s">
        <v>3202</v>
      </c>
      <c r="G562" s="1307" t="s">
        <v>3203</v>
      </c>
      <c r="H562" s="1307" t="s">
        <v>2191</v>
      </c>
      <c r="I562" s="1307" t="s">
        <v>1660</v>
      </c>
      <c r="J562" s="1308" t="s">
        <v>1599</v>
      </c>
      <c r="K562" s="1309">
        <v>1</v>
      </c>
      <c r="L562" s="1310">
        <v>12</v>
      </c>
      <c r="M562" s="1311">
        <v>35400.44</v>
      </c>
      <c r="N562" s="1312">
        <v>1</v>
      </c>
      <c r="O562" s="1310">
        <v>6</v>
      </c>
      <c r="P562" s="1313">
        <v>17903.330000000002</v>
      </c>
    </row>
    <row r="563" spans="1:16" x14ac:dyDescent="0.2">
      <c r="A563" s="1302" t="s">
        <v>292</v>
      </c>
      <c r="B563" s="1303" t="s">
        <v>1141</v>
      </c>
      <c r="C563" s="1303" t="s">
        <v>98</v>
      </c>
      <c r="D563" s="1304" t="s">
        <v>2016</v>
      </c>
      <c r="E563" s="1305">
        <v>7000</v>
      </c>
      <c r="F563" s="1306" t="s">
        <v>3204</v>
      </c>
      <c r="G563" s="1307" t="s">
        <v>3205</v>
      </c>
      <c r="H563" s="1307" t="s">
        <v>1603</v>
      </c>
      <c r="I563" s="1307" t="s">
        <v>1598</v>
      </c>
      <c r="J563" s="1308" t="s">
        <v>1604</v>
      </c>
      <c r="K563" s="1309">
        <v>1</v>
      </c>
      <c r="L563" s="1310">
        <v>6</v>
      </c>
      <c r="M563" s="1311">
        <v>40366.67</v>
      </c>
      <c r="N563" s="1312">
        <v>0</v>
      </c>
      <c r="O563" s="1310" t="s">
        <v>1633</v>
      </c>
      <c r="P563" s="1313">
        <v>0</v>
      </c>
    </row>
    <row r="564" spans="1:16" x14ac:dyDescent="0.2">
      <c r="A564" s="1302" t="s">
        <v>292</v>
      </c>
      <c r="B564" s="1303" t="s">
        <v>1141</v>
      </c>
      <c r="C564" s="1303" t="s">
        <v>98</v>
      </c>
      <c r="D564" s="1304" t="s">
        <v>1772</v>
      </c>
      <c r="E564" s="1305">
        <v>8000</v>
      </c>
      <c r="F564" s="1306" t="s">
        <v>3206</v>
      </c>
      <c r="G564" s="1307" t="s">
        <v>3207</v>
      </c>
      <c r="H564" s="1307" t="s">
        <v>1603</v>
      </c>
      <c r="I564" s="1307" t="s">
        <v>1616</v>
      </c>
      <c r="J564" s="1308" t="s">
        <v>1604</v>
      </c>
      <c r="K564" s="1309">
        <v>1</v>
      </c>
      <c r="L564" s="1310">
        <v>12</v>
      </c>
      <c r="M564" s="1311">
        <v>96300</v>
      </c>
      <c r="N564" s="1312">
        <v>1</v>
      </c>
      <c r="O564" s="1310">
        <v>3</v>
      </c>
      <c r="P564" s="1313">
        <v>24000</v>
      </c>
    </row>
    <row r="565" spans="1:16" ht="22.5" x14ac:dyDescent="0.2">
      <c r="A565" s="1302" t="s">
        <v>292</v>
      </c>
      <c r="B565" s="1303" t="s">
        <v>1141</v>
      </c>
      <c r="C565" s="1303" t="s">
        <v>98</v>
      </c>
      <c r="D565" s="1304" t="s">
        <v>3208</v>
      </c>
      <c r="E565" s="1305">
        <v>8000</v>
      </c>
      <c r="F565" s="1306" t="s">
        <v>3209</v>
      </c>
      <c r="G565" s="1307" t="s">
        <v>3210</v>
      </c>
      <c r="H565" s="1307" t="s">
        <v>1847</v>
      </c>
      <c r="I565" s="1307" t="s">
        <v>1598</v>
      </c>
      <c r="J565" s="1308" t="s">
        <v>1604</v>
      </c>
      <c r="K565" s="1309">
        <v>1</v>
      </c>
      <c r="L565" s="1310">
        <v>12</v>
      </c>
      <c r="M565" s="1311">
        <v>96300</v>
      </c>
      <c r="N565" s="1312">
        <v>1</v>
      </c>
      <c r="O565" s="1310">
        <v>6</v>
      </c>
      <c r="P565" s="1313">
        <v>48000</v>
      </c>
    </row>
    <row r="566" spans="1:16" x14ac:dyDescent="0.2">
      <c r="A566" s="1302" t="s">
        <v>292</v>
      </c>
      <c r="B566" s="1303" t="s">
        <v>1141</v>
      </c>
      <c r="C566" s="1303" t="s">
        <v>98</v>
      </c>
      <c r="D566" s="1304" t="s">
        <v>1673</v>
      </c>
      <c r="E566" s="1305">
        <v>2000</v>
      </c>
      <c r="F566" s="1306" t="s">
        <v>3211</v>
      </c>
      <c r="G566" s="1307" t="s">
        <v>3212</v>
      </c>
      <c r="H566" s="1307" t="s">
        <v>1901</v>
      </c>
      <c r="I566" s="1307" t="s">
        <v>1621</v>
      </c>
      <c r="J566" s="1308" t="s">
        <v>1659</v>
      </c>
      <c r="K566" s="1309">
        <v>1</v>
      </c>
      <c r="L566" s="1310">
        <v>9</v>
      </c>
      <c r="M566" s="1311">
        <v>18300</v>
      </c>
      <c r="N566" s="1312">
        <v>0</v>
      </c>
      <c r="O566" s="1310" t="s">
        <v>1633</v>
      </c>
      <c r="P566" s="1313">
        <v>0</v>
      </c>
    </row>
    <row r="567" spans="1:16" x14ac:dyDescent="0.2">
      <c r="A567" s="1302" t="s">
        <v>292</v>
      </c>
      <c r="B567" s="1303" t="s">
        <v>1141</v>
      </c>
      <c r="C567" s="1303" t="s">
        <v>98</v>
      </c>
      <c r="D567" s="1304" t="s">
        <v>1989</v>
      </c>
      <c r="E567" s="1305">
        <v>6500</v>
      </c>
      <c r="F567" s="1306" t="s">
        <v>3213</v>
      </c>
      <c r="G567" s="1307" t="s">
        <v>3214</v>
      </c>
      <c r="H567" s="1307" t="s">
        <v>1612</v>
      </c>
      <c r="I567" s="1307" t="s">
        <v>1598</v>
      </c>
      <c r="J567" s="1308" t="s">
        <v>1604</v>
      </c>
      <c r="K567" s="1309">
        <v>1</v>
      </c>
      <c r="L567" s="1310">
        <v>12</v>
      </c>
      <c r="M567" s="1311">
        <v>77922</v>
      </c>
      <c r="N567" s="1312">
        <v>1</v>
      </c>
      <c r="O567" s="1310">
        <v>6</v>
      </c>
      <c r="P567" s="1313">
        <v>38736.39</v>
      </c>
    </row>
    <row r="568" spans="1:16" x14ac:dyDescent="0.2">
      <c r="A568" s="1302" t="s">
        <v>292</v>
      </c>
      <c r="B568" s="1303" t="s">
        <v>1141</v>
      </c>
      <c r="C568" s="1303" t="s">
        <v>98</v>
      </c>
      <c r="D568" s="1304" t="s">
        <v>3215</v>
      </c>
      <c r="E568" s="1305">
        <v>12000</v>
      </c>
      <c r="F568" s="1306" t="s">
        <v>3216</v>
      </c>
      <c r="G568" s="1307" t="s">
        <v>3217</v>
      </c>
      <c r="H568" s="1307" t="s">
        <v>1603</v>
      </c>
      <c r="I568" s="1307" t="s">
        <v>1598</v>
      </c>
      <c r="J568" s="1308" t="s">
        <v>1604</v>
      </c>
      <c r="K568" s="1309">
        <v>1</v>
      </c>
      <c r="L568" s="1310">
        <v>6</v>
      </c>
      <c r="M568" s="1311">
        <v>68800</v>
      </c>
      <c r="N568" s="1312">
        <v>1</v>
      </c>
      <c r="O568" s="1310">
        <v>1</v>
      </c>
      <c r="P568" s="1313">
        <v>12000</v>
      </c>
    </row>
    <row r="569" spans="1:16" ht="22.5" x14ac:dyDescent="0.2">
      <c r="A569" s="1302" t="s">
        <v>292</v>
      </c>
      <c r="B569" s="1303" t="s">
        <v>1141</v>
      </c>
      <c r="C569" s="1303" t="s">
        <v>98</v>
      </c>
      <c r="D569" s="1304" t="s">
        <v>3218</v>
      </c>
      <c r="E569" s="1305">
        <v>13000</v>
      </c>
      <c r="F569" s="1306" t="s">
        <v>3219</v>
      </c>
      <c r="G569" s="1307" t="s">
        <v>3220</v>
      </c>
      <c r="H569" s="1307" t="s">
        <v>1603</v>
      </c>
      <c r="I569" s="1307" t="s">
        <v>1598</v>
      </c>
      <c r="J569" s="1308" t="s">
        <v>1604</v>
      </c>
      <c r="K569" s="1309">
        <v>1</v>
      </c>
      <c r="L569" s="1310">
        <v>12</v>
      </c>
      <c r="M569" s="1311">
        <v>156300</v>
      </c>
      <c r="N569" s="1312">
        <v>1</v>
      </c>
      <c r="O569" s="1310">
        <v>6</v>
      </c>
      <c r="P569" s="1313">
        <v>78000</v>
      </c>
    </row>
    <row r="570" spans="1:16" ht="22.5" x14ac:dyDescent="0.2">
      <c r="A570" s="1302" t="s">
        <v>292</v>
      </c>
      <c r="B570" s="1303" t="s">
        <v>1141</v>
      </c>
      <c r="C570" s="1303" t="s">
        <v>98</v>
      </c>
      <c r="D570" s="1304" t="s">
        <v>3221</v>
      </c>
      <c r="E570" s="1305">
        <v>9500</v>
      </c>
      <c r="F570" s="1306" t="s">
        <v>3222</v>
      </c>
      <c r="G570" s="1307" t="s">
        <v>3223</v>
      </c>
      <c r="H570" s="1307" t="s">
        <v>1655</v>
      </c>
      <c r="I570" s="1307" t="s">
        <v>1598</v>
      </c>
      <c r="J570" s="1308" t="s">
        <v>1604</v>
      </c>
      <c r="K570" s="1309">
        <v>1</v>
      </c>
      <c r="L570" s="1310">
        <v>12</v>
      </c>
      <c r="M570" s="1311">
        <v>114300</v>
      </c>
      <c r="N570" s="1312">
        <v>1</v>
      </c>
      <c r="O570" s="1310">
        <v>6</v>
      </c>
      <c r="P570" s="1313">
        <v>57000</v>
      </c>
    </row>
    <row r="571" spans="1:16" ht="22.5" x14ac:dyDescent="0.2">
      <c r="A571" s="1302" t="s">
        <v>292</v>
      </c>
      <c r="B571" s="1303" t="s">
        <v>1141</v>
      </c>
      <c r="C571" s="1303" t="s">
        <v>98</v>
      </c>
      <c r="D571" s="1304" t="s">
        <v>3224</v>
      </c>
      <c r="E571" s="1305">
        <v>6000</v>
      </c>
      <c r="F571" s="1306" t="s">
        <v>3225</v>
      </c>
      <c r="G571" s="1307" t="s">
        <v>3226</v>
      </c>
      <c r="H571" s="1307" t="s">
        <v>3227</v>
      </c>
      <c r="I571" s="1307" t="s">
        <v>1598</v>
      </c>
      <c r="J571" s="1308" t="s">
        <v>1604</v>
      </c>
      <c r="K571" s="1309">
        <v>1</v>
      </c>
      <c r="L571" s="1310">
        <v>2</v>
      </c>
      <c r="M571" s="1311">
        <v>18000</v>
      </c>
      <c r="N571" s="1312">
        <v>0</v>
      </c>
      <c r="O571" s="1310" t="s">
        <v>1633</v>
      </c>
      <c r="P571" s="1313">
        <v>0</v>
      </c>
    </row>
    <row r="572" spans="1:16" x14ac:dyDescent="0.2">
      <c r="A572" s="1302" t="s">
        <v>292</v>
      </c>
      <c r="B572" s="1303" t="s">
        <v>1141</v>
      </c>
      <c r="C572" s="1303" t="s">
        <v>98</v>
      </c>
      <c r="D572" s="1304" t="s">
        <v>2104</v>
      </c>
      <c r="E572" s="1305">
        <v>12500</v>
      </c>
      <c r="F572" s="1306" t="s">
        <v>3228</v>
      </c>
      <c r="G572" s="1307" t="s">
        <v>3229</v>
      </c>
      <c r="H572" s="1307" t="s">
        <v>1603</v>
      </c>
      <c r="I572" s="1307" t="s">
        <v>1616</v>
      </c>
      <c r="J572" s="1308" t="s">
        <v>1604</v>
      </c>
      <c r="K572" s="1309">
        <v>1</v>
      </c>
      <c r="L572" s="1310">
        <v>12</v>
      </c>
      <c r="M572" s="1311">
        <v>150300</v>
      </c>
      <c r="N572" s="1312">
        <v>1</v>
      </c>
      <c r="O572" s="1310">
        <v>3</v>
      </c>
      <c r="P572" s="1313">
        <v>31666.560000000001</v>
      </c>
    </row>
    <row r="573" spans="1:16" ht="22.5" x14ac:dyDescent="0.2">
      <c r="A573" s="1302" t="s">
        <v>292</v>
      </c>
      <c r="B573" s="1303" t="s">
        <v>1141</v>
      </c>
      <c r="C573" s="1303" t="s">
        <v>98</v>
      </c>
      <c r="D573" s="1304" t="s">
        <v>1794</v>
      </c>
      <c r="E573" s="1305">
        <v>15600</v>
      </c>
      <c r="F573" s="1306" t="s">
        <v>3230</v>
      </c>
      <c r="G573" s="1307" t="s">
        <v>3231</v>
      </c>
      <c r="H573" s="1307" t="s">
        <v>1603</v>
      </c>
      <c r="I573" s="1307" t="s">
        <v>1598</v>
      </c>
      <c r="J573" s="1308" t="s">
        <v>1659</v>
      </c>
      <c r="K573" s="1309">
        <v>1</v>
      </c>
      <c r="L573" s="1310">
        <v>1</v>
      </c>
      <c r="M573" s="1311">
        <v>15600</v>
      </c>
      <c r="N573" s="1312">
        <v>0</v>
      </c>
      <c r="O573" s="1310" t="s">
        <v>1633</v>
      </c>
      <c r="P573" s="1313">
        <v>0</v>
      </c>
    </row>
    <row r="574" spans="1:16" ht="22.5" x14ac:dyDescent="0.2">
      <c r="A574" s="1302" t="s">
        <v>292</v>
      </c>
      <c r="B574" s="1303" t="s">
        <v>1141</v>
      </c>
      <c r="C574" s="1303" t="s">
        <v>98</v>
      </c>
      <c r="D574" s="1314" t="s">
        <v>1827</v>
      </c>
      <c r="E574" s="1305">
        <v>10000</v>
      </c>
      <c r="F574" s="1306" t="s">
        <v>3232</v>
      </c>
      <c r="G574" s="1307" t="s">
        <v>3233</v>
      </c>
      <c r="H574" s="1315" t="s">
        <v>1826</v>
      </c>
      <c r="I574" s="1315" t="s">
        <v>1598</v>
      </c>
      <c r="J574" s="1316" t="s">
        <v>1604</v>
      </c>
      <c r="K574" s="1309">
        <v>0</v>
      </c>
      <c r="L574" s="1310" t="s">
        <v>1633</v>
      </c>
      <c r="M574" s="1311">
        <v>0</v>
      </c>
      <c r="N574" s="1312">
        <v>1</v>
      </c>
      <c r="O574" s="1310">
        <v>6</v>
      </c>
      <c r="P574" s="1313">
        <v>60000</v>
      </c>
    </row>
    <row r="575" spans="1:16" x14ac:dyDescent="0.2">
      <c r="A575" s="1302" t="s">
        <v>292</v>
      </c>
      <c r="B575" s="1303" t="s">
        <v>1141</v>
      </c>
      <c r="C575" s="1303" t="s">
        <v>98</v>
      </c>
      <c r="D575" s="1304" t="s">
        <v>3234</v>
      </c>
      <c r="E575" s="1305">
        <v>10000</v>
      </c>
      <c r="F575" s="1306" t="s">
        <v>3235</v>
      </c>
      <c r="G575" s="1307" t="s">
        <v>3236</v>
      </c>
      <c r="H575" s="1307" t="s">
        <v>1620</v>
      </c>
      <c r="I575" s="1307" t="s">
        <v>1598</v>
      </c>
      <c r="J575" s="1308" t="s">
        <v>1604</v>
      </c>
      <c r="K575" s="1309">
        <v>1</v>
      </c>
      <c r="L575" s="1310">
        <v>10</v>
      </c>
      <c r="M575" s="1311">
        <v>94299.95</v>
      </c>
      <c r="N575" s="1312">
        <v>0</v>
      </c>
      <c r="O575" s="1310" t="s">
        <v>1633</v>
      </c>
      <c r="P575" s="1313">
        <v>0</v>
      </c>
    </row>
    <row r="576" spans="1:16" x14ac:dyDescent="0.2">
      <c r="A576" s="1302" t="s">
        <v>292</v>
      </c>
      <c r="B576" s="1303" t="s">
        <v>1141</v>
      </c>
      <c r="C576" s="1303" t="s">
        <v>98</v>
      </c>
      <c r="D576" s="1304" t="s">
        <v>1617</v>
      </c>
      <c r="E576" s="1305">
        <v>5000</v>
      </c>
      <c r="F576" s="1306" t="s">
        <v>3237</v>
      </c>
      <c r="G576" s="1307" t="s">
        <v>3238</v>
      </c>
      <c r="H576" s="1307" t="s">
        <v>3239</v>
      </c>
      <c r="I576" s="1307" t="s">
        <v>1598</v>
      </c>
      <c r="J576" s="1308" t="s">
        <v>1604</v>
      </c>
      <c r="K576" s="1309">
        <v>1</v>
      </c>
      <c r="L576" s="1310">
        <v>12</v>
      </c>
      <c r="M576" s="1311">
        <v>60300</v>
      </c>
      <c r="N576" s="1312">
        <v>1</v>
      </c>
      <c r="O576" s="1310">
        <v>6</v>
      </c>
      <c r="P576" s="1313">
        <v>30000</v>
      </c>
    </row>
    <row r="577" spans="1:16" x14ac:dyDescent="0.2">
      <c r="A577" s="1302" t="s">
        <v>292</v>
      </c>
      <c r="B577" s="1303" t="s">
        <v>1141</v>
      </c>
      <c r="C577" s="1303" t="s">
        <v>98</v>
      </c>
      <c r="D577" s="1304" t="s">
        <v>3240</v>
      </c>
      <c r="E577" s="1305">
        <v>4000</v>
      </c>
      <c r="F577" s="1306" t="s">
        <v>3241</v>
      </c>
      <c r="G577" s="1307" t="s">
        <v>3242</v>
      </c>
      <c r="H577" s="1307" t="s">
        <v>1603</v>
      </c>
      <c r="I577" s="1307" t="s">
        <v>1598</v>
      </c>
      <c r="J577" s="1308" t="s">
        <v>1616</v>
      </c>
      <c r="K577" s="1309">
        <v>1</v>
      </c>
      <c r="L577" s="1310">
        <v>6</v>
      </c>
      <c r="M577" s="1311">
        <v>23066.67</v>
      </c>
      <c r="N577" s="1312">
        <v>1</v>
      </c>
      <c r="O577" s="1310">
        <v>6</v>
      </c>
      <c r="P577" s="1313">
        <v>24000</v>
      </c>
    </row>
    <row r="578" spans="1:16" x14ac:dyDescent="0.2">
      <c r="A578" s="1302" t="s">
        <v>292</v>
      </c>
      <c r="B578" s="1303" t="s">
        <v>1141</v>
      </c>
      <c r="C578" s="1303" t="s">
        <v>98</v>
      </c>
      <c r="D578" s="1304" t="s">
        <v>1665</v>
      </c>
      <c r="E578" s="1305">
        <v>8500</v>
      </c>
      <c r="F578" s="1306" t="s">
        <v>3243</v>
      </c>
      <c r="G578" s="1307" t="s">
        <v>3244</v>
      </c>
      <c r="H578" s="1307" t="s">
        <v>1672</v>
      </c>
      <c r="I578" s="1307" t="s">
        <v>1598</v>
      </c>
      <c r="J578" s="1308" t="s">
        <v>1604</v>
      </c>
      <c r="K578" s="1309">
        <v>1</v>
      </c>
      <c r="L578" s="1310">
        <v>12</v>
      </c>
      <c r="M578" s="1311">
        <v>102600</v>
      </c>
      <c r="N578" s="1312">
        <v>1</v>
      </c>
      <c r="O578" s="1310">
        <v>6</v>
      </c>
      <c r="P578" s="1313">
        <v>51000</v>
      </c>
    </row>
    <row r="579" spans="1:16" x14ac:dyDescent="0.2">
      <c r="A579" s="1302" t="s">
        <v>292</v>
      </c>
      <c r="B579" s="1303" t="s">
        <v>1141</v>
      </c>
      <c r="C579" s="1303" t="s">
        <v>98</v>
      </c>
      <c r="D579" s="1304" t="s">
        <v>2335</v>
      </c>
      <c r="E579" s="1305">
        <v>7000</v>
      </c>
      <c r="F579" s="1306" t="s">
        <v>3245</v>
      </c>
      <c r="G579" s="1307" t="s">
        <v>3246</v>
      </c>
      <c r="H579" s="1307" t="s">
        <v>1620</v>
      </c>
      <c r="I579" s="1307" t="s">
        <v>1598</v>
      </c>
      <c r="J579" s="1308" t="s">
        <v>1616</v>
      </c>
      <c r="K579" s="1309">
        <v>1</v>
      </c>
      <c r="L579" s="1310">
        <v>2</v>
      </c>
      <c r="M579" s="1311">
        <v>10966.67</v>
      </c>
      <c r="N579" s="1312">
        <v>1</v>
      </c>
      <c r="O579" s="1310">
        <v>3</v>
      </c>
      <c r="P579" s="1313">
        <v>16333.3</v>
      </c>
    </row>
    <row r="580" spans="1:16" x14ac:dyDescent="0.2">
      <c r="A580" s="1302" t="s">
        <v>292</v>
      </c>
      <c r="B580" s="1303" t="s">
        <v>1141</v>
      </c>
      <c r="C580" s="1303" t="s">
        <v>98</v>
      </c>
      <c r="D580" s="1304" t="s">
        <v>2518</v>
      </c>
      <c r="E580" s="1305">
        <v>12000</v>
      </c>
      <c r="F580" s="1306" t="s">
        <v>3247</v>
      </c>
      <c r="G580" s="1307" t="s">
        <v>3248</v>
      </c>
      <c r="H580" s="1307" t="s">
        <v>3249</v>
      </c>
      <c r="I580" s="1307" t="s">
        <v>1598</v>
      </c>
      <c r="J580" s="1308" t="s">
        <v>1604</v>
      </c>
      <c r="K580" s="1309">
        <v>1</v>
      </c>
      <c r="L580" s="1310">
        <v>3</v>
      </c>
      <c r="M580" s="1311">
        <v>33200</v>
      </c>
      <c r="N580" s="1312">
        <v>0</v>
      </c>
      <c r="O580" s="1310" t="s">
        <v>1633</v>
      </c>
      <c r="P580" s="1313">
        <v>0</v>
      </c>
    </row>
    <row r="581" spans="1:16" ht="22.5" x14ac:dyDescent="0.2">
      <c r="A581" s="1302" t="s">
        <v>292</v>
      </c>
      <c r="B581" s="1303" t="s">
        <v>1141</v>
      </c>
      <c r="C581" s="1303" t="s">
        <v>98</v>
      </c>
      <c r="D581" s="1304" t="s">
        <v>2900</v>
      </c>
      <c r="E581" s="1305">
        <v>8000</v>
      </c>
      <c r="F581" s="1306" t="s">
        <v>3250</v>
      </c>
      <c r="G581" s="1307" t="s">
        <v>3251</v>
      </c>
      <c r="H581" s="1307" t="s">
        <v>1672</v>
      </c>
      <c r="I581" s="1307" t="s">
        <v>1598</v>
      </c>
      <c r="J581" s="1308" t="s">
        <v>1604</v>
      </c>
      <c r="K581" s="1309">
        <v>1</v>
      </c>
      <c r="L581" s="1310">
        <v>12</v>
      </c>
      <c r="M581" s="1311">
        <v>96300</v>
      </c>
      <c r="N581" s="1312">
        <v>1</v>
      </c>
      <c r="O581" s="1310">
        <v>6</v>
      </c>
      <c r="P581" s="1313">
        <v>48000</v>
      </c>
    </row>
    <row r="582" spans="1:16" x14ac:dyDescent="0.2">
      <c r="A582" s="1302" t="s">
        <v>292</v>
      </c>
      <c r="B582" s="1303" t="s">
        <v>1141</v>
      </c>
      <c r="C582" s="1303" t="s">
        <v>98</v>
      </c>
      <c r="D582" s="1304" t="s">
        <v>2110</v>
      </c>
      <c r="E582" s="1305">
        <v>9000</v>
      </c>
      <c r="F582" s="1306" t="s">
        <v>3252</v>
      </c>
      <c r="G582" s="1307" t="s">
        <v>3253</v>
      </c>
      <c r="H582" s="1307" t="s">
        <v>1668</v>
      </c>
      <c r="I582" s="1307" t="s">
        <v>1598</v>
      </c>
      <c r="J582" s="1308" t="s">
        <v>1616</v>
      </c>
      <c r="K582" s="1309">
        <v>1</v>
      </c>
      <c r="L582" s="1310">
        <v>6</v>
      </c>
      <c r="M582" s="1311">
        <v>51900</v>
      </c>
      <c r="N582" s="1312">
        <v>1</v>
      </c>
      <c r="O582" s="1310">
        <v>6</v>
      </c>
      <c r="P582" s="1313">
        <v>54000</v>
      </c>
    </row>
    <row r="583" spans="1:16" x14ac:dyDescent="0.2">
      <c r="A583" s="1302" t="s">
        <v>292</v>
      </c>
      <c r="B583" s="1303" t="s">
        <v>1141</v>
      </c>
      <c r="C583" s="1303" t="s">
        <v>98</v>
      </c>
      <c r="D583" s="1304" t="s">
        <v>2722</v>
      </c>
      <c r="E583" s="1305">
        <v>8000</v>
      </c>
      <c r="F583" s="1306" t="s">
        <v>3254</v>
      </c>
      <c r="G583" s="1307" t="s">
        <v>3255</v>
      </c>
      <c r="H583" s="1307" t="s">
        <v>1603</v>
      </c>
      <c r="I583" s="1307" t="s">
        <v>1598</v>
      </c>
      <c r="J583" s="1308" t="s">
        <v>1604</v>
      </c>
      <c r="K583" s="1309">
        <v>1</v>
      </c>
      <c r="L583" s="1310">
        <v>12</v>
      </c>
      <c r="M583" s="1311">
        <v>96300</v>
      </c>
      <c r="N583" s="1312">
        <v>1</v>
      </c>
      <c r="O583" s="1310">
        <v>6</v>
      </c>
      <c r="P583" s="1313">
        <v>48000</v>
      </c>
    </row>
    <row r="584" spans="1:16" ht="22.5" x14ac:dyDescent="0.2">
      <c r="A584" s="1302" t="s">
        <v>292</v>
      </c>
      <c r="B584" s="1303" t="s">
        <v>1141</v>
      </c>
      <c r="C584" s="1303" t="s">
        <v>98</v>
      </c>
      <c r="D584" s="1304" t="s">
        <v>3256</v>
      </c>
      <c r="E584" s="1305">
        <v>6000</v>
      </c>
      <c r="F584" s="1306" t="s">
        <v>3257</v>
      </c>
      <c r="G584" s="1307" t="s">
        <v>3258</v>
      </c>
      <c r="H584" s="1307" t="s">
        <v>1603</v>
      </c>
      <c r="I584" s="1307" t="s">
        <v>1598</v>
      </c>
      <c r="J584" s="1308" t="s">
        <v>1604</v>
      </c>
      <c r="K584" s="1309">
        <v>1</v>
      </c>
      <c r="L584" s="1310">
        <v>12</v>
      </c>
      <c r="M584" s="1311">
        <v>93300</v>
      </c>
      <c r="N584" s="1312">
        <v>1</v>
      </c>
      <c r="O584" s="1310">
        <v>6</v>
      </c>
      <c r="P584" s="1313">
        <v>36000</v>
      </c>
    </row>
    <row r="585" spans="1:16" ht="22.5" x14ac:dyDescent="0.2">
      <c r="A585" s="1302" t="s">
        <v>292</v>
      </c>
      <c r="B585" s="1303" t="s">
        <v>1141</v>
      </c>
      <c r="C585" s="1303" t="s">
        <v>98</v>
      </c>
      <c r="D585" s="1304" t="s">
        <v>1952</v>
      </c>
      <c r="E585" s="1305">
        <v>7000</v>
      </c>
      <c r="F585" s="1306" t="s">
        <v>3259</v>
      </c>
      <c r="G585" s="1307" t="s">
        <v>3260</v>
      </c>
      <c r="H585" s="1307" t="s">
        <v>1603</v>
      </c>
      <c r="I585" s="1307" t="s">
        <v>1598</v>
      </c>
      <c r="J585" s="1308" t="s">
        <v>1616</v>
      </c>
      <c r="K585" s="1309">
        <v>1</v>
      </c>
      <c r="L585" s="1310">
        <v>3</v>
      </c>
      <c r="M585" s="1311">
        <v>21000</v>
      </c>
      <c r="N585" s="1312">
        <v>1</v>
      </c>
      <c r="O585" s="1310">
        <v>6</v>
      </c>
      <c r="P585" s="1313">
        <v>42000</v>
      </c>
    </row>
    <row r="586" spans="1:16" ht="22.5" x14ac:dyDescent="0.2">
      <c r="A586" s="1302" t="s">
        <v>292</v>
      </c>
      <c r="B586" s="1303" t="s">
        <v>1141</v>
      </c>
      <c r="C586" s="1303" t="s">
        <v>98</v>
      </c>
      <c r="D586" s="1304" t="s">
        <v>3261</v>
      </c>
      <c r="E586" s="1305">
        <v>4500</v>
      </c>
      <c r="F586" s="1306" t="s">
        <v>3262</v>
      </c>
      <c r="G586" s="1307" t="s">
        <v>3263</v>
      </c>
      <c r="H586" s="1307" t="s">
        <v>3264</v>
      </c>
      <c r="I586" s="1307" t="s">
        <v>1598</v>
      </c>
      <c r="J586" s="1308" t="s">
        <v>1604</v>
      </c>
      <c r="K586" s="1309">
        <v>1</v>
      </c>
      <c r="L586" s="1310">
        <v>12</v>
      </c>
      <c r="M586" s="1311">
        <v>54300</v>
      </c>
      <c r="N586" s="1312">
        <v>1</v>
      </c>
      <c r="O586" s="1310">
        <v>6</v>
      </c>
      <c r="P586" s="1313">
        <v>27000</v>
      </c>
    </row>
    <row r="587" spans="1:16" x14ac:dyDescent="0.2">
      <c r="A587" s="1302" t="s">
        <v>292</v>
      </c>
      <c r="B587" s="1303" t="s">
        <v>1141</v>
      </c>
      <c r="C587" s="1303" t="s">
        <v>98</v>
      </c>
      <c r="D587" s="1304" t="s">
        <v>2357</v>
      </c>
      <c r="E587" s="1305">
        <v>12500</v>
      </c>
      <c r="F587" s="1306" t="s">
        <v>3265</v>
      </c>
      <c r="G587" s="1307" t="s">
        <v>3266</v>
      </c>
      <c r="H587" s="1307" t="s">
        <v>1647</v>
      </c>
      <c r="I587" s="1307" t="s">
        <v>1598</v>
      </c>
      <c r="J587" s="1308" t="s">
        <v>1604</v>
      </c>
      <c r="K587" s="1309">
        <v>1</v>
      </c>
      <c r="L587" s="1310">
        <v>12</v>
      </c>
      <c r="M587" s="1311">
        <v>150300</v>
      </c>
      <c r="N587" s="1312">
        <v>1</v>
      </c>
      <c r="O587" s="1310">
        <v>6</v>
      </c>
      <c r="P587" s="1313">
        <v>75000</v>
      </c>
    </row>
    <row r="588" spans="1:16" ht="22.5" x14ac:dyDescent="0.2">
      <c r="A588" s="1302" t="s">
        <v>292</v>
      </c>
      <c r="B588" s="1303" t="s">
        <v>1141</v>
      </c>
      <c r="C588" s="1303" t="s">
        <v>98</v>
      </c>
      <c r="D588" s="1304" t="s">
        <v>1820</v>
      </c>
      <c r="E588" s="1305">
        <v>6000</v>
      </c>
      <c r="F588" s="1306" t="s">
        <v>3267</v>
      </c>
      <c r="G588" s="1307" t="s">
        <v>3268</v>
      </c>
      <c r="H588" s="1307" t="s">
        <v>1612</v>
      </c>
      <c r="I588" s="1307" t="s">
        <v>1616</v>
      </c>
      <c r="J588" s="1308" t="s">
        <v>1604</v>
      </c>
      <c r="K588" s="1309">
        <v>1</v>
      </c>
      <c r="L588" s="1310">
        <v>12</v>
      </c>
      <c r="M588" s="1311">
        <v>71490</v>
      </c>
      <c r="N588" s="1312">
        <v>1</v>
      </c>
      <c r="O588" s="1310">
        <v>6</v>
      </c>
      <c r="P588" s="1313">
        <v>35613.11</v>
      </c>
    </row>
    <row r="589" spans="1:16" x14ac:dyDescent="0.2">
      <c r="A589" s="1302" t="s">
        <v>292</v>
      </c>
      <c r="B589" s="1303" t="s">
        <v>1141</v>
      </c>
      <c r="C589" s="1303" t="s">
        <v>98</v>
      </c>
      <c r="D589" s="1304" t="s">
        <v>3269</v>
      </c>
      <c r="E589" s="1305">
        <v>6500</v>
      </c>
      <c r="F589" s="1306" t="s">
        <v>3270</v>
      </c>
      <c r="G589" s="1307" t="s">
        <v>3271</v>
      </c>
      <c r="H589" s="1307" t="s">
        <v>1608</v>
      </c>
      <c r="I589" s="1307" t="s">
        <v>1598</v>
      </c>
      <c r="J589" s="1308" t="s">
        <v>1616</v>
      </c>
      <c r="K589" s="1309">
        <v>1</v>
      </c>
      <c r="L589" s="1310">
        <v>6</v>
      </c>
      <c r="M589" s="1311">
        <v>37483.33</v>
      </c>
      <c r="N589" s="1312">
        <v>1</v>
      </c>
      <c r="O589" s="1310">
        <v>6</v>
      </c>
      <c r="P589" s="1313">
        <v>39000</v>
      </c>
    </row>
    <row r="590" spans="1:16" x14ac:dyDescent="0.2">
      <c r="A590" s="1302" t="s">
        <v>292</v>
      </c>
      <c r="B590" s="1303" t="s">
        <v>1141</v>
      </c>
      <c r="C590" s="1303" t="s">
        <v>98</v>
      </c>
      <c r="D590" s="1304" t="s">
        <v>3272</v>
      </c>
      <c r="E590" s="1305">
        <v>6000</v>
      </c>
      <c r="F590" s="1306" t="s">
        <v>3273</v>
      </c>
      <c r="G590" s="1307" t="s">
        <v>3274</v>
      </c>
      <c r="H590" s="1307" t="s">
        <v>3275</v>
      </c>
      <c r="I590" s="1307" t="s">
        <v>1621</v>
      </c>
      <c r="J590" s="1308" t="s">
        <v>1771</v>
      </c>
      <c r="K590" s="1309">
        <v>1</v>
      </c>
      <c r="L590" s="1310">
        <v>12</v>
      </c>
      <c r="M590" s="1311">
        <v>72300</v>
      </c>
      <c r="N590" s="1312">
        <v>1</v>
      </c>
      <c r="O590" s="1310">
        <v>5</v>
      </c>
      <c r="P590" s="1313">
        <v>30000</v>
      </c>
    </row>
    <row r="591" spans="1:16" x14ac:dyDescent="0.2">
      <c r="A591" s="1302" t="s">
        <v>292</v>
      </c>
      <c r="B591" s="1303" t="s">
        <v>1141</v>
      </c>
      <c r="C591" s="1303" t="s">
        <v>98</v>
      </c>
      <c r="D591" s="1304" t="s">
        <v>3276</v>
      </c>
      <c r="E591" s="1305">
        <v>9000</v>
      </c>
      <c r="F591" s="1306" t="s">
        <v>3277</v>
      </c>
      <c r="G591" s="1307" t="s">
        <v>3278</v>
      </c>
      <c r="H591" s="1307" t="s">
        <v>1647</v>
      </c>
      <c r="I591" s="1307" t="s">
        <v>1598</v>
      </c>
      <c r="J591" s="1308" t="s">
        <v>1604</v>
      </c>
      <c r="K591" s="1309">
        <v>1</v>
      </c>
      <c r="L591" s="1310">
        <v>4</v>
      </c>
      <c r="M591" s="1311">
        <v>28500</v>
      </c>
      <c r="N591" s="1312">
        <v>0</v>
      </c>
      <c r="O591" s="1310" t="s">
        <v>1633</v>
      </c>
      <c r="P591" s="1313">
        <v>0</v>
      </c>
    </row>
    <row r="592" spans="1:16" x14ac:dyDescent="0.2">
      <c r="A592" s="1302" t="s">
        <v>292</v>
      </c>
      <c r="B592" s="1303" t="s">
        <v>1141</v>
      </c>
      <c r="C592" s="1303" t="s">
        <v>98</v>
      </c>
      <c r="D592" s="1304" t="s">
        <v>1656</v>
      </c>
      <c r="E592" s="1305">
        <v>3000</v>
      </c>
      <c r="F592" s="1306" t="s">
        <v>3279</v>
      </c>
      <c r="G592" s="1307" t="s">
        <v>3280</v>
      </c>
      <c r="H592" s="1307" t="s">
        <v>1659</v>
      </c>
      <c r="I592" s="1307" t="s">
        <v>1660</v>
      </c>
      <c r="J592" s="1308" t="s">
        <v>1659</v>
      </c>
      <c r="K592" s="1309">
        <v>1</v>
      </c>
      <c r="L592" s="1310">
        <v>12</v>
      </c>
      <c r="M592" s="1311">
        <v>72140.62</v>
      </c>
      <c r="N592" s="1312">
        <v>1</v>
      </c>
      <c r="O592" s="1310">
        <v>6</v>
      </c>
      <c r="P592" s="1313">
        <v>18000</v>
      </c>
    </row>
    <row r="593" spans="1:16" x14ac:dyDescent="0.2">
      <c r="A593" s="1302" t="s">
        <v>292</v>
      </c>
      <c r="B593" s="1303" t="s">
        <v>1141</v>
      </c>
      <c r="C593" s="1303" t="s">
        <v>98</v>
      </c>
      <c r="D593" s="1304" t="s">
        <v>2110</v>
      </c>
      <c r="E593" s="1305">
        <v>9000</v>
      </c>
      <c r="F593" s="1306" t="s">
        <v>3281</v>
      </c>
      <c r="G593" s="1307" t="s">
        <v>3282</v>
      </c>
      <c r="H593" s="1307" t="s">
        <v>1672</v>
      </c>
      <c r="I593" s="1307" t="s">
        <v>1598</v>
      </c>
      <c r="J593" s="1308" t="s">
        <v>1616</v>
      </c>
      <c r="K593" s="1309">
        <v>1</v>
      </c>
      <c r="L593" s="1310">
        <v>4</v>
      </c>
      <c r="M593" s="1311">
        <v>35840.620000000003</v>
      </c>
      <c r="N593" s="1312">
        <v>1</v>
      </c>
      <c r="O593" s="1310">
        <v>6</v>
      </c>
      <c r="P593" s="1313">
        <v>54000</v>
      </c>
    </row>
    <row r="594" spans="1:16" x14ac:dyDescent="0.2">
      <c r="A594" s="1302" t="s">
        <v>292</v>
      </c>
      <c r="B594" s="1303" t="s">
        <v>1141</v>
      </c>
      <c r="C594" s="1303" t="s">
        <v>98</v>
      </c>
      <c r="D594" s="1304" t="s">
        <v>3283</v>
      </c>
      <c r="E594" s="1305">
        <v>3000</v>
      </c>
      <c r="F594" s="1306" t="s">
        <v>3284</v>
      </c>
      <c r="G594" s="1307" t="s">
        <v>3285</v>
      </c>
      <c r="H594" s="1307" t="s">
        <v>1694</v>
      </c>
      <c r="I594" s="1307" t="s">
        <v>1598</v>
      </c>
      <c r="J594" s="1308" t="s">
        <v>1599</v>
      </c>
      <c r="K594" s="1309">
        <v>1</v>
      </c>
      <c r="L594" s="1310">
        <v>12</v>
      </c>
      <c r="M594" s="1311">
        <v>36300</v>
      </c>
      <c r="N594" s="1312">
        <v>1</v>
      </c>
      <c r="O594" s="1310">
        <v>6</v>
      </c>
      <c r="P594" s="1313">
        <v>18000</v>
      </c>
    </row>
    <row r="595" spans="1:16" x14ac:dyDescent="0.2">
      <c r="A595" s="1302" t="s">
        <v>292</v>
      </c>
      <c r="B595" s="1303" t="s">
        <v>1141</v>
      </c>
      <c r="C595" s="1303" t="s">
        <v>98</v>
      </c>
      <c r="D595" s="1304" t="s">
        <v>1768</v>
      </c>
      <c r="E595" s="1305">
        <v>1800</v>
      </c>
      <c r="F595" s="1306" t="s">
        <v>3286</v>
      </c>
      <c r="G595" s="1307" t="s">
        <v>3287</v>
      </c>
      <c r="H595" s="1307" t="s">
        <v>1819</v>
      </c>
      <c r="I595" s="1307" t="s">
        <v>1598</v>
      </c>
      <c r="J595" s="1308" t="s">
        <v>1771</v>
      </c>
      <c r="K595" s="1309">
        <v>1</v>
      </c>
      <c r="L595" s="1310">
        <v>4</v>
      </c>
      <c r="M595" s="1311">
        <v>8340</v>
      </c>
      <c r="N595" s="1312">
        <v>1</v>
      </c>
      <c r="O595" s="1310">
        <v>6</v>
      </c>
      <c r="P595" s="1313">
        <v>10800</v>
      </c>
    </row>
    <row r="596" spans="1:16" x14ac:dyDescent="0.2">
      <c r="A596" s="1302" t="s">
        <v>292</v>
      </c>
      <c r="B596" s="1303" t="s">
        <v>1141</v>
      </c>
      <c r="C596" s="1303" t="s">
        <v>98</v>
      </c>
      <c r="D596" s="1304" t="s">
        <v>3288</v>
      </c>
      <c r="E596" s="1305">
        <v>6000</v>
      </c>
      <c r="F596" s="1306" t="s">
        <v>3289</v>
      </c>
      <c r="G596" s="1307" t="s">
        <v>3290</v>
      </c>
      <c r="H596" s="1307" t="s">
        <v>2394</v>
      </c>
      <c r="I596" s="1307" t="s">
        <v>1598</v>
      </c>
      <c r="J596" s="1308" t="s">
        <v>1616</v>
      </c>
      <c r="K596" s="1309">
        <v>1</v>
      </c>
      <c r="L596" s="1310">
        <v>6</v>
      </c>
      <c r="M596" s="1311">
        <v>34000</v>
      </c>
      <c r="N596" s="1312">
        <v>1</v>
      </c>
      <c r="O596" s="1310">
        <v>5</v>
      </c>
      <c r="P596" s="1313">
        <v>30000</v>
      </c>
    </row>
    <row r="597" spans="1:16" x14ac:dyDescent="0.2">
      <c r="A597" s="1302" t="s">
        <v>292</v>
      </c>
      <c r="B597" s="1303" t="s">
        <v>1141</v>
      </c>
      <c r="C597" s="1303" t="s">
        <v>98</v>
      </c>
      <c r="D597" s="1304" t="s">
        <v>1996</v>
      </c>
      <c r="E597" s="1305">
        <v>15600</v>
      </c>
      <c r="F597" s="1306" t="s">
        <v>3291</v>
      </c>
      <c r="G597" s="1307" t="s">
        <v>3292</v>
      </c>
      <c r="H597" s="1307" t="s">
        <v>2154</v>
      </c>
      <c r="I597" s="1307" t="s">
        <v>1598</v>
      </c>
      <c r="J597" s="1308" t="s">
        <v>1604</v>
      </c>
      <c r="K597" s="1309">
        <v>1</v>
      </c>
      <c r="L597" s="1310">
        <v>12</v>
      </c>
      <c r="M597" s="1311">
        <v>186980</v>
      </c>
      <c r="N597" s="1312">
        <v>1</v>
      </c>
      <c r="O597" s="1310">
        <v>6</v>
      </c>
      <c r="P597" s="1313">
        <v>92040</v>
      </c>
    </row>
    <row r="598" spans="1:16" x14ac:dyDescent="0.2">
      <c r="A598" s="1302" t="s">
        <v>292</v>
      </c>
      <c r="B598" s="1303" t="s">
        <v>1141</v>
      </c>
      <c r="C598" s="1303" t="s">
        <v>98</v>
      </c>
      <c r="D598" s="1304" t="s">
        <v>3293</v>
      </c>
      <c r="E598" s="1305">
        <v>4500</v>
      </c>
      <c r="F598" s="1306" t="s">
        <v>3294</v>
      </c>
      <c r="G598" s="1307" t="s">
        <v>3295</v>
      </c>
      <c r="H598" s="1307" t="s">
        <v>1713</v>
      </c>
      <c r="I598" s="1307" t="s">
        <v>1598</v>
      </c>
      <c r="J598" s="1308" t="s">
        <v>1616</v>
      </c>
      <c r="K598" s="1309">
        <v>1</v>
      </c>
      <c r="L598" s="1310">
        <v>2</v>
      </c>
      <c r="M598" s="1311">
        <v>7950</v>
      </c>
      <c r="N598" s="1312">
        <v>1</v>
      </c>
      <c r="O598" s="1310">
        <v>6</v>
      </c>
      <c r="P598" s="1313">
        <v>27000</v>
      </c>
    </row>
    <row r="599" spans="1:16" x14ac:dyDescent="0.2">
      <c r="A599" s="1302" t="s">
        <v>292</v>
      </c>
      <c r="B599" s="1303" t="s">
        <v>1141</v>
      </c>
      <c r="C599" s="1303" t="s">
        <v>98</v>
      </c>
      <c r="D599" s="1304" t="s">
        <v>3293</v>
      </c>
      <c r="E599" s="1305">
        <v>4500</v>
      </c>
      <c r="F599" s="1306" t="s">
        <v>3294</v>
      </c>
      <c r="G599" s="1307" t="s">
        <v>3295</v>
      </c>
      <c r="H599" s="1307" t="s">
        <v>1713</v>
      </c>
      <c r="I599" s="1307" t="s">
        <v>1598</v>
      </c>
      <c r="J599" s="1308" t="s">
        <v>1616</v>
      </c>
      <c r="K599" s="1309">
        <v>1</v>
      </c>
      <c r="L599" s="1310">
        <v>2</v>
      </c>
      <c r="M599" s="1311">
        <v>7950</v>
      </c>
      <c r="N599" s="1312">
        <v>1</v>
      </c>
      <c r="O599" s="1310">
        <v>6</v>
      </c>
      <c r="P599" s="1313">
        <v>27000</v>
      </c>
    </row>
    <row r="600" spans="1:16" ht="22.5" x14ac:dyDescent="0.2">
      <c r="A600" s="1302" t="s">
        <v>292</v>
      </c>
      <c r="B600" s="1303" t="s">
        <v>1141</v>
      </c>
      <c r="C600" s="1303" t="s">
        <v>98</v>
      </c>
      <c r="D600" s="1304" t="s">
        <v>3296</v>
      </c>
      <c r="E600" s="1305">
        <v>3500</v>
      </c>
      <c r="F600" s="1306" t="s">
        <v>3297</v>
      </c>
      <c r="G600" s="1307" t="s">
        <v>3298</v>
      </c>
      <c r="H600" s="1307" t="s">
        <v>2848</v>
      </c>
      <c r="I600" s="1307" t="s">
        <v>1698</v>
      </c>
      <c r="J600" s="1308" t="s">
        <v>1604</v>
      </c>
      <c r="K600" s="1309">
        <v>1</v>
      </c>
      <c r="L600" s="1310">
        <v>12</v>
      </c>
      <c r="M600" s="1311">
        <v>42300</v>
      </c>
      <c r="N600" s="1312">
        <v>1</v>
      </c>
      <c r="O600" s="1310">
        <v>6</v>
      </c>
      <c r="P600" s="1313">
        <v>21000</v>
      </c>
    </row>
    <row r="601" spans="1:16" x14ac:dyDescent="0.2">
      <c r="A601" s="1302" t="s">
        <v>292</v>
      </c>
      <c r="B601" s="1303" t="s">
        <v>1141</v>
      </c>
      <c r="C601" s="1303" t="s">
        <v>98</v>
      </c>
      <c r="D601" s="1304" t="s">
        <v>3299</v>
      </c>
      <c r="E601" s="1305">
        <v>9000</v>
      </c>
      <c r="F601" s="1306" t="s">
        <v>3300</v>
      </c>
      <c r="G601" s="1307" t="s">
        <v>3301</v>
      </c>
      <c r="H601" s="1307" t="s">
        <v>2365</v>
      </c>
      <c r="I601" s="1307" t="s">
        <v>1598</v>
      </c>
      <c r="J601" s="1308" t="s">
        <v>1604</v>
      </c>
      <c r="K601" s="1309">
        <v>1</v>
      </c>
      <c r="L601" s="1310">
        <v>12</v>
      </c>
      <c r="M601" s="1311">
        <v>108300</v>
      </c>
      <c r="N601" s="1312">
        <v>1</v>
      </c>
      <c r="O601" s="1310">
        <v>6</v>
      </c>
      <c r="P601" s="1313">
        <v>54000</v>
      </c>
    </row>
    <row r="602" spans="1:16" x14ac:dyDescent="0.2">
      <c r="A602" s="1302" t="s">
        <v>292</v>
      </c>
      <c r="B602" s="1303" t="s">
        <v>1141</v>
      </c>
      <c r="C602" s="1303" t="s">
        <v>98</v>
      </c>
      <c r="D602" s="1304" t="s">
        <v>2009</v>
      </c>
      <c r="E602" s="1305">
        <v>15600</v>
      </c>
      <c r="F602" s="1306" t="s">
        <v>3302</v>
      </c>
      <c r="G602" s="1307" t="s">
        <v>3303</v>
      </c>
      <c r="H602" s="1307" t="s">
        <v>1603</v>
      </c>
      <c r="I602" s="1307" t="s">
        <v>1598</v>
      </c>
      <c r="J602" s="1308" t="s">
        <v>1604</v>
      </c>
      <c r="K602" s="1309">
        <v>1</v>
      </c>
      <c r="L602" s="1310">
        <v>7</v>
      </c>
      <c r="M602" s="1311">
        <v>117210</v>
      </c>
      <c r="N602" s="1312">
        <v>1</v>
      </c>
      <c r="O602" s="1310">
        <v>6</v>
      </c>
      <c r="P602" s="1313">
        <v>92040</v>
      </c>
    </row>
    <row r="603" spans="1:16" x14ac:dyDescent="0.2">
      <c r="A603" s="1302" t="s">
        <v>292</v>
      </c>
      <c r="B603" s="1303" t="s">
        <v>1141</v>
      </c>
      <c r="C603" s="1303" t="s">
        <v>98</v>
      </c>
      <c r="D603" s="1304" t="s">
        <v>3304</v>
      </c>
      <c r="E603" s="1305">
        <v>4500</v>
      </c>
      <c r="F603" s="1306" t="s">
        <v>3305</v>
      </c>
      <c r="G603" s="1307" t="s">
        <v>3306</v>
      </c>
      <c r="H603" s="1307" t="s">
        <v>1819</v>
      </c>
      <c r="I603" s="1307" t="s">
        <v>1616</v>
      </c>
      <c r="J603" s="1308" t="s">
        <v>1616</v>
      </c>
      <c r="K603" s="1309">
        <v>1</v>
      </c>
      <c r="L603" s="1310">
        <v>5</v>
      </c>
      <c r="M603" s="1311">
        <v>25350</v>
      </c>
      <c r="N603" s="1312">
        <v>1</v>
      </c>
      <c r="O603" s="1310">
        <v>6</v>
      </c>
      <c r="P603" s="1313">
        <v>27000</v>
      </c>
    </row>
    <row r="604" spans="1:16" x14ac:dyDescent="0.2">
      <c r="A604" s="1302" t="s">
        <v>292</v>
      </c>
      <c r="B604" s="1303" t="s">
        <v>1141</v>
      </c>
      <c r="C604" s="1303" t="s">
        <v>98</v>
      </c>
      <c r="D604" s="1304" t="s">
        <v>1996</v>
      </c>
      <c r="E604" s="1305">
        <v>14500</v>
      </c>
      <c r="F604" s="1306" t="s">
        <v>3307</v>
      </c>
      <c r="G604" s="1307" t="s">
        <v>3308</v>
      </c>
      <c r="H604" s="1307" t="s">
        <v>2394</v>
      </c>
      <c r="I604" s="1307" t="s">
        <v>1598</v>
      </c>
      <c r="J604" s="1308" t="s">
        <v>1604</v>
      </c>
      <c r="K604" s="1309">
        <v>1</v>
      </c>
      <c r="L604" s="1310">
        <v>6</v>
      </c>
      <c r="M604" s="1311">
        <v>82095.61</v>
      </c>
      <c r="N604" s="1312">
        <v>1</v>
      </c>
      <c r="O604" s="1310">
        <v>1</v>
      </c>
      <c r="P604" s="1313">
        <v>14500</v>
      </c>
    </row>
    <row r="605" spans="1:16" x14ac:dyDescent="0.2">
      <c r="A605" s="1302" t="s">
        <v>292</v>
      </c>
      <c r="B605" s="1303" t="s">
        <v>1141</v>
      </c>
      <c r="C605" s="1303" t="s">
        <v>98</v>
      </c>
      <c r="D605" s="1304" t="s">
        <v>3309</v>
      </c>
      <c r="E605" s="1305">
        <v>7000</v>
      </c>
      <c r="F605" s="1306" t="s">
        <v>3310</v>
      </c>
      <c r="G605" s="1307" t="s">
        <v>3311</v>
      </c>
      <c r="H605" s="1307" t="s">
        <v>1793</v>
      </c>
      <c r="I605" s="1307" t="s">
        <v>1598</v>
      </c>
      <c r="J605" s="1308" t="s">
        <v>1616</v>
      </c>
      <c r="K605" s="1309">
        <v>1</v>
      </c>
      <c r="L605" s="1310">
        <v>6</v>
      </c>
      <c r="M605" s="1311">
        <v>40133.339999999997</v>
      </c>
      <c r="N605" s="1312">
        <v>1</v>
      </c>
      <c r="O605" s="1310">
        <v>6</v>
      </c>
      <c r="P605" s="1313">
        <v>42000</v>
      </c>
    </row>
    <row r="606" spans="1:16" x14ac:dyDescent="0.2">
      <c r="A606" s="1302" t="s">
        <v>292</v>
      </c>
      <c r="B606" s="1303" t="s">
        <v>1141</v>
      </c>
      <c r="C606" s="1303" t="s">
        <v>98</v>
      </c>
      <c r="D606" s="1304" t="s">
        <v>3312</v>
      </c>
      <c r="E606" s="1305">
        <v>15000</v>
      </c>
      <c r="F606" s="1306" t="s">
        <v>3313</v>
      </c>
      <c r="G606" s="1307" t="s">
        <v>3314</v>
      </c>
      <c r="H606" s="1307" t="s">
        <v>2440</v>
      </c>
      <c r="I606" s="1307" t="s">
        <v>1598</v>
      </c>
      <c r="J606" s="1308" t="s">
        <v>1616</v>
      </c>
      <c r="K606" s="1309">
        <v>1</v>
      </c>
      <c r="L606" s="1310">
        <v>6</v>
      </c>
      <c r="M606" s="1311">
        <v>86500</v>
      </c>
      <c r="N606" s="1312">
        <v>1</v>
      </c>
      <c r="O606" s="1310">
        <v>6</v>
      </c>
      <c r="P606" s="1313">
        <v>88500</v>
      </c>
    </row>
    <row r="607" spans="1:16" x14ac:dyDescent="0.2">
      <c r="A607" s="1302" t="s">
        <v>292</v>
      </c>
      <c r="B607" s="1303" t="s">
        <v>1141</v>
      </c>
      <c r="C607" s="1303" t="s">
        <v>98</v>
      </c>
      <c r="D607" s="1304" t="s">
        <v>2398</v>
      </c>
      <c r="E607" s="1305">
        <v>10500</v>
      </c>
      <c r="F607" s="1306" t="s">
        <v>3315</v>
      </c>
      <c r="G607" s="1307" t="s">
        <v>3316</v>
      </c>
      <c r="H607" s="1307" t="s">
        <v>1847</v>
      </c>
      <c r="I607" s="1307" t="s">
        <v>1598</v>
      </c>
      <c r="J607" s="1308" t="s">
        <v>1604</v>
      </c>
      <c r="K607" s="1309">
        <v>1</v>
      </c>
      <c r="L607" s="1310">
        <v>12</v>
      </c>
      <c r="M607" s="1311">
        <v>126300</v>
      </c>
      <c r="N607" s="1312">
        <v>1</v>
      </c>
      <c r="O607" s="1310">
        <v>6</v>
      </c>
      <c r="P607" s="1313">
        <v>63000</v>
      </c>
    </row>
    <row r="608" spans="1:16" x14ac:dyDescent="0.2">
      <c r="A608" s="1302" t="s">
        <v>292</v>
      </c>
      <c r="B608" s="1303" t="s">
        <v>1141</v>
      </c>
      <c r="C608" s="1303" t="s">
        <v>98</v>
      </c>
      <c r="D608" s="1304" t="s">
        <v>3317</v>
      </c>
      <c r="E608" s="1305">
        <v>1800</v>
      </c>
      <c r="F608" s="1306" t="s">
        <v>3318</v>
      </c>
      <c r="G608" s="1307" t="s">
        <v>3319</v>
      </c>
      <c r="H608" s="1307" t="s">
        <v>1709</v>
      </c>
      <c r="I608" s="1307" t="s">
        <v>1621</v>
      </c>
      <c r="J608" s="1308" t="s">
        <v>1988</v>
      </c>
      <c r="K608" s="1309">
        <v>1</v>
      </c>
      <c r="L608" s="1310">
        <v>12</v>
      </c>
      <c r="M608" s="1311">
        <v>21242</v>
      </c>
      <c r="N608" s="1312">
        <v>1</v>
      </c>
      <c r="O608" s="1310">
        <v>6</v>
      </c>
      <c r="P608" s="1313">
        <v>10740</v>
      </c>
    </row>
    <row r="609" spans="1:16" x14ac:dyDescent="0.2">
      <c r="A609" s="1302" t="s">
        <v>292</v>
      </c>
      <c r="B609" s="1303" t="s">
        <v>1141</v>
      </c>
      <c r="C609" s="1303" t="s">
        <v>98</v>
      </c>
      <c r="D609" s="1304" t="s">
        <v>3320</v>
      </c>
      <c r="E609" s="1305">
        <v>8000</v>
      </c>
      <c r="F609" s="1306" t="s">
        <v>3321</v>
      </c>
      <c r="G609" s="1307" t="s">
        <v>3322</v>
      </c>
      <c r="H609" s="1307" t="s">
        <v>1847</v>
      </c>
      <c r="I609" s="1307" t="s">
        <v>1598</v>
      </c>
      <c r="J609" s="1308" t="s">
        <v>1604</v>
      </c>
      <c r="K609" s="1309">
        <v>1</v>
      </c>
      <c r="L609" s="1310">
        <v>10</v>
      </c>
      <c r="M609" s="1311">
        <v>83233.33</v>
      </c>
      <c r="N609" s="1312">
        <v>1</v>
      </c>
      <c r="O609" s="1310">
        <v>6</v>
      </c>
      <c r="P609" s="1313">
        <v>48000</v>
      </c>
    </row>
    <row r="610" spans="1:16" x14ac:dyDescent="0.2">
      <c r="A610" s="1302" t="s">
        <v>292</v>
      </c>
      <c r="B610" s="1303" t="s">
        <v>1141</v>
      </c>
      <c r="C610" s="1303" t="s">
        <v>98</v>
      </c>
      <c r="D610" s="1304" t="s">
        <v>3323</v>
      </c>
      <c r="E610" s="1305">
        <v>3000</v>
      </c>
      <c r="F610" s="1306" t="s">
        <v>3324</v>
      </c>
      <c r="G610" s="1307" t="s">
        <v>3325</v>
      </c>
      <c r="H610" s="1307" t="s">
        <v>1608</v>
      </c>
      <c r="I610" s="1307" t="s">
        <v>1616</v>
      </c>
      <c r="J610" s="1308" t="s">
        <v>1599</v>
      </c>
      <c r="K610" s="1309">
        <v>1</v>
      </c>
      <c r="L610" s="1310">
        <v>12</v>
      </c>
      <c r="M610" s="1311">
        <v>36300</v>
      </c>
      <c r="N610" s="1312">
        <v>1</v>
      </c>
      <c r="O610" s="1310">
        <v>6</v>
      </c>
      <c r="P610" s="1313">
        <v>18000</v>
      </c>
    </row>
    <row r="611" spans="1:16" ht="22.5" x14ac:dyDescent="0.2">
      <c r="A611" s="1302" t="s">
        <v>292</v>
      </c>
      <c r="B611" s="1303" t="s">
        <v>1141</v>
      </c>
      <c r="C611" s="1303" t="s">
        <v>98</v>
      </c>
      <c r="D611" s="1304" t="s">
        <v>3326</v>
      </c>
      <c r="E611" s="1305">
        <v>7000</v>
      </c>
      <c r="F611" s="1306" t="s">
        <v>3327</v>
      </c>
      <c r="G611" s="1307" t="s">
        <v>3328</v>
      </c>
      <c r="H611" s="1307" t="s">
        <v>1620</v>
      </c>
      <c r="I611" s="1307" t="s">
        <v>1598</v>
      </c>
      <c r="J611" s="1308" t="s">
        <v>1616</v>
      </c>
      <c r="K611" s="1309">
        <v>1</v>
      </c>
      <c r="L611" s="1310">
        <v>2</v>
      </c>
      <c r="M611" s="1311">
        <v>16333.33</v>
      </c>
      <c r="N611" s="1312">
        <v>1</v>
      </c>
      <c r="O611" s="1310">
        <v>6</v>
      </c>
      <c r="P611" s="1313">
        <v>42188.119999999995</v>
      </c>
    </row>
    <row r="612" spans="1:16" ht="22.5" x14ac:dyDescent="0.2">
      <c r="A612" s="1302" t="s">
        <v>292</v>
      </c>
      <c r="B612" s="1303" t="s">
        <v>1141</v>
      </c>
      <c r="C612" s="1303" t="s">
        <v>98</v>
      </c>
      <c r="D612" s="1304" t="s">
        <v>3329</v>
      </c>
      <c r="E612" s="1305">
        <v>6500</v>
      </c>
      <c r="F612" s="1306" t="s">
        <v>3330</v>
      </c>
      <c r="G612" s="1307" t="s">
        <v>3331</v>
      </c>
      <c r="H612" s="1307" t="s">
        <v>2365</v>
      </c>
      <c r="I612" s="1307" t="s">
        <v>1616</v>
      </c>
      <c r="J612" s="1308" t="s">
        <v>1604</v>
      </c>
      <c r="K612" s="1309">
        <v>1</v>
      </c>
      <c r="L612" s="1310">
        <v>6</v>
      </c>
      <c r="M612" s="1311">
        <v>36533.279999999999</v>
      </c>
      <c r="N612" s="1312">
        <v>0</v>
      </c>
      <c r="O612" s="1310" t="s">
        <v>1633</v>
      </c>
      <c r="P612" s="1313">
        <v>0</v>
      </c>
    </row>
    <row r="613" spans="1:16" x14ac:dyDescent="0.2">
      <c r="A613" s="1302" t="s">
        <v>292</v>
      </c>
      <c r="B613" s="1303" t="s">
        <v>1141</v>
      </c>
      <c r="C613" s="1303" t="s">
        <v>98</v>
      </c>
      <c r="D613" s="1304" t="s">
        <v>1781</v>
      </c>
      <c r="E613" s="1305">
        <v>5000</v>
      </c>
      <c r="F613" s="1306" t="s">
        <v>3332</v>
      </c>
      <c r="G613" s="1307" t="s">
        <v>3333</v>
      </c>
      <c r="H613" s="1307" t="s">
        <v>1856</v>
      </c>
      <c r="I613" s="1307" t="s">
        <v>1698</v>
      </c>
      <c r="J613" s="1308" t="s">
        <v>1599</v>
      </c>
      <c r="K613" s="1309">
        <v>1</v>
      </c>
      <c r="L613" s="1310">
        <v>6</v>
      </c>
      <c r="M613" s="1311">
        <v>25833.3</v>
      </c>
      <c r="N613" s="1312">
        <v>0</v>
      </c>
      <c r="O613" s="1310" t="s">
        <v>1633</v>
      </c>
      <c r="P613" s="1313">
        <v>0</v>
      </c>
    </row>
    <row r="614" spans="1:16" ht="22.5" x14ac:dyDescent="0.2">
      <c r="A614" s="1302" t="s">
        <v>292</v>
      </c>
      <c r="B614" s="1303" t="s">
        <v>1141</v>
      </c>
      <c r="C614" s="1303" t="s">
        <v>98</v>
      </c>
      <c r="D614" s="1304" t="s">
        <v>3334</v>
      </c>
      <c r="E614" s="1305">
        <v>8120</v>
      </c>
      <c r="F614" s="1306" t="s">
        <v>3335</v>
      </c>
      <c r="G614" s="1307" t="s">
        <v>3336</v>
      </c>
      <c r="H614" s="1307" t="s">
        <v>3337</v>
      </c>
      <c r="I614" s="1307" t="s">
        <v>1598</v>
      </c>
      <c r="J614" s="1308" t="s">
        <v>1616</v>
      </c>
      <c r="K614" s="1309">
        <v>1</v>
      </c>
      <c r="L614" s="1310">
        <v>4</v>
      </c>
      <c r="M614" s="1311">
        <v>31397.33</v>
      </c>
      <c r="N614" s="1312">
        <v>1</v>
      </c>
      <c r="O614" s="1310">
        <v>6</v>
      </c>
      <c r="P614" s="1313">
        <v>48720</v>
      </c>
    </row>
    <row r="615" spans="1:16" x14ac:dyDescent="0.2">
      <c r="A615" s="1302" t="s">
        <v>292</v>
      </c>
      <c r="B615" s="1303" t="s">
        <v>1141</v>
      </c>
      <c r="C615" s="1303" t="s">
        <v>98</v>
      </c>
      <c r="D615" s="1304" t="s">
        <v>3338</v>
      </c>
      <c r="E615" s="1305">
        <v>10500</v>
      </c>
      <c r="F615" s="1306" t="s">
        <v>3339</v>
      </c>
      <c r="G615" s="1307" t="s">
        <v>3340</v>
      </c>
      <c r="H615" s="1307" t="s">
        <v>1732</v>
      </c>
      <c r="I615" s="1307" t="s">
        <v>1598</v>
      </c>
      <c r="J615" s="1308" t="s">
        <v>1604</v>
      </c>
      <c r="K615" s="1309">
        <v>1</v>
      </c>
      <c r="L615" s="1310">
        <v>3</v>
      </c>
      <c r="M615" s="1311">
        <v>28700</v>
      </c>
      <c r="N615" s="1312">
        <v>1</v>
      </c>
      <c r="O615" s="1310">
        <v>6</v>
      </c>
      <c r="P615" s="1313">
        <v>63000</v>
      </c>
    </row>
    <row r="616" spans="1:16" x14ac:dyDescent="0.2">
      <c r="A616" s="1302" t="s">
        <v>292</v>
      </c>
      <c r="B616" s="1303" t="s">
        <v>1141</v>
      </c>
      <c r="C616" s="1303" t="s">
        <v>98</v>
      </c>
      <c r="D616" s="1304" t="s">
        <v>2009</v>
      </c>
      <c r="E616" s="1305">
        <v>15600</v>
      </c>
      <c r="F616" s="1306" t="s">
        <v>3341</v>
      </c>
      <c r="G616" s="1307" t="s">
        <v>3342</v>
      </c>
      <c r="H616" s="1307" t="s">
        <v>3343</v>
      </c>
      <c r="I616" s="1307" t="s">
        <v>1598</v>
      </c>
      <c r="J616" s="1308" t="s">
        <v>1604</v>
      </c>
      <c r="K616" s="1309">
        <v>1</v>
      </c>
      <c r="L616" s="1310">
        <v>11</v>
      </c>
      <c r="M616" s="1311">
        <v>171900</v>
      </c>
      <c r="N616" s="1312">
        <v>0</v>
      </c>
      <c r="O616" s="1310" t="s">
        <v>1633</v>
      </c>
      <c r="P616" s="1313">
        <v>0</v>
      </c>
    </row>
    <row r="617" spans="1:16" x14ac:dyDescent="0.2">
      <c r="A617" s="1302" t="s">
        <v>292</v>
      </c>
      <c r="B617" s="1303" t="s">
        <v>1141</v>
      </c>
      <c r="C617" s="1303" t="s">
        <v>98</v>
      </c>
      <c r="D617" s="1314" t="s">
        <v>3344</v>
      </c>
      <c r="E617" s="1305">
        <v>10000</v>
      </c>
      <c r="F617" s="1306" t="s">
        <v>3345</v>
      </c>
      <c r="G617" s="1307" t="s">
        <v>3346</v>
      </c>
      <c r="H617" s="1315" t="s">
        <v>1603</v>
      </c>
      <c r="I617" s="1315" t="s">
        <v>1598</v>
      </c>
      <c r="J617" s="1316" t="s">
        <v>1616</v>
      </c>
      <c r="K617" s="1309">
        <v>0</v>
      </c>
      <c r="L617" s="1310" t="s">
        <v>1633</v>
      </c>
      <c r="M617" s="1311">
        <v>0</v>
      </c>
      <c r="N617" s="1312">
        <v>1</v>
      </c>
      <c r="O617" s="1310">
        <v>5</v>
      </c>
      <c r="P617" s="1313">
        <v>50000</v>
      </c>
    </row>
    <row r="618" spans="1:16" ht="22.5" x14ac:dyDescent="0.2">
      <c r="A618" s="1302" t="s">
        <v>292</v>
      </c>
      <c r="B618" s="1303" t="s">
        <v>1141</v>
      </c>
      <c r="C618" s="1303" t="s">
        <v>98</v>
      </c>
      <c r="D618" s="1314" t="s">
        <v>3347</v>
      </c>
      <c r="E618" s="1305">
        <v>3000</v>
      </c>
      <c r="F618" s="1306" t="s">
        <v>3348</v>
      </c>
      <c r="G618" s="1307" t="s">
        <v>3349</v>
      </c>
      <c r="H618" s="1315" t="s">
        <v>1819</v>
      </c>
      <c r="I618" s="1315" t="s">
        <v>1598</v>
      </c>
      <c r="J618" s="1316" t="s">
        <v>1599</v>
      </c>
      <c r="K618" s="1309">
        <v>0</v>
      </c>
      <c r="L618" s="1310" t="s">
        <v>1633</v>
      </c>
      <c r="M618" s="1311">
        <v>0</v>
      </c>
      <c r="N618" s="1312">
        <v>1</v>
      </c>
      <c r="O618" s="1310">
        <v>6</v>
      </c>
      <c r="P618" s="1313">
        <v>18500</v>
      </c>
    </row>
    <row r="619" spans="1:16" x14ac:dyDescent="0.2">
      <c r="A619" s="1302" t="s">
        <v>292</v>
      </c>
      <c r="B619" s="1303" t="s">
        <v>1141</v>
      </c>
      <c r="C619" s="1303" t="s">
        <v>98</v>
      </c>
      <c r="D619" s="1304" t="s">
        <v>3350</v>
      </c>
      <c r="E619" s="1305">
        <v>15000</v>
      </c>
      <c r="F619" s="1306" t="s">
        <v>3351</v>
      </c>
      <c r="G619" s="1307" t="s">
        <v>3352</v>
      </c>
      <c r="H619" s="1307" t="s">
        <v>1620</v>
      </c>
      <c r="I619" s="1307" t="s">
        <v>1598</v>
      </c>
      <c r="J619" s="1308" t="s">
        <v>1616</v>
      </c>
      <c r="K619" s="1309">
        <v>1</v>
      </c>
      <c r="L619" s="1310">
        <v>5</v>
      </c>
      <c r="M619" s="1311">
        <v>82500</v>
      </c>
      <c r="N619" s="1312">
        <v>1</v>
      </c>
      <c r="O619" s="1310">
        <v>6</v>
      </c>
      <c r="P619" s="1313">
        <v>88500</v>
      </c>
    </row>
    <row r="620" spans="1:16" ht="22.5" x14ac:dyDescent="0.2">
      <c r="A620" s="1302" t="s">
        <v>292</v>
      </c>
      <c r="B620" s="1303" t="s">
        <v>1141</v>
      </c>
      <c r="C620" s="1303" t="s">
        <v>98</v>
      </c>
      <c r="D620" s="1304" t="s">
        <v>3353</v>
      </c>
      <c r="E620" s="1305">
        <v>8000</v>
      </c>
      <c r="F620" s="1306" t="s">
        <v>3354</v>
      </c>
      <c r="G620" s="1307" t="s">
        <v>3355</v>
      </c>
      <c r="H620" s="1307" t="s">
        <v>3356</v>
      </c>
      <c r="I620" s="1307" t="s">
        <v>1598</v>
      </c>
      <c r="J620" s="1308" t="s">
        <v>1604</v>
      </c>
      <c r="K620" s="1309">
        <v>1</v>
      </c>
      <c r="L620" s="1310">
        <v>12</v>
      </c>
      <c r="M620" s="1311">
        <v>96300</v>
      </c>
      <c r="N620" s="1312">
        <v>1</v>
      </c>
      <c r="O620" s="1310">
        <v>6</v>
      </c>
      <c r="P620" s="1313">
        <v>48000</v>
      </c>
    </row>
    <row r="621" spans="1:16" x14ac:dyDescent="0.2">
      <c r="A621" s="1302" t="s">
        <v>292</v>
      </c>
      <c r="B621" s="1303" t="s">
        <v>1141</v>
      </c>
      <c r="C621" s="1303" t="s">
        <v>98</v>
      </c>
      <c r="D621" s="1304" t="s">
        <v>1781</v>
      </c>
      <c r="E621" s="1305">
        <v>3500</v>
      </c>
      <c r="F621" s="1306" t="s">
        <v>3357</v>
      </c>
      <c r="G621" s="1307" t="s">
        <v>3358</v>
      </c>
      <c r="H621" s="1307" t="s">
        <v>1612</v>
      </c>
      <c r="I621" s="1307" t="s">
        <v>1616</v>
      </c>
      <c r="J621" s="1308" t="s">
        <v>1604</v>
      </c>
      <c r="K621" s="1309">
        <v>1</v>
      </c>
      <c r="L621" s="1310">
        <v>12</v>
      </c>
      <c r="M621" s="1311">
        <v>42300</v>
      </c>
      <c r="N621" s="1312">
        <v>1</v>
      </c>
      <c r="O621" s="1310">
        <v>6</v>
      </c>
      <c r="P621" s="1313">
        <v>21000</v>
      </c>
    </row>
    <row r="622" spans="1:16" ht="22.5" x14ac:dyDescent="0.2">
      <c r="A622" s="1302" t="s">
        <v>292</v>
      </c>
      <c r="B622" s="1303" t="s">
        <v>1141</v>
      </c>
      <c r="C622" s="1303" t="s">
        <v>98</v>
      </c>
      <c r="D622" s="1304" t="s">
        <v>3359</v>
      </c>
      <c r="E622" s="1305">
        <v>3500</v>
      </c>
      <c r="F622" s="1306" t="s">
        <v>3360</v>
      </c>
      <c r="G622" s="1307" t="s">
        <v>3361</v>
      </c>
      <c r="H622" s="1307" t="s">
        <v>1812</v>
      </c>
      <c r="I622" s="1307" t="s">
        <v>1598</v>
      </c>
      <c r="J622" s="1308" t="s">
        <v>1599</v>
      </c>
      <c r="K622" s="1309">
        <v>1</v>
      </c>
      <c r="L622" s="1310">
        <v>12</v>
      </c>
      <c r="M622" s="1311">
        <v>42300</v>
      </c>
      <c r="N622" s="1312">
        <v>1</v>
      </c>
      <c r="O622" s="1310">
        <v>6</v>
      </c>
      <c r="P622" s="1313">
        <v>21000</v>
      </c>
    </row>
    <row r="623" spans="1:16" x14ac:dyDescent="0.2">
      <c r="A623" s="1302" t="s">
        <v>292</v>
      </c>
      <c r="B623" s="1303" t="s">
        <v>1141</v>
      </c>
      <c r="C623" s="1303" t="s">
        <v>98</v>
      </c>
      <c r="D623" s="1304" t="s">
        <v>1816</v>
      </c>
      <c r="E623" s="1305">
        <v>2500</v>
      </c>
      <c r="F623" s="1306" t="s">
        <v>3362</v>
      </c>
      <c r="G623" s="1307" t="s">
        <v>3363</v>
      </c>
      <c r="H623" s="1307" t="s">
        <v>2971</v>
      </c>
      <c r="I623" s="1307" t="s">
        <v>1621</v>
      </c>
      <c r="J623" s="1308" t="s">
        <v>1604</v>
      </c>
      <c r="K623" s="1309">
        <v>1</v>
      </c>
      <c r="L623" s="1310">
        <v>12</v>
      </c>
      <c r="M623" s="1311">
        <v>30300</v>
      </c>
      <c r="N623" s="1312">
        <v>1</v>
      </c>
      <c r="O623" s="1310">
        <v>6</v>
      </c>
      <c r="P623" s="1313">
        <v>15000</v>
      </c>
    </row>
    <row r="624" spans="1:16" ht="22.5" x14ac:dyDescent="0.2">
      <c r="A624" s="1302" t="s">
        <v>292</v>
      </c>
      <c r="B624" s="1303" t="s">
        <v>1141</v>
      </c>
      <c r="C624" s="1303" t="s">
        <v>98</v>
      </c>
      <c r="D624" s="1304" t="s">
        <v>3364</v>
      </c>
      <c r="E624" s="1305">
        <v>4500</v>
      </c>
      <c r="F624" s="1306" t="s">
        <v>3365</v>
      </c>
      <c r="G624" s="1307" t="s">
        <v>3366</v>
      </c>
      <c r="H624" s="1307" t="s">
        <v>1819</v>
      </c>
      <c r="I624" s="1307" t="s">
        <v>1621</v>
      </c>
      <c r="J624" s="1308" t="s">
        <v>1599</v>
      </c>
      <c r="K624" s="1309">
        <v>1</v>
      </c>
      <c r="L624" s="1310">
        <v>12</v>
      </c>
      <c r="M624" s="1311">
        <v>54034.789999999994</v>
      </c>
      <c r="N624" s="1312">
        <v>1</v>
      </c>
      <c r="O624" s="1310">
        <v>6</v>
      </c>
      <c r="P624" s="1313">
        <v>26906.25</v>
      </c>
    </row>
    <row r="625" spans="1:16" x14ac:dyDescent="0.2">
      <c r="A625" s="1302" t="s">
        <v>292</v>
      </c>
      <c r="B625" s="1303" t="s">
        <v>1141</v>
      </c>
      <c r="C625" s="1303" t="s">
        <v>98</v>
      </c>
      <c r="D625" s="1304" t="s">
        <v>2219</v>
      </c>
      <c r="E625" s="1305">
        <v>10000</v>
      </c>
      <c r="F625" s="1306" t="s">
        <v>3367</v>
      </c>
      <c r="G625" s="1307" t="s">
        <v>3368</v>
      </c>
      <c r="H625" s="1307" t="s">
        <v>1603</v>
      </c>
      <c r="I625" s="1307" t="s">
        <v>1598</v>
      </c>
      <c r="J625" s="1308" t="s">
        <v>1604</v>
      </c>
      <c r="K625" s="1309">
        <v>1</v>
      </c>
      <c r="L625" s="1310">
        <v>12</v>
      </c>
      <c r="M625" s="1311">
        <v>115966.67</v>
      </c>
      <c r="N625" s="1312">
        <v>1</v>
      </c>
      <c r="O625" s="1310">
        <v>6</v>
      </c>
      <c r="P625" s="1313">
        <v>60000</v>
      </c>
    </row>
    <row r="626" spans="1:16" x14ac:dyDescent="0.2">
      <c r="A626" s="1302" t="s">
        <v>292</v>
      </c>
      <c r="B626" s="1303" t="s">
        <v>1141</v>
      </c>
      <c r="C626" s="1303" t="s">
        <v>98</v>
      </c>
      <c r="D626" s="1304" t="s">
        <v>1955</v>
      </c>
      <c r="E626" s="1305">
        <v>3500</v>
      </c>
      <c r="F626" s="1306" t="s">
        <v>3369</v>
      </c>
      <c r="G626" s="1307" t="s">
        <v>3370</v>
      </c>
      <c r="H626" s="1307" t="s">
        <v>1612</v>
      </c>
      <c r="I626" s="1307" t="s">
        <v>1598</v>
      </c>
      <c r="J626" s="1308" t="s">
        <v>1616</v>
      </c>
      <c r="K626" s="1309">
        <v>1</v>
      </c>
      <c r="L626" s="1310">
        <v>6</v>
      </c>
      <c r="M626" s="1311">
        <v>20183.330000000002</v>
      </c>
      <c r="N626" s="1312">
        <v>1</v>
      </c>
      <c r="O626" s="1310">
        <v>6</v>
      </c>
      <c r="P626" s="1313">
        <v>21000</v>
      </c>
    </row>
    <row r="627" spans="1:16" x14ac:dyDescent="0.2">
      <c r="A627" s="1302" t="s">
        <v>292</v>
      </c>
      <c r="B627" s="1303" t="s">
        <v>1141</v>
      </c>
      <c r="C627" s="1303" t="s">
        <v>98</v>
      </c>
      <c r="D627" s="1304" t="s">
        <v>3371</v>
      </c>
      <c r="E627" s="1305">
        <v>6000</v>
      </c>
      <c r="F627" s="1306" t="s">
        <v>3372</v>
      </c>
      <c r="G627" s="1307" t="s">
        <v>3373</v>
      </c>
      <c r="H627" s="1307" t="s">
        <v>3374</v>
      </c>
      <c r="I627" s="1307" t="s">
        <v>1616</v>
      </c>
      <c r="J627" s="1308" t="s">
        <v>1604</v>
      </c>
      <c r="K627" s="1309">
        <v>1</v>
      </c>
      <c r="L627" s="1310">
        <v>12</v>
      </c>
      <c r="M627" s="1311">
        <v>72300</v>
      </c>
      <c r="N627" s="1312">
        <v>1</v>
      </c>
      <c r="O627" s="1310">
        <v>6</v>
      </c>
      <c r="P627" s="1313">
        <v>36000</v>
      </c>
    </row>
    <row r="628" spans="1:16" x14ac:dyDescent="0.2">
      <c r="A628" s="1302" t="s">
        <v>292</v>
      </c>
      <c r="B628" s="1303" t="s">
        <v>1141</v>
      </c>
      <c r="C628" s="1303" t="s">
        <v>98</v>
      </c>
      <c r="D628" s="1304" t="s">
        <v>3375</v>
      </c>
      <c r="E628" s="1305">
        <v>2800</v>
      </c>
      <c r="F628" s="1306" t="s">
        <v>3376</v>
      </c>
      <c r="G628" s="1307" t="s">
        <v>3377</v>
      </c>
      <c r="H628" s="1307" t="s">
        <v>1659</v>
      </c>
      <c r="I628" s="1307" t="s">
        <v>1598</v>
      </c>
      <c r="J628" s="1308" t="s">
        <v>1988</v>
      </c>
      <c r="K628" s="1309">
        <v>1</v>
      </c>
      <c r="L628" s="1310">
        <v>12</v>
      </c>
      <c r="M628" s="1311">
        <v>33900</v>
      </c>
      <c r="N628" s="1312">
        <v>1</v>
      </c>
      <c r="O628" s="1310">
        <v>6</v>
      </c>
      <c r="P628" s="1313">
        <v>16800</v>
      </c>
    </row>
    <row r="629" spans="1:16" ht="22.5" x14ac:dyDescent="0.2">
      <c r="A629" s="1302" t="s">
        <v>292</v>
      </c>
      <c r="B629" s="1303" t="s">
        <v>1141</v>
      </c>
      <c r="C629" s="1303" t="s">
        <v>98</v>
      </c>
      <c r="D629" s="1304" t="s">
        <v>3378</v>
      </c>
      <c r="E629" s="1305">
        <v>8000</v>
      </c>
      <c r="F629" s="1306" t="s">
        <v>3379</v>
      </c>
      <c r="G629" s="1307" t="s">
        <v>3380</v>
      </c>
      <c r="H629" s="1307" t="s">
        <v>2382</v>
      </c>
      <c r="I629" s="1307" t="s">
        <v>1598</v>
      </c>
      <c r="J629" s="1308" t="s">
        <v>1604</v>
      </c>
      <c r="K629" s="1309">
        <v>1</v>
      </c>
      <c r="L629" s="1310">
        <v>12</v>
      </c>
      <c r="M629" s="1311">
        <v>96033.33</v>
      </c>
      <c r="N629" s="1312">
        <v>1</v>
      </c>
      <c r="O629" s="1310">
        <v>6</v>
      </c>
      <c r="P629" s="1313">
        <v>48000</v>
      </c>
    </row>
    <row r="630" spans="1:16" ht="22.5" x14ac:dyDescent="0.2">
      <c r="A630" s="1302" t="s">
        <v>292</v>
      </c>
      <c r="B630" s="1303" t="s">
        <v>1141</v>
      </c>
      <c r="C630" s="1303" t="s">
        <v>98</v>
      </c>
      <c r="D630" s="1304" t="s">
        <v>3381</v>
      </c>
      <c r="E630" s="1305">
        <v>4000</v>
      </c>
      <c r="F630" s="1306" t="s">
        <v>3382</v>
      </c>
      <c r="G630" s="1307" t="s">
        <v>3383</v>
      </c>
      <c r="H630" s="1307" t="s">
        <v>1694</v>
      </c>
      <c r="I630" s="1307" t="s">
        <v>1598</v>
      </c>
      <c r="J630" s="1308" t="s">
        <v>1599</v>
      </c>
      <c r="K630" s="1309">
        <v>1</v>
      </c>
      <c r="L630" s="1310">
        <v>12</v>
      </c>
      <c r="M630" s="1311">
        <v>48300</v>
      </c>
      <c r="N630" s="1312">
        <v>1</v>
      </c>
      <c r="O630" s="1310">
        <v>6</v>
      </c>
      <c r="P630" s="1313">
        <v>24000</v>
      </c>
    </row>
    <row r="631" spans="1:16" x14ac:dyDescent="0.2">
      <c r="A631" s="1302" t="s">
        <v>292</v>
      </c>
      <c r="B631" s="1303" t="s">
        <v>1141</v>
      </c>
      <c r="C631" s="1303" t="s">
        <v>98</v>
      </c>
      <c r="D631" s="1304" t="s">
        <v>3384</v>
      </c>
      <c r="E631" s="1305">
        <v>12000</v>
      </c>
      <c r="F631" s="1306" t="s">
        <v>3385</v>
      </c>
      <c r="G631" s="1307" t="s">
        <v>3386</v>
      </c>
      <c r="H631" s="1307" t="s">
        <v>1603</v>
      </c>
      <c r="I631" s="1307" t="s">
        <v>1598</v>
      </c>
      <c r="J631" s="1308" t="s">
        <v>1604</v>
      </c>
      <c r="K631" s="1309">
        <v>1</v>
      </c>
      <c r="L631" s="1310">
        <v>12</v>
      </c>
      <c r="M631" s="1311">
        <v>124410</v>
      </c>
      <c r="N631" s="1312">
        <v>1</v>
      </c>
      <c r="O631" s="1310">
        <v>6</v>
      </c>
      <c r="P631" s="1313">
        <v>71600</v>
      </c>
    </row>
    <row r="632" spans="1:16" ht="22.5" x14ac:dyDescent="0.2">
      <c r="A632" s="1302" t="s">
        <v>292</v>
      </c>
      <c r="B632" s="1303" t="s">
        <v>1141</v>
      </c>
      <c r="C632" s="1303" t="s">
        <v>98</v>
      </c>
      <c r="D632" s="1304" t="s">
        <v>3387</v>
      </c>
      <c r="E632" s="1305">
        <v>6000</v>
      </c>
      <c r="F632" s="1306" t="s">
        <v>3388</v>
      </c>
      <c r="G632" s="1307" t="s">
        <v>3389</v>
      </c>
      <c r="H632" s="1307" t="s">
        <v>1672</v>
      </c>
      <c r="I632" s="1307" t="s">
        <v>1598</v>
      </c>
      <c r="J632" s="1308" t="s">
        <v>1604</v>
      </c>
      <c r="K632" s="1309">
        <v>1</v>
      </c>
      <c r="L632" s="1310">
        <v>12</v>
      </c>
      <c r="M632" s="1311">
        <v>72300</v>
      </c>
      <c r="N632" s="1312">
        <v>1</v>
      </c>
      <c r="O632" s="1310">
        <v>6</v>
      </c>
      <c r="P632" s="1313">
        <v>36000</v>
      </c>
    </row>
    <row r="633" spans="1:16" x14ac:dyDescent="0.2">
      <c r="A633" s="1302" t="s">
        <v>292</v>
      </c>
      <c r="B633" s="1303" t="s">
        <v>1141</v>
      </c>
      <c r="C633" s="1303" t="s">
        <v>98</v>
      </c>
      <c r="D633" s="1304" t="s">
        <v>3384</v>
      </c>
      <c r="E633" s="1305">
        <v>12000</v>
      </c>
      <c r="F633" s="1306" t="s">
        <v>3390</v>
      </c>
      <c r="G633" s="1307" t="s">
        <v>3391</v>
      </c>
      <c r="H633" s="1307" t="s">
        <v>1620</v>
      </c>
      <c r="I633" s="1307" t="s">
        <v>1598</v>
      </c>
      <c r="J633" s="1308" t="s">
        <v>1604</v>
      </c>
      <c r="K633" s="1309">
        <v>1</v>
      </c>
      <c r="L633" s="1310">
        <v>12</v>
      </c>
      <c r="M633" s="1311">
        <v>103903.88</v>
      </c>
      <c r="N633" s="1312">
        <v>1</v>
      </c>
      <c r="O633" s="1310">
        <v>6</v>
      </c>
      <c r="P633" s="1313">
        <v>72000</v>
      </c>
    </row>
    <row r="634" spans="1:16" x14ac:dyDescent="0.2">
      <c r="A634" s="1302" t="s">
        <v>292</v>
      </c>
      <c r="B634" s="1303" t="s">
        <v>1141</v>
      </c>
      <c r="C634" s="1303" t="s">
        <v>98</v>
      </c>
      <c r="D634" s="1304" t="s">
        <v>1765</v>
      </c>
      <c r="E634" s="1305">
        <v>7500</v>
      </c>
      <c r="F634" s="1306" t="s">
        <v>3392</v>
      </c>
      <c r="G634" s="1307" t="s">
        <v>3393</v>
      </c>
      <c r="H634" s="1307" t="s">
        <v>1612</v>
      </c>
      <c r="I634" s="1307" t="s">
        <v>1616</v>
      </c>
      <c r="J634" s="1308" t="s">
        <v>1604</v>
      </c>
      <c r="K634" s="1309">
        <v>1</v>
      </c>
      <c r="L634" s="1310">
        <v>12</v>
      </c>
      <c r="M634" s="1311">
        <v>54300</v>
      </c>
      <c r="N634" s="1312">
        <v>1</v>
      </c>
      <c r="O634" s="1310">
        <v>6</v>
      </c>
      <c r="P634" s="1313">
        <v>45350</v>
      </c>
    </row>
    <row r="635" spans="1:16" x14ac:dyDescent="0.2">
      <c r="A635" s="1302" t="s">
        <v>292</v>
      </c>
      <c r="B635" s="1303" t="s">
        <v>1141</v>
      </c>
      <c r="C635" s="1303" t="s">
        <v>98</v>
      </c>
      <c r="D635" s="1304" t="s">
        <v>3054</v>
      </c>
      <c r="E635" s="1305">
        <v>7000</v>
      </c>
      <c r="F635" s="1306" t="s">
        <v>3394</v>
      </c>
      <c r="G635" s="1307" t="s">
        <v>3395</v>
      </c>
      <c r="H635" s="1307" t="s">
        <v>1702</v>
      </c>
      <c r="I635" s="1307" t="s">
        <v>1598</v>
      </c>
      <c r="J635" s="1308" t="s">
        <v>1616</v>
      </c>
      <c r="K635" s="1309">
        <v>1</v>
      </c>
      <c r="L635" s="1310">
        <v>4</v>
      </c>
      <c r="M635" s="1311">
        <v>27066.67</v>
      </c>
      <c r="N635" s="1312">
        <v>1</v>
      </c>
      <c r="O635" s="1310">
        <v>6</v>
      </c>
      <c r="P635" s="1313">
        <v>42000</v>
      </c>
    </row>
    <row r="636" spans="1:16" x14ac:dyDescent="0.2">
      <c r="A636" s="1302" t="s">
        <v>292</v>
      </c>
      <c r="B636" s="1303" t="s">
        <v>1141</v>
      </c>
      <c r="C636" s="1303" t="s">
        <v>98</v>
      </c>
      <c r="D636" s="1304" t="s">
        <v>2858</v>
      </c>
      <c r="E636" s="1305">
        <v>6000</v>
      </c>
      <c r="F636" s="1306" t="s">
        <v>3396</v>
      </c>
      <c r="G636" s="1307" t="s">
        <v>3397</v>
      </c>
      <c r="H636" s="1307" t="s">
        <v>1672</v>
      </c>
      <c r="I636" s="1307" t="s">
        <v>1616</v>
      </c>
      <c r="J636" s="1308" t="s">
        <v>1604</v>
      </c>
      <c r="K636" s="1309">
        <v>1</v>
      </c>
      <c r="L636" s="1310">
        <v>6</v>
      </c>
      <c r="M636" s="1311">
        <v>34600</v>
      </c>
      <c r="N636" s="1312">
        <v>1</v>
      </c>
      <c r="O636" s="1310">
        <v>6</v>
      </c>
      <c r="P636" s="1313">
        <v>36000</v>
      </c>
    </row>
    <row r="637" spans="1:16" x14ac:dyDescent="0.2">
      <c r="A637" s="1302" t="s">
        <v>292</v>
      </c>
      <c r="B637" s="1303" t="s">
        <v>1141</v>
      </c>
      <c r="C637" s="1303" t="s">
        <v>98</v>
      </c>
      <c r="D637" s="1304" t="s">
        <v>3398</v>
      </c>
      <c r="E637" s="1305">
        <v>4700</v>
      </c>
      <c r="F637" s="1306" t="s">
        <v>3399</v>
      </c>
      <c r="G637" s="1307" t="s">
        <v>3400</v>
      </c>
      <c r="H637" s="1307" t="s">
        <v>1655</v>
      </c>
      <c r="I637" s="1307" t="s">
        <v>1616</v>
      </c>
      <c r="J637" s="1308" t="s">
        <v>1604</v>
      </c>
      <c r="K637" s="1309">
        <v>1</v>
      </c>
      <c r="L637" s="1310">
        <v>12</v>
      </c>
      <c r="M637" s="1311">
        <v>56079.85</v>
      </c>
      <c r="N637" s="1312">
        <v>1</v>
      </c>
      <c r="O637" s="1310">
        <v>6</v>
      </c>
      <c r="P637" s="1313">
        <v>27891.89</v>
      </c>
    </row>
    <row r="638" spans="1:16" x14ac:dyDescent="0.2">
      <c r="A638" s="1302" t="s">
        <v>292</v>
      </c>
      <c r="B638" s="1303" t="s">
        <v>1141</v>
      </c>
      <c r="C638" s="1303" t="s">
        <v>98</v>
      </c>
      <c r="D638" s="1304" t="s">
        <v>3401</v>
      </c>
      <c r="E638" s="1305">
        <v>15500</v>
      </c>
      <c r="F638" s="1306" t="s">
        <v>3402</v>
      </c>
      <c r="G638" s="1307" t="s">
        <v>3403</v>
      </c>
      <c r="H638" s="1307" t="s">
        <v>2154</v>
      </c>
      <c r="I638" s="1307" t="s">
        <v>1598</v>
      </c>
      <c r="J638" s="1308" t="s">
        <v>1616</v>
      </c>
      <c r="K638" s="1309">
        <v>1</v>
      </c>
      <c r="L638" s="1310">
        <v>6</v>
      </c>
      <c r="M638" s="1311">
        <v>89383.33</v>
      </c>
      <c r="N638" s="1312">
        <v>1</v>
      </c>
      <c r="O638" s="1310">
        <v>6</v>
      </c>
      <c r="P638" s="1313">
        <v>91450</v>
      </c>
    </row>
    <row r="639" spans="1:16" ht="22.5" x14ac:dyDescent="0.2">
      <c r="A639" s="1302" t="s">
        <v>292</v>
      </c>
      <c r="B639" s="1303" t="s">
        <v>1141</v>
      </c>
      <c r="C639" s="1303" t="s">
        <v>98</v>
      </c>
      <c r="D639" s="1304" t="s">
        <v>3404</v>
      </c>
      <c r="E639" s="1305">
        <v>9000</v>
      </c>
      <c r="F639" s="1306" t="s">
        <v>3405</v>
      </c>
      <c r="G639" s="1307" t="s">
        <v>3406</v>
      </c>
      <c r="H639" s="1307" t="s">
        <v>1603</v>
      </c>
      <c r="I639" s="1307" t="s">
        <v>1598</v>
      </c>
      <c r="J639" s="1308" t="s">
        <v>1616</v>
      </c>
      <c r="K639" s="1309">
        <v>1</v>
      </c>
      <c r="L639" s="1310">
        <v>4</v>
      </c>
      <c r="M639" s="1311">
        <v>41700</v>
      </c>
      <c r="N639" s="1312">
        <v>1</v>
      </c>
      <c r="O639" s="1310">
        <v>6</v>
      </c>
      <c r="P639" s="1313">
        <v>54000</v>
      </c>
    </row>
    <row r="640" spans="1:16" x14ac:dyDescent="0.2">
      <c r="A640" s="1302" t="s">
        <v>292</v>
      </c>
      <c r="B640" s="1303" t="s">
        <v>1141</v>
      </c>
      <c r="C640" s="1303" t="s">
        <v>98</v>
      </c>
      <c r="D640" s="1304" t="s">
        <v>2054</v>
      </c>
      <c r="E640" s="1305">
        <v>1800</v>
      </c>
      <c r="F640" s="1306" t="s">
        <v>3407</v>
      </c>
      <c r="G640" s="1307" t="s">
        <v>3408</v>
      </c>
      <c r="H640" s="1307" t="s">
        <v>1603</v>
      </c>
      <c r="I640" s="1307" t="s">
        <v>1598</v>
      </c>
      <c r="J640" s="1308" t="s">
        <v>1604</v>
      </c>
      <c r="K640" s="1309">
        <v>1</v>
      </c>
      <c r="L640" s="1310">
        <v>6</v>
      </c>
      <c r="M640" s="1311">
        <v>10320</v>
      </c>
      <c r="N640" s="1312">
        <v>1</v>
      </c>
      <c r="O640" s="1310">
        <v>6</v>
      </c>
      <c r="P640" s="1313">
        <v>10740</v>
      </c>
    </row>
    <row r="641" spans="1:16" x14ac:dyDescent="0.2">
      <c r="A641" s="1302" t="s">
        <v>292</v>
      </c>
      <c r="B641" s="1303" t="s">
        <v>1141</v>
      </c>
      <c r="C641" s="1303" t="s">
        <v>98</v>
      </c>
      <c r="D641" s="1304" t="s">
        <v>2406</v>
      </c>
      <c r="E641" s="1305">
        <v>7000</v>
      </c>
      <c r="F641" s="1306" t="s">
        <v>3409</v>
      </c>
      <c r="G641" s="1307" t="s">
        <v>3410</v>
      </c>
      <c r="H641" s="1307" t="s">
        <v>1847</v>
      </c>
      <c r="I641" s="1307" t="s">
        <v>1598</v>
      </c>
      <c r="J641" s="1308" t="s">
        <v>1616</v>
      </c>
      <c r="K641" s="1309">
        <v>1</v>
      </c>
      <c r="L641" s="1310">
        <v>4</v>
      </c>
      <c r="M641" s="1311">
        <v>27066.67</v>
      </c>
      <c r="N641" s="1312">
        <v>1</v>
      </c>
      <c r="O641" s="1310">
        <v>6</v>
      </c>
      <c r="P641" s="1313">
        <v>41541.11</v>
      </c>
    </row>
    <row r="642" spans="1:16" ht="22.5" x14ac:dyDescent="0.2">
      <c r="A642" s="1302" t="s">
        <v>292</v>
      </c>
      <c r="B642" s="1303" t="s">
        <v>1141</v>
      </c>
      <c r="C642" s="1303" t="s">
        <v>98</v>
      </c>
      <c r="D642" s="1304" t="s">
        <v>3411</v>
      </c>
      <c r="E642" s="1305">
        <v>3000</v>
      </c>
      <c r="F642" s="1306" t="s">
        <v>3412</v>
      </c>
      <c r="G642" s="1307" t="s">
        <v>3413</v>
      </c>
      <c r="H642" s="1307" t="s">
        <v>1659</v>
      </c>
      <c r="I642" s="1307" t="s">
        <v>1621</v>
      </c>
      <c r="J642" s="1308" t="s">
        <v>1988</v>
      </c>
      <c r="K642" s="1309">
        <v>1</v>
      </c>
      <c r="L642" s="1310">
        <v>12</v>
      </c>
      <c r="M642" s="1311">
        <v>36000</v>
      </c>
      <c r="N642" s="1312">
        <v>1</v>
      </c>
      <c r="O642" s="1310">
        <v>6</v>
      </c>
      <c r="P642" s="1313">
        <v>18000</v>
      </c>
    </row>
    <row r="643" spans="1:16" ht="22.5" x14ac:dyDescent="0.2">
      <c r="A643" s="1302" t="s">
        <v>292</v>
      </c>
      <c r="B643" s="1303" t="s">
        <v>1141</v>
      </c>
      <c r="C643" s="1303" t="s">
        <v>98</v>
      </c>
      <c r="D643" s="1304" t="s">
        <v>3326</v>
      </c>
      <c r="E643" s="1305">
        <v>6000</v>
      </c>
      <c r="F643" s="1306" t="s">
        <v>3414</v>
      </c>
      <c r="G643" s="1307" t="s">
        <v>3415</v>
      </c>
      <c r="H643" s="1307" t="s">
        <v>1975</v>
      </c>
      <c r="I643" s="1307" t="s">
        <v>1598</v>
      </c>
      <c r="J643" s="1308" t="s">
        <v>1616</v>
      </c>
      <c r="K643" s="1309">
        <v>1</v>
      </c>
      <c r="L643" s="1310">
        <v>2</v>
      </c>
      <c r="M643" s="1311">
        <v>14000</v>
      </c>
      <c r="N643" s="1312">
        <v>1</v>
      </c>
      <c r="O643" s="1310">
        <v>6</v>
      </c>
      <c r="P643" s="1313">
        <v>35600</v>
      </c>
    </row>
    <row r="644" spans="1:16" ht="22.5" x14ac:dyDescent="0.2">
      <c r="A644" s="1302" t="s">
        <v>292</v>
      </c>
      <c r="B644" s="1303" t="s">
        <v>1141</v>
      </c>
      <c r="C644" s="1303" t="s">
        <v>98</v>
      </c>
      <c r="D644" s="1304" t="s">
        <v>3416</v>
      </c>
      <c r="E644" s="1305">
        <v>12500</v>
      </c>
      <c r="F644" s="1306" t="s">
        <v>3417</v>
      </c>
      <c r="G644" s="1307" t="s">
        <v>3418</v>
      </c>
      <c r="H644" s="1307" t="s">
        <v>1647</v>
      </c>
      <c r="I644" s="1307" t="s">
        <v>1598</v>
      </c>
      <c r="J644" s="1308" t="s">
        <v>1604</v>
      </c>
      <c r="K644" s="1309">
        <v>1</v>
      </c>
      <c r="L644" s="1310">
        <v>3</v>
      </c>
      <c r="M644" s="1311">
        <v>37500</v>
      </c>
      <c r="N644" s="1312">
        <v>0</v>
      </c>
      <c r="O644" s="1310" t="s">
        <v>1633</v>
      </c>
      <c r="P644" s="1313">
        <v>0</v>
      </c>
    </row>
    <row r="645" spans="1:16" ht="22.5" x14ac:dyDescent="0.2">
      <c r="A645" s="1302" t="s">
        <v>292</v>
      </c>
      <c r="B645" s="1303" t="s">
        <v>1141</v>
      </c>
      <c r="C645" s="1303" t="s">
        <v>98</v>
      </c>
      <c r="D645" s="1304" t="s">
        <v>3419</v>
      </c>
      <c r="E645" s="1305">
        <v>3700</v>
      </c>
      <c r="F645" s="1306" t="s">
        <v>3420</v>
      </c>
      <c r="G645" s="1307" t="s">
        <v>3421</v>
      </c>
      <c r="H645" s="1307" t="s">
        <v>2848</v>
      </c>
      <c r="I645" s="1307" t="s">
        <v>1698</v>
      </c>
      <c r="J645" s="1308" t="s">
        <v>1604</v>
      </c>
      <c r="K645" s="1309">
        <v>1</v>
      </c>
      <c r="L645" s="1310">
        <v>12</v>
      </c>
      <c r="M645" s="1311">
        <v>44700</v>
      </c>
      <c r="N645" s="1312">
        <v>1</v>
      </c>
      <c r="O645" s="1310">
        <v>6</v>
      </c>
      <c r="P645" s="1313">
        <v>22200</v>
      </c>
    </row>
    <row r="646" spans="1:16" x14ac:dyDescent="0.2">
      <c r="A646" s="1302" t="s">
        <v>292</v>
      </c>
      <c r="B646" s="1303" t="s">
        <v>1141</v>
      </c>
      <c r="C646" s="1303" t="s">
        <v>98</v>
      </c>
      <c r="D646" s="1304" t="s">
        <v>3422</v>
      </c>
      <c r="E646" s="1305">
        <v>10000</v>
      </c>
      <c r="F646" s="1306" t="s">
        <v>3423</v>
      </c>
      <c r="G646" s="1307" t="s">
        <v>3424</v>
      </c>
      <c r="H646" s="1307" t="s">
        <v>1612</v>
      </c>
      <c r="I646" s="1307" t="s">
        <v>1616</v>
      </c>
      <c r="J646" s="1308" t="s">
        <v>1604</v>
      </c>
      <c r="K646" s="1309">
        <v>1</v>
      </c>
      <c r="L646" s="1310">
        <v>12</v>
      </c>
      <c r="M646" s="1311">
        <v>120300</v>
      </c>
      <c r="N646" s="1312">
        <v>1</v>
      </c>
      <c r="O646" s="1310">
        <v>6</v>
      </c>
      <c r="P646" s="1313">
        <v>60000</v>
      </c>
    </row>
    <row r="647" spans="1:16" ht="22.5" x14ac:dyDescent="0.2">
      <c r="A647" s="1302" t="s">
        <v>292</v>
      </c>
      <c r="B647" s="1303" t="s">
        <v>1141</v>
      </c>
      <c r="C647" s="1303" t="s">
        <v>98</v>
      </c>
      <c r="D647" s="1304" t="s">
        <v>3425</v>
      </c>
      <c r="E647" s="1305">
        <v>10500</v>
      </c>
      <c r="F647" s="1306" t="s">
        <v>3426</v>
      </c>
      <c r="G647" s="1307" t="s">
        <v>3427</v>
      </c>
      <c r="H647" s="1307" t="s">
        <v>1612</v>
      </c>
      <c r="I647" s="1307" t="s">
        <v>1598</v>
      </c>
      <c r="J647" s="1308" t="s">
        <v>1604</v>
      </c>
      <c r="K647" s="1309">
        <v>1</v>
      </c>
      <c r="L647" s="1310">
        <v>3</v>
      </c>
      <c r="M647" s="1311">
        <v>27423.23</v>
      </c>
      <c r="N647" s="1312">
        <v>0</v>
      </c>
      <c r="O647" s="1310" t="s">
        <v>1633</v>
      </c>
      <c r="P647" s="1313">
        <v>0</v>
      </c>
    </row>
    <row r="648" spans="1:16" ht="22.5" x14ac:dyDescent="0.2">
      <c r="A648" s="1302" t="s">
        <v>292</v>
      </c>
      <c r="B648" s="1303" t="s">
        <v>1141</v>
      </c>
      <c r="C648" s="1303" t="s">
        <v>98</v>
      </c>
      <c r="D648" s="1304" t="s">
        <v>3428</v>
      </c>
      <c r="E648" s="1305">
        <v>9000</v>
      </c>
      <c r="F648" s="1306" t="s">
        <v>3429</v>
      </c>
      <c r="G648" s="1307" t="s">
        <v>3430</v>
      </c>
      <c r="H648" s="1307" t="s">
        <v>1603</v>
      </c>
      <c r="I648" s="1307" t="s">
        <v>1598</v>
      </c>
      <c r="J648" s="1308" t="s">
        <v>1616</v>
      </c>
      <c r="K648" s="1309">
        <v>1</v>
      </c>
      <c r="L648" s="1310">
        <v>6</v>
      </c>
      <c r="M648" s="1311">
        <v>51900</v>
      </c>
      <c r="N648" s="1312">
        <v>1</v>
      </c>
      <c r="O648" s="1310">
        <v>6</v>
      </c>
      <c r="P648" s="1313">
        <v>54000</v>
      </c>
    </row>
    <row r="649" spans="1:16" x14ac:dyDescent="0.2">
      <c r="A649" s="1302" t="s">
        <v>292</v>
      </c>
      <c r="B649" s="1303" t="s">
        <v>1141</v>
      </c>
      <c r="C649" s="1303" t="s">
        <v>98</v>
      </c>
      <c r="D649" s="1304" t="s">
        <v>3431</v>
      </c>
      <c r="E649" s="1305">
        <v>3000</v>
      </c>
      <c r="F649" s="1306" t="s">
        <v>3432</v>
      </c>
      <c r="G649" s="1307" t="s">
        <v>3433</v>
      </c>
      <c r="H649" s="1307" t="s">
        <v>1659</v>
      </c>
      <c r="I649" s="1307" t="s">
        <v>1660</v>
      </c>
      <c r="J649" s="1308" t="s">
        <v>1659</v>
      </c>
      <c r="K649" s="1309">
        <v>1</v>
      </c>
      <c r="L649" s="1310">
        <v>12</v>
      </c>
      <c r="M649" s="1311">
        <v>36300</v>
      </c>
      <c r="N649" s="1312">
        <v>1</v>
      </c>
      <c r="O649" s="1310">
        <v>5</v>
      </c>
      <c r="P649" s="1313">
        <v>15000</v>
      </c>
    </row>
    <row r="650" spans="1:16" x14ac:dyDescent="0.2">
      <c r="A650" s="1302" t="s">
        <v>292</v>
      </c>
      <c r="B650" s="1303" t="s">
        <v>1141</v>
      </c>
      <c r="C650" s="1303" t="s">
        <v>98</v>
      </c>
      <c r="D650" s="1304" t="s">
        <v>3133</v>
      </c>
      <c r="E650" s="1305">
        <v>6500</v>
      </c>
      <c r="F650" s="1306" t="s">
        <v>3434</v>
      </c>
      <c r="G650" s="1307" t="s">
        <v>3435</v>
      </c>
      <c r="H650" s="1307" t="s">
        <v>1686</v>
      </c>
      <c r="I650" s="1307" t="s">
        <v>1598</v>
      </c>
      <c r="J650" s="1308" t="s">
        <v>1604</v>
      </c>
      <c r="K650" s="1309">
        <v>1</v>
      </c>
      <c r="L650" s="1310">
        <v>12</v>
      </c>
      <c r="M650" s="1311">
        <v>78300</v>
      </c>
      <c r="N650" s="1312">
        <v>1</v>
      </c>
      <c r="O650" s="1310">
        <v>6</v>
      </c>
      <c r="P650" s="1313">
        <v>39000</v>
      </c>
    </row>
    <row r="651" spans="1:16" ht="22.5" x14ac:dyDescent="0.2">
      <c r="A651" s="1302" t="s">
        <v>292</v>
      </c>
      <c r="B651" s="1303" t="s">
        <v>1141</v>
      </c>
      <c r="C651" s="1303" t="s">
        <v>98</v>
      </c>
      <c r="D651" s="1304" t="s">
        <v>3436</v>
      </c>
      <c r="E651" s="1305">
        <v>7500</v>
      </c>
      <c r="F651" s="1306" t="s">
        <v>3437</v>
      </c>
      <c r="G651" s="1307" t="s">
        <v>3438</v>
      </c>
      <c r="H651" s="1307" t="s">
        <v>2154</v>
      </c>
      <c r="I651" s="1307" t="s">
        <v>1616</v>
      </c>
      <c r="J651" s="1308" t="s">
        <v>1604</v>
      </c>
      <c r="K651" s="1309">
        <v>1</v>
      </c>
      <c r="L651" s="1310">
        <v>12</v>
      </c>
      <c r="M651" s="1311">
        <v>90040</v>
      </c>
      <c r="N651" s="1312">
        <v>1</v>
      </c>
      <c r="O651" s="1310">
        <v>6</v>
      </c>
      <c r="P651" s="1313">
        <v>45000</v>
      </c>
    </row>
    <row r="652" spans="1:16" x14ac:dyDescent="0.2">
      <c r="A652" s="1302" t="s">
        <v>292</v>
      </c>
      <c r="B652" s="1303" t="s">
        <v>1141</v>
      </c>
      <c r="C652" s="1303" t="s">
        <v>98</v>
      </c>
      <c r="D652" s="1304" t="s">
        <v>3371</v>
      </c>
      <c r="E652" s="1305">
        <v>2500</v>
      </c>
      <c r="F652" s="1306" t="s">
        <v>3439</v>
      </c>
      <c r="G652" s="1307" t="s">
        <v>3440</v>
      </c>
      <c r="H652" s="1307" t="s">
        <v>2848</v>
      </c>
      <c r="I652" s="1307" t="s">
        <v>1698</v>
      </c>
      <c r="J652" s="1308" t="s">
        <v>1599</v>
      </c>
      <c r="K652" s="1309">
        <v>1</v>
      </c>
      <c r="L652" s="1310">
        <v>12</v>
      </c>
      <c r="M652" s="1311">
        <v>30216.67</v>
      </c>
      <c r="N652" s="1312">
        <v>1</v>
      </c>
      <c r="O652" s="1310">
        <v>6</v>
      </c>
      <c r="P652" s="1313">
        <v>15000</v>
      </c>
    </row>
    <row r="653" spans="1:16" ht="22.5" x14ac:dyDescent="0.2">
      <c r="A653" s="1302" t="s">
        <v>292</v>
      </c>
      <c r="B653" s="1303" t="s">
        <v>1141</v>
      </c>
      <c r="C653" s="1303" t="s">
        <v>98</v>
      </c>
      <c r="D653" s="1304" t="s">
        <v>1939</v>
      </c>
      <c r="E653" s="1305">
        <v>10000</v>
      </c>
      <c r="F653" s="1306" t="s">
        <v>3441</v>
      </c>
      <c r="G653" s="1307" t="s">
        <v>3442</v>
      </c>
      <c r="H653" s="1307" t="s">
        <v>3443</v>
      </c>
      <c r="I653" s="1307" t="s">
        <v>1598</v>
      </c>
      <c r="J653" s="1308" t="s">
        <v>1604</v>
      </c>
      <c r="K653" s="1309">
        <v>1</v>
      </c>
      <c r="L653" s="1310">
        <v>10</v>
      </c>
      <c r="M653" s="1311">
        <v>103633.3</v>
      </c>
      <c r="N653" s="1312">
        <v>1</v>
      </c>
      <c r="O653" s="1310">
        <v>6</v>
      </c>
      <c r="P653" s="1313">
        <v>60000</v>
      </c>
    </row>
    <row r="654" spans="1:16" x14ac:dyDescent="0.2">
      <c r="A654" s="1302" t="s">
        <v>292</v>
      </c>
      <c r="B654" s="1303" t="s">
        <v>1141</v>
      </c>
      <c r="C654" s="1303" t="s">
        <v>98</v>
      </c>
      <c r="D654" s="1304" t="s">
        <v>3444</v>
      </c>
      <c r="E654" s="1305">
        <v>6000</v>
      </c>
      <c r="F654" s="1306" t="s">
        <v>3445</v>
      </c>
      <c r="G654" s="1307" t="s">
        <v>3446</v>
      </c>
      <c r="H654" s="1307" t="s">
        <v>2906</v>
      </c>
      <c r="I654" s="1307" t="s">
        <v>1616</v>
      </c>
      <c r="J654" s="1308" t="s">
        <v>1604</v>
      </c>
      <c r="K654" s="1309">
        <v>1</v>
      </c>
      <c r="L654" s="1310">
        <v>7</v>
      </c>
      <c r="M654" s="1311">
        <v>37869.58</v>
      </c>
      <c r="N654" s="1312">
        <v>0</v>
      </c>
      <c r="O654" s="1310" t="s">
        <v>1633</v>
      </c>
      <c r="P654" s="1313">
        <v>0</v>
      </c>
    </row>
    <row r="655" spans="1:16" ht="22.5" x14ac:dyDescent="0.2">
      <c r="A655" s="1302" t="s">
        <v>292</v>
      </c>
      <c r="B655" s="1303" t="s">
        <v>1141</v>
      </c>
      <c r="C655" s="1303" t="s">
        <v>98</v>
      </c>
      <c r="D655" s="1304" t="s">
        <v>3447</v>
      </c>
      <c r="E655" s="1305">
        <v>7000</v>
      </c>
      <c r="F655" s="1306" t="s">
        <v>3448</v>
      </c>
      <c r="G655" s="1307" t="s">
        <v>3449</v>
      </c>
      <c r="H655" s="1307" t="s">
        <v>3450</v>
      </c>
      <c r="I655" s="1307" t="s">
        <v>1598</v>
      </c>
      <c r="J655" s="1308" t="s">
        <v>1604</v>
      </c>
      <c r="K655" s="1309">
        <v>1</v>
      </c>
      <c r="L655" s="1310">
        <v>4</v>
      </c>
      <c r="M655" s="1311">
        <v>27066.67</v>
      </c>
      <c r="N655" s="1312">
        <v>1</v>
      </c>
      <c r="O655" s="1310">
        <v>1</v>
      </c>
      <c r="P655" s="1313">
        <v>1866.64</v>
      </c>
    </row>
    <row r="656" spans="1:16" ht="22.5" x14ac:dyDescent="0.2">
      <c r="A656" s="1302" t="s">
        <v>292</v>
      </c>
      <c r="B656" s="1303" t="s">
        <v>1141</v>
      </c>
      <c r="C656" s="1303" t="s">
        <v>98</v>
      </c>
      <c r="D656" s="1304" t="s">
        <v>3451</v>
      </c>
      <c r="E656" s="1305">
        <v>13000</v>
      </c>
      <c r="F656" s="1306" t="s">
        <v>3452</v>
      </c>
      <c r="G656" s="1307" t="s">
        <v>3453</v>
      </c>
      <c r="H656" s="1307" t="s">
        <v>1975</v>
      </c>
      <c r="I656" s="1307" t="s">
        <v>1598</v>
      </c>
      <c r="J656" s="1308" t="s">
        <v>1604</v>
      </c>
      <c r="K656" s="1309">
        <v>1</v>
      </c>
      <c r="L656" s="1310">
        <v>8</v>
      </c>
      <c r="M656" s="1311">
        <v>103171.02</v>
      </c>
      <c r="N656" s="1312">
        <v>0</v>
      </c>
      <c r="O656" s="1310" t="s">
        <v>1633</v>
      </c>
      <c r="P656" s="1313">
        <v>0</v>
      </c>
    </row>
    <row r="657" spans="1:16" x14ac:dyDescent="0.2">
      <c r="A657" s="1302" t="s">
        <v>292</v>
      </c>
      <c r="B657" s="1303" t="s">
        <v>1141</v>
      </c>
      <c r="C657" s="1303" t="s">
        <v>98</v>
      </c>
      <c r="D657" s="1304" t="s">
        <v>1890</v>
      </c>
      <c r="E657" s="1305">
        <v>10500</v>
      </c>
      <c r="F657" s="1306" t="s">
        <v>3454</v>
      </c>
      <c r="G657" s="1307" t="s">
        <v>3455</v>
      </c>
      <c r="H657" s="1307" t="s">
        <v>1603</v>
      </c>
      <c r="I657" s="1307" t="s">
        <v>1598</v>
      </c>
      <c r="J657" s="1308" t="s">
        <v>1604</v>
      </c>
      <c r="K657" s="1309">
        <v>1</v>
      </c>
      <c r="L657" s="1310">
        <v>12</v>
      </c>
      <c r="M657" s="1311">
        <v>119514.95</v>
      </c>
      <c r="N657" s="1312">
        <v>1</v>
      </c>
      <c r="O657" s="1310">
        <v>6</v>
      </c>
      <c r="P657" s="1313">
        <v>63000</v>
      </c>
    </row>
    <row r="658" spans="1:16" ht="22.5" x14ac:dyDescent="0.2">
      <c r="A658" s="1302" t="s">
        <v>292</v>
      </c>
      <c r="B658" s="1303" t="s">
        <v>1141</v>
      </c>
      <c r="C658" s="1303" t="s">
        <v>98</v>
      </c>
      <c r="D658" s="1304" t="s">
        <v>3456</v>
      </c>
      <c r="E658" s="1305">
        <v>12000</v>
      </c>
      <c r="F658" s="1306" t="s">
        <v>3457</v>
      </c>
      <c r="G658" s="1307" t="s">
        <v>3458</v>
      </c>
      <c r="H658" s="1307" t="s">
        <v>1847</v>
      </c>
      <c r="I658" s="1307" t="s">
        <v>1598</v>
      </c>
      <c r="J658" s="1308" t="s">
        <v>1604</v>
      </c>
      <c r="K658" s="1309">
        <v>1</v>
      </c>
      <c r="L658" s="1310">
        <v>11</v>
      </c>
      <c r="M658" s="1311">
        <v>132300</v>
      </c>
      <c r="N658" s="1312">
        <v>0</v>
      </c>
      <c r="O658" s="1310" t="s">
        <v>1633</v>
      </c>
      <c r="P658" s="1313">
        <v>0</v>
      </c>
    </row>
    <row r="659" spans="1:16" x14ac:dyDescent="0.2">
      <c r="A659" s="1302" t="s">
        <v>292</v>
      </c>
      <c r="B659" s="1303" t="s">
        <v>1141</v>
      </c>
      <c r="C659" s="1303" t="s">
        <v>98</v>
      </c>
      <c r="D659" s="1304" t="s">
        <v>2198</v>
      </c>
      <c r="E659" s="1305">
        <v>9000</v>
      </c>
      <c r="F659" s="1306" t="s">
        <v>3459</v>
      </c>
      <c r="G659" s="1307" t="s">
        <v>3460</v>
      </c>
      <c r="H659" s="1307" t="s">
        <v>1603</v>
      </c>
      <c r="I659" s="1307" t="s">
        <v>1598</v>
      </c>
      <c r="J659" s="1308" t="s">
        <v>1616</v>
      </c>
      <c r="K659" s="1309">
        <v>1</v>
      </c>
      <c r="L659" s="1310">
        <v>4</v>
      </c>
      <c r="M659" s="1311">
        <v>34800</v>
      </c>
      <c r="N659" s="1312">
        <v>1</v>
      </c>
      <c r="O659" s="1310">
        <v>6</v>
      </c>
      <c r="P659" s="1313">
        <v>53760.62</v>
      </c>
    </row>
    <row r="660" spans="1:16" ht="22.5" x14ac:dyDescent="0.2">
      <c r="A660" s="1302" t="s">
        <v>292</v>
      </c>
      <c r="B660" s="1303" t="s">
        <v>1141</v>
      </c>
      <c r="C660" s="1303" t="s">
        <v>98</v>
      </c>
      <c r="D660" s="1304" t="s">
        <v>3461</v>
      </c>
      <c r="E660" s="1305">
        <v>8500</v>
      </c>
      <c r="F660" s="1306" t="s">
        <v>3462</v>
      </c>
      <c r="G660" s="1307" t="s">
        <v>3463</v>
      </c>
      <c r="H660" s="1307" t="s">
        <v>1819</v>
      </c>
      <c r="I660" s="1307" t="s">
        <v>1598</v>
      </c>
      <c r="J660" s="1308" t="s">
        <v>1616</v>
      </c>
      <c r="K660" s="1309">
        <v>1</v>
      </c>
      <c r="L660" s="1310">
        <v>4</v>
      </c>
      <c r="M660" s="1311">
        <v>32866.67</v>
      </c>
      <c r="N660" s="1312">
        <v>1</v>
      </c>
      <c r="O660" s="1310">
        <v>6</v>
      </c>
      <c r="P660" s="1313">
        <v>51000</v>
      </c>
    </row>
    <row r="661" spans="1:16" ht="22.5" x14ac:dyDescent="0.2">
      <c r="A661" s="1302" t="s">
        <v>292</v>
      </c>
      <c r="B661" s="1303" t="s">
        <v>1141</v>
      </c>
      <c r="C661" s="1303" t="s">
        <v>98</v>
      </c>
      <c r="D661" s="1304" t="s">
        <v>3464</v>
      </c>
      <c r="E661" s="1305">
        <v>6000</v>
      </c>
      <c r="F661" s="1306" t="s">
        <v>3465</v>
      </c>
      <c r="G661" s="1307" t="s">
        <v>3466</v>
      </c>
      <c r="H661" s="1307" t="s">
        <v>1908</v>
      </c>
      <c r="I661" s="1307" t="s">
        <v>1598</v>
      </c>
      <c r="J661" s="1308" t="s">
        <v>1604</v>
      </c>
      <c r="K661" s="1309">
        <v>1</v>
      </c>
      <c r="L661" s="1310">
        <v>12</v>
      </c>
      <c r="M661" s="1311">
        <v>72300</v>
      </c>
      <c r="N661" s="1312">
        <v>1</v>
      </c>
      <c r="O661" s="1310">
        <v>6</v>
      </c>
      <c r="P661" s="1313">
        <v>36000</v>
      </c>
    </row>
    <row r="662" spans="1:16" ht="22.5" x14ac:dyDescent="0.2">
      <c r="A662" s="1302" t="s">
        <v>292</v>
      </c>
      <c r="B662" s="1303" t="s">
        <v>1141</v>
      </c>
      <c r="C662" s="1303" t="s">
        <v>98</v>
      </c>
      <c r="D662" s="1304" t="s">
        <v>3467</v>
      </c>
      <c r="E662" s="1305">
        <v>4500</v>
      </c>
      <c r="F662" s="1306" t="s">
        <v>3468</v>
      </c>
      <c r="G662" s="1307" t="s">
        <v>3469</v>
      </c>
      <c r="H662" s="1307" t="s">
        <v>1739</v>
      </c>
      <c r="I662" s="1307" t="s">
        <v>1598</v>
      </c>
      <c r="J662" s="1308" t="s">
        <v>1604</v>
      </c>
      <c r="K662" s="1309">
        <v>1</v>
      </c>
      <c r="L662" s="1310">
        <v>9</v>
      </c>
      <c r="M662" s="1311">
        <v>42300</v>
      </c>
      <c r="N662" s="1312">
        <v>1</v>
      </c>
      <c r="O662" s="1310">
        <v>6</v>
      </c>
      <c r="P662" s="1313">
        <v>27000</v>
      </c>
    </row>
    <row r="663" spans="1:16" ht="22.5" x14ac:dyDescent="0.2">
      <c r="A663" s="1302" t="s">
        <v>292</v>
      </c>
      <c r="B663" s="1303" t="s">
        <v>1141</v>
      </c>
      <c r="C663" s="1303" t="s">
        <v>98</v>
      </c>
      <c r="D663" s="1304" t="s">
        <v>3470</v>
      </c>
      <c r="E663" s="1305">
        <v>10000</v>
      </c>
      <c r="F663" s="1306" t="s">
        <v>3471</v>
      </c>
      <c r="G663" s="1307" t="s">
        <v>3472</v>
      </c>
      <c r="H663" s="1307" t="s">
        <v>1603</v>
      </c>
      <c r="I663" s="1307" t="s">
        <v>1598</v>
      </c>
      <c r="J663" s="1308" t="s">
        <v>1604</v>
      </c>
      <c r="K663" s="1309">
        <v>1</v>
      </c>
      <c r="L663" s="1310">
        <v>12</v>
      </c>
      <c r="M663" s="1311">
        <v>120300</v>
      </c>
      <c r="N663" s="1312">
        <v>1</v>
      </c>
      <c r="O663" s="1310">
        <v>6</v>
      </c>
      <c r="P663" s="1313">
        <v>60000</v>
      </c>
    </row>
    <row r="664" spans="1:16" ht="22.5" x14ac:dyDescent="0.2">
      <c r="A664" s="1302" t="s">
        <v>292</v>
      </c>
      <c r="B664" s="1303" t="s">
        <v>1141</v>
      </c>
      <c r="C664" s="1303" t="s">
        <v>98</v>
      </c>
      <c r="D664" s="1304" t="s">
        <v>3473</v>
      </c>
      <c r="E664" s="1305">
        <v>8000</v>
      </c>
      <c r="F664" s="1306" t="s">
        <v>3474</v>
      </c>
      <c r="G664" s="1307" t="s">
        <v>3475</v>
      </c>
      <c r="H664" s="1307" t="s">
        <v>3476</v>
      </c>
      <c r="I664" s="1307" t="s">
        <v>1598</v>
      </c>
      <c r="J664" s="1308" t="s">
        <v>1604</v>
      </c>
      <c r="K664" s="1309">
        <v>1</v>
      </c>
      <c r="L664" s="1310">
        <v>12</v>
      </c>
      <c r="M664" s="1311">
        <v>74600.97</v>
      </c>
      <c r="N664" s="1312">
        <v>1</v>
      </c>
      <c r="O664" s="1310">
        <v>6</v>
      </c>
      <c r="P664" s="1313">
        <v>43860</v>
      </c>
    </row>
    <row r="665" spans="1:16" x14ac:dyDescent="0.2">
      <c r="A665" s="1302" t="s">
        <v>292</v>
      </c>
      <c r="B665" s="1303" t="s">
        <v>1141</v>
      </c>
      <c r="C665" s="1303" t="s">
        <v>98</v>
      </c>
      <c r="D665" s="1304" t="s">
        <v>1695</v>
      </c>
      <c r="E665" s="1305">
        <v>3500</v>
      </c>
      <c r="F665" s="1306" t="s">
        <v>3477</v>
      </c>
      <c r="G665" s="1307" t="s">
        <v>3478</v>
      </c>
      <c r="H665" s="1307" t="s">
        <v>1819</v>
      </c>
      <c r="I665" s="1307" t="s">
        <v>1598</v>
      </c>
      <c r="J665" s="1308" t="s">
        <v>1616</v>
      </c>
      <c r="K665" s="1309">
        <v>1</v>
      </c>
      <c r="L665" s="1310">
        <v>2</v>
      </c>
      <c r="M665" s="1311">
        <v>8166.67</v>
      </c>
      <c r="N665" s="1312">
        <v>1</v>
      </c>
      <c r="O665" s="1310">
        <v>6</v>
      </c>
      <c r="P665" s="1313">
        <v>20766.669999999998</v>
      </c>
    </row>
    <row r="666" spans="1:16" ht="22.5" x14ac:dyDescent="0.2">
      <c r="A666" s="1302" t="s">
        <v>292</v>
      </c>
      <c r="B666" s="1303" t="s">
        <v>1141</v>
      </c>
      <c r="C666" s="1303" t="s">
        <v>98</v>
      </c>
      <c r="D666" s="1304" t="s">
        <v>3479</v>
      </c>
      <c r="E666" s="1305">
        <v>9000</v>
      </c>
      <c r="F666" s="1306" t="s">
        <v>3480</v>
      </c>
      <c r="G666" s="1307" t="s">
        <v>3481</v>
      </c>
      <c r="H666" s="1307" t="s">
        <v>1603</v>
      </c>
      <c r="I666" s="1307" t="s">
        <v>1616</v>
      </c>
      <c r="J666" s="1308" t="s">
        <v>1604</v>
      </c>
      <c r="K666" s="1309">
        <v>1</v>
      </c>
      <c r="L666" s="1310">
        <v>12</v>
      </c>
      <c r="M666" s="1311">
        <v>91800</v>
      </c>
      <c r="N666" s="1312">
        <v>1</v>
      </c>
      <c r="O666" s="1310">
        <v>6</v>
      </c>
      <c r="P666" s="1313">
        <v>54000</v>
      </c>
    </row>
    <row r="667" spans="1:16" x14ac:dyDescent="0.2">
      <c r="A667" s="1302" t="s">
        <v>292</v>
      </c>
      <c r="B667" s="1303" t="s">
        <v>1141</v>
      </c>
      <c r="C667" s="1303" t="s">
        <v>98</v>
      </c>
      <c r="D667" s="1304" t="s">
        <v>2314</v>
      </c>
      <c r="E667" s="1305">
        <v>15600</v>
      </c>
      <c r="F667" s="1306" t="s">
        <v>3482</v>
      </c>
      <c r="G667" s="1307" t="s">
        <v>3483</v>
      </c>
      <c r="H667" s="1307" t="s">
        <v>2365</v>
      </c>
      <c r="I667" s="1307" t="s">
        <v>1616</v>
      </c>
      <c r="J667" s="1308" t="s">
        <v>1604</v>
      </c>
      <c r="K667" s="1309">
        <v>1</v>
      </c>
      <c r="L667" s="1310">
        <v>5</v>
      </c>
      <c r="M667" s="1311">
        <v>78000</v>
      </c>
      <c r="N667" s="1312">
        <v>0</v>
      </c>
      <c r="O667" s="1310" t="s">
        <v>1633</v>
      </c>
      <c r="P667" s="1313">
        <v>0</v>
      </c>
    </row>
    <row r="668" spans="1:16" ht="22.5" x14ac:dyDescent="0.2">
      <c r="A668" s="1302" t="s">
        <v>292</v>
      </c>
      <c r="B668" s="1303" t="s">
        <v>1141</v>
      </c>
      <c r="C668" s="1303" t="s">
        <v>98</v>
      </c>
      <c r="D668" s="1304" t="s">
        <v>3484</v>
      </c>
      <c r="E668" s="1305">
        <v>3500</v>
      </c>
      <c r="F668" s="1306" t="s">
        <v>3485</v>
      </c>
      <c r="G668" s="1307" t="s">
        <v>3486</v>
      </c>
      <c r="H668" s="1307" t="s">
        <v>1659</v>
      </c>
      <c r="I668" s="1307" t="s">
        <v>1660</v>
      </c>
      <c r="J668" s="1308" t="s">
        <v>1659</v>
      </c>
      <c r="K668" s="1309">
        <v>1</v>
      </c>
      <c r="L668" s="1310">
        <v>12</v>
      </c>
      <c r="M668" s="1311">
        <v>42183.33</v>
      </c>
      <c r="N668" s="1312">
        <v>1</v>
      </c>
      <c r="O668" s="1310">
        <v>6</v>
      </c>
      <c r="P668" s="1313">
        <v>20544.989999999998</v>
      </c>
    </row>
    <row r="669" spans="1:16" x14ac:dyDescent="0.2">
      <c r="A669" s="1302" t="s">
        <v>292</v>
      </c>
      <c r="B669" s="1303" t="s">
        <v>1141</v>
      </c>
      <c r="C669" s="1303" t="s">
        <v>98</v>
      </c>
      <c r="D669" s="1304" t="s">
        <v>3051</v>
      </c>
      <c r="E669" s="1305">
        <v>6000</v>
      </c>
      <c r="F669" s="1306" t="s">
        <v>3487</v>
      </c>
      <c r="G669" s="1307" t="s">
        <v>3488</v>
      </c>
      <c r="H669" s="1307" t="s">
        <v>1672</v>
      </c>
      <c r="I669" s="1307" t="s">
        <v>1598</v>
      </c>
      <c r="J669" s="1308" t="s">
        <v>1616</v>
      </c>
      <c r="K669" s="1309">
        <v>1</v>
      </c>
      <c r="L669" s="1310">
        <v>4</v>
      </c>
      <c r="M669" s="1311">
        <v>22200</v>
      </c>
      <c r="N669" s="1312">
        <v>1</v>
      </c>
      <c r="O669" s="1310">
        <v>6</v>
      </c>
      <c r="P669" s="1313">
        <v>36000</v>
      </c>
    </row>
    <row r="670" spans="1:16" x14ac:dyDescent="0.2">
      <c r="A670" s="1302" t="s">
        <v>292</v>
      </c>
      <c r="B670" s="1303" t="s">
        <v>1141</v>
      </c>
      <c r="C670" s="1303" t="s">
        <v>98</v>
      </c>
      <c r="D670" s="1304" t="s">
        <v>1955</v>
      </c>
      <c r="E670" s="1305">
        <v>3500</v>
      </c>
      <c r="F670" s="1306" t="s">
        <v>3489</v>
      </c>
      <c r="G670" s="1307" t="s">
        <v>3490</v>
      </c>
      <c r="H670" s="1307" t="s">
        <v>2137</v>
      </c>
      <c r="I670" s="1307" t="s">
        <v>1616</v>
      </c>
      <c r="J670" s="1308" t="s">
        <v>1616</v>
      </c>
      <c r="K670" s="1309">
        <v>1</v>
      </c>
      <c r="L670" s="1310">
        <v>6</v>
      </c>
      <c r="M670" s="1311">
        <v>20183.330000000002</v>
      </c>
      <c r="N670" s="1312">
        <v>1</v>
      </c>
      <c r="O670" s="1310">
        <v>6</v>
      </c>
      <c r="P670" s="1313">
        <v>21000</v>
      </c>
    </row>
    <row r="671" spans="1:16" x14ac:dyDescent="0.2">
      <c r="A671" s="1302" t="s">
        <v>292</v>
      </c>
      <c r="B671" s="1303" t="s">
        <v>1141</v>
      </c>
      <c r="C671" s="1303" t="s">
        <v>98</v>
      </c>
      <c r="D671" s="1314" t="s">
        <v>3491</v>
      </c>
      <c r="E671" s="1305">
        <v>6000</v>
      </c>
      <c r="F671" s="1306" t="s">
        <v>3492</v>
      </c>
      <c r="G671" s="1307" t="s">
        <v>3493</v>
      </c>
      <c r="H671" s="1315" t="s">
        <v>1819</v>
      </c>
      <c r="I671" s="1315" t="s">
        <v>1598</v>
      </c>
      <c r="J671" s="1316" t="s">
        <v>1616</v>
      </c>
      <c r="K671" s="1309">
        <v>0</v>
      </c>
      <c r="L671" s="1310" t="s">
        <v>1633</v>
      </c>
      <c r="M671" s="1311">
        <v>0</v>
      </c>
      <c r="N671" s="1312">
        <v>1</v>
      </c>
      <c r="O671" s="1310">
        <v>4</v>
      </c>
      <c r="P671" s="1313">
        <v>23000</v>
      </c>
    </row>
    <row r="672" spans="1:16" ht="22.5" x14ac:dyDescent="0.2">
      <c r="A672" s="1302" t="s">
        <v>292</v>
      </c>
      <c r="B672" s="1303" t="s">
        <v>1141</v>
      </c>
      <c r="C672" s="1303" t="s">
        <v>98</v>
      </c>
      <c r="D672" s="1304" t="s">
        <v>2258</v>
      </c>
      <c r="E672" s="1305">
        <v>8000</v>
      </c>
      <c r="F672" s="1306" t="s">
        <v>3494</v>
      </c>
      <c r="G672" s="1307" t="s">
        <v>3495</v>
      </c>
      <c r="H672" s="1307" t="s">
        <v>3496</v>
      </c>
      <c r="I672" s="1307" t="s">
        <v>1598</v>
      </c>
      <c r="J672" s="1308" t="s">
        <v>1604</v>
      </c>
      <c r="K672" s="1309">
        <v>1</v>
      </c>
      <c r="L672" s="1310">
        <v>6</v>
      </c>
      <c r="M672" s="1311">
        <v>46133.33</v>
      </c>
      <c r="N672" s="1312">
        <v>1</v>
      </c>
      <c r="O672" s="1310">
        <v>3</v>
      </c>
      <c r="P672" s="1313">
        <v>17600</v>
      </c>
    </row>
    <row r="673" spans="1:16" ht="22.5" x14ac:dyDescent="0.2">
      <c r="A673" s="1302" t="s">
        <v>292</v>
      </c>
      <c r="B673" s="1303" t="s">
        <v>1141</v>
      </c>
      <c r="C673" s="1303" t="s">
        <v>98</v>
      </c>
      <c r="D673" s="1304" t="s">
        <v>3451</v>
      </c>
      <c r="E673" s="1305">
        <v>13000</v>
      </c>
      <c r="F673" s="1306" t="s">
        <v>3497</v>
      </c>
      <c r="G673" s="1307" t="s">
        <v>3498</v>
      </c>
      <c r="H673" s="1307" t="s">
        <v>1603</v>
      </c>
      <c r="I673" s="1307" t="s">
        <v>1616</v>
      </c>
      <c r="J673" s="1308" t="s">
        <v>1604</v>
      </c>
      <c r="K673" s="1309">
        <v>1</v>
      </c>
      <c r="L673" s="1310">
        <v>7</v>
      </c>
      <c r="M673" s="1311">
        <v>84800</v>
      </c>
      <c r="N673" s="1312">
        <v>0</v>
      </c>
      <c r="O673" s="1310" t="s">
        <v>1633</v>
      </c>
      <c r="P673" s="1313">
        <v>0</v>
      </c>
    </row>
    <row r="674" spans="1:16" ht="22.5" x14ac:dyDescent="0.2">
      <c r="A674" s="1302" t="s">
        <v>292</v>
      </c>
      <c r="B674" s="1303" t="s">
        <v>1141</v>
      </c>
      <c r="C674" s="1303" t="s">
        <v>98</v>
      </c>
      <c r="D674" s="1304" t="s">
        <v>1790</v>
      </c>
      <c r="E674" s="1305">
        <v>8000</v>
      </c>
      <c r="F674" s="1306" t="s">
        <v>3499</v>
      </c>
      <c r="G674" s="1307" t="s">
        <v>3500</v>
      </c>
      <c r="H674" s="1307" t="s">
        <v>1603</v>
      </c>
      <c r="I674" s="1307" t="s">
        <v>1598</v>
      </c>
      <c r="J674" s="1308" t="s">
        <v>1604</v>
      </c>
      <c r="K674" s="1309">
        <v>1</v>
      </c>
      <c r="L674" s="1310">
        <v>12</v>
      </c>
      <c r="M674" s="1311">
        <v>96300</v>
      </c>
      <c r="N674" s="1312">
        <v>1</v>
      </c>
      <c r="O674" s="1310">
        <v>6</v>
      </c>
      <c r="P674" s="1313">
        <v>47700</v>
      </c>
    </row>
    <row r="675" spans="1:16" x14ac:dyDescent="0.2">
      <c r="A675" s="1302" t="s">
        <v>292</v>
      </c>
      <c r="B675" s="1303" t="s">
        <v>1141</v>
      </c>
      <c r="C675" s="1303" t="s">
        <v>98</v>
      </c>
      <c r="D675" s="1304" t="s">
        <v>1772</v>
      </c>
      <c r="E675" s="1305">
        <v>8000</v>
      </c>
      <c r="F675" s="1306" t="s">
        <v>3501</v>
      </c>
      <c r="G675" s="1307" t="s">
        <v>3502</v>
      </c>
      <c r="H675" s="1307" t="s">
        <v>1603</v>
      </c>
      <c r="I675" s="1307" t="s">
        <v>1598</v>
      </c>
      <c r="J675" s="1308" t="s">
        <v>1604</v>
      </c>
      <c r="K675" s="1309">
        <v>1</v>
      </c>
      <c r="L675" s="1310">
        <v>12</v>
      </c>
      <c r="M675" s="1311">
        <v>94662</v>
      </c>
      <c r="N675" s="1312">
        <v>1</v>
      </c>
      <c r="O675" s="1310">
        <v>6</v>
      </c>
      <c r="P675" s="1313">
        <v>48000</v>
      </c>
    </row>
    <row r="676" spans="1:16" x14ac:dyDescent="0.2">
      <c r="A676" s="1302" t="s">
        <v>292</v>
      </c>
      <c r="B676" s="1303" t="s">
        <v>1141</v>
      </c>
      <c r="C676" s="1303" t="s">
        <v>98</v>
      </c>
      <c r="D676" s="1304" t="s">
        <v>1996</v>
      </c>
      <c r="E676" s="1305">
        <v>14500</v>
      </c>
      <c r="F676" s="1306" t="s">
        <v>3503</v>
      </c>
      <c r="G676" s="1307" t="s">
        <v>3504</v>
      </c>
      <c r="H676" s="1307" t="s">
        <v>1603</v>
      </c>
      <c r="I676" s="1307" t="s">
        <v>1598</v>
      </c>
      <c r="J676" s="1308" t="s">
        <v>1604</v>
      </c>
      <c r="K676" s="1309">
        <v>1</v>
      </c>
      <c r="L676" s="1310">
        <v>12</v>
      </c>
      <c r="M676" s="1311">
        <v>157116.66999999998</v>
      </c>
      <c r="N676" s="1312">
        <v>1</v>
      </c>
      <c r="O676" s="1310">
        <v>6</v>
      </c>
      <c r="P676" s="1313">
        <v>87000</v>
      </c>
    </row>
    <row r="677" spans="1:16" x14ac:dyDescent="0.2">
      <c r="A677" s="1302" t="s">
        <v>292</v>
      </c>
      <c r="B677" s="1303" t="s">
        <v>1141</v>
      </c>
      <c r="C677" s="1303" t="s">
        <v>98</v>
      </c>
      <c r="D677" s="1314" t="s">
        <v>1600</v>
      </c>
      <c r="E677" s="1305">
        <v>7000</v>
      </c>
      <c r="F677" s="1306" t="s">
        <v>3505</v>
      </c>
      <c r="G677" s="1307" t="s">
        <v>3506</v>
      </c>
      <c r="H677" s="1315" t="s">
        <v>1603</v>
      </c>
      <c r="I677" s="1315" t="s">
        <v>1598</v>
      </c>
      <c r="J677" s="1316" t="s">
        <v>1616</v>
      </c>
      <c r="K677" s="1309">
        <v>0</v>
      </c>
      <c r="L677" s="1310" t="s">
        <v>1633</v>
      </c>
      <c r="M677" s="1311">
        <v>0</v>
      </c>
      <c r="N677" s="1312">
        <v>1</v>
      </c>
      <c r="O677" s="1310">
        <v>6</v>
      </c>
      <c r="P677" s="1313">
        <v>44800</v>
      </c>
    </row>
    <row r="678" spans="1:16" ht="22.5" x14ac:dyDescent="0.2">
      <c r="A678" s="1302" t="s">
        <v>292</v>
      </c>
      <c r="B678" s="1303" t="s">
        <v>1141</v>
      </c>
      <c r="C678" s="1303" t="s">
        <v>98</v>
      </c>
      <c r="D678" s="1304" t="s">
        <v>3507</v>
      </c>
      <c r="E678" s="1305">
        <v>5000</v>
      </c>
      <c r="F678" s="1306" t="s">
        <v>3508</v>
      </c>
      <c r="G678" s="1307" t="s">
        <v>3509</v>
      </c>
      <c r="H678" s="1307" t="s">
        <v>1819</v>
      </c>
      <c r="I678" s="1307" t="s">
        <v>1598</v>
      </c>
      <c r="J678" s="1308" t="s">
        <v>1604</v>
      </c>
      <c r="K678" s="1309">
        <v>1</v>
      </c>
      <c r="L678" s="1310">
        <v>12</v>
      </c>
      <c r="M678" s="1311">
        <v>60133.33</v>
      </c>
      <c r="N678" s="1312">
        <v>1</v>
      </c>
      <c r="O678" s="1310">
        <v>6</v>
      </c>
      <c r="P678" s="1313">
        <v>30000</v>
      </c>
    </row>
    <row r="679" spans="1:16" ht="22.5" x14ac:dyDescent="0.2">
      <c r="A679" s="1302" t="s">
        <v>292</v>
      </c>
      <c r="B679" s="1303" t="s">
        <v>1141</v>
      </c>
      <c r="C679" s="1303" t="s">
        <v>98</v>
      </c>
      <c r="D679" s="1304" t="s">
        <v>3510</v>
      </c>
      <c r="E679" s="1305">
        <v>9970</v>
      </c>
      <c r="F679" s="1306" t="s">
        <v>3511</v>
      </c>
      <c r="G679" s="1307" t="s">
        <v>3512</v>
      </c>
      <c r="H679" s="1307" t="s">
        <v>1603</v>
      </c>
      <c r="I679" s="1307" t="s">
        <v>1598</v>
      </c>
      <c r="J679" s="1308" t="s">
        <v>1604</v>
      </c>
      <c r="K679" s="1309">
        <v>1</v>
      </c>
      <c r="L679" s="1310">
        <v>12</v>
      </c>
      <c r="M679" s="1311">
        <v>119940</v>
      </c>
      <c r="N679" s="1312">
        <v>1</v>
      </c>
      <c r="O679" s="1310">
        <v>6</v>
      </c>
      <c r="P679" s="1313">
        <v>59820</v>
      </c>
    </row>
    <row r="680" spans="1:16" ht="22.5" x14ac:dyDescent="0.2">
      <c r="A680" s="1302" t="s">
        <v>292</v>
      </c>
      <c r="B680" s="1303" t="s">
        <v>1141</v>
      </c>
      <c r="C680" s="1303" t="s">
        <v>98</v>
      </c>
      <c r="D680" s="1304" t="s">
        <v>3513</v>
      </c>
      <c r="E680" s="1305">
        <v>8000</v>
      </c>
      <c r="F680" s="1306" t="s">
        <v>3514</v>
      </c>
      <c r="G680" s="1307" t="s">
        <v>3515</v>
      </c>
      <c r="H680" s="1307" t="s">
        <v>1702</v>
      </c>
      <c r="I680" s="1307" t="s">
        <v>1616</v>
      </c>
      <c r="J680" s="1308" t="s">
        <v>1604</v>
      </c>
      <c r="K680" s="1309">
        <v>1</v>
      </c>
      <c r="L680" s="1310">
        <v>12</v>
      </c>
      <c r="M680" s="1311">
        <v>96300</v>
      </c>
      <c r="N680" s="1312">
        <v>1</v>
      </c>
      <c r="O680" s="1310">
        <v>6</v>
      </c>
      <c r="P680" s="1313">
        <v>48000</v>
      </c>
    </row>
    <row r="681" spans="1:16" ht="22.5" x14ac:dyDescent="0.2">
      <c r="A681" s="1302" t="s">
        <v>292</v>
      </c>
      <c r="B681" s="1303" t="s">
        <v>1141</v>
      </c>
      <c r="C681" s="1303" t="s">
        <v>98</v>
      </c>
      <c r="D681" s="1304" t="s">
        <v>3516</v>
      </c>
      <c r="E681" s="1305">
        <v>7500</v>
      </c>
      <c r="F681" s="1306" t="s">
        <v>3517</v>
      </c>
      <c r="G681" s="1307" t="s">
        <v>3518</v>
      </c>
      <c r="H681" s="1307" t="s">
        <v>2154</v>
      </c>
      <c r="I681" s="1307" t="s">
        <v>1598</v>
      </c>
      <c r="J681" s="1308" t="s">
        <v>1604</v>
      </c>
      <c r="K681" s="1309">
        <v>1</v>
      </c>
      <c r="L681" s="1310">
        <v>4</v>
      </c>
      <c r="M681" s="1311">
        <v>29000</v>
      </c>
      <c r="N681" s="1312">
        <v>1</v>
      </c>
      <c r="O681" s="1310">
        <v>6</v>
      </c>
      <c r="P681" s="1313">
        <v>45000</v>
      </c>
    </row>
    <row r="682" spans="1:16" ht="22.5" x14ac:dyDescent="0.2">
      <c r="A682" s="1302" t="s">
        <v>292</v>
      </c>
      <c r="B682" s="1303" t="s">
        <v>1141</v>
      </c>
      <c r="C682" s="1303" t="s">
        <v>98</v>
      </c>
      <c r="D682" s="1304" t="s">
        <v>3519</v>
      </c>
      <c r="E682" s="1305">
        <v>5000</v>
      </c>
      <c r="F682" s="1306" t="s">
        <v>3520</v>
      </c>
      <c r="G682" s="1307" t="s">
        <v>3521</v>
      </c>
      <c r="H682" s="1307" t="s">
        <v>1690</v>
      </c>
      <c r="I682" s="1307" t="s">
        <v>1598</v>
      </c>
      <c r="J682" s="1308" t="s">
        <v>1604</v>
      </c>
      <c r="K682" s="1309">
        <v>1</v>
      </c>
      <c r="L682" s="1310">
        <v>12</v>
      </c>
      <c r="M682" s="1311">
        <v>60300</v>
      </c>
      <c r="N682" s="1312">
        <v>1</v>
      </c>
      <c r="O682" s="1310">
        <v>6</v>
      </c>
      <c r="P682" s="1313">
        <v>30000</v>
      </c>
    </row>
    <row r="683" spans="1:16" ht="22.5" x14ac:dyDescent="0.2">
      <c r="A683" s="1302" t="s">
        <v>292</v>
      </c>
      <c r="B683" s="1303" t="s">
        <v>1141</v>
      </c>
      <c r="C683" s="1303" t="s">
        <v>98</v>
      </c>
      <c r="D683" s="1304" t="s">
        <v>3347</v>
      </c>
      <c r="E683" s="1305">
        <v>3500</v>
      </c>
      <c r="F683" s="1306" t="s">
        <v>3522</v>
      </c>
      <c r="G683" s="1307" t="s">
        <v>3523</v>
      </c>
      <c r="H683" s="1307" t="s">
        <v>1713</v>
      </c>
      <c r="I683" s="1307" t="s">
        <v>1598</v>
      </c>
      <c r="J683" s="1308" t="s">
        <v>1604</v>
      </c>
      <c r="K683" s="1309">
        <v>1</v>
      </c>
      <c r="L683" s="1310">
        <v>8</v>
      </c>
      <c r="M683" s="1311">
        <v>28300</v>
      </c>
      <c r="N683" s="1312">
        <v>0</v>
      </c>
      <c r="O683" s="1310" t="s">
        <v>1633</v>
      </c>
      <c r="P683" s="1313">
        <v>0</v>
      </c>
    </row>
    <row r="684" spans="1:16" x14ac:dyDescent="0.2">
      <c r="A684" s="1302" t="s">
        <v>292</v>
      </c>
      <c r="B684" s="1303" t="s">
        <v>1141</v>
      </c>
      <c r="C684" s="1303" t="s">
        <v>98</v>
      </c>
      <c r="D684" s="1304" t="s">
        <v>1665</v>
      </c>
      <c r="E684" s="1305">
        <v>8500</v>
      </c>
      <c r="F684" s="1306" t="s">
        <v>3524</v>
      </c>
      <c r="G684" s="1307" t="s">
        <v>3525</v>
      </c>
      <c r="H684" s="1307" t="s">
        <v>1732</v>
      </c>
      <c r="I684" s="1307" t="s">
        <v>1616</v>
      </c>
      <c r="J684" s="1308" t="s">
        <v>1604</v>
      </c>
      <c r="K684" s="1309">
        <v>1</v>
      </c>
      <c r="L684" s="1310">
        <v>4</v>
      </c>
      <c r="M684" s="1311">
        <v>32712.92</v>
      </c>
      <c r="N684" s="1312">
        <v>1</v>
      </c>
      <c r="O684" s="1310">
        <v>6</v>
      </c>
      <c r="P684" s="1313">
        <v>51000</v>
      </c>
    </row>
    <row r="685" spans="1:16" ht="22.5" x14ac:dyDescent="0.2">
      <c r="A685" s="1302" t="s">
        <v>292</v>
      </c>
      <c r="B685" s="1303" t="s">
        <v>1141</v>
      </c>
      <c r="C685" s="1303" t="s">
        <v>98</v>
      </c>
      <c r="D685" s="1304" t="s">
        <v>3526</v>
      </c>
      <c r="E685" s="1305">
        <v>8000</v>
      </c>
      <c r="F685" s="1306" t="s">
        <v>3527</v>
      </c>
      <c r="G685" s="1307" t="s">
        <v>3528</v>
      </c>
      <c r="H685" s="1307" t="s">
        <v>1668</v>
      </c>
      <c r="I685" s="1307" t="s">
        <v>1598</v>
      </c>
      <c r="J685" s="1308" t="s">
        <v>1604</v>
      </c>
      <c r="K685" s="1309">
        <v>1</v>
      </c>
      <c r="L685" s="1310">
        <v>12</v>
      </c>
      <c r="M685" s="1311">
        <v>96300</v>
      </c>
      <c r="N685" s="1312">
        <v>1</v>
      </c>
      <c r="O685" s="1310">
        <v>3</v>
      </c>
      <c r="P685" s="1313">
        <v>24000</v>
      </c>
    </row>
    <row r="686" spans="1:16" x14ac:dyDescent="0.2">
      <c r="A686" s="1302" t="s">
        <v>292</v>
      </c>
      <c r="B686" s="1303" t="s">
        <v>1141</v>
      </c>
      <c r="C686" s="1303" t="s">
        <v>98</v>
      </c>
      <c r="D686" s="1304" t="s">
        <v>1626</v>
      </c>
      <c r="E686" s="1305">
        <v>6000</v>
      </c>
      <c r="F686" s="1306" t="s">
        <v>3529</v>
      </c>
      <c r="G686" s="1307" t="s">
        <v>3530</v>
      </c>
      <c r="H686" s="1307" t="s">
        <v>1620</v>
      </c>
      <c r="I686" s="1307" t="s">
        <v>1616</v>
      </c>
      <c r="J686" s="1308" t="s">
        <v>1604</v>
      </c>
      <c r="K686" s="1309">
        <v>1</v>
      </c>
      <c r="L686" s="1310">
        <v>2</v>
      </c>
      <c r="M686" s="1311">
        <v>14000</v>
      </c>
      <c r="N686" s="1312">
        <v>1</v>
      </c>
      <c r="O686" s="1310">
        <v>1</v>
      </c>
      <c r="P686" s="1313">
        <v>6000</v>
      </c>
    </row>
    <row r="687" spans="1:16" ht="22.5" x14ac:dyDescent="0.2">
      <c r="A687" s="1302" t="s">
        <v>292</v>
      </c>
      <c r="B687" s="1303" t="s">
        <v>1141</v>
      </c>
      <c r="C687" s="1303" t="s">
        <v>98</v>
      </c>
      <c r="D687" s="1304" t="s">
        <v>3531</v>
      </c>
      <c r="E687" s="1305">
        <v>5000</v>
      </c>
      <c r="F687" s="1306" t="s">
        <v>3532</v>
      </c>
      <c r="G687" s="1307" t="s">
        <v>3533</v>
      </c>
      <c r="H687" s="1307" t="s">
        <v>1620</v>
      </c>
      <c r="I687" s="1307" t="s">
        <v>1616</v>
      </c>
      <c r="J687" s="1308" t="s">
        <v>1604</v>
      </c>
      <c r="K687" s="1309">
        <v>1</v>
      </c>
      <c r="L687" s="1310">
        <v>12</v>
      </c>
      <c r="M687" s="1311">
        <v>60300</v>
      </c>
      <c r="N687" s="1312">
        <v>1</v>
      </c>
      <c r="O687" s="1310">
        <v>6</v>
      </c>
      <c r="P687" s="1313">
        <v>30000</v>
      </c>
    </row>
    <row r="688" spans="1:16" x14ac:dyDescent="0.2">
      <c r="A688" s="1302" t="s">
        <v>292</v>
      </c>
      <c r="B688" s="1303" t="s">
        <v>1141</v>
      </c>
      <c r="C688" s="1303" t="s">
        <v>98</v>
      </c>
      <c r="D688" s="1304" t="s">
        <v>1813</v>
      </c>
      <c r="E688" s="1305">
        <v>5500</v>
      </c>
      <c r="F688" s="1306" t="s">
        <v>3534</v>
      </c>
      <c r="G688" s="1307" t="s">
        <v>3535</v>
      </c>
      <c r="H688" s="1307" t="s">
        <v>1603</v>
      </c>
      <c r="I688" s="1307" t="s">
        <v>1616</v>
      </c>
      <c r="J688" s="1308" t="s">
        <v>1604</v>
      </c>
      <c r="K688" s="1309">
        <v>1</v>
      </c>
      <c r="L688" s="1310">
        <v>12</v>
      </c>
      <c r="M688" s="1311">
        <v>64955.6</v>
      </c>
      <c r="N688" s="1312">
        <v>1</v>
      </c>
      <c r="O688" s="1310">
        <v>6</v>
      </c>
      <c r="P688" s="1313">
        <v>32293.82</v>
      </c>
    </row>
    <row r="689" spans="1:16" x14ac:dyDescent="0.2">
      <c r="A689" s="1302" t="s">
        <v>292</v>
      </c>
      <c r="B689" s="1303" t="s">
        <v>1141</v>
      </c>
      <c r="C689" s="1303" t="s">
        <v>98</v>
      </c>
      <c r="D689" s="1304" t="s">
        <v>2104</v>
      </c>
      <c r="E689" s="1305">
        <v>14000</v>
      </c>
      <c r="F689" s="1306" t="s">
        <v>3536</v>
      </c>
      <c r="G689" s="1307" t="s">
        <v>3537</v>
      </c>
      <c r="H689" s="1307" t="s">
        <v>1603</v>
      </c>
      <c r="I689" s="1307" t="s">
        <v>1598</v>
      </c>
      <c r="J689" s="1308" t="s">
        <v>1604</v>
      </c>
      <c r="K689" s="1309">
        <v>1</v>
      </c>
      <c r="L689" s="1310">
        <v>10</v>
      </c>
      <c r="M689" s="1311">
        <v>140300</v>
      </c>
      <c r="N689" s="1312">
        <v>0</v>
      </c>
      <c r="O689" s="1310" t="s">
        <v>1633</v>
      </c>
      <c r="P689" s="1313">
        <v>0</v>
      </c>
    </row>
    <row r="690" spans="1:16" ht="22.5" x14ac:dyDescent="0.2">
      <c r="A690" s="1302" t="s">
        <v>292</v>
      </c>
      <c r="B690" s="1303" t="s">
        <v>1141</v>
      </c>
      <c r="C690" s="1303" t="s">
        <v>98</v>
      </c>
      <c r="D690" s="1304" t="s">
        <v>3538</v>
      </c>
      <c r="E690" s="1305">
        <v>8000</v>
      </c>
      <c r="F690" s="1306" t="s">
        <v>3539</v>
      </c>
      <c r="G690" s="1307" t="s">
        <v>3540</v>
      </c>
      <c r="H690" s="1307" t="s">
        <v>3541</v>
      </c>
      <c r="I690" s="1307" t="s">
        <v>1598</v>
      </c>
      <c r="J690" s="1308" t="s">
        <v>1604</v>
      </c>
      <c r="K690" s="1309">
        <v>1</v>
      </c>
      <c r="L690" s="1310">
        <v>12</v>
      </c>
      <c r="M690" s="1311">
        <v>96300</v>
      </c>
      <c r="N690" s="1312">
        <v>1</v>
      </c>
      <c r="O690" s="1310">
        <v>6</v>
      </c>
      <c r="P690" s="1313">
        <v>48000</v>
      </c>
    </row>
    <row r="691" spans="1:16" x14ac:dyDescent="0.2">
      <c r="A691" s="1302" t="s">
        <v>292</v>
      </c>
      <c r="B691" s="1303" t="s">
        <v>1141</v>
      </c>
      <c r="C691" s="1303" t="s">
        <v>98</v>
      </c>
      <c r="D691" s="1304" t="s">
        <v>1781</v>
      </c>
      <c r="E691" s="1305">
        <v>3500</v>
      </c>
      <c r="F691" s="1306" t="s">
        <v>3542</v>
      </c>
      <c r="G691" s="1307" t="s">
        <v>3543</v>
      </c>
      <c r="H691" s="1307" t="s">
        <v>1694</v>
      </c>
      <c r="I691" s="1307" t="s">
        <v>1598</v>
      </c>
      <c r="J691" s="1308" t="s">
        <v>1599</v>
      </c>
      <c r="K691" s="1309">
        <v>1</v>
      </c>
      <c r="L691" s="1310">
        <v>12</v>
      </c>
      <c r="M691" s="1311">
        <v>42300</v>
      </c>
      <c r="N691" s="1312">
        <v>1</v>
      </c>
      <c r="O691" s="1310">
        <v>6</v>
      </c>
      <c r="P691" s="1313">
        <v>20805.55</v>
      </c>
    </row>
    <row r="692" spans="1:16" x14ac:dyDescent="0.2">
      <c r="A692" s="1302" t="s">
        <v>292</v>
      </c>
      <c r="B692" s="1303" t="s">
        <v>1141</v>
      </c>
      <c r="C692" s="1303" t="s">
        <v>98</v>
      </c>
      <c r="D692" s="1304" t="s">
        <v>2009</v>
      </c>
      <c r="E692" s="1305">
        <v>15600</v>
      </c>
      <c r="F692" s="1306" t="s">
        <v>3544</v>
      </c>
      <c r="G692" s="1307" t="s">
        <v>3545</v>
      </c>
      <c r="H692" s="1307" t="s">
        <v>1603</v>
      </c>
      <c r="I692" s="1307" t="s">
        <v>1598</v>
      </c>
      <c r="J692" s="1308" t="s">
        <v>1604</v>
      </c>
      <c r="K692" s="1309">
        <v>1</v>
      </c>
      <c r="L692" s="1310">
        <v>2</v>
      </c>
      <c r="M692" s="1311">
        <v>29640</v>
      </c>
      <c r="N692" s="1312">
        <v>1</v>
      </c>
      <c r="O692" s="1310">
        <v>6</v>
      </c>
      <c r="P692" s="1313">
        <v>92040</v>
      </c>
    </row>
    <row r="693" spans="1:16" x14ac:dyDescent="0.2">
      <c r="A693" s="1302" t="s">
        <v>292</v>
      </c>
      <c r="B693" s="1303" t="s">
        <v>1141</v>
      </c>
      <c r="C693" s="1303" t="s">
        <v>98</v>
      </c>
      <c r="D693" s="1304" t="s">
        <v>2104</v>
      </c>
      <c r="E693" s="1305">
        <v>11000</v>
      </c>
      <c r="F693" s="1306" t="s">
        <v>3546</v>
      </c>
      <c r="G693" s="1307" t="s">
        <v>3547</v>
      </c>
      <c r="H693" s="1307" t="s">
        <v>1603</v>
      </c>
      <c r="I693" s="1307" t="s">
        <v>1616</v>
      </c>
      <c r="J693" s="1308" t="s">
        <v>1604</v>
      </c>
      <c r="K693" s="1309">
        <v>1</v>
      </c>
      <c r="L693" s="1310">
        <v>12</v>
      </c>
      <c r="M693" s="1311">
        <v>131933.33000000002</v>
      </c>
      <c r="N693" s="1312">
        <v>1</v>
      </c>
      <c r="O693" s="1310">
        <v>6</v>
      </c>
      <c r="P693" s="1313">
        <v>66000</v>
      </c>
    </row>
    <row r="694" spans="1:16" x14ac:dyDescent="0.2">
      <c r="A694" s="1302" t="s">
        <v>292</v>
      </c>
      <c r="B694" s="1303" t="s">
        <v>1141</v>
      </c>
      <c r="C694" s="1303" t="s">
        <v>98</v>
      </c>
      <c r="D694" s="1304" t="s">
        <v>2104</v>
      </c>
      <c r="E694" s="1305">
        <v>10000</v>
      </c>
      <c r="F694" s="1306" t="s">
        <v>3548</v>
      </c>
      <c r="G694" s="1307" t="s">
        <v>3549</v>
      </c>
      <c r="H694" s="1307" t="s">
        <v>3550</v>
      </c>
      <c r="I694" s="1307" t="s">
        <v>1598</v>
      </c>
      <c r="J694" s="1308" t="s">
        <v>1604</v>
      </c>
      <c r="K694" s="1309">
        <v>1</v>
      </c>
      <c r="L694" s="1310">
        <v>2</v>
      </c>
      <c r="M694" s="1311">
        <v>20533.22</v>
      </c>
      <c r="N694" s="1312">
        <v>1</v>
      </c>
      <c r="O694" s="1310">
        <v>6</v>
      </c>
      <c r="P694" s="1313">
        <v>47733.33</v>
      </c>
    </row>
    <row r="695" spans="1:16" x14ac:dyDescent="0.2">
      <c r="A695" s="1302" t="s">
        <v>292</v>
      </c>
      <c r="B695" s="1303" t="s">
        <v>1141</v>
      </c>
      <c r="C695" s="1303" t="s">
        <v>98</v>
      </c>
      <c r="D695" s="1304" t="s">
        <v>2357</v>
      </c>
      <c r="E695" s="1305">
        <v>15600</v>
      </c>
      <c r="F695" s="1306" t="s">
        <v>3551</v>
      </c>
      <c r="G695" s="1307" t="s">
        <v>3552</v>
      </c>
      <c r="H695" s="1307" t="s">
        <v>1847</v>
      </c>
      <c r="I695" s="1307" t="s">
        <v>1598</v>
      </c>
      <c r="J695" s="1308" t="s">
        <v>1604</v>
      </c>
      <c r="K695" s="1309">
        <v>1</v>
      </c>
      <c r="L695" s="1310">
        <v>12</v>
      </c>
      <c r="M695" s="1311">
        <v>187800</v>
      </c>
      <c r="N695" s="1312">
        <v>1</v>
      </c>
      <c r="O695" s="1310">
        <v>6</v>
      </c>
      <c r="P695" s="1313">
        <v>92040</v>
      </c>
    </row>
    <row r="696" spans="1:16" x14ac:dyDescent="0.2">
      <c r="A696" s="1302" t="s">
        <v>292</v>
      </c>
      <c r="B696" s="1303" t="s">
        <v>1141</v>
      </c>
      <c r="C696" s="1303" t="s">
        <v>98</v>
      </c>
      <c r="D696" s="1304" t="s">
        <v>3553</v>
      </c>
      <c r="E696" s="1305">
        <v>6000</v>
      </c>
      <c r="F696" s="1306" t="s">
        <v>3554</v>
      </c>
      <c r="G696" s="1307" t="s">
        <v>3555</v>
      </c>
      <c r="H696" s="1307" t="s">
        <v>1664</v>
      </c>
      <c r="I696" s="1307" t="s">
        <v>1616</v>
      </c>
      <c r="J696" s="1308" t="s">
        <v>1616</v>
      </c>
      <c r="K696" s="1309">
        <v>1</v>
      </c>
      <c r="L696" s="1310">
        <v>2</v>
      </c>
      <c r="M696" s="1311">
        <v>14000</v>
      </c>
      <c r="N696" s="1312">
        <v>1</v>
      </c>
      <c r="O696" s="1310">
        <v>6</v>
      </c>
      <c r="P696" s="1313">
        <v>36000</v>
      </c>
    </row>
    <row r="697" spans="1:16" x14ac:dyDescent="0.2">
      <c r="A697" s="1302" t="s">
        <v>292</v>
      </c>
      <c r="B697" s="1303" t="s">
        <v>1141</v>
      </c>
      <c r="C697" s="1303" t="s">
        <v>98</v>
      </c>
      <c r="D697" s="1304" t="s">
        <v>2708</v>
      </c>
      <c r="E697" s="1305">
        <v>6000</v>
      </c>
      <c r="F697" s="1306" t="s">
        <v>3556</v>
      </c>
      <c r="G697" s="1307" t="s">
        <v>3557</v>
      </c>
      <c r="H697" s="1307" t="s">
        <v>3264</v>
      </c>
      <c r="I697" s="1307" t="s">
        <v>1598</v>
      </c>
      <c r="J697" s="1308" t="s">
        <v>1604</v>
      </c>
      <c r="K697" s="1309">
        <v>1</v>
      </c>
      <c r="L697" s="1310">
        <v>12</v>
      </c>
      <c r="M697" s="1311">
        <v>42987.6</v>
      </c>
      <c r="N697" s="1312">
        <v>1</v>
      </c>
      <c r="O697" s="1310">
        <v>6</v>
      </c>
      <c r="P697" s="1313">
        <v>36000</v>
      </c>
    </row>
    <row r="698" spans="1:16" x14ac:dyDescent="0.2">
      <c r="A698" s="1302" t="s">
        <v>292</v>
      </c>
      <c r="B698" s="1303" t="s">
        <v>1141</v>
      </c>
      <c r="C698" s="1303" t="s">
        <v>98</v>
      </c>
      <c r="D698" s="1304" t="s">
        <v>2198</v>
      </c>
      <c r="E698" s="1305">
        <v>9000</v>
      </c>
      <c r="F698" s="1306" t="s">
        <v>3558</v>
      </c>
      <c r="G698" s="1307" t="s">
        <v>3559</v>
      </c>
      <c r="H698" s="1307" t="s">
        <v>2580</v>
      </c>
      <c r="I698" s="1307" t="s">
        <v>1598</v>
      </c>
      <c r="J698" s="1308" t="s">
        <v>1604</v>
      </c>
      <c r="K698" s="1309">
        <v>1</v>
      </c>
      <c r="L698" s="1310">
        <v>6</v>
      </c>
      <c r="M698" s="1311">
        <v>51019.67</v>
      </c>
      <c r="N698" s="1312">
        <v>1</v>
      </c>
      <c r="O698" s="1310">
        <v>6</v>
      </c>
      <c r="P698" s="1313">
        <v>53419.360000000001</v>
      </c>
    </row>
    <row r="699" spans="1:16" x14ac:dyDescent="0.2">
      <c r="A699" s="1302" t="s">
        <v>292</v>
      </c>
      <c r="B699" s="1303" t="s">
        <v>1141</v>
      </c>
      <c r="C699" s="1303" t="s">
        <v>98</v>
      </c>
      <c r="D699" s="1304" t="s">
        <v>3560</v>
      </c>
      <c r="E699" s="1305">
        <v>10500</v>
      </c>
      <c r="F699" s="1306" t="s">
        <v>3561</v>
      </c>
      <c r="G699" s="1307" t="s">
        <v>3562</v>
      </c>
      <c r="H699" s="1307" t="s">
        <v>1668</v>
      </c>
      <c r="I699" s="1307" t="s">
        <v>1598</v>
      </c>
      <c r="J699" s="1308" t="s">
        <v>1616</v>
      </c>
      <c r="K699" s="1309">
        <v>1</v>
      </c>
      <c r="L699" s="1310">
        <v>4</v>
      </c>
      <c r="M699" s="1311">
        <v>40600</v>
      </c>
      <c r="N699" s="1312">
        <v>1</v>
      </c>
      <c r="O699" s="1310">
        <v>6</v>
      </c>
      <c r="P699" s="1313">
        <v>63000</v>
      </c>
    </row>
    <row r="700" spans="1:16" x14ac:dyDescent="0.2">
      <c r="A700" s="1302" t="s">
        <v>292</v>
      </c>
      <c r="B700" s="1303" t="s">
        <v>1141</v>
      </c>
      <c r="C700" s="1303" t="s">
        <v>98</v>
      </c>
      <c r="D700" s="1304" t="s">
        <v>1629</v>
      </c>
      <c r="E700" s="1305">
        <v>2000</v>
      </c>
      <c r="F700" s="1306" t="s">
        <v>3563</v>
      </c>
      <c r="G700" s="1307" t="s">
        <v>3564</v>
      </c>
      <c r="H700" s="1307" t="s">
        <v>1819</v>
      </c>
      <c r="I700" s="1307" t="s">
        <v>1616</v>
      </c>
      <c r="J700" s="1308" t="s">
        <v>1604</v>
      </c>
      <c r="K700" s="1309">
        <v>1</v>
      </c>
      <c r="L700" s="1310">
        <v>5</v>
      </c>
      <c r="M700" s="1311">
        <v>10742.150000000001</v>
      </c>
      <c r="N700" s="1312">
        <v>0</v>
      </c>
      <c r="O700" s="1310" t="s">
        <v>1633</v>
      </c>
      <c r="P700" s="1313">
        <v>0</v>
      </c>
    </row>
    <row r="701" spans="1:16" x14ac:dyDescent="0.2">
      <c r="A701" s="1302" t="s">
        <v>292</v>
      </c>
      <c r="B701" s="1303" t="s">
        <v>1141</v>
      </c>
      <c r="C701" s="1303" t="s">
        <v>98</v>
      </c>
      <c r="D701" s="1304" t="s">
        <v>3565</v>
      </c>
      <c r="E701" s="1305">
        <v>10000</v>
      </c>
      <c r="F701" s="1306" t="s">
        <v>3566</v>
      </c>
      <c r="G701" s="1307" t="s">
        <v>3567</v>
      </c>
      <c r="H701" s="1307" t="s">
        <v>1603</v>
      </c>
      <c r="I701" s="1307" t="s">
        <v>1598</v>
      </c>
      <c r="J701" s="1308" t="s">
        <v>1604</v>
      </c>
      <c r="K701" s="1309">
        <v>1</v>
      </c>
      <c r="L701" s="1310">
        <v>12</v>
      </c>
      <c r="M701" s="1311">
        <v>115243.45</v>
      </c>
      <c r="N701" s="1312">
        <v>0</v>
      </c>
      <c r="O701" s="1310" t="s">
        <v>1633</v>
      </c>
      <c r="P701" s="1313">
        <v>0</v>
      </c>
    </row>
    <row r="702" spans="1:16" x14ac:dyDescent="0.2">
      <c r="A702" s="1302" t="s">
        <v>292</v>
      </c>
      <c r="B702" s="1303" t="s">
        <v>1141</v>
      </c>
      <c r="C702" s="1303" t="s">
        <v>98</v>
      </c>
      <c r="D702" s="1304" t="s">
        <v>3568</v>
      </c>
      <c r="E702" s="1305">
        <v>12000</v>
      </c>
      <c r="F702" s="1306" t="s">
        <v>3569</v>
      </c>
      <c r="G702" s="1307" t="s">
        <v>3570</v>
      </c>
      <c r="H702" s="1307" t="s">
        <v>1603</v>
      </c>
      <c r="I702" s="1307" t="s">
        <v>1598</v>
      </c>
      <c r="J702" s="1308" t="s">
        <v>1616</v>
      </c>
      <c r="K702" s="1309">
        <v>1</v>
      </c>
      <c r="L702" s="1310">
        <v>4</v>
      </c>
      <c r="M702" s="1311">
        <v>46400</v>
      </c>
      <c r="N702" s="1312">
        <v>1</v>
      </c>
      <c r="O702" s="1310">
        <v>6</v>
      </c>
      <c r="P702" s="1313">
        <v>72000</v>
      </c>
    </row>
    <row r="703" spans="1:16" x14ac:dyDescent="0.2">
      <c r="A703" s="1302" t="s">
        <v>292</v>
      </c>
      <c r="B703" s="1303" t="s">
        <v>1141</v>
      </c>
      <c r="C703" s="1303" t="s">
        <v>98</v>
      </c>
      <c r="D703" s="1304" t="s">
        <v>3571</v>
      </c>
      <c r="E703" s="1305">
        <v>3000</v>
      </c>
      <c r="F703" s="1306" t="s">
        <v>3572</v>
      </c>
      <c r="G703" s="1307" t="s">
        <v>3573</v>
      </c>
      <c r="H703" s="1307" t="s">
        <v>2848</v>
      </c>
      <c r="I703" s="1307" t="s">
        <v>1698</v>
      </c>
      <c r="J703" s="1308" t="s">
        <v>1599</v>
      </c>
      <c r="K703" s="1309">
        <v>1</v>
      </c>
      <c r="L703" s="1310">
        <v>8</v>
      </c>
      <c r="M703" s="1311">
        <v>22583.16</v>
      </c>
      <c r="N703" s="1312">
        <v>0</v>
      </c>
      <c r="O703" s="1310" t="s">
        <v>1633</v>
      </c>
      <c r="P703" s="1313">
        <v>0</v>
      </c>
    </row>
    <row r="704" spans="1:16" ht="22.5" x14ac:dyDescent="0.2">
      <c r="A704" s="1302" t="s">
        <v>292</v>
      </c>
      <c r="B704" s="1303" t="s">
        <v>1141</v>
      </c>
      <c r="C704" s="1303" t="s">
        <v>98</v>
      </c>
      <c r="D704" s="1304" t="s">
        <v>3574</v>
      </c>
      <c r="E704" s="1305">
        <v>12500</v>
      </c>
      <c r="F704" s="1306" t="s">
        <v>3575</v>
      </c>
      <c r="G704" s="1307" t="s">
        <v>3576</v>
      </c>
      <c r="H704" s="1307" t="s">
        <v>1655</v>
      </c>
      <c r="I704" s="1307" t="s">
        <v>1598</v>
      </c>
      <c r="J704" s="1308" t="s">
        <v>1604</v>
      </c>
      <c r="K704" s="1309">
        <v>1</v>
      </c>
      <c r="L704" s="1310">
        <v>4</v>
      </c>
      <c r="M704" s="1311">
        <v>48333.33</v>
      </c>
      <c r="N704" s="1312">
        <v>1</v>
      </c>
      <c r="O704" s="1310">
        <v>6</v>
      </c>
      <c r="P704" s="1313">
        <v>74364.399999999994</v>
      </c>
    </row>
    <row r="705" spans="1:16" x14ac:dyDescent="0.2">
      <c r="A705" s="1302" t="s">
        <v>292</v>
      </c>
      <c r="B705" s="1303" t="s">
        <v>1141</v>
      </c>
      <c r="C705" s="1303" t="s">
        <v>98</v>
      </c>
      <c r="D705" s="1304" t="s">
        <v>3031</v>
      </c>
      <c r="E705" s="1305">
        <v>8120</v>
      </c>
      <c r="F705" s="1306" t="s">
        <v>3577</v>
      </c>
      <c r="G705" s="1307" t="s">
        <v>3578</v>
      </c>
      <c r="H705" s="1307" t="s">
        <v>1668</v>
      </c>
      <c r="I705" s="1307" t="s">
        <v>1598</v>
      </c>
      <c r="J705" s="1308" t="s">
        <v>1604</v>
      </c>
      <c r="K705" s="1309">
        <v>1</v>
      </c>
      <c r="L705" s="1310">
        <v>12</v>
      </c>
      <c r="M705" s="1311">
        <v>97446</v>
      </c>
      <c r="N705" s="1312">
        <v>1</v>
      </c>
      <c r="O705" s="1310">
        <v>6</v>
      </c>
      <c r="P705" s="1313">
        <v>44420</v>
      </c>
    </row>
    <row r="706" spans="1:16" x14ac:dyDescent="0.2">
      <c r="A706" s="1302" t="s">
        <v>292</v>
      </c>
      <c r="B706" s="1303" t="s">
        <v>1141</v>
      </c>
      <c r="C706" s="1303" t="s">
        <v>98</v>
      </c>
      <c r="D706" s="1304" t="s">
        <v>3579</v>
      </c>
      <c r="E706" s="1305">
        <v>7000</v>
      </c>
      <c r="F706" s="1306" t="s">
        <v>3580</v>
      </c>
      <c r="G706" s="1307" t="s">
        <v>3581</v>
      </c>
      <c r="H706" s="1307" t="s">
        <v>1651</v>
      </c>
      <c r="I706" s="1307" t="s">
        <v>1598</v>
      </c>
      <c r="J706" s="1308" t="s">
        <v>1616</v>
      </c>
      <c r="K706" s="1309">
        <v>1</v>
      </c>
      <c r="L706" s="1310">
        <v>4</v>
      </c>
      <c r="M706" s="1311">
        <v>27066.67</v>
      </c>
      <c r="N706" s="1312">
        <v>1</v>
      </c>
      <c r="O706" s="1310">
        <v>6</v>
      </c>
      <c r="P706" s="1313">
        <v>42000</v>
      </c>
    </row>
    <row r="707" spans="1:16" x14ac:dyDescent="0.2">
      <c r="A707" s="1302" t="s">
        <v>292</v>
      </c>
      <c r="B707" s="1303" t="s">
        <v>1141</v>
      </c>
      <c r="C707" s="1303" t="s">
        <v>98</v>
      </c>
      <c r="D707" s="1304" t="s">
        <v>2620</v>
      </c>
      <c r="E707" s="1305">
        <v>7000</v>
      </c>
      <c r="F707" s="1306" t="s">
        <v>3582</v>
      </c>
      <c r="G707" s="1307" t="s">
        <v>3583</v>
      </c>
      <c r="H707" s="1307" t="s">
        <v>2645</v>
      </c>
      <c r="I707" s="1307" t="s">
        <v>1598</v>
      </c>
      <c r="J707" s="1308" t="s">
        <v>1604</v>
      </c>
      <c r="K707" s="1309">
        <v>1</v>
      </c>
      <c r="L707" s="1310">
        <v>2</v>
      </c>
      <c r="M707" s="1311">
        <v>16333.33</v>
      </c>
      <c r="N707" s="1312">
        <v>1</v>
      </c>
      <c r="O707" s="1310">
        <v>6</v>
      </c>
      <c r="P707" s="1313">
        <v>42000</v>
      </c>
    </row>
    <row r="708" spans="1:16" x14ac:dyDescent="0.2">
      <c r="A708" s="1302" t="s">
        <v>292</v>
      </c>
      <c r="B708" s="1303" t="s">
        <v>1141</v>
      </c>
      <c r="C708" s="1303" t="s">
        <v>98</v>
      </c>
      <c r="D708" s="1304" t="s">
        <v>2335</v>
      </c>
      <c r="E708" s="1305">
        <v>8000</v>
      </c>
      <c r="F708" s="1306" t="s">
        <v>3584</v>
      </c>
      <c r="G708" s="1307" t="s">
        <v>3585</v>
      </c>
      <c r="H708" s="1307" t="s">
        <v>1603</v>
      </c>
      <c r="I708" s="1307" t="s">
        <v>1598</v>
      </c>
      <c r="J708" s="1308" t="s">
        <v>1616</v>
      </c>
      <c r="K708" s="1309">
        <v>1</v>
      </c>
      <c r="L708" s="1310">
        <v>6</v>
      </c>
      <c r="M708" s="1311">
        <v>45941.11</v>
      </c>
      <c r="N708" s="1312">
        <v>1</v>
      </c>
      <c r="O708" s="1310">
        <v>6</v>
      </c>
      <c r="P708" s="1313">
        <v>48000</v>
      </c>
    </row>
    <row r="709" spans="1:16" x14ac:dyDescent="0.2">
      <c r="A709" s="1302" t="s">
        <v>292</v>
      </c>
      <c r="B709" s="1303" t="s">
        <v>1141</v>
      </c>
      <c r="C709" s="1303" t="s">
        <v>98</v>
      </c>
      <c r="D709" s="1304" t="s">
        <v>2437</v>
      </c>
      <c r="E709" s="1305">
        <v>14500</v>
      </c>
      <c r="F709" s="1306" t="s">
        <v>3586</v>
      </c>
      <c r="G709" s="1307" t="s">
        <v>3587</v>
      </c>
      <c r="H709" s="1307" t="s">
        <v>1908</v>
      </c>
      <c r="I709" s="1307" t="s">
        <v>1616</v>
      </c>
      <c r="J709" s="1308" t="s">
        <v>1604</v>
      </c>
      <c r="K709" s="1309">
        <v>1</v>
      </c>
      <c r="L709" s="1310">
        <v>12</v>
      </c>
      <c r="M709" s="1311">
        <v>150662.22</v>
      </c>
      <c r="N709" s="1312">
        <v>1</v>
      </c>
      <c r="O709" s="1310">
        <v>6</v>
      </c>
      <c r="P709" s="1313">
        <v>87000</v>
      </c>
    </row>
    <row r="710" spans="1:16" x14ac:dyDescent="0.2">
      <c r="A710" s="1302" t="s">
        <v>292</v>
      </c>
      <c r="B710" s="1303" t="s">
        <v>1141</v>
      </c>
      <c r="C710" s="1303" t="s">
        <v>98</v>
      </c>
      <c r="D710" s="1304" t="s">
        <v>1955</v>
      </c>
      <c r="E710" s="1305">
        <v>3500</v>
      </c>
      <c r="F710" s="1306" t="s">
        <v>3588</v>
      </c>
      <c r="G710" s="1307" t="s">
        <v>3589</v>
      </c>
      <c r="H710" s="1307" t="s">
        <v>1632</v>
      </c>
      <c r="I710" s="1307" t="s">
        <v>1598</v>
      </c>
      <c r="J710" s="1308" t="s">
        <v>1599</v>
      </c>
      <c r="K710" s="1309">
        <v>1</v>
      </c>
      <c r="L710" s="1310">
        <v>6</v>
      </c>
      <c r="M710" s="1311">
        <v>20183.330000000002</v>
      </c>
      <c r="N710" s="1312">
        <v>1</v>
      </c>
      <c r="O710" s="1310">
        <v>6</v>
      </c>
      <c r="P710" s="1313">
        <v>21000</v>
      </c>
    </row>
    <row r="711" spans="1:16" x14ac:dyDescent="0.2">
      <c r="A711" s="1302" t="s">
        <v>292</v>
      </c>
      <c r="B711" s="1303" t="s">
        <v>1141</v>
      </c>
      <c r="C711" s="1303" t="s">
        <v>98</v>
      </c>
      <c r="D711" s="1304" t="s">
        <v>2033</v>
      </c>
      <c r="E711" s="1305">
        <v>10000</v>
      </c>
      <c r="F711" s="1306" t="s">
        <v>3590</v>
      </c>
      <c r="G711" s="1307" t="s">
        <v>3591</v>
      </c>
      <c r="H711" s="1307" t="s">
        <v>1603</v>
      </c>
      <c r="I711" s="1307" t="s">
        <v>1598</v>
      </c>
      <c r="J711" s="1308" t="s">
        <v>1604</v>
      </c>
      <c r="K711" s="1309">
        <v>1</v>
      </c>
      <c r="L711" s="1310">
        <v>6</v>
      </c>
      <c r="M711" s="1311">
        <v>57666.67</v>
      </c>
      <c r="N711" s="1312">
        <v>1</v>
      </c>
      <c r="O711" s="1310">
        <v>6</v>
      </c>
      <c r="P711" s="1313">
        <v>60000</v>
      </c>
    </row>
    <row r="712" spans="1:16" ht="33.75" x14ac:dyDescent="0.2">
      <c r="A712" s="1302" t="s">
        <v>292</v>
      </c>
      <c r="B712" s="1303" t="s">
        <v>1141</v>
      </c>
      <c r="C712" s="1303" t="s">
        <v>98</v>
      </c>
      <c r="D712" s="1304" t="s">
        <v>3592</v>
      </c>
      <c r="E712" s="1305">
        <v>8000</v>
      </c>
      <c r="F712" s="1306" t="s">
        <v>3593</v>
      </c>
      <c r="G712" s="1307" t="s">
        <v>3594</v>
      </c>
      <c r="H712" s="1307" t="s">
        <v>1847</v>
      </c>
      <c r="I712" s="1307" t="s">
        <v>1598</v>
      </c>
      <c r="J712" s="1308" t="s">
        <v>1604</v>
      </c>
      <c r="K712" s="1309">
        <v>1</v>
      </c>
      <c r="L712" s="1310">
        <v>12</v>
      </c>
      <c r="M712" s="1311">
        <v>76933.33</v>
      </c>
      <c r="N712" s="1312">
        <v>1</v>
      </c>
      <c r="O712" s="1310">
        <v>6</v>
      </c>
      <c r="P712" s="1313">
        <v>47733.33</v>
      </c>
    </row>
    <row r="713" spans="1:16" x14ac:dyDescent="0.2">
      <c r="A713" s="1302" t="s">
        <v>292</v>
      </c>
      <c r="B713" s="1303" t="s">
        <v>1141</v>
      </c>
      <c r="C713" s="1303" t="s">
        <v>98</v>
      </c>
      <c r="D713" s="1304" t="s">
        <v>2016</v>
      </c>
      <c r="E713" s="1305">
        <v>6000</v>
      </c>
      <c r="F713" s="1306" t="s">
        <v>3595</v>
      </c>
      <c r="G713" s="1307" t="s">
        <v>3596</v>
      </c>
      <c r="H713" s="1307" t="s">
        <v>1690</v>
      </c>
      <c r="I713" s="1307" t="s">
        <v>1698</v>
      </c>
      <c r="J713" s="1308" t="s">
        <v>1616</v>
      </c>
      <c r="K713" s="1309">
        <v>1</v>
      </c>
      <c r="L713" s="1310">
        <v>2</v>
      </c>
      <c r="M713" s="1311">
        <v>9400</v>
      </c>
      <c r="N713" s="1312">
        <v>1</v>
      </c>
      <c r="O713" s="1310">
        <v>6</v>
      </c>
      <c r="P713" s="1313">
        <v>39000</v>
      </c>
    </row>
    <row r="714" spans="1:16" x14ac:dyDescent="0.2">
      <c r="A714" s="1302" t="s">
        <v>292</v>
      </c>
      <c r="B714" s="1303" t="s">
        <v>1141</v>
      </c>
      <c r="C714" s="1303" t="s">
        <v>98</v>
      </c>
      <c r="D714" s="1304" t="s">
        <v>1600</v>
      </c>
      <c r="E714" s="1305">
        <v>8000</v>
      </c>
      <c r="F714" s="1306" t="s">
        <v>3597</v>
      </c>
      <c r="G714" s="1307" t="s">
        <v>3598</v>
      </c>
      <c r="H714" s="1307" t="s">
        <v>1603</v>
      </c>
      <c r="I714" s="1307" t="s">
        <v>1598</v>
      </c>
      <c r="J714" s="1308" t="s">
        <v>1616</v>
      </c>
      <c r="K714" s="1309">
        <v>1</v>
      </c>
      <c r="L714" s="1310">
        <v>6</v>
      </c>
      <c r="M714" s="1311">
        <v>46133.33</v>
      </c>
      <c r="N714" s="1312">
        <v>1</v>
      </c>
      <c r="O714" s="1310">
        <v>6</v>
      </c>
      <c r="P714" s="1313">
        <v>47971.11</v>
      </c>
    </row>
    <row r="715" spans="1:16" x14ac:dyDescent="0.2">
      <c r="A715" s="1302" t="s">
        <v>292</v>
      </c>
      <c r="B715" s="1303" t="s">
        <v>1141</v>
      </c>
      <c r="C715" s="1303" t="s">
        <v>98</v>
      </c>
      <c r="D715" s="1304" t="s">
        <v>2009</v>
      </c>
      <c r="E715" s="1305">
        <v>15600</v>
      </c>
      <c r="F715" s="1306" t="s">
        <v>3599</v>
      </c>
      <c r="G715" s="1307" t="s">
        <v>3600</v>
      </c>
      <c r="H715" s="1307" t="s">
        <v>1603</v>
      </c>
      <c r="I715" s="1307" t="s">
        <v>1598</v>
      </c>
      <c r="J715" s="1308" t="s">
        <v>1604</v>
      </c>
      <c r="K715" s="1309">
        <v>1</v>
      </c>
      <c r="L715" s="1310">
        <v>5</v>
      </c>
      <c r="M715" s="1311">
        <v>78620</v>
      </c>
      <c r="N715" s="1312">
        <v>0</v>
      </c>
      <c r="O715" s="1310" t="s">
        <v>1633</v>
      </c>
      <c r="P715" s="1313">
        <v>0</v>
      </c>
    </row>
    <row r="716" spans="1:16" ht="22.5" x14ac:dyDescent="0.2">
      <c r="A716" s="1302" t="s">
        <v>292</v>
      </c>
      <c r="B716" s="1303" t="s">
        <v>1141</v>
      </c>
      <c r="C716" s="1303" t="s">
        <v>98</v>
      </c>
      <c r="D716" s="1304" t="s">
        <v>1669</v>
      </c>
      <c r="E716" s="1305">
        <v>7000</v>
      </c>
      <c r="F716" s="1306" t="s">
        <v>3601</v>
      </c>
      <c r="G716" s="1307" t="s">
        <v>3602</v>
      </c>
      <c r="H716" s="1307" t="s">
        <v>1690</v>
      </c>
      <c r="I716" s="1307" t="s">
        <v>1598</v>
      </c>
      <c r="J716" s="1308" t="s">
        <v>1616</v>
      </c>
      <c r="K716" s="1309">
        <v>1</v>
      </c>
      <c r="L716" s="1310">
        <v>6</v>
      </c>
      <c r="M716" s="1311">
        <v>40133.339999999997</v>
      </c>
      <c r="N716" s="1312">
        <v>1</v>
      </c>
      <c r="O716" s="1310">
        <v>6</v>
      </c>
      <c r="P716" s="1313">
        <v>42000</v>
      </c>
    </row>
    <row r="717" spans="1:16" ht="22.5" x14ac:dyDescent="0.2">
      <c r="A717" s="1302" t="s">
        <v>292</v>
      </c>
      <c r="B717" s="1303" t="s">
        <v>1141</v>
      </c>
      <c r="C717" s="1303" t="s">
        <v>98</v>
      </c>
      <c r="D717" s="1304" t="s">
        <v>1679</v>
      </c>
      <c r="E717" s="1305">
        <v>8000</v>
      </c>
      <c r="F717" s="1306" t="s">
        <v>3603</v>
      </c>
      <c r="G717" s="1307" t="s">
        <v>3604</v>
      </c>
      <c r="H717" s="1307" t="s">
        <v>1686</v>
      </c>
      <c r="I717" s="1307" t="s">
        <v>1598</v>
      </c>
      <c r="J717" s="1308" t="s">
        <v>1604</v>
      </c>
      <c r="K717" s="1309">
        <v>1</v>
      </c>
      <c r="L717" s="1310">
        <v>3</v>
      </c>
      <c r="M717" s="1311">
        <v>24000</v>
      </c>
      <c r="N717" s="1312">
        <v>0</v>
      </c>
      <c r="O717" s="1310" t="s">
        <v>1633</v>
      </c>
      <c r="P717" s="1313">
        <v>0</v>
      </c>
    </row>
    <row r="718" spans="1:16" x14ac:dyDescent="0.2">
      <c r="A718" s="1302" t="s">
        <v>292</v>
      </c>
      <c r="B718" s="1303" t="s">
        <v>1141</v>
      </c>
      <c r="C718" s="1303" t="s">
        <v>98</v>
      </c>
      <c r="D718" s="1304" t="s">
        <v>1600</v>
      </c>
      <c r="E718" s="1305">
        <v>8000</v>
      </c>
      <c r="F718" s="1306" t="s">
        <v>3605</v>
      </c>
      <c r="G718" s="1307" t="s">
        <v>3606</v>
      </c>
      <c r="H718" s="1307" t="s">
        <v>1620</v>
      </c>
      <c r="I718" s="1307" t="s">
        <v>1598</v>
      </c>
      <c r="J718" s="1308" t="s">
        <v>1604</v>
      </c>
      <c r="K718" s="1309">
        <v>1</v>
      </c>
      <c r="L718" s="1310">
        <v>12</v>
      </c>
      <c r="M718" s="1311">
        <v>96300</v>
      </c>
      <c r="N718" s="1312">
        <v>1</v>
      </c>
      <c r="O718" s="1310">
        <v>6</v>
      </c>
      <c r="P718" s="1313">
        <v>48000</v>
      </c>
    </row>
    <row r="719" spans="1:16" x14ac:dyDescent="0.2">
      <c r="A719" s="1302" t="s">
        <v>292</v>
      </c>
      <c r="B719" s="1303" t="s">
        <v>1141</v>
      </c>
      <c r="C719" s="1303" t="s">
        <v>98</v>
      </c>
      <c r="D719" s="1304" t="s">
        <v>2016</v>
      </c>
      <c r="E719" s="1305">
        <v>7000</v>
      </c>
      <c r="F719" s="1306" t="s">
        <v>3607</v>
      </c>
      <c r="G719" s="1307" t="s">
        <v>3608</v>
      </c>
      <c r="H719" s="1307" t="s">
        <v>1603</v>
      </c>
      <c r="I719" s="1307" t="s">
        <v>1598</v>
      </c>
      <c r="J719" s="1308" t="s">
        <v>1616</v>
      </c>
      <c r="K719" s="1309">
        <v>1</v>
      </c>
      <c r="L719" s="1310">
        <v>2</v>
      </c>
      <c r="M719" s="1311">
        <v>19133.260000000002</v>
      </c>
      <c r="N719" s="1312">
        <v>1</v>
      </c>
      <c r="O719" s="1310">
        <v>6</v>
      </c>
      <c r="P719" s="1313">
        <v>42000</v>
      </c>
    </row>
    <row r="720" spans="1:16" ht="22.5" x14ac:dyDescent="0.2">
      <c r="A720" s="1302" t="s">
        <v>292</v>
      </c>
      <c r="B720" s="1303" t="s">
        <v>1141</v>
      </c>
      <c r="C720" s="1303" t="s">
        <v>98</v>
      </c>
      <c r="D720" s="1304" t="s">
        <v>3609</v>
      </c>
      <c r="E720" s="1305">
        <v>7000</v>
      </c>
      <c r="F720" s="1306" t="s">
        <v>3610</v>
      </c>
      <c r="G720" s="1307" t="s">
        <v>3611</v>
      </c>
      <c r="H720" s="1307" t="s">
        <v>1686</v>
      </c>
      <c r="I720" s="1307" t="s">
        <v>1598</v>
      </c>
      <c r="J720" s="1308" t="s">
        <v>1604</v>
      </c>
      <c r="K720" s="1309">
        <v>1</v>
      </c>
      <c r="L720" s="1310">
        <v>12</v>
      </c>
      <c r="M720" s="1311">
        <v>84300</v>
      </c>
      <c r="N720" s="1312">
        <v>1</v>
      </c>
      <c r="O720" s="1310">
        <v>6</v>
      </c>
      <c r="P720" s="1313">
        <v>42000</v>
      </c>
    </row>
    <row r="721" spans="1:16" x14ac:dyDescent="0.2">
      <c r="A721" s="1302" t="s">
        <v>292</v>
      </c>
      <c r="B721" s="1303" t="s">
        <v>1141</v>
      </c>
      <c r="C721" s="1303" t="s">
        <v>98</v>
      </c>
      <c r="D721" s="1304" t="s">
        <v>3058</v>
      </c>
      <c r="E721" s="1305">
        <v>6000</v>
      </c>
      <c r="F721" s="1306" t="s">
        <v>3612</v>
      </c>
      <c r="G721" s="1307" t="s">
        <v>3613</v>
      </c>
      <c r="H721" s="1307" t="s">
        <v>1608</v>
      </c>
      <c r="I721" s="1307" t="s">
        <v>1598</v>
      </c>
      <c r="J721" s="1308" t="s">
        <v>1604</v>
      </c>
      <c r="K721" s="1309">
        <v>1</v>
      </c>
      <c r="L721" s="1310">
        <v>12</v>
      </c>
      <c r="M721" s="1311">
        <v>72300</v>
      </c>
      <c r="N721" s="1312">
        <v>1</v>
      </c>
      <c r="O721" s="1310">
        <v>6</v>
      </c>
      <c r="P721" s="1313">
        <v>36000</v>
      </c>
    </row>
    <row r="722" spans="1:16" x14ac:dyDescent="0.2">
      <c r="A722" s="1302" t="s">
        <v>292</v>
      </c>
      <c r="B722" s="1303" t="s">
        <v>1141</v>
      </c>
      <c r="C722" s="1303" t="s">
        <v>98</v>
      </c>
      <c r="D722" s="1304" t="s">
        <v>1781</v>
      </c>
      <c r="E722" s="1305">
        <v>2000</v>
      </c>
      <c r="F722" s="1306" t="s">
        <v>3614</v>
      </c>
      <c r="G722" s="1307" t="s">
        <v>3615</v>
      </c>
      <c r="H722" s="1307" t="s">
        <v>1603</v>
      </c>
      <c r="I722" s="1307" t="s">
        <v>1621</v>
      </c>
      <c r="J722" s="1308" t="s">
        <v>1604</v>
      </c>
      <c r="K722" s="1309">
        <v>1</v>
      </c>
      <c r="L722" s="1310">
        <v>12</v>
      </c>
      <c r="M722" s="1311">
        <v>24300</v>
      </c>
      <c r="N722" s="1312">
        <v>1</v>
      </c>
      <c r="O722" s="1310">
        <v>6</v>
      </c>
      <c r="P722" s="1313">
        <v>12000</v>
      </c>
    </row>
    <row r="723" spans="1:16" ht="22.5" x14ac:dyDescent="0.2">
      <c r="A723" s="1302" t="s">
        <v>292</v>
      </c>
      <c r="B723" s="1303" t="s">
        <v>1141</v>
      </c>
      <c r="C723" s="1303" t="s">
        <v>98</v>
      </c>
      <c r="D723" s="1304" t="s">
        <v>3616</v>
      </c>
      <c r="E723" s="1305">
        <v>8000</v>
      </c>
      <c r="F723" s="1306" t="s">
        <v>3617</v>
      </c>
      <c r="G723" s="1307" t="s">
        <v>3618</v>
      </c>
      <c r="H723" s="1307" t="s">
        <v>1603</v>
      </c>
      <c r="I723" s="1307" t="s">
        <v>1598</v>
      </c>
      <c r="J723" s="1308" t="s">
        <v>1604</v>
      </c>
      <c r="K723" s="1309">
        <v>1</v>
      </c>
      <c r="L723" s="1310">
        <v>12</v>
      </c>
      <c r="M723" s="1311">
        <v>96300</v>
      </c>
      <c r="N723" s="1312">
        <v>1</v>
      </c>
      <c r="O723" s="1310">
        <v>6</v>
      </c>
      <c r="P723" s="1313">
        <v>48000</v>
      </c>
    </row>
    <row r="724" spans="1:16" ht="22.5" x14ac:dyDescent="0.2">
      <c r="A724" s="1302" t="s">
        <v>292</v>
      </c>
      <c r="B724" s="1303" t="s">
        <v>1141</v>
      </c>
      <c r="C724" s="1303" t="s">
        <v>98</v>
      </c>
      <c r="D724" s="1304" t="s">
        <v>2258</v>
      </c>
      <c r="E724" s="1305">
        <v>8000</v>
      </c>
      <c r="F724" s="1306" t="s">
        <v>3619</v>
      </c>
      <c r="G724" s="1307" t="s">
        <v>3620</v>
      </c>
      <c r="H724" s="1307" t="s">
        <v>1686</v>
      </c>
      <c r="I724" s="1307" t="s">
        <v>1698</v>
      </c>
      <c r="J724" s="1308" t="s">
        <v>1616</v>
      </c>
      <c r="K724" s="1309">
        <v>1</v>
      </c>
      <c r="L724" s="1310">
        <v>4</v>
      </c>
      <c r="M724" s="1311">
        <v>30933.33</v>
      </c>
      <c r="N724" s="1312">
        <v>1</v>
      </c>
      <c r="O724" s="1310">
        <v>6</v>
      </c>
      <c r="P724" s="1313">
        <v>48000</v>
      </c>
    </row>
    <row r="725" spans="1:16" ht="22.5" x14ac:dyDescent="0.2">
      <c r="A725" s="1302" t="s">
        <v>292</v>
      </c>
      <c r="B725" s="1303" t="s">
        <v>1141</v>
      </c>
      <c r="C725" s="1303" t="s">
        <v>98</v>
      </c>
      <c r="D725" s="1304" t="s">
        <v>3621</v>
      </c>
      <c r="E725" s="1305">
        <v>10000</v>
      </c>
      <c r="F725" s="1306" t="s">
        <v>3622</v>
      </c>
      <c r="G725" s="1307" t="s">
        <v>3623</v>
      </c>
      <c r="H725" s="1307" t="s">
        <v>1655</v>
      </c>
      <c r="I725" s="1307" t="s">
        <v>1598</v>
      </c>
      <c r="J725" s="1308" t="s">
        <v>1604</v>
      </c>
      <c r="K725" s="1309">
        <v>1</v>
      </c>
      <c r="L725" s="1310">
        <v>12</v>
      </c>
      <c r="M725" s="1311">
        <v>120300</v>
      </c>
      <c r="N725" s="1312">
        <v>1</v>
      </c>
      <c r="O725" s="1310">
        <v>6</v>
      </c>
      <c r="P725" s="1313">
        <v>60000</v>
      </c>
    </row>
    <row r="726" spans="1:16" ht="22.5" x14ac:dyDescent="0.2">
      <c r="A726" s="1302" t="s">
        <v>292</v>
      </c>
      <c r="B726" s="1303" t="s">
        <v>1141</v>
      </c>
      <c r="C726" s="1303" t="s">
        <v>98</v>
      </c>
      <c r="D726" s="1304" t="s">
        <v>3624</v>
      </c>
      <c r="E726" s="1305">
        <v>7000</v>
      </c>
      <c r="F726" s="1306" t="s">
        <v>3625</v>
      </c>
      <c r="G726" s="1307" t="s">
        <v>3626</v>
      </c>
      <c r="H726" s="1307" t="s">
        <v>1612</v>
      </c>
      <c r="I726" s="1307" t="s">
        <v>1616</v>
      </c>
      <c r="J726" s="1308" t="s">
        <v>1616</v>
      </c>
      <c r="K726" s="1309">
        <v>1</v>
      </c>
      <c r="L726" s="1310">
        <v>6</v>
      </c>
      <c r="M726" s="1311">
        <v>40366.67</v>
      </c>
      <c r="N726" s="1312">
        <v>1</v>
      </c>
      <c r="O726" s="1310">
        <v>6</v>
      </c>
      <c r="P726" s="1313">
        <v>42000</v>
      </c>
    </row>
    <row r="727" spans="1:16" x14ac:dyDescent="0.2">
      <c r="A727" s="1302" t="s">
        <v>292</v>
      </c>
      <c r="B727" s="1303" t="s">
        <v>1141</v>
      </c>
      <c r="C727" s="1303" t="s">
        <v>98</v>
      </c>
      <c r="D727" s="1314" t="s">
        <v>2841</v>
      </c>
      <c r="E727" s="1305">
        <v>6000</v>
      </c>
      <c r="F727" s="1306" t="s">
        <v>3627</v>
      </c>
      <c r="G727" s="1307" t="s">
        <v>3628</v>
      </c>
      <c r="H727" s="1315" t="s">
        <v>1664</v>
      </c>
      <c r="I727" s="1315" t="s">
        <v>1616</v>
      </c>
      <c r="J727" s="1316" t="s">
        <v>1616</v>
      </c>
      <c r="K727" s="1309">
        <v>0</v>
      </c>
      <c r="L727" s="1310" t="s">
        <v>1633</v>
      </c>
      <c r="M727" s="1311">
        <v>0</v>
      </c>
      <c r="N727" s="1312">
        <v>1</v>
      </c>
      <c r="O727" s="1310">
        <v>5</v>
      </c>
      <c r="P727" s="1313">
        <v>30000</v>
      </c>
    </row>
    <row r="728" spans="1:16" ht="22.5" x14ac:dyDescent="0.2">
      <c r="A728" s="1302" t="s">
        <v>292</v>
      </c>
      <c r="B728" s="1303" t="s">
        <v>1141</v>
      </c>
      <c r="C728" s="1303" t="s">
        <v>98</v>
      </c>
      <c r="D728" s="1304" t="s">
        <v>3629</v>
      </c>
      <c r="E728" s="1305">
        <v>7000</v>
      </c>
      <c r="F728" s="1306" t="s">
        <v>3630</v>
      </c>
      <c r="G728" s="1307" t="s">
        <v>3631</v>
      </c>
      <c r="H728" s="1307" t="s">
        <v>1655</v>
      </c>
      <c r="I728" s="1307" t="s">
        <v>1598</v>
      </c>
      <c r="J728" s="1308" t="s">
        <v>1604</v>
      </c>
      <c r="K728" s="1309">
        <v>1</v>
      </c>
      <c r="L728" s="1310">
        <v>1</v>
      </c>
      <c r="M728" s="1311">
        <v>6300</v>
      </c>
      <c r="N728" s="1312">
        <v>0</v>
      </c>
      <c r="O728" s="1310" t="s">
        <v>1633</v>
      </c>
      <c r="P728" s="1313">
        <v>0</v>
      </c>
    </row>
    <row r="729" spans="1:16" x14ac:dyDescent="0.2">
      <c r="A729" s="1302" t="s">
        <v>292</v>
      </c>
      <c r="B729" s="1303" t="s">
        <v>1141</v>
      </c>
      <c r="C729" s="1303" t="s">
        <v>98</v>
      </c>
      <c r="D729" s="1304" t="s">
        <v>1781</v>
      </c>
      <c r="E729" s="1305">
        <v>3000</v>
      </c>
      <c r="F729" s="1306" t="s">
        <v>3632</v>
      </c>
      <c r="G729" s="1307" t="s">
        <v>3633</v>
      </c>
      <c r="H729" s="1307" t="s">
        <v>1856</v>
      </c>
      <c r="I729" s="1307" t="s">
        <v>1698</v>
      </c>
      <c r="J729" s="1308" t="s">
        <v>1599</v>
      </c>
      <c r="K729" s="1309">
        <v>1</v>
      </c>
      <c r="L729" s="1310">
        <v>12</v>
      </c>
      <c r="M729" s="1311">
        <v>36300</v>
      </c>
      <c r="N729" s="1312">
        <v>1</v>
      </c>
      <c r="O729" s="1310">
        <v>6</v>
      </c>
      <c r="P729" s="1313">
        <v>18000</v>
      </c>
    </row>
    <row r="730" spans="1:16" ht="22.5" x14ac:dyDescent="0.2">
      <c r="A730" s="1302" t="s">
        <v>292</v>
      </c>
      <c r="B730" s="1303" t="s">
        <v>1141</v>
      </c>
      <c r="C730" s="1303" t="s">
        <v>98</v>
      </c>
      <c r="D730" s="1304" t="s">
        <v>3634</v>
      </c>
      <c r="E730" s="1305">
        <v>10000</v>
      </c>
      <c r="F730" s="1306" t="s">
        <v>3635</v>
      </c>
      <c r="G730" s="1307" t="s">
        <v>3636</v>
      </c>
      <c r="H730" s="1307" t="s">
        <v>2825</v>
      </c>
      <c r="I730" s="1307" t="s">
        <v>1598</v>
      </c>
      <c r="J730" s="1308" t="s">
        <v>1604</v>
      </c>
      <c r="K730" s="1309">
        <v>1</v>
      </c>
      <c r="L730" s="1310">
        <v>5</v>
      </c>
      <c r="M730" s="1311">
        <v>51999.96</v>
      </c>
      <c r="N730" s="1312">
        <v>0</v>
      </c>
      <c r="O730" s="1310" t="s">
        <v>1633</v>
      </c>
      <c r="P730" s="1313">
        <v>0</v>
      </c>
    </row>
    <row r="731" spans="1:16" ht="22.5" x14ac:dyDescent="0.2">
      <c r="A731" s="1302" t="s">
        <v>292</v>
      </c>
      <c r="B731" s="1303" t="s">
        <v>1141</v>
      </c>
      <c r="C731" s="1303" t="s">
        <v>98</v>
      </c>
      <c r="D731" s="1304" t="s">
        <v>3637</v>
      </c>
      <c r="E731" s="1305">
        <v>6000</v>
      </c>
      <c r="F731" s="1306" t="s">
        <v>3638</v>
      </c>
      <c r="G731" s="1307" t="s">
        <v>3639</v>
      </c>
      <c r="H731" s="1307" t="s">
        <v>1690</v>
      </c>
      <c r="I731" s="1307" t="s">
        <v>1598</v>
      </c>
      <c r="J731" s="1308" t="s">
        <v>1616</v>
      </c>
      <c r="K731" s="1309">
        <v>1</v>
      </c>
      <c r="L731" s="1310">
        <v>6</v>
      </c>
      <c r="M731" s="1311">
        <v>34600</v>
      </c>
      <c r="N731" s="1312">
        <v>1</v>
      </c>
      <c r="O731" s="1310">
        <v>6</v>
      </c>
      <c r="P731" s="1313">
        <v>36000</v>
      </c>
    </row>
    <row r="732" spans="1:16" x14ac:dyDescent="0.2">
      <c r="A732" s="1302" t="s">
        <v>292</v>
      </c>
      <c r="B732" s="1303" t="s">
        <v>1141</v>
      </c>
      <c r="C732" s="1303" t="s">
        <v>98</v>
      </c>
      <c r="D732" s="1304" t="s">
        <v>3640</v>
      </c>
      <c r="E732" s="1305">
        <v>8000</v>
      </c>
      <c r="F732" s="1306" t="s">
        <v>3641</v>
      </c>
      <c r="G732" s="1307" t="s">
        <v>3642</v>
      </c>
      <c r="H732" s="1307" t="s">
        <v>1690</v>
      </c>
      <c r="I732" s="1307" t="s">
        <v>1598</v>
      </c>
      <c r="J732" s="1308" t="s">
        <v>1604</v>
      </c>
      <c r="K732" s="1309">
        <v>1</v>
      </c>
      <c r="L732" s="1310">
        <v>12</v>
      </c>
      <c r="M732" s="1311">
        <v>95775.55</v>
      </c>
      <c r="N732" s="1312">
        <v>1</v>
      </c>
      <c r="O732" s="1310">
        <v>6</v>
      </c>
      <c r="P732" s="1313">
        <v>47350.520000000004</v>
      </c>
    </row>
    <row r="733" spans="1:16" x14ac:dyDescent="0.2">
      <c r="A733" s="1302" t="s">
        <v>292</v>
      </c>
      <c r="B733" s="1303" t="s">
        <v>1141</v>
      </c>
      <c r="C733" s="1303" t="s">
        <v>98</v>
      </c>
      <c r="D733" s="1304" t="s">
        <v>3643</v>
      </c>
      <c r="E733" s="1305">
        <v>9100</v>
      </c>
      <c r="F733" s="1306" t="s">
        <v>3644</v>
      </c>
      <c r="G733" s="1307" t="s">
        <v>3645</v>
      </c>
      <c r="H733" s="1307" t="s">
        <v>1603</v>
      </c>
      <c r="I733" s="1307" t="s">
        <v>1598</v>
      </c>
      <c r="J733" s="1308" t="s">
        <v>1604</v>
      </c>
      <c r="K733" s="1309">
        <v>1</v>
      </c>
      <c r="L733" s="1310">
        <v>8</v>
      </c>
      <c r="M733" s="1311">
        <v>64918.880000000005</v>
      </c>
      <c r="N733" s="1312">
        <v>0</v>
      </c>
      <c r="O733" s="1310" t="s">
        <v>1633</v>
      </c>
      <c r="P733" s="1313">
        <v>0</v>
      </c>
    </row>
    <row r="734" spans="1:16" ht="22.5" x14ac:dyDescent="0.2">
      <c r="A734" s="1302" t="s">
        <v>292</v>
      </c>
      <c r="B734" s="1303" t="s">
        <v>1141</v>
      </c>
      <c r="C734" s="1303" t="s">
        <v>98</v>
      </c>
      <c r="D734" s="1304" t="s">
        <v>3646</v>
      </c>
      <c r="E734" s="1305">
        <v>7000</v>
      </c>
      <c r="F734" s="1306" t="s">
        <v>3647</v>
      </c>
      <c r="G734" s="1307" t="s">
        <v>3648</v>
      </c>
      <c r="H734" s="1307" t="s">
        <v>1612</v>
      </c>
      <c r="I734" s="1307" t="s">
        <v>1598</v>
      </c>
      <c r="J734" s="1308" t="s">
        <v>1604</v>
      </c>
      <c r="K734" s="1309">
        <v>1</v>
      </c>
      <c r="L734" s="1310">
        <v>10</v>
      </c>
      <c r="M734" s="1311">
        <v>70300</v>
      </c>
      <c r="N734" s="1312">
        <v>0</v>
      </c>
      <c r="O734" s="1310" t="s">
        <v>1633</v>
      </c>
      <c r="P734" s="1313">
        <v>0</v>
      </c>
    </row>
    <row r="735" spans="1:16" ht="6" customHeight="1" x14ac:dyDescent="0.2">
      <c r="A735" s="347"/>
      <c r="B735" s="307"/>
      <c r="C735" s="307"/>
      <c r="D735" s="314"/>
      <c r="E735" s="463"/>
      <c r="F735" s="307"/>
      <c r="G735" s="314"/>
      <c r="H735" s="314"/>
      <c r="I735" s="307"/>
      <c r="J735" s="465"/>
      <c r="K735" s="381"/>
      <c r="L735" s="383"/>
      <c r="M735" s="463"/>
      <c r="N735" s="381"/>
      <c r="O735" s="383"/>
      <c r="P735" s="377"/>
    </row>
    <row r="736" spans="1:16" ht="22.5" x14ac:dyDescent="0.2">
      <c r="A736" s="1343" t="s">
        <v>293</v>
      </c>
      <c r="B736" s="1318" t="s">
        <v>3649</v>
      </c>
      <c r="C736" s="1319" t="s">
        <v>98</v>
      </c>
      <c r="D736" s="690" t="s">
        <v>3650</v>
      </c>
      <c r="E736" s="1320">
        <v>4000</v>
      </c>
      <c r="F736" s="1321">
        <v>10090394</v>
      </c>
      <c r="G736" s="1322" t="s">
        <v>3651</v>
      </c>
      <c r="H736" s="1323" t="s">
        <v>3652</v>
      </c>
      <c r="I736" s="1324" t="s">
        <v>1599</v>
      </c>
      <c r="J736" s="1325" t="s">
        <v>1599</v>
      </c>
      <c r="K736" s="1317">
        <v>7</v>
      </c>
      <c r="L736" s="1326">
        <v>12</v>
      </c>
      <c r="M736" s="1327">
        <v>48000</v>
      </c>
      <c r="N736" s="1317" t="s">
        <v>3653</v>
      </c>
      <c r="O736" s="1326" t="s">
        <v>3654</v>
      </c>
      <c r="P736" s="1327">
        <v>24000</v>
      </c>
    </row>
    <row r="737" spans="1:16" ht="22.5" x14ac:dyDescent="0.2">
      <c r="A737" s="1343" t="s">
        <v>293</v>
      </c>
      <c r="B737" s="1318" t="s">
        <v>3649</v>
      </c>
      <c r="C737" s="1319" t="s">
        <v>98</v>
      </c>
      <c r="D737" s="690" t="s">
        <v>3650</v>
      </c>
      <c r="E737" s="1320">
        <v>4000</v>
      </c>
      <c r="F737" s="1321" t="s">
        <v>3655</v>
      </c>
      <c r="G737" s="1328" t="s">
        <v>3656</v>
      </c>
      <c r="H737" s="690" t="s">
        <v>3657</v>
      </c>
      <c r="I737" s="1319" t="s">
        <v>3658</v>
      </c>
      <c r="J737" s="1325" t="s">
        <v>3659</v>
      </c>
      <c r="K737" s="1329" t="s">
        <v>3660</v>
      </c>
      <c r="L737" s="133" t="s">
        <v>3661</v>
      </c>
      <c r="M737" s="1327">
        <v>32000</v>
      </c>
      <c r="N737" s="1317" t="s">
        <v>1633</v>
      </c>
      <c r="O737" s="1326" t="s">
        <v>1633</v>
      </c>
      <c r="P737" s="1327">
        <v>0</v>
      </c>
    </row>
    <row r="738" spans="1:16" x14ac:dyDescent="0.2">
      <c r="A738" s="1343" t="s">
        <v>293</v>
      </c>
      <c r="B738" s="1318" t="s">
        <v>3649</v>
      </c>
      <c r="C738" s="1319" t="s">
        <v>98</v>
      </c>
      <c r="D738" s="1328" t="s">
        <v>3662</v>
      </c>
      <c r="E738" s="1320">
        <v>5500</v>
      </c>
      <c r="F738" s="1321" t="s">
        <v>3663</v>
      </c>
      <c r="G738" s="1328" t="s">
        <v>3664</v>
      </c>
      <c r="H738" s="690" t="s">
        <v>3662</v>
      </c>
      <c r="I738" s="1319" t="s">
        <v>3658</v>
      </c>
      <c r="J738" s="1325" t="s">
        <v>3659</v>
      </c>
      <c r="K738" s="1329" t="s">
        <v>3665</v>
      </c>
      <c r="L738" s="133" t="s">
        <v>3666</v>
      </c>
      <c r="M738" s="1327">
        <v>66000</v>
      </c>
      <c r="N738" s="1317" t="s">
        <v>3653</v>
      </c>
      <c r="O738" s="1326" t="s">
        <v>3654</v>
      </c>
      <c r="P738" s="1327">
        <v>33000</v>
      </c>
    </row>
    <row r="739" spans="1:16" ht="22.5" x14ac:dyDescent="0.2">
      <c r="A739" s="1343" t="s">
        <v>293</v>
      </c>
      <c r="B739" s="1318" t="s">
        <v>3649</v>
      </c>
      <c r="C739" s="1319" t="s">
        <v>98</v>
      </c>
      <c r="D739" s="690" t="s">
        <v>3667</v>
      </c>
      <c r="E739" s="1320">
        <v>8000</v>
      </c>
      <c r="F739" s="1321" t="s">
        <v>3668</v>
      </c>
      <c r="G739" s="1328" t="s">
        <v>3669</v>
      </c>
      <c r="H739" s="690" t="s">
        <v>3670</v>
      </c>
      <c r="I739" s="1319" t="s">
        <v>3658</v>
      </c>
      <c r="J739" s="1325" t="s">
        <v>3670</v>
      </c>
      <c r="K739" s="1329" t="s">
        <v>3665</v>
      </c>
      <c r="L739" s="133" t="s">
        <v>3666</v>
      </c>
      <c r="M739" s="1327">
        <v>96000</v>
      </c>
      <c r="N739" s="1317" t="s">
        <v>3653</v>
      </c>
      <c r="O739" s="1326" t="s">
        <v>3654</v>
      </c>
      <c r="P739" s="1327">
        <v>24000</v>
      </c>
    </row>
    <row r="740" spans="1:16" x14ac:dyDescent="0.2">
      <c r="A740" s="1343" t="s">
        <v>293</v>
      </c>
      <c r="B740" s="1318" t="s">
        <v>3649</v>
      </c>
      <c r="C740" s="1319" t="s">
        <v>98</v>
      </c>
      <c r="D740" s="1328" t="s">
        <v>3671</v>
      </c>
      <c r="E740" s="1320">
        <v>7000</v>
      </c>
      <c r="F740" s="1321" t="s">
        <v>3672</v>
      </c>
      <c r="G740" s="1328" t="s">
        <v>3673</v>
      </c>
      <c r="H740" s="690" t="s">
        <v>3674</v>
      </c>
      <c r="I740" s="1319" t="s">
        <v>3658</v>
      </c>
      <c r="J740" s="1325" t="s">
        <v>3659</v>
      </c>
      <c r="K740" s="1329" t="s">
        <v>3665</v>
      </c>
      <c r="L740" s="133" t="s">
        <v>3666</v>
      </c>
      <c r="M740" s="1327">
        <v>84000</v>
      </c>
      <c r="N740" s="1317" t="s">
        <v>3653</v>
      </c>
      <c r="O740" s="1326" t="s">
        <v>3654</v>
      </c>
      <c r="P740" s="1327">
        <v>42000</v>
      </c>
    </row>
    <row r="741" spans="1:16" ht="22.5" x14ac:dyDescent="0.2">
      <c r="A741" s="1343" t="s">
        <v>293</v>
      </c>
      <c r="B741" s="1318" t="s">
        <v>3649</v>
      </c>
      <c r="C741" s="1319" t="s">
        <v>98</v>
      </c>
      <c r="D741" s="690" t="s">
        <v>3650</v>
      </c>
      <c r="E741" s="1320">
        <v>4000</v>
      </c>
      <c r="F741" s="1321" t="s">
        <v>3675</v>
      </c>
      <c r="G741" s="1328" t="s">
        <v>3676</v>
      </c>
      <c r="H741" s="690" t="s">
        <v>3677</v>
      </c>
      <c r="I741" s="1319" t="s">
        <v>3658</v>
      </c>
      <c r="J741" s="1325" t="s">
        <v>3677</v>
      </c>
      <c r="K741" s="1329" t="s">
        <v>1633</v>
      </c>
      <c r="L741" s="133" t="s">
        <v>1633</v>
      </c>
      <c r="M741" s="1327">
        <v>0</v>
      </c>
      <c r="N741" s="1317" t="s">
        <v>3678</v>
      </c>
      <c r="O741" s="1326" t="s">
        <v>3654</v>
      </c>
      <c r="P741" s="1327">
        <v>24000</v>
      </c>
    </row>
    <row r="742" spans="1:16" x14ac:dyDescent="0.2">
      <c r="A742" s="1343" t="s">
        <v>293</v>
      </c>
      <c r="B742" s="1318" t="s">
        <v>3649</v>
      </c>
      <c r="C742" s="1319" t="s">
        <v>98</v>
      </c>
      <c r="D742" s="1328" t="s">
        <v>1772</v>
      </c>
      <c r="E742" s="1320">
        <v>7000</v>
      </c>
      <c r="F742" s="1321" t="s">
        <v>1373</v>
      </c>
      <c r="G742" s="1328" t="s">
        <v>3679</v>
      </c>
      <c r="H742" s="690" t="s">
        <v>3670</v>
      </c>
      <c r="I742" s="1319" t="s">
        <v>3658</v>
      </c>
      <c r="J742" s="1325" t="s">
        <v>3670</v>
      </c>
      <c r="K742" s="1329" t="s">
        <v>3680</v>
      </c>
      <c r="L742" s="133" t="s">
        <v>3653</v>
      </c>
      <c r="M742" s="1327">
        <v>21000</v>
      </c>
      <c r="N742" s="1317" t="s">
        <v>3653</v>
      </c>
      <c r="O742" s="1326" t="s">
        <v>3654</v>
      </c>
      <c r="P742" s="1327">
        <v>42000</v>
      </c>
    </row>
    <row r="743" spans="1:16" x14ac:dyDescent="0.2">
      <c r="A743" s="1343" t="s">
        <v>293</v>
      </c>
      <c r="B743" s="1318" t="s">
        <v>3649</v>
      </c>
      <c r="C743" s="1319" t="s">
        <v>98</v>
      </c>
      <c r="D743" s="1328" t="s">
        <v>3681</v>
      </c>
      <c r="E743" s="1320">
        <v>7000</v>
      </c>
      <c r="F743" s="1321" t="s">
        <v>3682</v>
      </c>
      <c r="G743" s="1328" t="s">
        <v>3683</v>
      </c>
      <c r="H743" s="690" t="s">
        <v>3681</v>
      </c>
      <c r="I743" s="1319" t="s">
        <v>3658</v>
      </c>
      <c r="J743" s="1325" t="s">
        <v>3681</v>
      </c>
      <c r="K743" s="1329" t="s">
        <v>3680</v>
      </c>
      <c r="L743" s="133" t="s">
        <v>3653</v>
      </c>
      <c r="M743" s="1327">
        <v>21000</v>
      </c>
      <c r="N743" s="1317" t="s">
        <v>1633</v>
      </c>
      <c r="O743" s="1326" t="s">
        <v>1633</v>
      </c>
      <c r="P743" s="1327">
        <v>0</v>
      </c>
    </row>
    <row r="744" spans="1:16" x14ac:dyDescent="0.2">
      <c r="A744" s="1343" t="s">
        <v>293</v>
      </c>
      <c r="B744" s="1318" t="s">
        <v>3649</v>
      </c>
      <c r="C744" s="1319" t="s">
        <v>98</v>
      </c>
      <c r="D744" s="1328" t="s">
        <v>3671</v>
      </c>
      <c r="E744" s="1320">
        <v>7000</v>
      </c>
      <c r="F744" s="1321" t="s">
        <v>3684</v>
      </c>
      <c r="G744" s="1328" t="s">
        <v>3685</v>
      </c>
      <c r="H744" s="690" t="s">
        <v>3674</v>
      </c>
      <c r="I744" s="1319" t="s">
        <v>3658</v>
      </c>
      <c r="J744" s="1325" t="s">
        <v>3659</v>
      </c>
      <c r="K744" s="1329" t="s">
        <v>3665</v>
      </c>
      <c r="L744" s="133" t="s">
        <v>3666</v>
      </c>
      <c r="M744" s="1327">
        <v>84000</v>
      </c>
      <c r="N744" s="1317" t="s">
        <v>3653</v>
      </c>
      <c r="O744" s="1326" t="s">
        <v>3654</v>
      </c>
      <c r="P744" s="1327">
        <v>42000</v>
      </c>
    </row>
    <row r="745" spans="1:16" x14ac:dyDescent="0.2">
      <c r="A745" s="1343" t="s">
        <v>293</v>
      </c>
      <c r="B745" s="1318" t="s">
        <v>3649</v>
      </c>
      <c r="C745" s="1319" t="s">
        <v>98</v>
      </c>
      <c r="D745" s="1328" t="s">
        <v>3686</v>
      </c>
      <c r="E745" s="1320">
        <v>2500</v>
      </c>
      <c r="F745" s="1321" t="s">
        <v>3687</v>
      </c>
      <c r="G745" s="1328" t="s">
        <v>3688</v>
      </c>
      <c r="H745" s="690" t="s">
        <v>3689</v>
      </c>
      <c r="I745" s="1319" t="s">
        <v>1599</v>
      </c>
      <c r="J745" s="1325" t="s">
        <v>1599</v>
      </c>
      <c r="K745" s="1329" t="s">
        <v>3665</v>
      </c>
      <c r="L745" s="133" t="s">
        <v>3666</v>
      </c>
      <c r="M745" s="1327">
        <v>30000</v>
      </c>
      <c r="N745" s="1317" t="s">
        <v>3653</v>
      </c>
      <c r="O745" s="1326" t="s">
        <v>3654</v>
      </c>
      <c r="P745" s="1327">
        <v>15000</v>
      </c>
    </row>
    <row r="746" spans="1:16" x14ac:dyDescent="0.2">
      <c r="A746" s="1343" t="s">
        <v>293</v>
      </c>
      <c r="B746" s="1318" t="s">
        <v>3649</v>
      </c>
      <c r="C746" s="1319" t="s">
        <v>98</v>
      </c>
      <c r="D746" s="1328" t="s">
        <v>2722</v>
      </c>
      <c r="E746" s="1320">
        <v>7000</v>
      </c>
      <c r="F746" s="1321" t="s">
        <v>3690</v>
      </c>
      <c r="G746" s="1328" t="s">
        <v>3691</v>
      </c>
      <c r="H746" s="690" t="s">
        <v>3681</v>
      </c>
      <c r="I746" s="1319" t="s">
        <v>3658</v>
      </c>
      <c r="J746" s="1325" t="s">
        <v>3681</v>
      </c>
      <c r="K746" s="1329" t="s">
        <v>1633</v>
      </c>
      <c r="L746" s="133" t="s">
        <v>1633</v>
      </c>
      <c r="M746" s="1327">
        <v>0</v>
      </c>
      <c r="N746" s="1317" t="s">
        <v>3678</v>
      </c>
      <c r="O746" s="1326" t="s">
        <v>3654</v>
      </c>
      <c r="P746" s="1327">
        <v>42000</v>
      </c>
    </row>
    <row r="747" spans="1:16" ht="22.5" x14ac:dyDescent="0.2">
      <c r="A747" s="1343" t="s">
        <v>293</v>
      </c>
      <c r="B747" s="1318" t="s">
        <v>3649</v>
      </c>
      <c r="C747" s="1319" t="s">
        <v>98</v>
      </c>
      <c r="D747" s="690" t="s">
        <v>3692</v>
      </c>
      <c r="E747" s="1320">
        <v>6200</v>
      </c>
      <c r="F747" s="1321" t="s">
        <v>3693</v>
      </c>
      <c r="G747" s="1328" t="s">
        <v>3694</v>
      </c>
      <c r="H747" s="690" t="s">
        <v>3674</v>
      </c>
      <c r="I747" s="1319" t="s">
        <v>3658</v>
      </c>
      <c r="J747" s="1325" t="s">
        <v>3659</v>
      </c>
      <c r="K747" s="1329" t="s">
        <v>3665</v>
      </c>
      <c r="L747" s="133" t="s">
        <v>3666</v>
      </c>
      <c r="M747" s="1327">
        <v>74400</v>
      </c>
      <c r="N747" s="1317" t="s">
        <v>3653</v>
      </c>
      <c r="O747" s="1326" t="s">
        <v>3654</v>
      </c>
      <c r="P747" s="1327">
        <v>37200</v>
      </c>
    </row>
    <row r="748" spans="1:16" x14ac:dyDescent="0.2">
      <c r="A748" s="1343" t="s">
        <v>293</v>
      </c>
      <c r="B748" s="1318" t="s">
        <v>3649</v>
      </c>
      <c r="C748" s="1319" t="s">
        <v>98</v>
      </c>
      <c r="D748" s="690" t="s">
        <v>3695</v>
      </c>
      <c r="E748" s="1320">
        <v>6500</v>
      </c>
      <c r="F748" s="1321" t="s">
        <v>3696</v>
      </c>
      <c r="G748" s="1328" t="s">
        <v>3697</v>
      </c>
      <c r="H748" s="690" t="s">
        <v>3698</v>
      </c>
      <c r="I748" s="1319" t="s">
        <v>3658</v>
      </c>
      <c r="J748" s="1325" t="s">
        <v>3659</v>
      </c>
      <c r="K748" s="1329" t="s">
        <v>3665</v>
      </c>
      <c r="L748" s="133" t="s">
        <v>3666</v>
      </c>
      <c r="M748" s="1327">
        <v>78000</v>
      </c>
      <c r="N748" s="1317" t="s">
        <v>3653</v>
      </c>
      <c r="O748" s="1326" t="s">
        <v>3654</v>
      </c>
      <c r="P748" s="1327">
        <v>39000</v>
      </c>
    </row>
    <row r="749" spans="1:16" x14ac:dyDescent="0.2">
      <c r="A749" s="1343" t="s">
        <v>293</v>
      </c>
      <c r="B749" s="1318" t="s">
        <v>3649</v>
      </c>
      <c r="C749" s="1319" t="s">
        <v>98</v>
      </c>
      <c r="D749" s="1328" t="s">
        <v>3699</v>
      </c>
      <c r="E749" s="1320">
        <v>5500</v>
      </c>
      <c r="F749" s="1321" t="s">
        <v>3700</v>
      </c>
      <c r="G749" s="1328" t="s">
        <v>3701</v>
      </c>
      <c r="H749" s="690" t="s">
        <v>3674</v>
      </c>
      <c r="I749" s="1319" t="s">
        <v>3658</v>
      </c>
      <c r="J749" s="1325" t="s">
        <v>3659</v>
      </c>
      <c r="K749" s="1329" t="s">
        <v>3665</v>
      </c>
      <c r="L749" s="133" t="s">
        <v>3666</v>
      </c>
      <c r="M749" s="1327">
        <v>66000</v>
      </c>
      <c r="N749" s="1317" t="s">
        <v>3653</v>
      </c>
      <c r="O749" s="1326" t="s">
        <v>3654</v>
      </c>
      <c r="P749" s="1327">
        <v>33000</v>
      </c>
    </row>
    <row r="750" spans="1:16" ht="22.5" x14ac:dyDescent="0.2">
      <c r="A750" s="1343" t="s">
        <v>293</v>
      </c>
      <c r="B750" s="1318" t="s">
        <v>3649</v>
      </c>
      <c r="C750" s="1319" t="s">
        <v>98</v>
      </c>
      <c r="D750" s="690" t="s">
        <v>3702</v>
      </c>
      <c r="E750" s="1320">
        <v>5500</v>
      </c>
      <c r="F750" s="1321" t="s">
        <v>3703</v>
      </c>
      <c r="G750" s="1328" t="s">
        <v>3704</v>
      </c>
      <c r="H750" s="690" t="s">
        <v>3705</v>
      </c>
      <c r="I750" s="1319" t="s">
        <v>3658</v>
      </c>
      <c r="J750" s="132" t="s">
        <v>3706</v>
      </c>
      <c r="K750" s="1329" t="s">
        <v>3665</v>
      </c>
      <c r="L750" s="133" t="s">
        <v>3666</v>
      </c>
      <c r="M750" s="1327">
        <v>66000</v>
      </c>
      <c r="N750" s="1317" t="s">
        <v>3653</v>
      </c>
      <c r="O750" s="1326" t="s">
        <v>3654</v>
      </c>
      <c r="P750" s="1327">
        <v>33000</v>
      </c>
    </row>
    <row r="751" spans="1:16" x14ac:dyDescent="0.2">
      <c r="A751" s="1343" t="s">
        <v>293</v>
      </c>
      <c r="B751" s="1318" t="s">
        <v>3649</v>
      </c>
      <c r="C751" s="1319" t="s">
        <v>98</v>
      </c>
      <c r="D751" s="690" t="s">
        <v>3707</v>
      </c>
      <c r="E751" s="1320">
        <v>7000</v>
      </c>
      <c r="F751" s="1321" t="s">
        <v>3708</v>
      </c>
      <c r="G751" s="1328" t="s">
        <v>3709</v>
      </c>
      <c r="H751" s="690" t="s">
        <v>1732</v>
      </c>
      <c r="I751" s="1319" t="s">
        <v>3658</v>
      </c>
      <c r="J751" s="132" t="s">
        <v>3659</v>
      </c>
      <c r="K751" s="1329" t="s">
        <v>3680</v>
      </c>
      <c r="L751" s="133" t="s">
        <v>3680</v>
      </c>
      <c r="M751" s="1327">
        <v>7000</v>
      </c>
      <c r="N751" s="1317" t="s">
        <v>1633</v>
      </c>
      <c r="O751" s="1326" t="s">
        <v>1633</v>
      </c>
      <c r="P751" s="1327">
        <v>0</v>
      </c>
    </row>
    <row r="752" spans="1:16" x14ac:dyDescent="0.2">
      <c r="A752" s="1343" t="s">
        <v>293</v>
      </c>
      <c r="B752" s="1318" t="s">
        <v>3649</v>
      </c>
      <c r="C752" s="1319" t="s">
        <v>98</v>
      </c>
      <c r="D752" s="690" t="s">
        <v>3710</v>
      </c>
      <c r="E752" s="1320">
        <v>15500</v>
      </c>
      <c r="F752" s="1321" t="s">
        <v>1362</v>
      </c>
      <c r="G752" s="1328" t="s">
        <v>3711</v>
      </c>
      <c r="H752" s="690" t="s">
        <v>3674</v>
      </c>
      <c r="I752" s="1319" t="s">
        <v>3658</v>
      </c>
      <c r="J752" s="132" t="s">
        <v>3659</v>
      </c>
      <c r="K752" s="1329" t="s">
        <v>3680</v>
      </c>
      <c r="L752" s="133" t="s">
        <v>3653</v>
      </c>
      <c r="M752" s="1327">
        <v>46500</v>
      </c>
      <c r="N752" s="1317" t="s">
        <v>3653</v>
      </c>
      <c r="O752" s="1326" t="s">
        <v>3654</v>
      </c>
      <c r="P752" s="1327">
        <v>93000</v>
      </c>
    </row>
    <row r="753" spans="1:16" x14ac:dyDescent="0.2">
      <c r="A753" s="1343" t="s">
        <v>293</v>
      </c>
      <c r="B753" s="1318" t="s">
        <v>3649</v>
      </c>
      <c r="C753" s="1319" t="s">
        <v>98</v>
      </c>
      <c r="D753" s="1328" t="s">
        <v>3712</v>
      </c>
      <c r="E753" s="1320">
        <v>2500</v>
      </c>
      <c r="F753" s="1321" t="s">
        <v>3713</v>
      </c>
      <c r="G753" s="1328" t="s">
        <v>3714</v>
      </c>
      <c r="H753" s="690" t="s">
        <v>3689</v>
      </c>
      <c r="I753" s="1319" t="s">
        <v>1599</v>
      </c>
      <c r="J753" s="1325" t="s">
        <v>1599</v>
      </c>
      <c r="K753" s="1329" t="s">
        <v>3665</v>
      </c>
      <c r="L753" s="133" t="s">
        <v>3666</v>
      </c>
      <c r="M753" s="1327">
        <v>30000</v>
      </c>
      <c r="N753" s="1317" t="s">
        <v>3653</v>
      </c>
      <c r="O753" s="1326" t="s">
        <v>3654</v>
      </c>
      <c r="P753" s="1327">
        <v>15000</v>
      </c>
    </row>
    <row r="754" spans="1:16" x14ac:dyDescent="0.2">
      <c r="A754" s="1343" t="s">
        <v>293</v>
      </c>
      <c r="B754" s="1318" t="s">
        <v>3649</v>
      </c>
      <c r="C754" s="1319" t="s">
        <v>98</v>
      </c>
      <c r="D754" s="1328" t="s">
        <v>2722</v>
      </c>
      <c r="E754" s="1320">
        <v>7000</v>
      </c>
      <c r="F754" s="1321" t="s">
        <v>3715</v>
      </c>
      <c r="G754" s="1328" t="s">
        <v>3716</v>
      </c>
      <c r="H754" s="690" t="s">
        <v>3670</v>
      </c>
      <c r="I754" s="1319" t="s">
        <v>3658</v>
      </c>
      <c r="J754" s="1325" t="s">
        <v>3670</v>
      </c>
      <c r="K754" s="1329" t="s">
        <v>3680</v>
      </c>
      <c r="L754" s="133" t="s">
        <v>3653</v>
      </c>
      <c r="M754" s="1327">
        <v>21000</v>
      </c>
      <c r="N754" s="1317" t="s">
        <v>3653</v>
      </c>
      <c r="O754" s="1326" t="s">
        <v>3654</v>
      </c>
      <c r="P754" s="1327">
        <v>42000</v>
      </c>
    </row>
    <row r="755" spans="1:16" x14ac:dyDescent="0.2">
      <c r="A755" s="1343" t="s">
        <v>293</v>
      </c>
      <c r="B755" s="1318" t="s">
        <v>3649</v>
      </c>
      <c r="C755" s="1319" t="s">
        <v>98</v>
      </c>
      <c r="D755" s="690" t="s">
        <v>3717</v>
      </c>
      <c r="E755" s="1320">
        <v>2000</v>
      </c>
      <c r="F755" s="1321" t="s">
        <v>3718</v>
      </c>
      <c r="G755" s="1328" t="s">
        <v>3719</v>
      </c>
      <c r="H755" s="690" t="s">
        <v>3689</v>
      </c>
      <c r="I755" s="1319" t="s">
        <v>1599</v>
      </c>
      <c r="J755" s="1325" t="s">
        <v>1599</v>
      </c>
      <c r="K755" s="1329" t="s">
        <v>3665</v>
      </c>
      <c r="L755" s="133" t="s">
        <v>3666</v>
      </c>
      <c r="M755" s="1327">
        <v>24000</v>
      </c>
      <c r="N755" s="1317" t="s">
        <v>3653</v>
      </c>
      <c r="O755" s="1326" t="s">
        <v>3654</v>
      </c>
      <c r="P755" s="1327">
        <v>12000</v>
      </c>
    </row>
    <row r="756" spans="1:16" x14ac:dyDescent="0.2">
      <c r="A756" s="1343" t="s">
        <v>293</v>
      </c>
      <c r="B756" s="1318" t="s">
        <v>3649</v>
      </c>
      <c r="C756" s="1319" t="s">
        <v>98</v>
      </c>
      <c r="D756" s="690" t="s">
        <v>3681</v>
      </c>
      <c r="E756" s="1320">
        <v>7000</v>
      </c>
      <c r="F756" s="1321" t="s">
        <v>1377</v>
      </c>
      <c r="G756" s="1328" t="s">
        <v>3720</v>
      </c>
      <c r="H756" s="690" t="s">
        <v>3681</v>
      </c>
      <c r="I756" s="1319" t="s">
        <v>3658</v>
      </c>
      <c r="J756" s="1325" t="s">
        <v>3681</v>
      </c>
      <c r="K756" s="1329" t="s">
        <v>3680</v>
      </c>
      <c r="L756" s="133" t="s">
        <v>3653</v>
      </c>
      <c r="M756" s="1327">
        <v>21000</v>
      </c>
      <c r="N756" s="1317" t="s">
        <v>3653</v>
      </c>
      <c r="O756" s="1326" t="s">
        <v>3654</v>
      </c>
      <c r="P756" s="1327">
        <v>42000</v>
      </c>
    </row>
    <row r="757" spans="1:16" x14ac:dyDescent="0.2">
      <c r="A757" s="1343" t="s">
        <v>293</v>
      </c>
      <c r="B757" s="1318" t="s">
        <v>3649</v>
      </c>
      <c r="C757" s="1319" t="s">
        <v>98</v>
      </c>
      <c r="D757" s="1328" t="s">
        <v>3721</v>
      </c>
      <c r="E757" s="1320">
        <v>5000</v>
      </c>
      <c r="F757" s="1321" t="s">
        <v>3722</v>
      </c>
      <c r="G757" s="1328" t="s">
        <v>3723</v>
      </c>
      <c r="H757" s="690" t="s">
        <v>3724</v>
      </c>
      <c r="I757" s="1319" t="s">
        <v>3658</v>
      </c>
      <c r="J757" s="1325" t="s">
        <v>3724</v>
      </c>
      <c r="K757" s="1329" t="s">
        <v>3665</v>
      </c>
      <c r="L757" s="133" t="s">
        <v>3666</v>
      </c>
      <c r="M757" s="1327">
        <v>60000</v>
      </c>
      <c r="N757" s="1317" t="s">
        <v>3653</v>
      </c>
      <c r="O757" s="1326" t="s">
        <v>3654</v>
      </c>
      <c r="P757" s="1327">
        <v>30000</v>
      </c>
    </row>
    <row r="758" spans="1:16" x14ac:dyDescent="0.2">
      <c r="A758" s="1343" t="s">
        <v>293</v>
      </c>
      <c r="B758" s="1318" t="s">
        <v>3649</v>
      </c>
      <c r="C758" s="1319" t="s">
        <v>98</v>
      </c>
      <c r="D758" s="1328" t="s">
        <v>3699</v>
      </c>
      <c r="E758" s="1320">
        <v>7000</v>
      </c>
      <c r="F758" s="1321" t="s">
        <v>3725</v>
      </c>
      <c r="G758" s="1328" t="s">
        <v>3726</v>
      </c>
      <c r="H758" s="690" t="s">
        <v>3674</v>
      </c>
      <c r="I758" s="1319" t="s">
        <v>3658</v>
      </c>
      <c r="J758" s="1325" t="s">
        <v>3659</v>
      </c>
      <c r="K758" s="1329" t="s">
        <v>3665</v>
      </c>
      <c r="L758" s="133" t="s">
        <v>3666</v>
      </c>
      <c r="M758" s="1327">
        <v>84000</v>
      </c>
      <c r="N758" s="1317" t="s">
        <v>3653</v>
      </c>
      <c r="O758" s="1326" t="s">
        <v>3654</v>
      </c>
      <c r="P758" s="1327">
        <v>42000</v>
      </c>
    </row>
    <row r="759" spans="1:16" x14ac:dyDescent="0.2">
      <c r="A759" s="1343" t="s">
        <v>293</v>
      </c>
      <c r="B759" s="1318" t="s">
        <v>3649</v>
      </c>
      <c r="C759" s="1319" t="s">
        <v>98</v>
      </c>
      <c r="D759" s="1328" t="s">
        <v>3172</v>
      </c>
      <c r="E759" s="1320">
        <v>4000</v>
      </c>
      <c r="F759" s="1321" t="s">
        <v>3727</v>
      </c>
      <c r="G759" s="1328" t="s">
        <v>3728</v>
      </c>
      <c r="H759" s="690" t="s">
        <v>3724</v>
      </c>
      <c r="I759" s="1319" t="s">
        <v>3658</v>
      </c>
      <c r="J759" s="1325" t="s">
        <v>3724</v>
      </c>
      <c r="K759" s="1329" t="s">
        <v>1633</v>
      </c>
      <c r="L759" s="133" t="s">
        <v>1633</v>
      </c>
      <c r="M759" s="1327">
        <v>0</v>
      </c>
      <c r="N759" s="1317" t="s">
        <v>3678</v>
      </c>
      <c r="O759" s="1326" t="s">
        <v>3654</v>
      </c>
      <c r="P759" s="1327">
        <v>24000</v>
      </c>
    </row>
    <row r="760" spans="1:16" x14ac:dyDescent="0.2">
      <c r="A760" s="1343" t="s">
        <v>293</v>
      </c>
      <c r="B760" s="1318" t="s">
        <v>3649</v>
      </c>
      <c r="C760" s="1319" t="s">
        <v>98</v>
      </c>
      <c r="D760" s="1328" t="s">
        <v>3729</v>
      </c>
      <c r="E760" s="1320">
        <v>7000</v>
      </c>
      <c r="F760" s="1321" t="s">
        <v>3730</v>
      </c>
      <c r="G760" s="1328" t="s">
        <v>3731</v>
      </c>
      <c r="H760" s="690" t="s">
        <v>3674</v>
      </c>
      <c r="I760" s="1319" t="s">
        <v>3658</v>
      </c>
      <c r="J760" s="1325" t="s">
        <v>3659</v>
      </c>
      <c r="K760" s="1329" t="s">
        <v>3665</v>
      </c>
      <c r="L760" s="133" t="s">
        <v>3666</v>
      </c>
      <c r="M760" s="1327">
        <v>84000</v>
      </c>
      <c r="N760" s="1317" t="s">
        <v>3680</v>
      </c>
      <c r="O760" s="1326" t="s">
        <v>3680</v>
      </c>
      <c r="P760" s="1327">
        <v>7000</v>
      </c>
    </row>
    <row r="761" spans="1:16" ht="22.5" x14ac:dyDescent="0.2">
      <c r="A761" s="1343" t="s">
        <v>293</v>
      </c>
      <c r="B761" s="1318" t="s">
        <v>3649</v>
      </c>
      <c r="C761" s="1319" t="s">
        <v>98</v>
      </c>
      <c r="D761" s="690" t="s">
        <v>3732</v>
      </c>
      <c r="E761" s="1320">
        <v>9000</v>
      </c>
      <c r="F761" s="1321" t="s">
        <v>3733</v>
      </c>
      <c r="G761" s="1328" t="s">
        <v>3734</v>
      </c>
      <c r="H761" s="690" t="s">
        <v>3735</v>
      </c>
      <c r="I761" s="1319" t="s">
        <v>3658</v>
      </c>
      <c r="J761" s="1325" t="s">
        <v>3659</v>
      </c>
      <c r="K761" s="1329" t="s">
        <v>3665</v>
      </c>
      <c r="L761" s="133" t="s">
        <v>3666</v>
      </c>
      <c r="M761" s="1327">
        <v>108000</v>
      </c>
      <c r="N761" s="1317" t="s">
        <v>3653</v>
      </c>
      <c r="O761" s="1326" t="s">
        <v>3654</v>
      </c>
      <c r="P761" s="1327">
        <v>54000</v>
      </c>
    </row>
    <row r="762" spans="1:16" x14ac:dyDescent="0.2">
      <c r="A762" s="1343" t="s">
        <v>293</v>
      </c>
      <c r="B762" s="1318" t="s">
        <v>3649</v>
      </c>
      <c r="C762" s="1319" t="s">
        <v>98</v>
      </c>
      <c r="D762" s="1328" t="s">
        <v>1695</v>
      </c>
      <c r="E762" s="1320">
        <v>3000</v>
      </c>
      <c r="F762" s="1321" t="s">
        <v>3736</v>
      </c>
      <c r="G762" s="1328" t="s">
        <v>3737</v>
      </c>
      <c r="H762" s="690" t="s">
        <v>3738</v>
      </c>
      <c r="I762" s="1319" t="s">
        <v>1599</v>
      </c>
      <c r="J762" s="1325" t="s">
        <v>1599</v>
      </c>
      <c r="K762" s="1329" t="s">
        <v>3665</v>
      </c>
      <c r="L762" s="133" t="s">
        <v>3666</v>
      </c>
      <c r="M762" s="1327">
        <v>36000</v>
      </c>
      <c r="N762" s="1317" t="s">
        <v>3653</v>
      </c>
      <c r="O762" s="1326" t="s">
        <v>3654</v>
      </c>
      <c r="P762" s="1327">
        <v>18000</v>
      </c>
    </row>
    <row r="763" spans="1:16" x14ac:dyDescent="0.2">
      <c r="A763" s="1343" t="s">
        <v>293</v>
      </c>
      <c r="B763" s="1318" t="s">
        <v>3649</v>
      </c>
      <c r="C763" s="1319" t="s">
        <v>98</v>
      </c>
      <c r="D763" s="1328" t="s">
        <v>3371</v>
      </c>
      <c r="E763" s="1320">
        <v>4000</v>
      </c>
      <c r="F763" s="1321" t="s">
        <v>3739</v>
      </c>
      <c r="G763" s="1328" t="s">
        <v>3740</v>
      </c>
      <c r="H763" s="690" t="s">
        <v>3741</v>
      </c>
      <c r="I763" s="1319" t="s">
        <v>1616</v>
      </c>
      <c r="J763" s="1325" t="s">
        <v>3742</v>
      </c>
      <c r="K763" s="1329" t="s">
        <v>3665</v>
      </c>
      <c r="L763" s="133" t="s">
        <v>3666</v>
      </c>
      <c r="M763" s="1327">
        <v>48000</v>
      </c>
      <c r="N763" s="1317" t="s">
        <v>3653</v>
      </c>
      <c r="O763" s="1326" t="s">
        <v>3654</v>
      </c>
      <c r="P763" s="1327">
        <v>24000</v>
      </c>
    </row>
    <row r="764" spans="1:16" ht="22.5" x14ac:dyDescent="0.2">
      <c r="A764" s="1343" t="s">
        <v>293</v>
      </c>
      <c r="B764" s="1318" t="s">
        <v>3649</v>
      </c>
      <c r="C764" s="1319" t="s">
        <v>98</v>
      </c>
      <c r="D764" s="690" t="s">
        <v>3743</v>
      </c>
      <c r="E764" s="1320">
        <v>5000</v>
      </c>
      <c r="F764" s="1321" t="s">
        <v>3744</v>
      </c>
      <c r="G764" s="1328" t="s">
        <v>3745</v>
      </c>
      <c r="H764" s="690" t="s">
        <v>3724</v>
      </c>
      <c r="I764" s="1319" t="s">
        <v>3658</v>
      </c>
      <c r="J764" s="1325" t="s">
        <v>3724</v>
      </c>
      <c r="K764" s="1329" t="s">
        <v>3665</v>
      </c>
      <c r="L764" s="133" t="s">
        <v>3666</v>
      </c>
      <c r="M764" s="1327">
        <v>60000</v>
      </c>
      <c r="N764" s="1317" t="s">
        <v>3653</v>
      </c>
      <c r="O764" s="1326" t="s">
        <v>3654</v>
      </c>
      <c r="P764" s="1327">
        <v>30000</v>
      </c>
    </row>
    <row r="765" spans="1:16" x14ac:dyDescent="0.2">
      <c r="A765" s="1343" t="s">
        <v>293</v>
      </c>
      <c r="B765" s="1318" t="s">
        <v>3649</v>
      </c>
      <c r="C765" s="1319" t="s">
        <v>98</v>
      </c>
      <c r="D765" s="1328" t="s">
        <v>3746</v>
      </c>
      <c r="E765" s="1320">
        <v>7000</v>
      </c>
      <c r="F765" s="1321" t="s">
        <v>3747</v>
      </c>
      <c r="G765" s="1328" t="s">
        <v>3748</v>
      </c>
      <c r="H765" s="690" t="s">
        <v>3674</v>
      </c>
      <c r="I765" s="1319" t="s">
        <v>3658</v>
      </c>
      <c r="J765" s="1325" t="s">
        <v>3659</v>
      </c>
      <c r="K765" s="1329" t="s">
        <v>3665</v>
      </c>
      <c r="L765" s="133" t="s">
        <v>3666</v>
      </c>
      <c r="M765" s="1327">
        <v>84000</v>
      </c>
      <c r="N765" s="1317" t="s">
        <v>3653</v>
      </c>
      <c r="O765" s="1326" t="s">
        <v>3654</v>
      </c>
      <c r="P765" s="1327">
        <v>42000</v>
      </c>
    </row>
    <row r="766" spans="1:16" ht="22.5" x14ac:dyDescent="0.2">
      <c r="A766" s="1343" t="s">
        <v>293</v>
      </c>
      <c r="B766" s="1318" t="s">
        <v>3649</v>
      </c>
      <c r="C766" s="1319" t="s">
        <v>98</v>
      </c>
      <c r="D766" s="690" t="s">
        <v>3749</v>
      </c>
      <c r="E766" s="1320">
        <v>5500</v>
      </c>
      <c r="F766" s="1321" t="s">
        <v>3750</v>
      </c>
      <c r="G766" s="1328" t="s">
        <v>3751</v>
      </c>
      <c r="H766" s="690" t="s">
        <v>3657</v>
      </c>
      <c r="I766" s="1319" t="s">
        <v>3658</v>
      </c>
      <c r="J766" s="1325" t="s">
        <v>3659</v>
      </c>
      <c r="K766" s="1329" t="s">
        <v>3665</v>
      </c>
      <c r="L766" s="133" t="s">
        <v>3666</v>
      </c>
      <c r="M766" s="1327">
        <v>66000</v>
      </c>
      <c r="N766" s="1317" t="s">
        <v>3653</v>
      </c>
      <c r="O766" s="1326" t="s">
        <v>3654</v>
      </c>
      <c r="P766" s="1327">
        <v>33000</v>
      </c>
    </row>
    <row r="767" spans="1:16" x14ac:dyDescent="0.2">
      <c r="A767" s="1343" t="s">
        <v>293</v>
      </c>
      <c r="B767" s="1318" t="s">
        <v>3649</v>
      </c>
      <c r="C767" s="1319" t="s">
        <v>98</v>
      </c>
      <c r="D767" s="1328" t="s">
        <v>3671</v>
      </c>
      <c r="E767" s="1320">
        <v>7000</v>
      </c>
      <c r="F767" s="1321" t="s">
        <v>3752</v>
      </c>
      <c r="G767" s="1328" t="s">
        <v>3753</v>
      </c>
      <c r="H767" s="690" t="s">
        <v>3674</v>
      </c>
      <c r="I767" s="1319" t="s">
        <v>3658</v>
      </c>
      <c r="J767" s="1325" t="s">
        <v>3659</v>
      </c>
      <c r="K767" s="1329" t="s">
        <v>3665</v>
      </c>
      <c r="L767" s="133" t="s">
        <v>3666</v>
      </c>
      <c r="M767" s="1327">
        <v>84000</v>
      </c>
      <c r="N767" s="1317" t="s">
        <v>3653</v>
      </c>
      <c r="O767" s="1326" t="s">
        <v>3654</v>
      </c>
      <c r="P767" s="1327">
        <v>42000</v>
      </c>
    </row>
    <row r="768" spans="1:16" x14ac:dyDescent="0.2">
      <c r="A768" s="1343" t="s">
        <v>293</v>
      </c>
      <c r="B768" s="1318" t="s">
        <v>3649</v>
      </c>
      <c r="C768" s="1319" t="s">
        <v>98</v>
      </c>
      <c r="D768" s="1328" t="s">
        <v>1695</v>
      </c>
      <c r="E768" s="1320">
        <v>3000</v>
      </c>
      <c r="F768" s="1321" t="s">
        <v>3754</v>
      </c>
      <c r="G768" s="1328" t="s">
        <v>3755</v>
      </c>
      <c r="H768" s="690" t="s">
        <v>3756</v>
      </c>
      <c r="I768" s="1319" t="s">
        <v>1599</v>
      </c>
      <c r="J768" s="1325" t="s">
        <v>1599</v>
      </c>
      <c r="K768" s="1329" t="s">
        <v>3665</v>
      </c>
      <c r="L768" s="133" t="s">
        <v>3666</v>
      </c>
      <c r="M768" s="1327">
        <v>36000</v>
      </c>
      <c r="N768" s="1317" t="s">
        <v>3653</v>
      </c>
      <c r="O768" s="1326" t="s">
        <v>3654</v>
      </c>
      <c r="P768" s="1327">
        <v>18000</v>
      </c>
    </row>
    <row r="769" spans="1:16" x14ac:dyDescent="0.2">
      <c r="A769" s="1343" t="s">
        <v>293</v>
      </c>
      <c r="B769" s="1318" t="s">
        <v>3649</v>
      </c>
      <c r="C769" s="1319" t="s">
        <v>98</v>
      </c>
      <c r="D769" s="1328" t="s">
        <v>3746</v>
      </c>
      <c r="E769" s="1320">
        <v>7000</v>
      </c>
      <c r="F769" s="1321" t="s">
        <v>3757</v>
      </c>
      <c r="G769" s="1328" t="s">
        <v>3758</v>
      </c>
      <c r="H769" s="690" t="s">
        <v>3759</v>
      </c>
      <c r="I769" s="1319" t="s">
        <v>3658</v>
      </c>
      <c r="J769" s="1325" t="s">
        <v>3659</v>
      </c>
      <c r="K769" s="1329" t="s">
        <v>3665</v>
      </c>
      <c r="L769" s="133" t="s">
        <v>3666</v>
      </c>
      <c r="M769" s="1327">
        <v>84000</v>
      </c>
      <c r="N769" s="1317" t="s">
        <v>3653</v>
      </c>
      <c r="O769" s="1326" t="s">
        <v>3654</v>
      </c>
      <c r="P769" s="1327">
        <v>42000</v>
      </c>
    </row>
    <row r="770" spans="1:16" x14ac:dyDescent="0.2">
      <c r="A770" s="1343" t="s">
        <v>293</v>
      </c>
      <c r="B770" s="1318" t="s">
        <v>3649</v>
      </c>
      <c r="C770" s="1319" t="s">
        <v>98</v>
      </c>
      <c r="D770" s="1328" t="s">
        <v>3699</v>
      </c>
      <c r="E770" s="1320">
        <v>7000</v>
      </c>
      <c r="F770" s="1321" t="s">
        <v>3760</v>
      </c>
      <c r="G770" s="1328" t="s">
        <v>3761</v>
      </c>
      <c r="H770" s="690" t="s">
        <v>3674</v>
      </c>
      <c r="I770" s="1319" t="s">
        <v>3658</v>
      </c>
      <c r="J770" s="1325" t="s">
        <v>3659</v>
      </c>
      <c r="K770" s="1329" t="s">
        <v>3665</v>
      </c>
      <c r="L770" s="133" t="s">
        <v>3666</v>
      </c>
      <c r="M770" s="1327">
        <v>84000</v>
      </c>
      <c r="N770" s="1317" t="s">
        <v>3653</v>
      </c>
      <c r="O770" s="1326" t="s">
        <v>3654</v>
      </c>
      <c r="P770" s="1327">
        <v>42000</v>
      </c>
    </row>
    <row r="771" spans="1:16" x14ac:dyDescent="0.2">
      <c r="A771" s="1343" t="s">
        <v>293</v>
      </c>
      <c r="B771" s="1318" t="s">
        <v>3649</v>
      </c>
      <c r="C771" s="1319" t="s">
        <v>98</v>
      </c>
      <c r="D771" s="1328" t="s">
        <v>3746</v>
      </c>
      <c r="E771" s="1320">
        <v>7000</v>
      </c>
      <c r="F771" s="1321" t="s">
        <v>3762</v>
      </c>
      <c r="G771" s="1328" t="s">
        <v>3763</v>
      </c>
      <c r="H771" s="690" t="s">
        <v>3674</v>
      </c>
      <c r="I771" s="1319" t="s">
        <v>3658</v>
      </c>
      <c r="J771" s="1325" t="s">
        <v>3659</v>
      </c>
      <c r="K771" s="1329" t="s">
        <v>3665</v>
      </c>
      <c r="L771" s="133" t="s">
        <v>3666</v>
      </c>
      <c r="M771" s="1327">
        <v>84000</v>
      </c>
      <c r="N771" s="1317" t="s">
        <v>3653</v>
      </c>
      <c r="O771" s="1326" t="s">
        <v>3654</v>
      </c>
      <c r="P771" s="1327">
        <v>42000</v>
      </c>
    </row>
    <row r="772" spans="1:16" x14ac:dyDescent="0.2">
      <c r="A772" s="1343" t="s">
        <v>293</v>
      </c>
      <c r="B772" s="1318" t="s">
        <v>3649</v>
      </c>
      <c r="C772" s="1319" t="s">
        <v>98</v>
      </c>
      <c r="D772" s="1328" t="s">
        <v>3670</v>
      </c>
      <c r="E772" s="1320">
        <v>7000</v>
      </c>
      <c r="F772" s="1321" t="s">
        <v>3764</v>
      </c>
      <c r="G772" s="1328" t="s">
        <v>3765</v>
      </c>
      <c r="H772" s="690" t="s">
        <v>3670</v>
      </c>
      <c r="I772" s="1319" t="s">
        <v>3658</v>
      </c>
      <c r="J772" s="1325" t="s">
        <v>3670</v>
      </c>
      <c r="K772" s="1329" t="s">
        <v>3680</v>
      </c>
      <c r="L772" s="133" t="s">
        <v>3653</v>
      </c>
      <c r="M772" s="1327">
        <v>21000</v>
      </c>
      <c r="N772" s="1317" t="s">
        <v>1633</v>
      </c>
      <c r="O772" s="1326" t="s">
        <v>1633</v>
      </c>
      <c r="P772" s="1327">
        <v>0</v>
      </c>
    </row>
    <row r="773" spans="1:16" x14ac:dyDescent="0.2">
      <c r="A773" s="1343" t="s">
        <v>293</v>
      </c>
      <c r="B773" s="1318" t="s">
        <v>3649</v>
      </c>
      <c r="C773" s="1319" t="s">
        <v>98</v>
      </c>
      <c r="D773" s="1328" t="s">
        <v>3699</v>
      </c>
      <c r="E773" s="1320">
        <v>7000</v>
      </c>
      <c r="F773" s="1321" t="s">
        <v>3766</v>
      </c>
      <c r="G773" s="1328" t="s">
        <v>3767</v>
      </c>
      <c r="H773" s="690" t="s">
        <v>3735</v>
      </c>
      <c r="I773" s="1319" t="s">
        <v>3658</v>
      </c>
      <c r="J773" s="1325" t="s">
        <v>3659</v>
      </c>
      <c r="K773" s="1329" t="s">
        <v>3665</v>
      </c>
      <c r="L773" s="133" t="s">
        <v>3666</v>
      </c>
      <c r="M773" s="1327">
        <v>84000</v>
      </c>
      <c r="N773" s="1317" t="s">
        <v>3653</v>
      </c>
      <c r="O773" s="1326" t="s">
        <v>3654</v>
      </c>
      <c r="P773" s="1327">
        <v>42000</v>
      </c>
    </row>
    <row r="774" spans="1:16" x14ac:dyDescent="0.2">
      <c r="A774" s="1343" t="s">
        <v>293</v>
      </c>
      <c r="B774" s="1318" t="s">
        <v>3649</v>
      </c>
      <c r="C774" s="1319" t="s">
        <v>98</v>
      </c>
      <c r="D774" s="1328" t="s">
        <v>3768</v>
      </c>
      <c r="E774" s="1320">
        <v>2000</v>
      </c>
      <c r="F774" s="1321" t="s">
        <v>3769</v>
      </c>
      <c r="G774" s="1328" t="s">
        <v>3770</v>
      </c>
      <c r="H774" s="690" t="s">
        <v>3771</v>
      </c>
      <c r="I774" s="1319" t="s">
        <v>1599</v>
      </c>
      <c r="J774" s="1325" t="s">
        <v>1599</v>
      </c>
      <c r="K774" s="1329" t="s">
        <v>3665</v>
      </c>
      <c r="L774" s="133" t="s">
        <v>3666</v>
      </c>
      <c r="M774" s="1327">
        <v>24000</v>
      </c>
      <c r="N774" s="1317" t="s">
        <v>3653</v>
      </c>
      <c r="O774" s="1326" t="s">
        <v>3654</v>
      </c>
      <c r="P774" s="1327">
        <v>12000</v>
      </c>
    </row>
    <row r="775" spans="1:16" x14ac:dyDescent="0.2">
      <c r="A775" s="1343" t="s">
        <v>293</v>
      </c>
      <c r="B775" s="1318" t="s">
        <v>3649</v>
      </c>
      <c r="C775" s="1319" t="s">
        <v>98</v>
      </c>
      <c r="D775" s="1328" t="s">
        <v>1695</v>
      </c>
      <c r="E775" s="1320">
        <v>3000</v>
      </c>
      <c r="F775" s="1321" t="s">
        <v>3772</v>
      </c>
      <c r="G775" s="1328" t="s">
        <v>3773</v>
      </c>
      <c r="H775" s="690" t="s">
        <v>3756</v>
      </c>
      <c r="I775" s="1319" t="s">
        <v>1599</v>
      </c>
      <c r="J775" s="1325" t="s">
        <v>1599</v>
      </c>
      <c r="K775" s="1329" t="s">
        <v>3665</v>
      </c>
      <c r="L775" s="133" t="s">
        <v>3666</v>
      </c>
      <c r="M775" s="1327">
        <v>36000</v>
      </c>
      <c r="N775" s="1317" t="s">
        <v>3653</v>
      </c>
      <c r="O775" s="1326" t="s">
        <v>3654</v>
      </c>
      <c r="P775" s="1327">
        <v>18000</v>
      </c>
    </row>
    <row r="776" spans="1:16" x14ac:dyDescent="0.2">
      <c r="A776" s="1343" t="s">
        <v>293</v>
      </c>
      <c r="B776" s="1318" t="s">
        <v>3649</v>
      </c>
      <c r="C776" s="1319" t="s">
        <v>98</v>
      </c>
      <c r="D776" s="1328" t="s">
        <v>3774</v>
      </c>
      <c r="E776" s="1320">
        <v>4000</v>
      </c>
      <c r="F776" s="1321" t="s">
        <v>3775</v>
      </c>
      <c r="G776" s="1328" t="s">
        <v>3776</v>
      </c>
      <c r="H776" s="690" t="s">
        <v>3724</v>
      </c>
      <c r="I776" s="1319" t="s">
        <v>3658</v>
      </c>
      <c r="J776" s="1325" t="s">
        <v>3724</v>
      </c>
      <c r="K776" s="1329" t="s">
        <v>3777</v>
      </c>
      <c r="L776" s="133" t="s">
        <v>3778</v>
      </c>
      <c r="M776" s="1327">
        <v>36000</v>
      </c>
      <c r="N776" s="1317" t="s">
        <v>1633</v>
      </c>
      <c r="O776" s="1326" t="s">
        <v>1633</v>
      </c>
      <c r="P776" s="1327">
        <v>0</v>
      </c>
    </row>
    <row r="777" spans="1:16" x14ac:dyDescent="0.2">
      <c r="A777" s="1343" t="s">
        <v>293</v>
      </c>
      <c r="B777" s="1318" t="s">
        <v>3649</v>
      </c>
      <c r="C777" s="1319" t="s">
        <v>98</v>
      </c>
      <c r="D777" s="1328" t="s">
        <v>3779</v>
      </c>
      <c r="E777" s="1320">
        <v>5000</v>
      </c>
      <c r="F777" s="1321" t="s">
        <v>3775</v>
      </c>
      <c r="G777" s="1328" t="s">
        <v>3776</v>
      </c>
      <c r="H777" s="690" t="s">
        <v>3724</v>
      </c>
      <c r="I777" s="1319" t="s">
        <v>3658</v>
      </c>
      <c r="J777" s="1325" t="s">
        <v>3724</v>
      </c>
      <c r="K777" s="1329" t="s">
        <v>3680</v>
      </c>
      <c r="L777" s="133" t="s">
        <v>3653</v>
      </c>
      <c r="M777" s="1327">
        <v>15000</v>
      </c>
      <c r="N777" s="1317" t="s">
        <v>3653</v>
      </c>
      <c r="O777" s="1326" t="s">
        <v>3654</v>
      </c>
      <c r="P777" s="1327">
        <v>30000</v>
      </c>
    </row>
    <row r="778" spans="1:16" x14ac:dyDescent="0.2">
      <c r="A778" s="1343" t="s">
        <v>293</v>
      </c>
      <c r="B778" s="1318" t="s">
        <v>3649</v>
      </c>
      <c r="C778" s="1319" t="s">
        <v>98</v>
      </c>
      <c r="D778" s="1328" t="s">
        <v>3699</v>
      </c>
      <c r="E778" s="1320">
        <v>7000</v>
      </c>
      <c r="F778" s="1321" t="s">
        <v>3780</v>
      </c>
      <c r="G778" s="1328" t="s">
        <v>3781</v>
      </c>
      <c r="H778" s="690" t="s">
        <v>3674</v>
      </c>
      <c r="I778" s="1319" t="s">
        <v>3658</v>
      </c>
      <c r="J778" s="1325" t="s">
        <v>3659</v>
      </c>
      <c r="K778" s="1329" t="s">
        <v>3678</v>
      </c>
      <c r="L778" s="133" t="s">
        <v>3666</v>
      </c>
      <c r="M778" s="1327">
        <v>84000</v>
      </c>
      <c r="N778" s="1317" t="s">
        <v>3678</v>
      </c>
      <c r="O778" s="1326" t="s">
        <v>3654</v>
      </c>
      <c r="P778" s="1327">
        <v>42000</v>
      </c>
    </row>
    <row r="779" spans="1:16" ht="12.75" thickBot="1" x14ac:dyDescent="0.25">
      <c r="A779" s="1343" t="s">
        <v>293</v>
      </c>
      <c r="B779" s="1318" t="s">
        <v>3649</v>
      </c>
      <c r="C779" s="1319" t="s">
        <v>98</v>
      </c>
      <c r="D779" s="1328" t="s">
        <v>3746</v>
      </c>
      <c r="E779" s="1320">
        <v>7000</v>
      </c>
      <c r="F779" s="1321" t="s">
        <v>3782</v>
      </c>
      <c r="G779" s="1328" t="s">
        <v>3783</v>
      </c>
      <c r="H779" s="690" t="s">
        <v>3674</v>
      </c>
      <c r="I779" s="1319" t="s">
        <v>3658</v>
      </c>
      <c r="J779" s="1325" t="s">
        <v>3659</v>
      </c>
      <c r="K779" s="1329" t="s">
        <v>3665</v>
      </c>
      <c r="L779" s="133" t="s">
        <v>3666</v>
      </c>
      <c r="M779" s="1327">
        <v>84000</v>
      </c>
      <c r="N779" s="1317" t="s">
        <v>3653</v>
      </c>
      <c r="O779" s="1326" t="s">
        <v>3654</v>
      </c>
      <c r="P779" s="1327">
        <v>42000</v>
      </c>
    </row>
    <row r="780" spans="1:16" ht="12.75" thickBot="1" x14ac:dyDescent="0.25">
      <c r="A780" s="368"/>
      <c r="B780" s="370"/>
      <c r="C780" s="370"/>
      <c r="D780" s="349"/>
      <c r="E780" s="310"/>
      <c r="F780" s="370"/>
      <c r="G780" s="349"/>
      <c r="H780" s="349"/>
      <c r="I780" s="351"/>
      <c r="J780" s="308"/>
      <c r="K780" s="382"/>
      <c r="L780" s="384"/>
      <c r="M780" s="310"/>
      <c r="N780" s="382"/>
      <c r="O780" s="384"/>
      <c r="P780" s="378"/>
    </row>
    <row r="781" spans="1:16" x14ac:dyDescent="0.2">
      <c r="A781" s="462" t="s">
        <v>420</v>
      </c>
    </row>
    <row r="785" spans="1:16" ht="12.75" thickBot="1" x14ac:dyDescent="0.25"/>
    <row r="786" spans="1:16" ht="21" customHeight="1" thickBot="1" x14ac:dyDescent="0.25">
      <c r="A786" s="1349" t="s">
        <v>641</v>
      </c>
      <c r="B786" s="1350"/>
      <c r="C786" s="1350"/>
      <c r="D786" s="1350"/>
      <c r="E786" s="1351"/>
      <c r="F786" s="1350"/>
      <c r="G786" s="1350"/>
      <c r="H786" s="1350"/>
      <c r="I786" s="1350"/>
      <c r="J786" s="1350"/>
      <c r="K786" s="1352"/>
      <c r="L786" s="1352"/>
      <c r="M786" s="1351"/>
      <c r="N786" s="1352"/>
      <c r="O786" s="1352"/>
      <c r="P786" s="1353"/>
    </row>
    <row r="787" spans="1:16" ht="22.5" x14ac:dyDescent="0.2">
      <c r="A787" s="1344" t="s">
        <v>3784</v>
      </c>
      <c r="B787" s="1344" t="s">
        <v>3785</v>
      </c>
      <c r="C787" s="1344" t="s">
        <v>3786</v>
      </c>
      <c r="D787" s="1345" t="s">
        <v>3787</v>
      </c>
      <c r="E787" s="1346">
        <v>4000</v>
      </c>
      <c r="F787" s="1344" t="s">
        <v>3788</v>
      </c>
      <c r="G787" s="1345" t="s">
        <v>3789</v>
      </c>
      <c r="H787" s="1345" t="s">
        <v>3790</v>
      </c>
      <c r="I787" s="1344" t="s">
        <v>3791</v>
      </c>
      <c r="J787" s="1332" t="s">
        <v>3790</v>
      </c>
      <c r="K787" s="1347">
        <v>1</v>
      </c>
      <c r="L787" s="1347">
        <v>12</v>
      </c>
      <c r="M787" s="1348">
        <f t="shared" ref="M787:M850" si="0">E787*L787</f>
        <v>48000</v>
      </c>
      <c r="N787" s="1347">
        <v>1</v>
      </c>
      <c r="O787" s="1347">
        <v>9</v>
      </c>
      <c r="P787" s="1348">
        <f t="shared" ref="P787:P850" si="1">E787*O787</f>
        <v>36000</v>
      </c>
    </row>
    <row r="788" spans="1:16" ht="22.5" x14ac:dyDescent="0.2">
      <c r="A788" s="1318" t="s">
        <v>3784</v>
      </c>
      <c r="B788" s="1318" t="s">
        <v>3785</v>
      </c>
      <c r="C788" s="1318" t="s">
        <v>3786</v>
      </c>
      <c r="D788" s="1330" t="s">
        <v>3276</v>
      </c>
      <c r="E788" s="1331">
        <v>8000</v>
      </c>
      <c r="F788" s="1318" t="s">
        <v>3792</v>
      </c>
      <c r="G788" s="1330" t="s">
        <v>3793</v>
      </c>
      <c r="H788" s="1330" t="s">
        <v>3794</v>
      </c>
      <c r="I788" s="1318" t="s">
        <v>3791</v>
      </c>
      <c r="J788" s="1335" t="s">
        <v>3794</v>
      </c>
      <c r="K788" s="1333">
        <v>1</v>
      </c>
      <c r="L788" s="1333">
        <v>12</v>
      </c>
      <c r="M788" s="1334">
        <f t="shared" si="0"/>
        <v>96000</v>
      </c>
      <c r="N788" s="1333">
        <v>1</v>
      </c>
      <c r="O788" s="1333">
        <v>9</v>
      </c>
      <c r="P788" s="1334">
        <f t="shared" si="1"/>
        <v>72000</v>
      </c>
    </row>
    <row r="789" spans="1:16" ht="22.5" x14ac:dyDescent="0.2">
      <c r="A789" s="1318" t="s">
        <v>3784</v>
      </c>
      <c r="B789" s="1318" t="s">
        <v>3785</v>
      </c>
      <c r="C789" s="1318" t="s">
        <v>3786</v>
      </c>
      <c r="D789" s="1330" t="s">
        <v>3795</v>
      </c>
      <c r="E789" s="1331">
        <v>1700</v>
      </c>
      <c r="F789" s="1318" t="s">
        <v>3796</v>
      </c>
      <c r="G789" s="1330" t="s">
        <v>3797</v>
      </c>
      <c r="H789" s="1330" t="s">
        <v>3798</v>
      </c>
      <c r="I789" s="1318" t="s">
        <v>3798</v>
      </c>
      <c r="J789" s="1335" t="s">
        <v>3798</v>
      </c>
      <c r="K789" s="1333">
        <v>1</v>
      </c>
      <c r="L789" s="1333">
        <v>12</v>
      </c>
      <c r="M789" s="1334">
        <f t="shared" si="0"/>
        <v>20400</v>
      </c>
      <c r="N789" s="1333">
        <v>1</v>
      </c>
      <c r="O789" s="1333">
        <v>9</v>
      </c>
      <c r="P789" s="1334">
        <f t="shared" si="1"/>
        <v>15300</v>
      </c>
    </row>
    <row r="790" spans="1:16" ht="22.5" x14ac:dyDescent="0.2">
      <c r="A790" s="1318" t="s">
        <v>3784</v>
      </c>
      <c r="B790" s="1318" t="s">
        <v>3785</v>
      </c>
      <c r="C790" s="1318" t="s">
        <v>3786</v>
      </c>
      <c r="D790" s="1330" t="s">
        <v>3795</v>
      </c>
      <c r="E790" s="1331">
        <v>1700</v>
      </c>
      <c r="F790" s="1318" t="s">
        <v>3799</v>
      </c>
      <c r="G790" s="1330" t="s">
        <v>3800</v>
      </c>
      <c r="H790" s="1330" t="s">
        <v>3798</v>
      </c>
      <c r="I790" s="1318" t="s">
        <v>3798</v>
      </c>
      <c r="J790" s="1335" t="s">
        <v>3798</v>
      </c>
      <c r="K790" s="1333">
        <v>1</v>
      </c>
      <c r="L790" s="1333">
        <v>12</v>
      </c>
      <c r="M790" s="1334">
        <f t="shared" si="0"/>
        <v>20400</v>
      </c>
      <c r="N790" s="1333">
        <v>1</v>
      </c>
      <c r="O790" s="1333">
        <v>9</v>
      </c>
      <c r="P790" s="1334">
        <f t="shared" si="1"/>
        <v>15300</v>
      </c>
    </row>
    <row r="791" spans="1:16" x14ac:dyDescent="0.2">
      <c r="A791" s="1318" t="s">
        <v>3784</v>
      </c>
      <c r="B791" s="1318" t="s">
        <v>3785</v>
      </c>
      <c r="C791" s="1318" t="s">
        <v>3786</v>
      </c>
      <c r="D791" s="1330" t="s">
        <v>3801</v>
      </c>
      <c r="E791" s="1331">
        <v>7000</v>
      </c>
      <c r="F791" s="1318" t="s">
        <v>3802</v>
      </c>
      <c r="G791" s="1330" t="s">
        <v>3803</v>
      </c>
      <c r="H791" s="1330" t="s">
        <v>3742</v>
      </c>
      <c r="I791" s="1318" t="s">
        <v>3791</v>
      </c>
      <c r="J791" s="1335" t="s">
        <v>3742</v>
      </c>
      <c r="K791" s="1333">
        <v>1</v>
      </c>
      <c r="L791" s="1333">
        <v>12</v>
      </c>
      <c r="M791" s="1334">
        <f t="shared" si="0"/>
        <v>84000</v>
      </c>
      <c r="N791" s="1333">
        <v>1</v>
      </c>
      <c r="O791" s="1333">
        <v>2</v>
      </c>
      <c r="P791" s="1334">
        <f t="shared" si="1"/>
        <v>14000</v>
      </c>
    </row>
    <row r="792" spans="1:16" ht="22.5" x14ac:dyDescent="0.2">
      <c r="A792" s="1318" t="s">
        <v>3784</v>
      </c>
      <c r="B792" s="1318" t="s">
        <v>3785</v>
      </c>
      <c r="C792" s="1336" t="s">
        <v>3804</v>
      </c>
      <c r="D792" s="1330" t="s">
        <v>1772</v>
      </c>
      <c r="E792" s="1331">
        <v>5000</v>
      </c>
      <c r="F792" s="1318" t="s">
        <v>3805</v>
      </c>
      <c r="G792" s="1330" t="s">
        <v>3806</v>
      </c>
      <c r="H792" s="1330" t="s">
        <v>3807</v>
      </c>
      <c r="I792" s="1318" t="s">
        <v>3791</v>
      </c>
      <c r="J792" s="1335" t="s">
        <v>3807</v>
      </c>
      <c r="K792" s="1333">
        <v>1</v>
      </c>
      <c r="L792" s="1333">
        <v>0</v>
      </c>
      <c r="M792" s="1334">
        <f t="shared" si="0"/>
        <v>0</v>
      </c>
      <c r="N792" s="1333">
        <v>1</v>
      </c>
      <c r="O792" s="1333">
        <v>5</v>
      </c>
      <c r="P792" s="1334">
        <f t="shared" si="1"/>
        <v>25000</v>
      </c>
    </row>
    <row r="793" spans="1:16" ht="22.5" x14ac:dyDescent="0.2">
      <c r="A793" s="1318" t="s">
        <v>3784</v>
      </c>
      <c r="B793" s="1318" t="s">
        <v>3649</v>
      </c>
      <c r="C793" s="1318" t="s">
        <v>3786</v>
      </c>
      <c r="D793" s="1330" t="s">
        <v>3808</v>
      </c>
      <c r="E793" s="1331">
        <v>5000</v>
      </c>
      <c r="F793" s="1318" t="s">
        <v>3805</v>
      </c>
      <c r="G793" s="1330" t="s">
        <v>3806</v>
      </c>
      <c r="H793" s="1330" t="s">
        <v>3807</v>
      </c>
      <c r="I793" s="1318" t="s">
        <v>3791</v>
      </c>
      <c r="J793" s="1335" t="s">
        <v>3807</v>
      </c>
      <c r="K793" s="1333">
        <v>1</v>
      </c>
      <c r="L793" s="1333">
        <v>10</v>
      </c>
      <c r="M793" s="1334">
        <f t="shared" si="0"/>
        <v>50000</v>
      </c>
      <c r="N793" s="1333">
        <v>0</v>
      </c>
      <c r="O793" s="1333">
        <v>0</v>
      </c>
      <c r="P793" s="1334">
        <f t="shared" si="1"/>
        <v>0</v>
      </c>
    </row>
    <row r="794" spans="1:16" ht="22.5" x14ac:dyDescent="0.2">
      <c r="A794" s="1318" t="s">
        <v>3784</v>
      </c>
      <c r="B794" s="1318" t="s">
        <v>3785</v>
      </c>
      <c r="C794" s="1318" t="s">
        <v>3786</v>
      </c>
      <c r="D794" s="1330" t="s">
        <v>3809</v>
      </c>
      <c r="E794" s="1331">
        <v>6000</v>
      </c>
      <c r="F794" s="1318" t="s">
        <v>3810</v>
      </c>
      <c r="G794" s="1330" t="s">
        <v>3811</v>
      </c>
      <c r="H794" s="1330" t="s">
        <v>3812</v>
      </c>
      <c r="I794" s="1318" t="s">
        <v>3791</v>
      </c>
      <c r="J794" s="1335" t="s">
        <v>3812</v>
      </c>
      <c r="K794" s="1333">
        <v>1</v>
      </c>
      <c r="L794" s="1333">
        <v>1</v>
      </c>
      <c r="M794" s="1334">
        <f t="shared" si="0"/>
        <v>6000</v>
      </c>
      <c r="N794" s="1333">
        <v>0</v>
      </c>
      <c r="O794" s="1333">
        <v>0</v>
      </c>
      <c r="P794" s="1334">
        <f t="shared" si="1"/>
        <v>0</v>
      </c>
    </row>
    <row r="795" spans="1:16" ht="22.5" x14ac:dyDescent="0.2">
      <c r="A795" s="1318" t="s">
        <v>3784</v>
      </c>
      <c r="B795" s="1318" t="s">
        <v>3649</v>
      </c>
      <c r="C795" s="1318" t="s">
        <v>3786</v>
      </c>
      <c r="D795" s="1330" t="s">
        <v>3813</v>
      </c>
      <c r="E795" s="1331">
        <v>3000</v>
      </c>
      <c r="F795" s="1318" t="s">
        <v>3814</v>
      </c>
      <c r="G795" s="1330" t="s">
        <v>3815</v>
      </c>
      <c r="H795" s="1330" t="s">
        <v>3816</v>
      </c>
      <c r="I795" s="1318" t="s">
        <v>3791</v>
      </c>
      <c r="J795" s="1335" t="s">
        <v>3816</v>
      </c>
      <c r="K795" s="1333">
        <v>1</v>
      </c>
      <c r="L795" s="1333">
        <v>5</v>
      </c>
      <c r="M795" s="1334">
        <f t="shared" si="0"/>
        <v>15000</v>
      </c>
      <c r="N795" s="1333">
        <v>1</v>
      </c>
      <c r="O795" s="1333">
        <v>9</v>
      </c>
      <c r="P795" s="1334">
        <f t="shared" si="1"/>
        <v>27000</v>
      </c>
    </row>
    <row r="796" spans="1:16" ht="22.5" x14ac:dyDescent="0.2">
      <c r="A796" s="1318" t="s">
        <v>3784</v>
      </c>
      <c r="B796" s="1318" t="s">
        <v>3649</v>
      </c>
      <c r="C796" s="1318" t="s">
        <v>3786</v>
      </c>
      <c r="D796" s="1330" t="s">
        <v>3817</v>
      </c>
      <c r="E796" s="1331">
        <v>4200</v>
      </c>
      <c r="F796" s="1318" t="s">
        <v>3818</v>
      </c>
      <c r="G796" s="1330" t="s">
        <v>3819</v>
      </c>
      <c r="H796" s="1330" t="s">
        <v>3820</v>
      </c>
      <c r="I796" s="1318" t="s">
        <v>3791</v>
      </c>
      <c r="J796" s="1335" t="s">
        <v>3820</v>
      </c>
      <c r="K796" s="1333">
        <v>1</v>
      </c>
      <c r="L796" s="1333">
        <v>12</v>
      </c>
      <c r="M796" s="1334">
        <f t="shared" si="0"/>
        <v>50400</v>
      </c>
      <c r="N796" s="1333">
        <v>1</v>
      </c>
      <c r="O796" s="1333">
        <v>5</v>
      </c>
      <c r="P796" s="1334">
        <f t="shared" si="1"/>
        <v>21000</v>
      </c>
    </row>
    <row r="797" spans="1:16" ht="22.5" x14ac:dyDescent="0.2">
      <c r="A797" s="1318" t="s">
        <v>3784</v>
      </c>
      <c r="B797" s="1318" t="s">
        <v>3785</v>
      </c>
      <c r="C797" s="1318" t="s">
        <v>3786</v>
      </c>
      <c r="D797" s="1330" t="s">
        <v>3821</v>
      </c>
      <c r="E797" s="1331">
        <v>6000</v>
      </c>
      <c r="F797" s="1318" t="s">
        <v>3822</v>
      </c>
      <c r="G797" s="1330" t="s">
        <v>3823</v>
      </c>
      <c r="H797" s="1330" t="s">
        <v>3824</v>
      </c>
      <c r="I797" s="1318" t="s">
        <v>3791</v>
      </c>
      <c r="J797" s="1335" t="s">
        <v>3824</v>
      </c>
      <c r="K797" s="1333">
        <v>1</v>
      </c>
      <c r="L797" s="1333">
        <v>12</v>
      </c>
      <c r="M797" s="1334">
        <f t="shared" si="0"/>
        <v>72000</v>
      </c>
      <c r="N797" s="1333">
        <v>1</v>
      </c>
      <c r="O797" s="1333">
        <v>9</v>
      </c>
      <c r="P797" s="1334">
        <f t="shared" si="1"/>
        <v>54000</v>
      </c>
    </row>
    <row r="798" spans="1:16" x14ac:dyDescent="0.2">
      <c r="A798" s="1318" t="s">
        <v>3784</v>
      </c>
      <c r="B798" s="1318" t="s">
        <v>3785</v>
      </c>
      <c r="C798" s="1318" t="s">
        <v>3786</v>
      </c>
      <c r="D798" s="1330" t="s">
        <v>3795</v>
      </c>
      <c r="E798" s="1331">
        <v>1700</v>
      </c>
      <c r="F798" s="1318">
        <v>48853710</v>
      </c>
      <c r="G798" s="1330" t="s">
        <v>3825</v>
      </c>
      <c r="H798" s="1330"/>
      <c r="I798" s="1318" t="s">
        <v>3798</v>
      </c>
      <c r="J798" s="1335"/>
      <c r="K798" s="1333">
        <v>1</v>
      </c>
      <c r="L798" s="1333">
        <v>0</v>
      </c>
      <c r="M798" s="1334">
        <f t="shared" si="0"/>
        <v>0</v>
      </c>
      <c r="N798" s="1333">
        <v>1</v>
      </c>
      <c r="O798" s="1333">
        <v>6</v>
      </c>
      <c r="P798" s="1334">
        <f t="shared" si="1"/>
        <v>10200</v>
      </c>
    </row>
    <row r="799" spans="1:16" ht="22.5" x14ac:dyDescent="0.2">
      <c r="A799" s="1318" t="s">
        <v>3784</v>
      </c>
      <c r="B799" s="1318" t="s">
        <v>3649</v>
      </c>
      <c r="C799" s="1318" t="s">
        <v>3786</v>
      </c>
      <c r="D799" s="1330" t="s">
        <v>3826</v>
      </c>
      <c r="E799" s="1331">
        <v>2500</v>
      </c>
      <c r="F799" s="1318" t="s">
        <v>3827</v>
      </c>
      <c r="G799" s="1330" t="s">
        <v>3828</v>
      </c>
      <c r="H799" s="1330" t="s">
        <v>3798</v>
      </c>
      <c r="I799" s="1318" t="s">
        <v>3798</v>
      </c>
      <c r="J799" s="1335" t="s">
        <v>3798</v>
      </c>
      <c r="K799" s="1333">
        <v>1</v>
      </c>
      <c r="L799" s="1333">
        <v>12</v>
      </c>
      <c r="M799" s="1334">
        <f t="shared" si="0"/>
        <v>30000</v>
      </c>
      <c r="N799" s="1333">
        <v>1</v>
      </c>
      <c r="O799" s="1333">
        <v>9</v>
      </c>
      <c r="P799" s="1334">
        <f t="shared" si="1"/>
        <v>22500</v>
      </c>
    </row>
    <row r="800" spans="1:16" ht="22.5" x14ac:dyDescent="0.2">
      <c r="A800" s="1318" t="s">
        <v>3784</v>
      </c>
      <c r="B800" s="1318" t="s">
        <v>3649</v>
      </c>
      <c r="C800" s="1318" t="s">
        <v>3786</v>
      </c>
      <c r="D800" s="1335" t="s">
        <v>3829</v>
      </c>
      <c r="E800" s="1331">
        <v>8000</v>
      </c>
      <c r="F800" s="1318" t="s">
        <v>3830</v>
      </c>
      <c r="G800" s="1330" t="s">
        <v>3831</v>
      </c>
      <c r="H800" s="1330" t="s">
        <v>3832</v>
      </c>
      <c r="I800" s="1318" t="s">
        <v>3791</v>
      </c>
      <c r="J800" s="1335" t="s">
        <v>3832</v>
      </c>
      <c r="K800" s="1333">
        <v>1</v>
      </c>
      <c r="L800" s="1333">
        <v>3</v>
      </c>
      <c r="M800" s="1334">
        <f t="shared" si="0"/>
        <v>24000</v>
      </c>
      <c r="N800" s="1333">
        <v>0</v>
      </c>
      <c r="O800" s="1333">
        <v>0</v>
      </c>
      <c r="P800" s="1334">
        <f t="shared" si="1"/>
        <v>0</v>
      </c>
    </row>
    <row r="801" spans="1:16" x14ac:dyDescent="0.2">
      <c r="A801" s="1318" t="s">
        <v>3784</v>
      </c>
      <c r="B801" s="1318" t="s">
        <v>3785</v>
      </c>
      <c r="C801" s="1318" t="s">
        <v>3786</v>
      </c>
      <c r="D801" s="1330" t="s">
        <v>3833</v>
      </c>
      <c r="E801" s="1331">
        <v>2000</v>
      </c>
      <c r="F801" s="1318">
        <v>45277541</v>
      </c>
      <c r="G801" s="1330" t="s">
        <v>3834</v>
      </c>
      <c r="H801" s="1330"/>
      <c r="I801" s="1318" t="s">
        <v>3798</v>
      </c>
      <c r="J801" s="1335"/>
      <c r="K801" s="1333">
        <v>1</v>
      </c>
      <c r="L801" s="1333">
        <v>12</v>
      </c>
      <c r="M801" s="1334">
        <f t="shared" si="0"/>
        <v>24000</v>
      </c>
      <c r="N801" s="1333">
        <v>1</v>
      </c>
      <c r="O801" s="1333">
        <v>9</v>
      </c>
      <c r="P801" s="1334">
        <f t="shared" si="1"/>
        <v>18000</v>
      </c>
    </row>
    <row r="802" spans="1:16" ht="33.75" x14ac:dyDescent="0.2">
      <c r="A802" s="1336" t="s">
        <v>3784</v>
      </c>
      <c r="B802" s="1336" t="s">
        <v>3785</v>
      </c>
      <c r="C802" s="1336" t="s">
        <v>3786</v>
      </c>
      <c r="D802" s="1335" t="s">
        <v>3835</v>
      </c>
      <c r="E802" s="1337">
        <v>6000</v>
      </c>
      <c r="F802" s="1336" t="s">
        <v>3836</v>
      </c>
      <c r="G802" s="1335" t="s">
        <v>3837</v>
      </c>
      <c r="H802" s="1335" t="s">
        <v>3838</v>
      </c>
      <c r="I802" s="1336" t="s">
        <v>1616</v>
      </c>
      <c r="J802" s="1335" t="s">
        <v>3838</v>
      </c>
      <c r="K802" s="1338">
        <v>1</v>
      </c>
      <c r="L802" s="1338">
        <v>12</v>
      </c>
      <c r="M802" s="1339">
        <f t="shared" si="0"/>
        <v>72000</v>
      </c>
      <c r="N802" s="1338">
        <v>0</v>
      </c>
      <c r="O802" s="1338">
        <v>0</v>
      </c>
      <c r="P802" s="1339">
        <f t="shared" si="1"/>
        <v>0</v>
      </c>
    </row>
    <row r="803" spans="1:16" ht="22.5" x14ac:dyDescent="0.2">
      <c r="A803" s="1318" t="s">
        <v>3784</v>
      </c>
      <c r="B803" s="1318" t="s">
        <v>3649</v>
      </c>
      <c r="C803" s="1318" t="s">
        <v>3786</v>
      </c>
      <c r="D803" s="1330" t="s">
        <v>1930</v>
      </c>
      <c r="E803" s="1331">
        <v>3200</v>
      </c>
      <c r="F803" s="1318" t="s">
        <v>3839</v>
      </c>
      <c r="G803" s="1330" t="s">
        <v>3840</v>
      </c>
      <c r="H803" s="1330" t="s">
        <v>3841</v>
      </c>
      <c r="I803" s="1318" t="s">
        <v>1698</v>
      </c>
      <c r="J803" s="1335" t="s">
        <v>3841</v>
      </c>
      <c r="K803" s="1333">
        <v>1</v>
      </c>
      <c r="L803" s="1333">
        <v>12</v>
      </c>
      <c r="M803" s="1334">
        <f t="shared" si="0"/>
        <v>38400</v>
      </c>
      <c r="N803" s="1333">
        <v>1</v>
      </c>
      <c r="O803" s="1333">
        <v>9</v>
      </c>
      <c r="P803" s="1334">
        <f t="shared" si="1"/>
        <v>28800</v>
      </c>
    </row>
    <row r="804" spans="1:16" ht="22.5" x14ac:dyDescent="0.2">
      <c r="A804" s="1318" t="s">
        <v>3784</v>
      </c>
      <c r="B804" s="1318" t="s">
        <v>3649</v>
      </c>
      <c r="C804" s="1318" t="s">
        <v>3786</v>
      </c>
      <c r="D804" s="1330" t="s">
        <v>3842</v>
      </c>
      <c r="E804" s="1331">
        <v>3000</v>
      </c>
      <c r="F804" s="1318">
        <v>46475366</v>
      </c>
      <c r="G804" s="1330" t="s">
        <v>3843</v>
      </c>
      <c r="H804" s="1330" t="s">
        <v>3844</v>
      </c>
      <c r="I804" s="1318" t="s">
        <v>1616</v>
      </c>
      <c r="J804" s="1335" t="s">
        <v>3844</v>
      </c>
      <c r="K804" s="1333">
        <v>1</v>
      </c>
      <c r="L804" s="1333">
        <v>12</v>
      </c>
      <c r="M804" s="1334">
        <f t="shared" si="0"/>
        <v>36000</v>
      </c>
      <c r="N804" s="1333">
        <v>1</v>
      </c>
      <c r="O804" s="1333">
        <v>9</v>
      </c>
      <c r="P804" s="1334">
        <f t="shared" si="1"/>
        <v>27000</v>
      </c>
    </row>
    <row r="805" spans="1:16" ht="22.5" x14ac:dyDescent="0.2">
      <c r="A805" s="1318" t="s">
        <v>3784</v>
      </c>
      <c r="B805" s="1318" t="s">
        <v>3785</v>
      </c>
      <c r="C805" s="1318" t="s">
        <v>3786</v>
      </c>
      <c r="D805" s="1335" t="s">
        <v>3845</v>
      </c>
      <c r="E805" s="1331">
        <v>6000</v>
      </c>
      <c r="F805" s="1318" t="s">
        <v>3846</v>
      </c>
      <c r="G805" s="1330" t="s">
        <v>3847</v>
      </c>
      <c r="H805" s="1330" t="s">
        <v>3848</v>
      </c>
      <c r="I805" s="1318" t="s">
        <v>3791</v>
      </c>
      <c r="J805" s="1335" t="s">
        <v>3848</v>
      </c>
      <c r="K805" s="1333">
        <v>1</v>
      </c>
      <c r="L805" s="1333">
        <v>12</v>
      </c>
      <c r="M805" s="1334">
        <f t="shared" si="0"/>
        <v>72000</v>
      </c>
      <c r="N805" s="1333">
        <v>0</v>
      </c>
      <c r="O805" s="1333">
        <v>0</v>
      </c>
      <c r="P805" s="1334">
        <f t="shared" si="1"/>
        <v>0</v>
      </c>
    </row>
    <row r="806" spans="1:16" x14ac:dyDescent="0.2">
      <c r="A806" s="1318" t="s">
        <v>3784</v>
      </c>
      <c r="B806" s="1318" t="s">
        <v>3785</v>
      </c>
      <c r="C806" s="1318" t="s">
        <v>3786</v>
      </c>
      <c r="D806" s="1330" t="s">
        <v>3849</v>
      </c>
      <c r="E806" s="1331">
        <v>4000</v>
      </c>
      <c r="F806" s="1318" t="s">
        <v>3850</v>
      </c>
      <c r="G806" s="1330" t="s">
        <v>3851</v>
      </c>
      <c r="H806" s="1330" t="s">
        <v>3724</v>
      </c>
      <c r="I806" s="1318" t="s">
        <v>3791</v>
      </c>
      <c r="J806" s="1335" t="s">
        <v>3724</v>
      </c>
      <c r="K806" s="1333">
        <v>1</v>
      </c>
      <c r="L806" s="1333">
        <v>12</v>
      </c>
      <c r="M806" s="1334">
        <f t="shared" si="0"/>
        <v>48000</v>
      </c>
      <c r="N806" s="1333">
        <v>1</v>
      </c>
      <c r="O806" s="1333">
        <v>9</v>
      </c>
      <c r="P806" s="1334">
        <f t="shared" si="1"/>
        <v>36000</v>
      </c>
    </row>
    <row r="807" spans="1:16" ht="22.5" x14ac:dyDescent="0.2">
      <c r="A807" s="1318" t="s">
        <v>3784</v>
      </c>
      <c r="B807" s="1318" t="s">
        <v>3649</v>
      </c>
      <c r="C807" s="1318" t="s">
        <v>3786</v>
      </c>
      <c r="D807" s="1335" t="s">
        <v>3829</v>
      </c>
      <c r="E807" s="1331">
        <v>8000</v>
      </c>
      <c r="F807" s="1318" t="s">
        <v>3852</v>
      </c>
      <c r="G807" s="1330" t="s">
        <v>3853</v>
      </c>
      <c r="H807" s="1330" t="s">
        <v>3742</v>
      </c>
      <c r="I807" s="1318" t="s">
        <v>3791</v>
      </c>
      <c r="J807" s="1335" t="s">
        <v>3742</v>
      </c>
      <c r="K807" s="1333">
        <v>1</v>
      </c>
      <c r="L807" s="1333">
        <v>12</v>
      </c>
      <c r="M807" s="1334">
        <f t="shared" si="0"/>
        <v>96000</v>
      </c>
      <c r="N807" s="1333">
        <v>0</v>
      </c>
      <c r="O807" s="1333">
        <v>0</v>
      </c>
      <c r="P807" s="1334">
        <f t="shared" si="1"/>
        <v>0</v>
      </c>
    </row>
    <row r="808" spans="1:16" ht="22.5" x14ac:dyDescent="0.2">
      <c r="A808" s="1318" t="s">
        <v>3784</v>
      </c>
      <c r="B808" s="1318" t="s">
        <v>3649</v>
      </c>
      <c r="C808" s="1318" t="s">
        <v>3786</v>
      </c>
      <c r="D808" s="1335" t="s">
        <v>3854</v>
      </c>
      <c r="E808" s="1331">
        <v>4500</v>
      </c>
      <c r="F808" s="1318" t="s">
        <v>3855</v>
      </c>
      <c r="G808" s="1330" t="s">
        <v>3856</v>
      </c>
      <c r="H808" s="1330" t="s">
        <v>3126</v>
      </c>
      <c r="I808" s="1318" t="s">
        <v>3791</v>
      </c>
      <c r="J808" s="1335" t="s">
        <v>3126</v>
      </c>
      <c r="K808" s="1333">
        <v>1</v>
      </c>
      <c r="L808" s="1333">
        <v>12</v>
      </c>
      <c r="M808" s="1334">
        <f t="shared" si="0"/>
        <v>54000</v>
      </c>
      <c r="N808" s="1333">
        <v>1</v>
      </c>
      <c r="O808" s="1333">
        <v>5</v>
      </c>
      <c r="P808" s="1334">
        <f t="shared" si="1"/>
        <v>22500</v>
      </c>
    </row>
    <row r="809" spans="1:16" ht="45" x14ac:dyDescent="0.2">
      <c r="A809" s="1318" t="s">
        <v>3784</v>
      </c>
      <c r="B809" s="1318" t="s">
        <v>3649</v>
      </c>
      <c r="C809" s="1318" t="s">
        <v>3786</v>
      </c>
      <c r="D809" s="1330" t="s">
        <v>3857</v>
      </c>
      <c r="E809" s="1331">
        <v>5500</v>
      </c>
      <c r="F809" s="1318">
        <v>45327598</v>
      </c>
      <c r="G809" s="1330" t="s">
        <v>3858</v>
      </c>
      <c r="H809" s="1330" t="s">
        <v>3859</v>
      </c>
      <c r="I809" s="1318" t="s">
        <v>1616</v>
      </c>
      <c r="J809" s="1335" t="s">
        <v>3859</v>
      </c>
      <c r="K809" s="1333">
        <v>1</v>
      </c>
      <c r="L809" s="1333">
        <v>0</v>
      </c>
      <c r="M809" s="1334">
        <f t="shared" si="0"/>
        <v>0</v>
      </c>
      <c r="N809" s="1333">
        <v>1</v>
      </c>
      <c r="O809" s="1333">
        <v>8</v>
      </c>
      <c r="P809" s="1334">
        <f t="shared" si="1"/>
        <v>44000</v>
      </c>
    </row>
    <row r="810" spans="1:16" ht="22.5" x14ac:dyDescent="0.2">
      <c r="A810" s="1318" t="s">
        <v>3784</v>
      </c>
      <c r="B810" s="1318" t="s">
        <v>3785</v>
      </c>
      <c r="C810" s="1318" t="s">
        <v>3786</v>
      </c>
      <c r="D810" s="1330" t="s">
        <v>3795</v>
      </c>
      <c r="E810" s="1331">
        <v>1700</v>
      </c>
      <c r="F810" s="1318" t="s">
        <v>3860</v>
      </c>
      <c r="G810" s="1330" t="s">
        <v>3861</v>
      </c>
      <c r="H810" s="1330" t="s">
        <v>3798</v>
      </c>
      <c r="I810" s="1318" t="s">
        <v>3798</v>
      </c>
      <c r="J810" s="1335" t="s">
        <v>3798</v>
      </c>
      <c r="K810" s="1333">
        <v>1</v>
      </c>
      <c r="L810" s="1333">
        <v>12</v>
      </c>
      <c r="M810" s="1334">
        <f t="shared" si="0"/>
        <v>20400</v>
      </c>
      <c r="N810" s="1333">
        <v>1</v>
      </c>
      <c r="O810" s="1333">
        <v>9</v>
      </c>
      <c r="P810" s="1334">
        <f t="shared" si="1"/>
        <v>15300</v>
      </c>
    </row>
    <row r="811" spans="1:16" x14ac:dyDescent="0.2">
      <c r="A811" s="1318" t="s">
        <v>3784</v>
      </c>
      <c r="B811" s="1318" t="s">
        <v>3785</v>
      </c>
      <c r="C811" s="1318" t="s">
        <v>3786</v>
      </c>
      <c r="D811" s="1330" t="s">
        <v>3809</v>
      </c>
      <c r="E811" s="1331">
        <v>6000</v>
      </c>
      <c r="F811" s="1318">
        <v>41875272</v>
      </c>
      <c r="G811" s="1330" t="s">
        <v>3862</v>
      </c>
      <c r="H811" s="1330" t="s">
        <v>3724</v>
      </c>
      <c r="I811" s="1318" t="s">
        <v>3791</v>
      </c>
      <c r="J811" s="1335" t="s">
        <v>3724</v>
      </c>
      <c r="K811" s="1333">
        <v>1</v>
      </c>
      <c r="L811" s="1333">
        <v>12</v>
      </c>
      <c r="M811" s="1334">
        <f t="shared" si="0"/>
        <v>72000</v>
      </c>
      <c r="N811" s="1333">
        <v>0</v>
      </c>
      <c r="O811" s="1333">
        <v>0</v>
      </c>
      <c r="P811" s="1334">
        <f t="shared" si="1"/>
        <v>0</v>
      </c>
    </row>
    <row r="812" spans="1:16" x14ac:dyDescent="0.2">
      <c r="A812" s="1318" t="s">
        <v>3784</v>
      </c>
      <c r="B812" s="1318" t="s">
        <v>3649</v>
      </c>
      <c r="C812" s="1318" t="s">
        <v>3786</v>
      </c>
      <c r="D812" s="1330" t="s">
        <v>3795</v>
      </c>
      <c r="E812" s="1331">
        <v>1700</v>
      </c>
      <c r="F812" s="1318" t="s">
        <v>3863</v>
      </c>
      <c r="G812" s="1330" t="s">
        <v>3864</v>
      </c>
      <c r="H812" s="1330" t="s">
        <v>1632</v>
      </c>
      <c r="I812" s="1318" t="s">
        <v>3865</v>
      </c>
      <c r="J812" s="1335" t="s">
        <v>1632</v>
      </c>
      <c r="K812" s="1333">
        <v>1</v>
      </c>
      <c r="L812" s="1333">
        <v>12</v>
      </c>
      <c r="M812" s="1334">
        <f t="shared" si="0"/>
        <v>20400</v>
      </c>
      <c r="N812" s="1333">
        <v>1</v>
      </c>
      <c r="O812" s="1333">
        <v>9</v>
      </c>
      <c r="P812" s="1334">
        <f t="shared" si="1"/>
        <v>15300</v>
      </c>
    </row>
    <row r="813" spans="1:16" ht="22.5" x14ac:dyDescent="0.2">
      <c r="A813" s="1318" t="s">
        <v>3784</v>
      </c>
      <c r="B813" s="1318" t="s">
        <v>3649</v>
      </c>
      <c r="C813" s="1336" t="s">
        <v>3804</v>
      </c>
      <c r="D813" s="1330" t="s">
        <v>3817</v>
      </c>
      <c r="E813" s="1331">
        <v>4200</v>
      </c>
      <c r="F813" s="1318" t="s">
        <v>3866</v>
      </c>
      <c r="G813" s="1330" t="s">
        <v>3867</v>
      </c>
      <c r="H813" s="1330" t="s">
        <v>3126</v>
      </c>
      <c r="I813" s="1318" t="s">
        <v>3791</v>
      </c>
      <c r="J813" s="1335" t="s">
        <v>3126</v>
      </c>
      <c r="K813" s="1333">
        <v>1</v>
      </c>
      <c r="L813" s="1333">
        <v>0</v>
      </c>
      <c r="M813" s="1334">
        <f t="shared" si="0"/>
        <v>0</v>
      </c>
      <c r="N813" s="1333">
        <v>1</v>
      </c>
      <c r="O813" s="1333">
        <v>4</v>
      </c>
      <c r="P813" s="1334">
        <f t="shared" si="1"/>
        <v>16800</v>
      </c>
    </row>
    <row r="814" spans="1:16" ht="22.5" x14ac:dyDescent="0.2">
      <c r="A814" s="1318" t="s">
        <v>3784</v>
      </c>
      <c r="B814" s="1318" t="s">
        <v>3649</v>
      </c>
      <c r="C814" s="1318" t="s">
        <v>3786</v>
      </c>
      <c r="D814" s="1335" t="s">
        <v>3868</v>
      </c>
      <c r="E814" s="1331">
        <v>2000</v>
      </c>
      <c r="F814" s="1318" t="s">
        <v>3869</v>
      </c>
      <c r="G814" s="1330" t="s">
        <v>3870</v>
      </c>
      <c r="H814" s="1330" t="s">
        <v>1992</v>
      </c>
      <c r="I814" s="1318" t="s">
        <v>1616</v>
      </c>
      <c r="J814" s="1335" t="s">
        <v>1992</v>
      </c>
      <c r="K814" s="1333">
        <v>1</v>
      </c>
      <c r="L814" s="1333">
        <v>2</v>
      </c>
      <c r="M814" s="1334">
        <f t="shared" si="0"/>
        <v>4000</v>
      </c>
      <c r="N814" s="1333">
        <v>1</v>
      </c>
      <c r="O814" s="1333">
        <v>9</v>
      </c>
      <c r="P814" s="1334">
        <f t="shared" si="1"/>
        <v>18000</v>
      </c>
    </row>
    <row r="815" spans="1:16" x14ac:dyDescent="0.2">
      <c r="A815" s="1318" t="s">
        <v>3784</v>
      </c>
      <c r="B815" s="1318" t="s">
        <v>3785</v>
      </c>
      <c r="C815" s="1318" t="s">
        <v>3786</v>
      </c>
      <c r="D815" s="1330" t="s">
        <v>3756</v>
      </c>
      <c r="E815" s="1331">
        <v>1400</v>
      </c>
      <c r="F815" s="1318" t="s">
        <v>3871</v>
      </c>
      <c r="G815" s="1330" t="s">
        <v>3872</v>
      </c>
      <c r="H815" s="1330" t="s">
        <v>3756</v>
      </c>
      <c r="I815" s="1318" t="s">
        <v>1599</v>
      </c>
      <c r="J815" s="1335" t="s">
        <v>3756</v>
      </c>
      <c r="K815" s="1333">
        <v>1</v>
      </c>
      <c r="L815" s="1333">
        <v>12</v>
      </c>
      <c r="M815" s="1334">
        <f t="shared" si="0"/>
        <v>16800</v>
      </c>
      <c r="N815" s="1333">
        <v>1</v>
      </c>
      <c r="O815" s="1333">
        <v>9</v>
      </c>
      <c r="P815" s="1334">
        <f t="shared" si="1"/>
        <v>12600</v>
      </c>
    </row>
    <row r="816" spans="1:16" x14ac:dyDescent="0.2">
      <c r="A816" s="1318" t="s">
        <v>3784</v>
      </c>
      <c r="B816" s="1318" t="s">
        <v>3785</v>
      </c>
      <c r="C816" s="1318" t="s">
        <v>3786</v>
      </c>
      <c r="D816" s="1330" t="s">
        <v>3756</v>
      </c>
      <c r="E816" s="1331">
        <v>2500</v>
      </c>
      <c r="F816" s="1318" t="s">
        <v>3873</v>
      </c>
      <c r="G816" s="1330" t="s">
        <v>3874</v>
      </c>
      <c r="H816" s="1330" t="s">
        <v>3756</v>
      </c>
      <c r="I816" s="1318" t="s">
        <v>1599</v>
      </c>
      <c r="J816" s="1335" t="s">
        <v>3756</v>
      </c>
      <c r="K816" s="1333">
        <v>1</v>
      </c>
      <c r="L816" s="1333">
        <v>12</v>
      </c>
      <c r="M816" s="1334">
        <f t="shared" si="0"/>
        <v>30000</v>
      </c>
      <c r="N816" s="1333">
        <v>1</v>
      </c>
      <c r="O816" s="1333">
        <v>9</v>
      </c>
      <c r="P816" s="1334">
        <f t="shared" si="1"/>
        <v>22500</v>
      </c>
    </row>
    <row r="817" spans="1:16" ht="22.5" x14ac:dyDescent="0.2">
      <c r="A817" s="1318" t="s">
        <v>3784</v>
      </c>
      <c r="B817" s="1318" t="s">
        <v>3785</v>
      </c>
      <c r="C817" s="1318" t="s">
        <v>3786</v>
      </c>
      <c r="D817" s="1330" t="s">
        <v>3152</v>
      </c>
      <c r="E817" s="1331">
        <v>7000</v>
      </c>
      <c r="F817" s="1318" t="s">
        <v>3875</v>
      </c>
      <c r="G817" s="1330" t="s">
        <v>3876</v>
      </c>
      <c r="H817" s="1330" t="s">
        <v>3877</v>
      </c>
      <c r="I817" s="1318" t="s">
        <v>3791</v>
      </c>
      <c r="J817" s="1335" t="s">
        <v>3877</v>
      </c>
      <c r="K817" s="1333">
        <v>1</v>
      </c>
      <c r="L817" s="1333">
        <v>12</v>
      </c>
      <c r="M817" s="1334">
        <f t="shared" si="0"/>
        <v>84000</v>
      </c>
      <c r="N817" s="1333">
        <v>1</v>
      </c>
      <c r="O817" s="1333">
        <v>9</v>
      </c>
      <c r="P817" s="1334">
        <f t="shared" si="1"/>
        <v>63000</v>
      </c>
    </row>
    <row r="818" spans="1:16" ht="22.5" x14ac:dyDescent="0.2">
      <c r="A818" s="1318" t="s">
        <v>3784</v>
      </c>
      <c r="B818" s="1318" t="s">
        <v>3785</v>
      </c>
      <c r="C818" s="1318" t="s">
        <v>3786</v>
      </c>
      <c r="D818" s="1330" t="s">
        <v>3795</v>
      </c>
      <c r="E818" s="1331">
        <v>1700</v>
      </c>
      <c r="F818" s="1318" t="s">
        <v>3878</v>
      </c>
      <c r="G818" s="1330" t="s">
        <v>3879</v>
      </c>
      <c r="H818" s="1330" t="s">
        <v>3880</v>
      </c>
      <c r="I818" s="1318" t="s">
        <v>1599</v>
      </c>
      <c r="J818" s="1335" t="s">
        <v>3880</v>
      </c>
      <c r="K818" s="1333">
        <v>1</v>
      </c>
      <c r="L818" s="1333">
        <v>12</v>
      </c>
      <c r="M818" s="1334">
        <f t="shared" si="0"/>
        <v>20400</v>
      </c>
      <c r="N818" s="1333">
        <v>1</v>
      </c>
      <c r="O818" s="1333">
        <v>9</v>
      </c>
      <c r="P818" s="1334">
        <f t="shared" si="1"/>
        <v>15300</v>
      </c>
    </row>
    <row r="819" spans="1:16" ht="22.5" x14ac:dyDescent="0.2">
      <c r="A819" s="1318" t="s">
        <v>3784</v>
      </c>
      <c r="B819" s="1318" t="s">
        <v>3785</v>
      </c>
      <c r="C819" s="1318" t="s">
        <v>3786</v>
      </c>
      <c r="D819" s="1335" t="s">
        <v>3845</v>
      </c>
      <c r="E819" s="1331">
        <v>6000</v>
      </c>
      <c r="F819" s="1318" t="s">
        <v>3881</v>
      </c>
      <c r="G819" s="1330" t="s">
        <v>3882</v>
      </c>
      <c r="H819" s="1330" t="s">
        <v>1975</v>
      </c>
      <c r="I819" s="1318" t="s">
        <v>3791</v>
      </c>
      <c r="J819" s="1335" t="s">
        <v>1975</v>
      </c>
      <c r="K819" s="1333">
        <v>1</v>
      </c>
      <c r="L819" s="1333">
        <v>1</v>
      </c>
      <c r="M819" s="1334">
        <f t="shared" si="0"/>
        <v>6000</v>
      </c>
      <c r="N819" s="1333">
        <v>0</v>
      </c>
      <c r="O819" s="1333">
        <v>0</v>
      </c>
      <c r="P819" s="1334">
        <f t="shared" si="1"/>
        <v>0</v>
      </c>
    </row>
    <row r="820" spans="1:16" ht="22.5" x14ac:dyDescent="0.2">
      <c r="A820" s="1318" t="s">
        <v>3784</v>
      </c>
      <c r="B820" s="1318" t="s">
        <v>3785</v>
      </c>
      <c r="C820" s="1318" t="s">
        <v>3786</v>
      </c>
      <c r="D820" s="1335" t="s">
        <v>3883</v>
      </c>
      <c r="E820" s="1331">
        <v>3700</v>
      </c>
      <c r="F820" s="1318" t="s">
        <v>3884</v>
      </c>
      <c r="G820" s="1330" t="s">
        <v>3885</v>
      </c>
      <c r="H820" s="1330" t="s">
        <v>3886</v>
      </c>
      <c r="I820" s="1318" t="s">
        <v>3791</v>
      </c>
      <c r="J820" s="1335" t="s">
        <v>3886</v>
      </c>
      <c r="K820" s="1333">
        <v>1</v>
      </c>
      <c r="L820" s="1333">
        <v>12</v>
      </c>
      <c r="M820" s="1334">
        <f t="shared" si="0"/>
        <v>44400</v>
      </c>
      <c r="N820" s="1333">
        <v>1</v>
      </c>
      <c r="O820" s="1333">
        <v>9</v>
      </c>
      <c r="P820" s="1334">
        <f t="shared" si="1"/>
        <v>33300</v>
      </c>
    </row>
    <row r="821" spans="1:16" x14ac:dyDescent="0.2">
      <c r="A821" s="1318" t="s">
        <v>3784</v>
      </c>
      <c r="B821" s="1318" t="s">
        <v>3649</v>
      </c>
      <c r="C821" s="1318" t="s">
        <v>3786</v>
      </c>
      <c r="D821" s="1330" t="s">
        <v>3887</v>
      </c>
      <c r="E821" s="1331">
        <v>1800</v>
      </c>
      <c r="F821" s="1318" t="s">
        <v>3888</v>
      </c>
      <c r="G821" s="1330" t="s">
        <v>3889</v>
      </c>
      <c r="H821" s="1330" t="s">
        <v>3887</v>
      </c>
      <c r="I821" s="1318" t="s">
        <v>1599</v>
      </c>
      <c r="J821" s="1335" t="s">
        <v>3887</v>
      </c>
      <c r="K821" s="1333">
        <v>1</v>
      </c>
      <c r="L821" s="1333">
        <v>10</v>
      </c>
      <c r="M821" s="1334">
        <f t="shared" si="0"/>
        <v>18000</v>
      </c>
      <c r="N821" s="1333">
        <v>0</v>
      </c>
      <c r="O821" s="1333">
        <v>0</v>
      </c>
      <c r="P821" s="1334">
        <f t="shared" si="1"/>
        <v>0</v>
      </c>
    </row>
    <row r="822" spans="1:16" x14ac:dyDescent="0.2">
      <c r="A822" s="1318" t="s">
        <v>3784</v>
      </c>
      <c r="B822" s="1318" t="s">
        <v>3785</v>
      </c>
      <c r="C822" s="1318" t="s">
        <v>3786</v>
      </c>
      <c r="D822" s="1330" t="s">
        <v>3809</v>
      </c>
      <c r="E822" s="1331">
        <v>6000</v>
      </c>
      <c r="F822" s="1318" t="s">
        <v>3890</v>
      </c>
      <c r="G822" s="1330" t="s">
        <v>3891</v>
      </c>
      <c r="H822" s="1330" t="s">
        <v>3724</v>
      </c>
      <c r="I822" s="1318" t="s">
        <v>3791</v>
      </c>
      <c r="J822" s="1335" t="s">
        <v>3724</v>
      </c>
      <c r="K822" s="1333">
        <v>1</v>
      </c>
      <c r="L822" s="1333">
        <v>0</v>
      </c>
      <c r="M822" s="1334">
        <f t="shared" si="0"/>
        <v>0</v>
      </c>
      <c r="N822" s="1333">
        <v>1</v>
      </c>
      <c r="O822" s="1333">
        <v>8</v>
      </c>
      <c r="P822" s="1334">
        <f t="shared" si="1"/>
        <v>48000</v>
      </c>
    </row>
    <row r="823" spans="1:16" ht="22.5" x14ac:dyDescent="0.2">
      <c r="A823" s="1318" t="s">
        <v>3784</v>
      </c>
      <c r="B823" s="1318" t="s">
        <v>3649</v>
      </c>
      <c r="C823" s="1318" t="s">
        <v>3786</v>
      </c>
      <c r="D823" s="1330" t="s">
        <v>3892</v>
      </c>
      <c r="E823" s="1331">
        <v>2000</v>
      </c>
      <c r="F823" s="1318">
        <v>78014649</v>
      </c>
      <c r="G823" s="1330" t="s">
        <v>3893</v>
      </c>
      <c r="H823" s="1330" t="s">
        <v>3894</v>
      </c>
      <c r="I823" s="1318" t="s">
        <v>1599</v>
      </c>
      <c r="J823" s="1335" t="s">
        <v>3894</v>
      </c>
      <c r="K823" s="1333">
        <v>1</v>
      </c>
      <c r="L823" s="1333">
        <v>0</v>
      </c>
      <c r="M823" s="1334">
        <f t="shared" si="0"/>
        <v>0</v>
      </c>
      <c r="N823" s="1333">
        <v>1</v>
      </c>
      <c r="O823" s="1333">
        <v>6</v>
      </c>
      <c r="P823" s="1334">
        <f t="shared" si="1"/>
        <v>12000</v>
      </c>
    </row>
    <row r="824" spans="1:16" ht="22.5" x14ac:dyDescent="0.2">
      <c r="A824" s="1318" t="s">
        <v>3784</v>
      </c>
      <c r="B824" s="1318" t="s">
        <v>3785</v>
      </c>
      <c r="C824" s="1318" t="s">
        <v>3786</v>
      </c>
      <c r="D824" s="1330" t="s">
        <v>3895</v>
      </c>
      <c r="E824" s="1331">
        <v>8000</v>
      </c>
      <c r="F824" s="1318" t="s">
        <v>3896</v>
      </c>
      <c r="G824" s="1330" t="s">
        <v>3897</v>
      </c>
      <c r="H824" s="1330" t="s">
        <v>3812</v>
      </c>
      <c r="I824" s="1318" t="s">
        <v>3791</v>
      </c>
      <c r="J824" s="1335" t="s">
        <v>3812</v>
      </c>
      <c r="K824" s="1333">
        <v>1</v>
      </c>
      <c r="L824" s="1333">
        <v>7</v>
      </c>
      <c r="M824" s="1334">
        <f t="shared" si="0"/>
        <v>56000</v>
      </c>
      <c r="N824" s="1333">
        <v>1</v>
      </c>
      <c r="O824" s="1333">
        <v>9</v>
      </c>
      <c r="P824" s="1334">
        <f t="shared" si="1"/>
        <v>72000</v>
      </c>
    </row>
    <row r="825" spans="1:16" ht="22.5" x14ac:dyDescent="0.2">
      <c r="A825" s="1318" t="s">
        <v>3784</v>
      </c>
      <c r="B825" s="1318" t="s">
        <v>3785</v>
      </c>
      <c r="C825" s="1318" t="s">
        <v>3786</v>
      </c>
      <c r="D825" s="1330" t="s">
        <v>3833</v>
      </c>
      <c r="E825" s="1331">
        <v>2000</v>
      </c>
      <c r="F825" s="1318" t="s">
        <v>3898</v>
      </c>
      <c r="G825" s="1330" t="s">
        <v>3899</v>
      </c>
      <c r="H825" s="1330" t="s">
        <v>3798</v>
      </c>
      <c r="I825" s="1318" t="s">
        <v>3798</v>
      </c>
      <c r="J825" s="1335" t="s">
        <v>3798</v>
      </c>
      <c r="K825" s="1333">
        <v>1</v>
      </c>
      <c r="L825" s="1333">
        <v>12</v>
      </c>
      <c r="M825" s="1334">
        <f t="shared" si="0"/>
        <v>24000</v>
      </c>
      <c r="N825" s="1333">
        <v>0</v>
      </c>
      <c r="O825" s="1333">
        <v>0</v>
      </c>
      <c r="P825" s="1334">
        <f t="shared" si="1"/>
        <v>0</v>
      </c>
    </row>
    <row r="826" spans="1:16" x14ac:dyDescent="0.2">
      <c r="A826" s="1318" t="s">
        <v>3784</v>
      </c>
      <c r="B826" s="1318" t="s">
        <v>3785</v>
      </c>
      <c r="C826" s="1318" t="s">
        <v>3786</v>
      </c>
      <c r="D826" s="1330" t="s">
        <v>2104</v>
      </c>
      <c r="E826" s="1331">
        <v>7500</v>
      </c>
      <c r="F826" s="1318" t="s">
        <v>3900</v>
      </c>
      <c r="G826" s="1330" t="s">
        <v>3901</v>
      </c>
      <c r="H826" s="1330" t="s">
        <v>3670</v>
      </c>
      <c r="I826" s="1318" t="s">
        <v>3791</v>
      </c>
      <c r="J826" s="1335" t="s">
        <v>3670</v>
      </c>
      <c r="K826" s="1333">
        <v>1</v>
      </c>
      <c r="L826" s="1333">
        <v>12</v>
      </c>
      <c r="M826" s="1334">
        <f t="shared" si="0"/>
        <v>90000</v>
      </c>
      <c r="N826" s="1333">
        <v>0</v>
      </c>
      <c r="O826" s="1333">
        <v>0</v>
      </c>
      <c r="P826" s="1334">
        <f t="shared" si="1"/>
        <v>0</v>
      </c>
    </row>
    <row r="827" spans="1:16" ht="33.75" x14ac:dyDescent="0.2">
      <c r="A827" s="1318" t="s">
        <v>3784</v>
      </c>
      <c r="B827" s="1318" t="s">
        <v>3649</v>
      </c>
      <c r="C827" s="1318" t="s">
        <v>3786</v>
      </c>
      <c r="D827" s="1335" t="s">
        <v>3902</v>
      </c>
      <c r="E827" s="1331">
        <v>4000</v>
      </c>
      <c r="F827" s="1318" t="s">
        <v>3903</v>
      </c>
      <c r="G827" s="1330" t="s">
        <v>3904</v>
      </c>
      <c r="H827" s="1330" t="s">
        <v>3905</v>
      </c>
      <c r="I827" s="1318" t="s">
        <v>3791</v>
      </c>
      <c r="J827" s="1335" t="s">
        <v>3905</v>
      </c>
      <c r="K827" s="1333">
        <v>1</v>
      </c>
      <c r="L827" s="1333">
        <v>12</v>
      </c>
      <c r="M827" s="1334">
        <f t="shared" si="0"/>
        <v>48000</v>
      </c>
      <c r="N827" s="1333">
        <v>1</v>
      </c>
      <c r="O827" s="1333">
        <v>9</v>
      </c>
      <c r="P827" s="1334">
        <f t="shared" si="1"/>
        <v>36000</v>
      </c>
    </row>
    <row r="828" spans="1:16" x14ac:dyDescent="0.2">
      <c r="A828" s="1318" t="s">
        <v>3784</v>
      </c>
      <c r="B828" s="1318" t="s">
        <v>3649</v>
      </c>
      <c r="C828" s="1318" t="s">
        <v>3786</v>
      </c>
      <c r="D828" s="1330" t="s">
        <v>3906</v>
      </c>
      <c r="E828" s="1331">
        <v>4200</v>
      </c>
      <c r="F828" s="1318" t="s">
        <v>3907</v>
      </c>
      <c r="G828" s="1330" t="s">
        <v>3908</v>
      </c>
      <c r="H828" s="1330" t="s">
        <v>3886</v>
      </c>
      <c r="I828" s="1318" t="s">
        <v>3791</v>
      </c>
      <c r="J828" s="1335" t="s">
        <v>3886</v>
      </c>
      <c r="K828" s="1333">
        <v>1</v>
      </c>
      <c r="L828" s="1333">
        <v>2</v>
      </c>
      <c r="M828" s="1334">
        <f t="shared" si="0"/>
        <v>8400</v>
      </c>
      <c r="N828" s="1333">
        <v>1</v>
      </c>
      <c r="O828" s="1333">
        <v>9</v>
      </c>
      <c r="P828" s="1334">
        <f t="shared" si="1"/>
        <v>37800</v>
      </c>
    </row>
    <row r="829" spans="1:16" ht="22.5" x14ac:dyDescent="0.2">
      <c r="A829" s="1318" t="s">
        <v>3784</v>
      </c>
      <c r="B829" s="1318" t="s">
        <v>3785</v>
      </c>
      <c r="C829" s="1318" t="s">
        <v>3786</v>
      </c>
      <c r="D829" s="1330" t="s">
        <v>3833</v>
      </c>
      <c r="E829" s="1331">
        <v>2000</v>
      </c>
      <c r="F829" s="1318" t="s">
        <v>3909</v>
      </c>
      <c r="G829" s="1330" t="s">
        <v>3910</v>
      </c>
      <c r="H829" s="1330" t="s">
        <v>3798</v>
      </c>
      <c r="I829" s="1318" t="s">
        <v>3798</v>
      </c>
      <c r="J829" s="1335" t="s">
        <v>3798</v>
      </c>
      <c r="K829" s="1333">
        <v>1</v>
      </c>
      <c r="L829" s="1333">
        <v>12</v>
      </c>
      <c r="M829" s="1334">
        <f t="shared" si="0"/>
        <v>24000</v>
      </c>
      <c r="N829" s="1333">
        <v>1</v>
      </c>
      <c r="O829" s="1333">
        <v>9</v>
      </c>
      <c r="P829" s="1334">
        <f t="shared" si="1"/>
        <v>18000</v>
      </c>
    </row>
    <row r="830" spans="1:16" ht="22.5" x14ac:dyDescent="0.2">
      <c r="A830" s="1318" t="s">
        <v>3784</v>
      </c>
      <c r="B830" s="1318" t="s">
        <v>3649</v>
      </c>
      <c r="C830" s="1318" t="s">
        <v>3786</v>
      </c>
      <c r="D830" s="1330" t="s">
        <v>1816</v>
      </c>
      <c r="E830" s="1331">
        <v>1800</v>
      </c>
      <c r="F830" s="1318" t="s">
        <v>3911</v>
      </c>
      <c r="G830" s="1330" t="s">
        <v>3912</v>
      </c>
      <c r="H830" s="1330" t="s">
        <v>3798</v>
      </c>
      <c r="I830" s="1318" t="s">
        <v>3798</v>
      </c>
      <c r="J830" s="1335" t="s">
        <v>3798</v>
      </c>
      <c r="K830" s="1333">
        <v>1</v>
      </c>
      <c r="L830" s="1333">
        <v>12</v>
      </c>
      <c r="M830" s="1334">
        <f t="shared" si="0"/>
        <v>21600</v>
      </c>
      <c r="N830" s="1333">
        <v>0</v>
      </c>
      <c r="O830" s="1333">
        <v>0</v>
      </c>
      <c r="P830" s="1334">
        <f t="shared" si="1"/>
        <v>0</v>
      </c>
    </row>
    <row r="831" spans="1:16" ht="33.75" x14ac:dyDescent="0.2">
      <c r="A831" s="1318" t="s">
        <v>3784</v>
      </c>
      <c r="B831" s="1318" t="s">
        <v>3785</v>
      </c>
      <c r="C831" s="1318" t="s">
        <v>3786</v>
      </c>
      <c r="D831" s="1335" t="s">
        <v>3913</v>
      </c>
      <c r="E831" s="1331">
        <v>3000</v>
      </c>
      <c r="F831" s="1318" t="s">
        <v>3914</v>
      </c>
      <c r="G831" s="1330" t="s">
        <v>3915</v>
      </c>
      <c r="H831" s="1330" t="s">
        <v>1992</v>
      </c>
      <c r="I831" s="1318" t="s">
        <v>1616</v>
      </c>
      <c r="J831" s="1335" t="s">
        <v>1992</v>
      </c>
      <c r="K831" s="1333">
        <v>1</v>
      </c>
      <c r="L831" s="1333">
        <v>2</v>
      </c>
      <c r="M831" s="1334">
        <f t="shared" si="0"/>
        <v>6000</v>
      </c>
      <c r="N831" s="1333">
        <v>1</v>
      </c>
      <c r="O831" s="1333">
        <v>9</v>
      </c>
      <c r="P831" s="1334">
        <f t="shared" si="1"/>
        <v>27000</v>
      </c>
    </row>
    <row r="832" spans="1:16" ht="22.5" x14ac:dyDescent="0.2">
      <c r="A832" s="1318" t="s">
        <v>3784</v>
      </c>
      <c r="B832" s="1318" t="s">
        <v>3785</v>
      </c>
      <c r="C832" s="1336" t="s">
        <v>3804</v>
      </c>
      <c r="D832" s="1335" t="s">
        <v>3916</v>
      </c>
      <c r="E832" s="1331">
        <v>5000</v>
      </c>
      <c r="F832" s="1318" t="s">
        <v>3917</v>
      </c>
      <c r="G832" s="1330" t="s">
        <v>3918</v>
      </c>
      <c r="H832" s="1330" t="s">
        <v>3919</v>
      </c>
      <c r="I832" s="1318" t="s">
        <v>3791</v>
      </c>
      <c r="J832" s="1335" t="s">
        <v>3919</v>
      </c>
      <c r="K832" s="1333">
        <v>1</v>
      </c>
      <c r="L832" s="1333">
        <v>0</v>
      </c>
      <c r="M832" s="1334">
        <f t="shared" si="0"/>
        <v>0</v>
      </c>
      <c r="N832" s="1333">
        <v>1</v>
      </c>
      <c r="O832" s="1333">
        <v>4</v>
      </c>
      <c r="P832" s="1334">
        <f t="shared" si="1"/>
        <v>20000</v>
      </c>
    </row>
    <row r="833" spans="1:16" ht="22.5" x14ac:dyDescent="0.2">
      <c r="A833" s="1318" t="s">
        <v>3784</v>
      </c>
      <c r="B833" s="1318" t="s">
        <v>3785</v>
      </c>
      <c r="C833" s="1318" t="s">
        <v>3786</v>
      </c>
      <c r="D833" s="1330" t="s">
        <v>3920</v>
      </c>
      <c r="E833" s="1331">
        <v>1000</v>
      </c>
      <c r="F833" s="1318">
        <v>45034571</v>
      </c>
      <c r="G833" s="1330" t="s">
        <v>3921</v>
      </c>
      <c r="H833" s="1330" t="s">
        <v>3798</v>
      </c>
      <c r="I833" s="1318" t="s">
        <v>3798</v>
      </c>
      <c r="J833" s="1335" t="s">
        <v>3798</v>
      </c>
      <c r="K833" s="1333">
        <v>1</v>
      </c>
      <c r="L833" s="1333">
        <v>12</v>
      </c>
      <c r="M833" s="1334">
        <f t="shared" si="0"/>
        <v>12000</v>
      </c>
      <c r="N833" s="1333">
        <v>1</v>
      </c>
      <c r="O833" s="1333">
        <v>9</v>
      </c>
      <c r="P833" s="1334">
        <f t="shared" si="1"/>
        <v>9000</v>
      </c>
    </row>
    <row r="834" spans="1:16" ht="22.5" x14ac:dyDescent="0.2">
      <c r="A834" s="1318" t="s">
        <v>3784</v>
      </c>
      <c r="B834" s="1318" t="s">
        <v>3785</v>
      </c>
      <c r="C834" s="1318" t="s">
        <v>3786</v>
      </c>
      <c r="D834" s="1330" t="s">
        <v>3795</v>
      </c>
      <c r="E834" s="1331">
        <v>1700</v>
      </c>
      <c r="F834" s="1318" t="s">
        <v>3922</v>
      </c>
      <c r="G834" s="1330" t="s">
        <v>3923</v>
      </c>
      <c r="H834" s="1330" t="s">
        <v>3798</v>
      </c>
      <c r="I834" s="1318" t="s">
        <v>3798</v>
      </c>
      <c r="J834" s="1335" t="s">
        <v>3798</v>
      </c>
      <c r="K834" s="1333">
        <v>1</v>
      </c>
      <c r="L834" s="1333">
        <v>12</v>
      </c>
      <c r="M834" s="1334">
        <f t="shared" si="0"/>
        <v>20400</v>
      </c>
      <c r="N834" s="1333">
        <v>0</v>
      </c>
      <c r="O834" s="1333">
        <v>0</v>
      </c>
      <c r="P834" s="1334">
        <f t="shared" si="1"/>
        <v>0</v>
      </c>
    </row>
    <row r="835" spans="1:16" ht="22.5" x14ac:dyDescent="0.2">
      <c r="A835" s="1318" t="s">
        <v>3784</v>
      </c>
      <c r="B835" s="1318" t="s">
        <v>3785</v>
      </c>
      <c r="C835" s="1336" t="s">
        <v>3804</v>
      </c>
      <c r="D835" s="1335" t="s">
        <v>3845</v>
      </c>
      <c r="E835" s="1331">
        <v>6000</v>
      </c>
      <c r="F835" s="1318" t="s">
        <v>3924</v>
      </c>
      <c r="G835" s="1330" t="s">
        <v>3925</v>
      </c>
      <c r="H835" s="1330" t="s">
        <v>3886</v>
      </c>
      <c r="I835" s="1318" t="s">
        <v>3791</v>
      </c>
      <c r="J835" s="1335" t="s">
        <v>3886</v>
      </c>
      <c r="K835" s="1333">
        <v>1</v>
      </c>
      <c r="L835" s="1333">
        <v>0</v>
      </c>
      <c r="M835" s="1334">
        <f t="shared" si="0"/>
        <v>0</v>
      </c>
      <c r="N835" s="1333">
        <v>1</v>
      </c>
      <c r="O835" s="1333">
        <v>4</v>
      </c>
      <c r="P835" s="1334">
        <f t="shared" si="1"/>
        <v>24000</v>
      </c>
    </row>
    <row r="836" spans="1:16" ht="22.5" x14ac:dyDescent="0.2">
      <c r="A836" s="1318" t="s">
        <v>3784</v>
      </c>
      <c r="B836" s="1318" t="s">
        <v>3785</v>
      </c>
      <c r="C836" s="1318" t="s">
        <v>3786</v>
      </c>
      <c r="D836" s="1330" t="s">
        <v>3926</v>
      </c>
      <c r="E836" s="1331">
        <v>1500</v>
      </c>
      <c r="F836" s="1318" t="s">
        <v>3927</v>
      </c>
      <c r="G836" s="1330" t="s">
        <v>3928</v>
      </c>
      <c r="H836" s="1330" t="s">
        <v>3798</v>
      </c>
      <c r="I836" s="1318" t="s">
        <v>3798</v>
      </c>
      <c r="J836" s="1335" t="s">
        <v>3798</v>
      </c>
      <c r="K836" s="1333">
        <v>1</v>
      </c>
      <c r="L836" s="1333">
        <v>12</v>
      </c>
      <c r="M836" s="1334">
        <f t="shared" si="0"/>
        <v>18000</v>
      </c>
      <c r="N836" s="1333">
        <v>1</v>
      </c>
      <c r="O836" s="1333">
        <v>9</v>
      </c>
      <c r="P836" s="1334">
        <f t="shared" si="1"/>
        <v>13500</v>
      </c>
    </row>
    <row r="837" spans="1:16" ht="22.5" x14ac:dyDescent="0.2">
      <c r="A837" s="1318" t="s">
        <v>3784</v>
      </c>
      <c r="B837" s="1318" t="s">
        <v>3649</v>
      </c>
      <c r="C837" s="1318" t="s">
        <v>3786</v>
      </c>
      <c r="D837" s="1330" t="s">
        <v>3826</v>
      </c>
      <c r="E837" s="1331">
        <v>2500</v>
      </c>
      <c r="F837" s="1318" t="s">
        <v>3929</v>
      </c>
      <c r="G837" s="1330" t="s">
        <v>3930</v>
      </c>
      <c r="H837" s="1330" t="s">
        <v>3798</v>
      </c>
      <c r="I837" s="1318" t="s">
        <v>3798</v>
      </c>
      <c r="J837" s="1335" t="s">
        <v>3798</v>
      </c>
      <c r="K837" s="1333">
        <v>1</v>
      </c>
      <c r="L837" s="1333">
        <v>12</v>
      </c>
      <c r="M837" s="1334">
        <f t="shared" si="0"/>
        <v>30000</v>
      </c>
      <c r="N837" s="1333">
        <v>1</v>
      </c>
      <c r="O837" s="1333">
        <v>9</v>
      </c>
      <c r="P837" s="1334">
        <f t="shared" si="1"/>
        <v>22500</v>
      </c>
    </row>
    <row r="838" spans="1:16" x14ac:dyDescent="0.2">
      <c r="A838" s="1318" t="s">
        <v>3784</v>
      </c>
      <c r="B838" s="1318" t="s">
        <v>3649</v>
      </c>
      <c r="C838" s="1318" t="s">
        <v>3786</v>
      </c>
      <c r="D838" s="1330" t="s">
        <v>3931</v>
      </c>
      <c r="E838" s="1331">
        <v>2500</v>
      </c>
      <c r="F838" s="1318" t="s">
        <v>3932</v>
      </c>
      <c r="G838" s="1330" t="s">
        <v>3933</v>
      </c>
      <c r="H838" s="1330" t="s">
        <v>3934</v>
      </c>
      <c r="I838" s="1318" t="s">
        <v>1599</v>
      </c>
      <c r="J838" s="1335" t="s">
        <v>3934</v>
      </c>
      <c r="K838" s="1333">
        <v>1</v>
      </c>
      <c r="L838" s="1333">
        <v>7</v>
      </c>
      <c r="M838" s="1334">
        <f t="shared" si="0"/>
        <v>17500</v>
      </c>
      <c r="N838" s="1333">
        <v>1</v>
      </c>
      <c r="O838" s="1333">
        <v>9</v>
      </c>
      <c r="P838" s="1334">
        <f t="shared" si="1"/>
        <v>22500</v>
      </c>
    </row>
    <row r="839" spans="1:16" x14ac:dyDescent="0.2">
      <c r="A839" s="1318" t="s">
        <v>3784</v>
      </c>
      <c r="B839" s="1318" t="s">
        <v>3649</v>
      </c>
      <c r="C839" s="1318" t="s">
        <v>3786</v>
      </c>
      <c r="D839" s="1330" t="s">
        <v>3935</v>
      </c>
      <c r="E839" s="1331">
        <v>3700</v>
      </c>
      <c r="F839" s="1318" t="s">
        <v>3936</v>
      </c>
      <c r="G839" s="1330" t="s">
        <v>3937</v>
      </c>
      <c r="H839" s="1330" t="s">
        <v>3934</v>
      </c>
      <c r="I839" s="1318" t="s">
        <v>1599</v>
      </c>
      <c r="J839" s="1335" t="s">
        <v>3934</v>
      </c>
      <c r="K839" s="1333">
        <v>1</v>
      </c>
      <c r="L839" s="1333">
        <v>2</v>
      </c>
      <c r="M839" s="1334">
        <f t="shared" si="0"/>
        <v>7400</v>
      </c>
      <c r="N839" s="1333">
        <v>1</v>
      </c>
      <c r="O839" s="1333">
        <v>9</v>
      </c>
      <c r="P839" s="1334">
        <f t="shared" si="1"/>
        <v>33300</v>
      </c>
    </row>
    <row r="840" spans="1:16" x14ac:dyDescent="0.2">
      <c r="A840" s="1318" t="s">
        <v>3784</v>
      </c>
      <c r="B840" s="1318" t="s">
        <v>3785</v>
      </c>
      <c r="C840" s="1318" t="s">
        <v>3786</v>
      </c>
      <c r="D840" s="1330" t="s">
        <v>3895</v>
      </c>
      <c r="E840" s="1331">
        <v>8000</v>
      </c>
      <c r="F840" s="1318" t="s">
        <v>3938</v>
      </c>
      <c r="G840" s="1330" t="s">
        <v>3939</v>
      </c>
      <c r="H840" s="1330" t="s">
        <v>3724</v>
      </c>
      <c r="I840" s="1318" t="s">
        <v>3791</v>
      </c>
      <c r="J840" s="1335" t="s">
        <v>3724</v>
      </c>
      <c r="K840" s="1333">
        <v>1</v>
      </c>
      <c r="L840" s="1333">
        <v>12</v>
      </c>
      <c r="M840" s="1334">
        <f t="shared" si="0"/>
        <v>96000</v>
      </c>
      <c r="N840" s="1333">
        <v>0</v>
      </c>
      <c r="O840" s="1333">
        <v>0</v>
      </c>
      <c r="P840" s="1334">
        <f t="shared" si="1"/>
        <v>0</v>
      </c>
    </row>
    <row r="841" spans="1:16" ht="22.5" x14ac:dyDescent="0.2">
      <c r="A841" s="1318" t="s">
        <v>3784</v>
      </c>
      <c r="B841" s="1318" t="s">
        <v>3649</v>
      </c>
      <c r="C841" s="1318" t="s">
        <v>3786</v>
      </c>
      <c r="D841" s="1330" t="s">
        <v>3940</v>
      </c>
      <c r="E841" s="1331">
        <v>4000</v>
      </c>
      <c r="F841" s="1318" t="s">
        <v>3941</v>
      </c>
      <c r="G841" s="1330" t="s">
        <v>3942</v>
      </c>
      <c r="H841" s="1330" t="s">
        <v>3943</v>
      </c>
      <c r="I841" s="1318" t="s">
        <v>3791</v>
      </c>
      <c r="J841" s="1335" t="s">
        <v>3943</v>
      </c>
      <c r="K841" s="1333">
        <v>1</v>
      </c>
      <c r="L841" s="1333">
        <v>12</v>
      </c>
      <c r="M841" s="1334">
        <f t="shared" si="0"/>
        <v>48000</v>
      </c>
      <c r="N841" s="1333">
        <v>0</v>
      </c>
      <c r="O841" s="1333">
        <v>0</v>
      </c>
      <c r="P841" s="1334">
        <f t="shared" si="1"/>
        <v>0</v>
      </c>
    </row>
    <row r="842" spans="1:16" ht="33.75" x14ac:dyDescent="0.2">
      <c r="A842" s="1318" t="s">
        <v>3784</v>
      </c>
      <c r="B842" s="1318" t="s">
        <v>3649</v>
      </c>
      <c r="C842" s="1318" t="s">
        <v>3786</v>
      </c>
      <c r="D842" s="1330" t="s">
        <v>3944</v>
      </c>
      <c r="E842" s="1331">
        <v>4000</v>
      </c>
      <c r="F842" s="1318" t="s">
        <v>3945</v>
      </c>
      <c r="G842" s="1330" t="s">
        <v>3946</v>
      </c>
      <c r="H842" s="1330" t="s">
        <v>3947</v>
      </c>
      <c r="I842" s="1318" t="s">
        <v>1616</v>
      </c>
      <c r="J842" s="1335" t="s">
        <v>3947</v>
      </c>
      <c r="K842" s="1333">
        <v>1</v>
      </c>
      <c r="L842" s="1333">
        <v>12</v>
      </c>
      <c r="M842" s="1334">
        <f t="shared" si="0"/>
        <v>48000</v>
      </c>
      <c r="N842" s="1333">
        <v>1</v>
      </c>
      <c r="O842" s="1333">
        <v>9</v>
      </c>
      <c r="P842" s="1334">
        <f t="shared" si="1"/>
        <v>36000</v>
      </c>
    </row>
    <row r="843" spans="1:16" ht="33.75" x14ac:dyDescent="0.2">
      <c r="A843" s="1318" t="s">
        <v>3784</v>
      </c>
      <c r="B843" s="1318" t="s">
        <v>3649</v>
      </c>
      <c r="C843" s="1318" t="s">
        <v>3786</v>
      </c>
      <c r="D843" s="1330" t="s">
        <v>3948</v>
      </c>
      <c r="E843" s="1331">
        <v>6000</v>
      </c>
      <c r="F843" s="1318" t="s">
        <v>3949</v>
      </c>
      <c r="G843" s="1330" t="s">
        <v>3950</v>
      </c>
      <c r="H843" s="1330" t="s">
        <v>3951</v>
      </c>
      <c r="I843" s="1318" t="s">
        <v>1616</v>
      </c>
      <c r="J843" s="1335" t="s">
        <v>3951</v>
      </c>
      <c r="K843" s="1333">
        <v>1</v>
      </c>
      <c r="L843" s="1333">
        <v>12</v>
      </c>
      <c r="M843" s="1334">
        <f t="shared" si="0"/>
        <v>72000</v>
      </c>
      <c r="N843" s="1333">
        <v>1</v>
      </c>
      <c r="O843" s="1333">
        <v>9</v>
      </c>
      <c r="P843" s="1334">
        <f t="shared" si="1"/>
        <v>54000</v>
      </c>
    </row>
    <row r="844" spans="1:16" x14ac:dyDescent="0.2">
      <c r="A844" s="1318" t="s">
        <v>3784</v>
      </c>
      <c r="B844" s="1318" t="s">
        <v>3785</v>
      </c>
      <c r="C844" s="1318" t="s">
        <v>3786</v>
      </c>
      <c r="D844" s="1330" t="s">
        <v>3422</v>
      </c>
      <c r="E844" s="1331">
        <v>5000</v>
      </c>
      <c r="F844" s="1318" t="s">
        <v>3952</v>
      </c>
      <c r="G844" s="1330" t="s">
        <v>3953</v>
      </c>
      <c r="H844" s="1330" t="s">
        <v>1612</v>
      </c>
      <c r="I844" s="1318" t="s">
        <v>3791</v>
      </c>
      <c r="J844" s="1335" t="s">
        <v>1612</v>
      </c>
      <c r="K844" s="1333">
        <v>1</v>
      </c>
      <c r="L844" s="1333">
        <v>1</v>
      </c>
      <c r="M844" s="1334">
        <f t="shared" si="0"/>
        <v>5000</v>
      </c>
      <c r="N844" s="1333">
        <v>1</v>
      </c>
      <c r="O844" s="1333">
        <v>9</v>
      </c>
      <c r="P844" s="1334">
        <f t="shared" si="1"/>
        <v>45000</v>
      </c>
    </row>
    <row r="845" spans="1:16" ht="22.5" x14ac:dyDescent="0.2">
      <c r="A845" s="1318" t="s">
        <v>3784</v>
      </c>
      <c r="B845" s="1318" t="s">
        <v>3785</v>
      </c>
      <c r="C845" s="1318" t="s">
        <v>3786</v>
      </c>
      <c r="D845" s="1330" t="s">
        <v>3954</v>
      </c>
      <c r="E845" s="1331">
        <v>1700</v>
      </c>
      <c r="F845" s="1318" t="s">
        <v>3955</v>
      </c>
      <c r="G845" s="1330" t="s">
        <v>3956</v>
      </c>
      <c r="H845" s="1330" t="s">
        <v>3957</v>
      </c>
      <c r="I845" s="1318" t="s">
        <v>1599</v>
      </c>
      <c r="J845" s="1335" t="s">
        <v>3957</v>
      </c>
      <c r="K845" s="1333">
        <v>1</v>
      </c>
      <c r="L845" s="1333">
        <v>12</v>
      </c>
      <c r="M845" s="1334">
        <f t="shared" si="0"/>
        <v>20400</v>
      </c>
      <c r="N845" s="1333">
        <v>1</v>
      </c>
      <c r="O845" s="1333">
        <v>9</v>
      </c>
      <c r="P845" s="1334">
        <f t="shared" si="1"/>
        <v>15300</v>
      </c>
    </row>
    <row r="846" spans="1:16" x14ac:dyDescent="0.2">
      <c r="A846" s="1318" t="s">
        <v>3784</v>
      </c>
      <c r="B846" s="1318" t="s">
        <v>3785</v>
      </c>
      <c r="C846" s="1318" t="s">
        <v>3786</v>
      </c>
      <c r="D846" s="1330" t="s">
        <v>3795</v>
      </c>
      <c r="E846" s="1331">
        <v>1700</v>
      </c>
      <c r="F846" s="1318" t="s">
        <v>3958</v>
      </c>
      <c r="G846" s="1330" t="s">
        <v>3959</v>
      </c>
      <c r="H846" s="1330" t="s">
        <v>3960</v>
      </c>
      <c r="I846" s="1318" t="s">
        <v>1599</v>
      </c>
      <c r="J846" s="1335" t="s">
        <v>3960</v>
      </c>
      <c r="K846" s="1333">
        <v>1</v>
      </c>
      <c r="L846" s="1333">
        <v>12</v>
      </c>
      <c r="M846" s="1334">
        <f t="shared" si="0"/>
        <v>20400</v>
      </c>
      <c r="N846" s="1333">
        <v>1</v>
      </c>
      <c r="O846" s="1333">
        <v>9</v>
      </c>
      <c r="P846" s="1334">
        <f t="shared" si="1"/>
        <v>15300</v>
      </c>
    </row>
    <row r="847" spans="1:16" x14ac:dyDescent="0.2">
      <c r="A847" s="1318" t="s">
        <v>3784</v>
      </c>
      <c r="B847" s="1318" t="s">
        <v>3785</v>
      </c>
      <c r="C847" s="1318" t="s">
        <v>3786</v>
      </c>
      <c r="D847" s="1330" t="s">
        <v>3961</v>
      </c>
      <c r="E847" s="1331">
        <v>5500</v>
      </c>
      <c r="F847" s="1318" t="s">
        <v>3962</v>
      </c>
      <c r="G847" s="1330" t="s">
        <v>3963</v>
      </c>
      <c r="H847" s="1330" t="s">
        <v>1819</v>
      </c>
      <c r="I847" s="1318" t="s">
        <v>3791</v>
      </c>
      <c r="J847" s="1335" t="s">
        <v>1819</v>
      </c>
      <c r="K847" s="1333">
        <v>1</v>
      </c>
      <c r="L847" s="1333">
        <v>2</v>
      </c>
      <c r="M847" s="1334">
        <f t="shared" si="0"/>
        <v>11000</v>
      </c>
      <c r="N847" s="1333">
        <v>0</v>
      </c>
      <c r="O847" s="1333">
        <v>0</v>
      </c>
      <c r="P847" s="1334">
        <f t="shared" si="1"/>
        <v>0</v>
      </c>
    </row>
    <row r="848" spans="1:16" ht="22.5" x14ac:dyDescent="0.2">
      <c r="A848" s="1318" t="s">
        <v>3784</v>
      </c>
      <c r="B848" s="1318" t="s">
        <v>3785</v>
      </c>
      <c r="C848" s="1318" t="s">
        <v>3786</v>
      </c>
      <c r="D848" s="1330" t="s">
        <v>3920</v>
      </c>
      <c r="E848" s="1331">
        <v>1000</v>
      </c>
      <c r="F848" s="1318" t="s">
        <v>3964</v>
      </c>
      <c r="G848" s="1330" t="s">
        <v>3965</v>
      </c>
      <c r="H848" s="1330" t="s">
        <v>3798</v>
      </c>
      <c r="I848" s="1318" t="s">
        <v>3798</v>
      </c>
      <c r="J848" s="1335" t="s">
        <v>3798</v>
      </c>
      <c r="K848" s="1333">
        <v>1</v>
      </c>
      <c r="L848" s="1333">
        <v>12</v>
      </c>
      <c r="M848" s="1334">
        <f t="shared" si="0"/>
        <v>12000</v>
      </c>
      <c r="N848" s="1333">
        <v>1</v>
      </c>
      <c r="O848" s="1333">
        <v>9</v>
      </c>
      <c r="P848" s="1334">
        <f t="shared" si="1"/>
        <v>9000</v>
      </c>
    </row>
    <row r="849" spans="1:16" x14ac:dyDescent="0.2">
      <c r="A849" s="1318" t="s">
        <v>3784</v>
      </c>
      <c r="B849" s="1318" t="s">
        <v>3785</v>
      </c>
      <c r="C849" s="1318" t="s">
        <v>3786</v>
      </c>
      <c r="D849" s="1330" t="s">
        <v>3966</v>
      </c>
      <c r="E849" s="1331">
        <v>2000</v>
      </c>
      <c r="F849" s="1318" t="s">
        <v>3967</v>
      </c>
      <c r="G849" s="1330" t="s">
        <v>3968</v>
      </c>
      <c r="H849" s="1330"/>
      <c r="I849" s="1318" t="s">
        <v>3798</v>
      </c>
      <c r="J849" s="1335"/>
      <c r="K849" s="1333">
        <v>1</v>
      </c>
      <c r="L849" s="1333">
        <v>0</v>
      </c>
      <c r="M849" s="1334">
        <f t="shared" si="0"/>
        <v>0</v>
      </c>
      <c r="N849" s="1333">
        <v>1</v>
      </c>
      <c r="O849" s="1333">
        <v>7</v>
      </c>
      <c r="P849" s="1334">
        <f t="shared" si="1"/>
        <v>14000</v>
      </c>
    </row>
    <row r="850" spans="1:16" ht="22.5" x14ac:dyDescent="0.2">
      <c r="A850" s="1318" t="s">
        <v>3784</v>
      </c>
      <c r="B850" s="1318" t="s">
        <v>3785</v>
      </c>
      <c r="C850" s="1318" t="s">
        <v>3786</v>
      </c>
      <c r="D850" s="1335" t="s">
        <v>3829</v>
      </c>
      <c r="E850" s="1331">
        <v>8000</v>
      </c>
      <c r="F850" s="1318" t="s">
        <v>3969</v>
      </c>
      <c r="G850" s="1330" t="s">
        <v>3970</v>
      </c>
      <c r="H850" s="1330" t="s">
        <v>3971</v>
      </c>
      <c r="I850" s="1318" t="s">
        <v>3791</v>
      </c>
      <c r="J850" s="1335" t="s">
        <v>3971</v>
      </c>
      <c r="K850" s="1333">
        <v>1</v>
      </c>
      <c r="L850" s="1333">
        <v>1</v>
      </c>
      <c r="M850" s="1334">
        <f t="shared" si="0"/>
        <v>8000</v>
      </c>
      <c r="N850" s="1333">
        <v>1</v>
      </c>
      <c r="O850" s="1333">
        <v>9</v>
      </c>
      <c r="P850" s="1334">
        <f t="shared" si="1"/>
        <v>72000</v>
      </c>
    </row>
    <row r="851" spans="1:16" x14ac:dyDescent="0.2">
      <c r="A851" s="1318" t="s">
        <v>3784</v>
      </c>
      <c r="B851" s="1318" t="s">
        <v>3785</v>
      </c>
      <c r="C851" s="1318" t="s">
        <v>3786</v>
      </c>
      <c r="D851" s="1330" t="s">
        <v>3961</v>
      </c>
      <c r="E851" s="1331">
        <v>5500</v>
      </c>
      <c r="F851" s="1318" t="s">
        <v>3969</v>
      </c>
      <c r="G851" s="1330" t="s">
        <v>3970</v>
      </c>
      <c r="H851" s="1330" t="s">
        <v>3971</v>
      </c>
      <c r="I851" s="1318" t="s">
        <v>3791</v>
      </c>
      <c r="J851" s="1335" t="s">
        <v>3971</v>
      </c>
      <c r="K851" s="1333">
        <v>1</v>
      </c>
      <c r="L851" s="1333">
        <v>4</v>
      </c>
      <c r="M851" s="1334">
        <f t="shared" ref="M851:M899" si="2">E851*L851</f>
        <v>22000</v>
      </c>
      <c r="N851" s="1333">
        <v>0</v>
      </c>
      <c r="O851" s="1333">
        <v>0</v>
      </c>
      <c r="P851" s="1334">
        <f t="shared" ref="P851:P899" si="3">E851*O851</f>
        <v>0</v>
      </c>
    </row>
    <row r="852" spans="1:16" ht="22.5" x14ac:dyDescent="0.2">
      <c r="A852" s="1318" t="s">
        <v>3784</v>
      </c>
      <c r="B852" s="1318" t="s">
        <v>3785</v>
      </c>
      <c r="C852" s="1318" t="s">
        <v>3786</v>
      </c>
      <c r="D852" s="1330" t="s">
        <v>3920</v>
      </c>
      <c r="E852" s="1331">
        <v>1000</v>
      </c>
      <c r="F852" s="1318" t="s">
        <v>3972</v>
      </c>
      <c r="G852" s="1330" t="s">
        <v>3973</v>
      </c>
      <c r="H852" s="1330" t="s">
        <v>3798</v>
      </c>
      <c r="I852" s="1318" t="s">
        <v>3798</v>
      </c>
      <c r="J852" s="1335" t="s">
        <v>3798</v>
      </c>
      <c r="K852" s="1333">
        <v>1</v>
      </c>
      <c r="L852" s="1333">
        <v>12</v>
      </c>
      <c r="M852" s="1334">
        <f t="shared" si="2"/>
        <v>12000</v>
      </c>
      <c r="N852" s="1333">
        <v>0</v>
      </c>
      <c r="O852" s="1333">
        <v>0</v>
      </c>
      <c r="P852" s="1334">
        <f t="shared" si="3"/>
        <v>0</v>
      </c>
    </row>
    <row r="853" spans="1:16" ht="22.5" x14ac:dyDescent="0.2">
      <c r="A853" s="1318" t="s">
        <v>3784</v>
      </c>
      <c r="B853" s="1318" t="s">
        <v>3649</v>
      </c>
      <c r="C853" s="1318" t="s">
        <v>3786</v>
      </c>
      <c r="D853" s="1330" t="s">
        <v>3974</v>
      </c>
      <c r="E853" s="1331">
        <v>7000</v>
      </c>
      <c r="F853" s="1318" t="s">
        <v>3975</v>
      </c>
      <c r="G853" s="1330" t="s">
        <v>3976</v>
      </c>
      <c r="H853" s="1330" t="s">
        <v>3977</v>
      </c>
      <c r="I853" s="1318" t="s">
        <v>3791</v>
      </c>
      <c r="J853" s="1335" t="s">
        <v>3977</v>
      </c>
      <c r="K853" s="1333">
        <v>1</v>
      </c>
      <c r="L853" s="1333">
        <v>5</v>
      </c>
      <c r="M853" s="1334">
        <f t="shared" si="2"/>
        <v>35000</v>
      </c>
      <c r="N853" s="1333">
        <v>1</v>
      </c>
      <c r="O853" s="1333">
        <v>9</v>
      </c>
      <c r="P853" s="1334">
        <f t="shared" si="3"/>
        <v>63000</v>
      </c>
    </row>
    <row r="854" spans="1:16" x14ac:dyDescent="0.2">
      <c r="A854" s="1318" t="s">
        <v>3784</v>
      </c>
      <c r="B854" s="1318" t="s">
        <v>3649</v>
      </c>
      <c r="C854" s="1318" t="s">
        <v>3786</v>
      </c>
      <c r="D854" s="1330" t="s">
        <v>3978</v>
      </c>
      <c r="E854" s="1331">
        <v>7800</v>
      </c>
      <c r="F854" s="1318" t="s">
        <v>3979</v>
      </c>
      <c r="G854" s="1330" t="s">
        <v>3980</v>
      </c>
      <c r="H854" s="1330" t="s">
        <v>1732</v>
      </c>
      <c r="I854" s="1318" t="s">
        <v>3791</v>
      </c>
      <c r="J854" s="1335" t="s">
        <v>1732</v>
      </c>
      <c r="K854" s="1333">
        <v>1</v>
      </c>
      <c r="L854" s="1333">
        <v>12</v>
      </c>
      <c r="M854" s="1334">
        <f t="shared" si="2"/>
        <v>93600</v>
      </c>
      <c r="N854" s="1333">
        <v>1</v>
      </c>
      <c r="O854" s="1333">
        <v>5</v>
      </c>
      <c r="P854" s="1334">
        <f t="shared" si="3"/>
        <v>39000</v>
      </c>
    </row>
    <row r="855" spans="1:16" ht="22.5" x14ac:dyDescent="0.2">
      <c r="A855" s="1318" t="s">
        <v>3784</v>
      </c>
      <c r="B855" s="1318" t="s">
        <v>3785</v>
      </c>
      <c r="C855" s="1318" t="s">
        <v>3786</v>
      </c>
      <c r="D855" s="1335" t="s">
        <v>3981</v>
      </c>
      <c r="E855" s="1331">
        <v>6000</v>
      </c>
      <c r="F855" s="1318" t="s">
        <v>3982</v>
      </c>
      <c r="G855" s="1330" t="s">
        <v>3983</v>
      </c>
      <c r="H855" s="1330" t="s">
        <v>3984</v>
      </c>
      <c r="I855" s="1318" t="s">
        <v>3791</v>
      </c>
      <c r="J855" s="1335" t="s">
        <v>3984</v>
      </c>
      <c r="K855" s="1333">
        <v>1</v>
      </c>
      <c r="L855" s="1333">
        <v>2</v>
      </c>
      <c r="M855" s="1334">
        <f t="shared" si="2"/>
        <v>12000</v>
      </c>
      <c r="N855" s="1333">
        <v>1</v>
      </c>
      <c r="O855" s="1333">
        <v>9</v>
      </c>
      <c r="P855" s="1334">
        <f t="shared" si="3"/>
        <v>54000</v>
      </c>
    </row>
    <row r="856" spans="1:16" x14ac:dyDescent="0.2">
      <c r="A856" s="1318" t="s">
        <v>3784</v>
      </c>
      <c r="B856" s="1318" t="s">
        <v>3785</v>
      </c>
      <c r="C856" s="1318" t="s">
        <v>3786</v>
      </c>
      <c r="D856" s="1330" t="s">
        <v>1772</v>
      </c>
      <c r="E856" s="1331">
        <v>5000</v>
      </c>
      <c r="F856" s="1318" t="s">
        <v>3985</v>
      </c>
      <c r="G856" s="1330" t="s">
        <v>3986</v>
      </c>
      <c r="H856" s="1330" t="s">
        <v>3670</v>
      </c>
      <c r="I856" s="1318" t="s">
        <v>3791</v>
      </c>
      <c r="J856" s="1335" t="s">
        <v>3670</v>
      </c>
      <c r="K856" s="1333">
        <v>1</v>
      </c>
      <c r="L856" s="1333">
        <v>12</v>
      </c>
      <c r="M856" s="1334">
        <f t="shared" si="2"/>
        <v>60000</v>
      </c>
      <c r="N856" s="1333">
        <v>1</v>
      </c>
      <c r="O856" s="1333">
        <v>8</v>
      </c>
      <c r="P856" s="1334">
        <f t="shared" si="3"/>
        <v>40000</v>
      </c>
    </row>
    <row r="857" spans="1:16" x14ac:dyDescent="0.2">
      <c r="A857" s="1318" t="s">
        <v>3784</v>
      </c>
      <c r="B857" s="1318" t="s">
        <v>3649</v>
      </c>
      <c r="C857" s="1318" t="s">
        <v>3786</v>
      </c>
      <c r="D857" s="1330" t="s">
        <v>3126</v>
      </c>
      <c r="E857" s="1331">
        <v>4000</v>
      </c>
      <c r="F857" s="1318" t="s">
        <v>3987</v>
      </c>
      <c r="G857" s="1330" t="s">
        <v>3988</v>
      </c>
      <c r="H857" s="1330" t="s">
        <v>3934</v>
      </c>
      <c r="I857" s="1318" t="s">
        <v>1599</v>
      </c>
      <c r="J857" s="1335" t="s">
        <v>3934</v>
      </c>
      <c r="K857" s="1333">
        <v>1</v>
      </c>
      <c r="L857" s="1333">
        <v>12</v>
      </c>
      <c r="M857" s="1334">
        <f t="shared" si="2"/>
        <v>48000</v>
      </c>
      <c r="N857" s="1333">
        <v>1</v>
      </c>
      <c r="O857" s="1333">
        <v>9</v>
      </c>
      <c r="P857" s="1334">
        <f t="shared" si="3"/>
        <v>36000</v>
      </c>
    </row>
    <row r="858" spans="1:16" ht="22.5" x14ac:dyDescent="0.2">
      <c r="A858" s="1318" t="s">
        <v>3784</v>
      </c>
      <c r="B858" s="1318" t="s">
        <v>3785</v>
      </c>
      <c r="C858" s="1318" t="s">
        <v>3786</v>
      </c>
      <c r="D858" s="1335" t="s">
        <v>3989</v>
      </c>
      <c r="E858" s="1331">
        <v>4000</v>
      </c>
      <c r="F858" s="1318" t="s">
        <v>3990</v>
      </c>
      <c r="G858" s="1330" t="s">
        <v>3991</v>
      </c>
      <c r="H858" s="1330" t="s">
        <v>3992</v>
      </c>
      <c r="I858" s="1318" t="s">
        <v>3791</v>
      </c>
      <c r="J858" s="1335" t="s">
        <v>3992</v>
      </c>
      <c r="K858" s="1333">
        <v>1</v>
      </c>
      <c r="L858" s="1333">
        <v>12</v>
      </c>
      <c r="M858" s="1334">
        <f t="shared" si="2"/>
        <v>48000</v>
      </c>
      <c r="N858" s="1333">
        <v>1</v>
      </c>
      <c r="O858" s="1333">
        <v>9</v>
      </c>
      <c r="P858" s="1334">
        <f t="shared" si="3"/>
        <v>36000</v>
      </c>
    </row>
    <row r="859" spans="1:16" x14ac:dyDescent="0.2">
      <c r="A859" s="1318" t="s">
        <v>3784</v>
      </c>
      <c r="B859" s="1318" t="s">
        <v>3649</v>
      </c>
      <c r="C859" s="1318" t="s">
        <v>3786</v>
      </c>
      <c r="D859" s="1330" t="s">
        <v>3240</v>
      </c>
      <c r="E859" s="1331">
        <v>3000</v>
      </c>
      <c r="F859" s="1318" t="s">
        <v>3993</v>
      </c>
      <c r="G859" s="1330" t="s">
        <v>3994</v>
      </c>
      <c r="H859" s="1330" t="s">
        <v>1603</v>
      </c>
      <c r="I859" s="1318" t="s">
        <v>1616</v>
      </c>
      <c r="J859" s="1335" t="s">
        <v>1603</v>
      </c>
      <c r="K859" s="1333">
        <v>1</v>
      </c>
      <c r="L859" s="1333">
        <v>12</v>
      </c>
      <c r="M859" s="1334">
        <f t="shared" si="2"/>
        <v>36000</v>
      </c>
      <c r="N859" s="1333">
        <v>1</v>
      </c>
      <c r="O859" s="1333">
        <v>9</v>
      </c>
      <c r="P859" s="1334">
        <f t="shared" si="3"/>
        <v>27000</v>
      </c>
    </row>
    <row r="860" spans="1:16" ht="22.5" x14ac:dyDescent="0.2">
      <c r="A860" s="1318" t="s">
        <v>3784</v>
      </c>
      <c r="B860" s="1318" t="s">
        <v>3649</v>
      </c>
      <c r="C860" s="1336" t="s">
        <v>3804</v>
      </c>
      <c r="D860" s="1330" t="s">
        <v>3978</v>
      </c>
      <c r="E860" s="1331">
        <v>7800</v>
      </c>
      <c r="F860" s="1318" t="s">
        <v>3995</v>
      </c>
      <c r="G860" s="1330" t="s">
        <v>3996</v>
      </c>
      <c r="H860" s="1330" t="s">
        <v>3742</v>
      </c>
      <c r="I860" s="1318" t="s">
        <v>3791</v>
      </c>
      <c r="J860" s="1335" t="s">
        <v>3742</v>
      </c>
      <c r="K860" s="1333">
        <v>1</v>
      </c>
      <c r="L860" s="1333">
        <v>0</v>
      </c>
      <c r="M860" s="1334">
        <f t="shared" si="2"/>
        <v>0</v>
      </c>
      <c r="N860" s="1333">
        <v>1</v>
      </c>
      <c r="O860" s="1333">
        <v>5</v>
      </c>
      <c r="P860" s="1334">
        <f t="shared" si="3"/>
        <v>39000</v>
      </c>
    </row>
    <row r="861" spans="1:16" ht="22.5" x14ac:dyDescent="0.2">
      <c r="A861" s="1318" t="s">
        <v>3784</v>
      </c>
      <c r="B861" s="1318" t="s">
        <v>3649</v>
      </c>
      <c r="C861" s="1318" t="s">
        <v>3786</v>
      </c>
      <c r="D861" s="1335" t="s">
        <v>3997</v>
      </c>
      <c r="E861" s="1331">
        <v>2500</v>
      </c>
      <c r="F861" s="1318" t="s">
        <v>3998</v>
      </c>
      <c r="G861" s="1330" t="s">
        <v>3999</v>
      </c>
      <c r="H861" s="1330" t="s">
        <v>4000</v>
      </c>
      <c r="I861" s="1318" t="s">
        <v>1616</v>
      </c>
      <c r="J861" s="1335" t="s">
        <v>4000</v>
      </c>
      <c r="K861" s="1333">
        <v>1</v>
      </c>
      <c r="L861" s="1333">
        <v>12</v>
      </c>
      <c r="M861" s="1334">
        <f t="shared" si="2"/>
        <v>30000</v>
      </c>
      <c r="N861" s="1333">
        <v>1</v>
      </c>
      <c r="O861" s="1333">
        <v>9</v>
      </c>
      <c r="P861" s="1334">
        <f t="shared" si="3"/>
        <v>22500</v>
      </c>
    </row>
    <row r="862" spans="1:16" x14ac:dyDescent="0.2">
      <c r="A862" s="1318" t="s">
        <v>3784</v>
      </c>
      <c r="B862" s="1318" t="s">
        <v>3785</v>
      </c>
      <c r="C862" s="1318" t="s">
        <v>3786</v>
      </c>
      <c r="D862" s="1330" t="s">
        <v>4001</v>
      </c>
      <c r="E862" s="1331">
        <v>3800</v>
      </c>
      <c r="F862" s="1318" t="s">
        <v>4002</v>
      </c>
      <c r="G862" s="1330" t="s">
        <v>4003</v>
      </c>
      <c r="H862" s="1330" t="s">
        <v>4004</v>
      </c>
      <c r="I862" s="1318" t="s">
        <v>1599</v>
      </c>
      <c r="J862" s="1335" t="s">
        <v>4004</v>
      </c>
      <c r="K862" s="1333">
        <v>1</v>
      </c>
      <c r="L862" s="1333">
        <v>12</v>
      </c>
      <c r="M862" s="1334">
        <f t="shared" si="2"/>
        <v>45600</v>
      </c>
      <c r="N862" s="1333">
        <v>0</v>
      </c>
      <c r="O862" s="1333">
        <v>0</v>
      </c>
      <c r="P862" s="1334">
        <f t="shared" si="3"/>
        <v>0</v>
      </c>
    </row>
    <row r="863" spans="1:16" x14ac:dyDescent="0.2">
      <c r="A863" s="1318" t="s">
        <v>3784</v>
      </c>
      <c r="B863" s="1318" t="s">
        <v>3649</v>
      </c>
      <c r="C863" s="1318" t="s">
        <v>3786</v>
      </c>
      <c r="D863" s="1330" t="s">
        <v>4005</v>
      </c>
      <c r="E863" s="1331">
        <v>1800</v>
      </c>
      <c r="F863" s="1318" t="s">
        <v>4006</v>
      </c>
      <c r="G863" s="1330" t="s">
        <v>4007</v>
      </c>
      <c r="H863" s="1330" t="s">
        <v>4008</v>
      </c>
      <c r="I863" s="1318" t="s">
        <v>1599</v>
      </c>
      <c r="J863" s="1335" t="s">
        <v>4008</v>
      </c>
      <c r="K863" s="1333">
        <v>1</v>
      </c>
      <c r="L863" s="1333">
        <v>12</v>
      </c>
      <c r="M863" s="1334">
        <f t="shared" si="2"/>
        <v>21600</v>
      </c>
      <c r="N863" s="1333">
        <v>1</v>
      </c>
      <c r="O863" s="1333">
        <v>9</v>
      </c>
      <c r="P863" s="1334">
        <f t="shared" si="3"/>
        <v>16200</v>
      </c>
    </row>
    <row r="864" spans="1:16" ht="22.5" x14ac:dyDescent="0.2">
      <c r="A864" s="1318" t="s">
        <v>3784</v>
      </c>
      <c r="B864" s="1318" t="s">
        <v>3785</v>
      </c>
      <c r="C864" s="1318" t="s">
        <v>3786</v>
      </c>
      <c r="D864" s="1330" t="s">
        <v>3926</v>
      </c>
      <c r="E864" s="1331">
        <v>1500</v>
      </c>
      <c r="F864" s="1318" t="s">
        <v>4009</v>
      </c>
      <c r="G864" s="1330" t="s">
        <v>4010</v>
      </c>
      <c r="H864" s="1330" t="s">
        <v>3798</v>
      </c>
      <c r="I864" s="1318" t="s">
        <v>3798</v>
      </c>
      <c r="J864" s="1335" t="s">
        <v>3798</v>
      </c>
      <c r="K864" s="1333">
        <v>1</v>
      </c>
      <c r="L864" s="1333">
        <v>12</v>
      </c>
      <c r="M864" s="1334">
        <f t="shared" si="2"/>
        <v>18000</v>
      </c>
      <c r="N864" s="1333">
        <v>1</v>
      </c>
      <c r="O864" s="1333">
        <v>9</v>
      </c>
      <c r="P864" s="1334">
        <f t="shared" si="3"/>
        <v>13500</v>
      </c>
    </row>
    <row r="865" spans="1:16" ht="22.5" x14ac:dyDescent="0.2">
      <c r="A865" s="1318" t="s">
        <v>3784</v>
      </c>
      <c r="B865" s="1318" t="s">
        <v>3649</v>
      </c>
      <c r="C865" s="1318" t="s">
        <v>3786</v>
      </c>
      <c r="D865" s="1330" t="s">
        <v>3813</v>
      </c>
      <c r="E865" s="1331">
        <v>3000</v>
      </c>
      <c r="F865" s="1318" t="s">
        <v>4011</v>
      </c>
      <c r="G865" s="1330" t="s">
        <v>4012</v>
      </c>
      <c r="H865" s="1330" t="s">
        <v>1992</v>
      </c>
      <c r="I865" s="1318" t="s">
        <v>3791</v>
      </c>
      <c r="J865" s="1335" t="s">
        <v>1992</v>
      </c>
      <c r="K865" s="1333">
        <v>1</v>
      </c>
      <c r="L865" s="1333">
        <v>12</v>
      </c>
      <c r="M865" s="1334">
        <f t="shared" si="2"/>
        <v>36000</v>
      </c>
      <c r="N865" s="1333">
        <v>1</v>
      </c>
      <c r="O865" s="1333">
        <v>9</v>
      </c>
      <c r="P865" s="1334">
        <f t="shared" si="3"/>
        <v>27000</v>
      </c>
    </row>
    <row r="866" spans="1:16" ht="33.75" x14ac:dyDescent="0.2">
      <c r="A866" s="1318" t="s">
        <v>3784</v>
      </c>
      <c r="B866" s="1318" t="s">
        <v>3785</v>
      </c>
      <c r="C866" s="1318" t="s">
        <v>3786</v>
      </c>
      <c r="D866" s="1335" t="s">
        <v>4013</v>
      </c>
      <c r="E866" s="1331">
        <v>3000</v>
      </c>
      <c r="F866" s="1318" t="s">
        <v>4014</v>
      </c>
      <c r="G866" s="1330" t="s">
        <v>4015</v>
      </c>
      <c r="H866" s="1330" t="s">
        <v>4016</v>
      </c>
      <c r="I866" s="1318" t="s">
        <v>3791</v>
      </c>
      <c r="J866" s="1335" t="s">
        <v>4016</v>
      </c>
      <c r="K866" s="1333">
        <v>1</v>
      </c>
      <c r="L866" s="1333">
        <v>12</v>
      </c>
      <c r="M866" s="1334">
        <f t="shared" si="2"/>
        <v>36000</v>
      </c>
      <c r="N866" s="1333">
        <v>1</v>
      </c>
      <c r="O866" s="1333">
        <v>9</v>
      </c>
      <c r="P866" s="1334">
        <f t="shared" si="3"/>
        <v>27000</v>
      </c>
    </row>
    <row r="867" spans="1:16" x14ac:dyDescent="0.2">
      <c r="A867" s="1318" t="s">
        <v>3784</v>
      </c>
      <c r="B867" s="1318" t="s">
        <v>3785</v>
      </c>
      <c r="C867" s="1318" t="s">
        <v>3786</v>
      </c>
      <c r="D867" s="1330" t="s">
        <v>3833</v>
      </c>
      <c r="E867" s="1331">
        <v>2000</v>
      </c>
      <c r="F867" s="1318" t="s">
        <v>4017</v>
      </c>
      <c r="G867" s="1330" t="s">
        <v>4018</v>
      </c>
      <c r="H867" s="1330"/>
      <c r="I867" s="1318" t="s">
        <v>3798</v>
      </c>
      <c r="J867" s="1335"/>
      <c r="K867" s="1333">
        <v>1</v>
      </c>
      <c r="L867" s="1333">
        <v>12</v>
      </c>
      <c r="M867" s="1334">
        <f t="shared" si="2"/>
        <v>24000</v>
      </c>
      <c r="N867" s="1333">
        <v>0</v>
      </c>
      <c r="O867" s="1333">
        <v>0</v>
      </c>
      <c r="P867" s="1334">
        <f t="shared" si="3"/>
        <v>0</v>
      </c>
    </row>
    <row r="868" spans="1:16" x14ac:dyDescent="0.2">
      <c r="A868" s="1318" t="s">
        <v>3784</v>
      </c>
      <c r="B868" s="1318" t="s">
        <v>3649</v>
      </c>
      <c r="C868" s="1318" t="s">
        <v>3786</v>
      </c>
      <c r="D868" s="1330" t="s">
        <v>3857</v>
      </c>
      <c r="E868" s="1331">
        <v>5500</v>
      </c>
      <c r="F868" s="1318" t="s">
        <v>4019</v>
      </c>
      <c r="G868" s="1330" t="s">
        <v>4020</v>
      </c>
      <c r="H868" s="1330" t="s">
        <v>4021</v>
      </c>
      <c r="I868" s="1318" t="s">
        <v>1616</v>
      </c>
      <c r="J868" s="1335" t="s">
        <v>4021</v>
      </c>
      <c r="K868" s="1333">
        <v>1</v>
      </c>
      <c r="L868" s="1333">
        <v>12</v>
      </c>
      <c r="M868" s="1334">
        <f t="shared" si="2"/>
        <v>66000</v>
      </c>
      <c r="N868" s="1333">
        <v>0</v>
      </c>
      <c r="O868" s="1333">
        <v>0</v>
      </c>
      <c r="P868" s="1334">
        <f t="shared" si="3"/>
        <v>0</v>
      </c>
    </row>
    <row r="869" spans="1:16" ht="33.75" x14ac:dyDescent="0.2">
      <c r="A869" s="1318" t="s">
        <v>3784</v>
      </c>
      <c r="B869" s="1318" t="s">
        <v>3649</v>
      </c>
      <c r="C869" s="1336" t="s">
        <v>3804</v>
      </c>
      <c r="D869" s="1330" t="s">
        <v>1816</v>
      </c>
      <c r="E869" s="1331">
        <v>1800</v>
      </c>
      <c r="F869" s="1318" t="s">
        <v>4022</v>
      </c>
      <c r="G869" s="1330" t="s">
        <v>4023</v>
      </c>
      <c r="H869" s="1330" t="s">
        <v>4024</v>
      </c>
      <c r="I869" s="1318" t="s">
        <v>1616</v>
      </c>
      <c r="J869" s="1335" t="s">
        <v>4024</v>
      </c>
      <c r="K869" s="1333">
        <v>1</v>
      </c>
      <c r="L869" s="1333">
        <v>0</v>
      </c>
      <c r="M869" s="1334">
        <f t="shared" si="2"/>
        <v>0</v>
      </c>
      <c r="N869" s="1333">
        <v>1</v>
      </c>
      <c r="O869" s="1333">
        <v>5</v>
      </c>
      <c r="P869" s="1334">
        <f t="shared" si="3"/>
        <v>9000</v>
      </c>
    </row>
    <row r="870" spans="1:16" ht="22.5" x14ac:dyDescent="0.2">
      <c r="A870" s="1318" t="s">
        <v>3784</v>
      </c>
      <c r="B870" s="1318" t="s">
        <v>3785</v>
      </c>
      <c r="C870" s="1318" t="s">
        <v>3786</v>
      </c>
      <c r="D870" s="1330" t="s">
        <v>3833</v>
      </c>
      <c r="E870" s="1331">
        <v>1700</v>
      </c>
      <c r="F870" s="1318" t="s">
        <v>4025</v>
      </c>
      <c r="G870" s="1330" t="s">
        <v>4026</v>
      </c>
      <c r="H870" s="1330" t="s">
        <v>3798</v>
      </c>
      <c r="I870" s="1318" t="s">
        <v>3798</v>
      </c>
      <c r="J870" s="1335" t="s">
        <v>3798</v>
      </c>
      <c r="K870" s="1333">
        <v>1</v>
      </c>
      <c r="L870" s="1333">
        <v>12</v>
      </c>
      <c r="M870" s="1334">
        <f t="shared" si="2"/>
        <v>20400</v>
      </c>
      <c r="N870" s="1333">
        <v>0</v>
      </c>
      <c r="O870" s="1333">
        <v>0</v>
      </c>
      <c r="P870" s="1334">
        <f t="shared" si="3"/>
        <v>0</v>
      </c>
    </row>
    <row r="871" spans="1:16" ht="22.5" x14ac:dyDescent="0.2">
      <c r="A871" s="1318" t="s">
        <v>3784</v>
      </c>
      <c r="B871" s="1318" t="s">
        <v>3649</v>
      </c>
      <c r="C871" s="1318" t="s">
        <v>3786</v>
      </c>
      <c r="D871" s="1330" t="s">
        <v>1781</v>
      </c>
      <c r="E871" s="1331">
        <v>3500</v>
      </c>
      <c r="F871" s="1318" t="s">
        <v>4027</v>
      </c>
      <c r="G871" s="1330" t="s">
        <v>4028</v>
      </c>
      <c r="H871" s="1330" t="s">
        <v>4029</v>
      </c>
      <c r="I871" s="1318" t="s">
        <v>1616</v>
      </c>
      <c r="J871" s="1335" t="s">
        <v>4029</v>
      </c>
      <c r="K871" s="1333">
        <v>1</v>
      </c>
      <c r="L871" s="1333">
        <v>12</v>
      </c>
      <c r="M871" s="1334">
        <f t="shared" si="2"/>
        <v>42000</v>
      </c>
      <c r="N871" s="1333">
        <v>1</v>
      </c>
      <c r="O871" s="1333">
        <v>9</v>
      </c>
      <c r="P871" s="1334">
        <f t="shared" si="3"/>
        <v>31500</v>
      </c>
    </row>
    <row r="872" spans="1:16" x14ac:dyDescent="0.2">
      <c r="A872" s="1318" t="s">
        <v>3784</v>
      </c>
      <c r="B872" s="1318" t="s">
        <v>3785</v>
      </c>
      <c r="C872" s="1318" t="s">
        <v>3786</v>
      </c>
      <c r="D872" s="1330" t="s">
        <v>3833</v>
      </c>
      <c r="E872" s="1331">
        <v>2000</v>
      </c>
      <c r="F872" s="1318" t="s">
        <v>4030</v>
      </c>
      <c r="G872" s="1330" t="s">
        <v>4031</v>
      </c>
      <c r="H872" s="1330"/>
      <c r="I872" s="1318" t="s">
        <v>3798</v>
      </c>
      <c r="J872" s="1335"/>
      <c r="K872" s="1333">
        <v>1</v>
      </c>
      <c r="L872" s="1333">
        <v>0</v>
      </c>
      <c r="M872" s="1334">
        <f t="shared" si="2"/>
        <v>0</v>
      </c>
      <c r="N872" s="1333">
        <v>1</v>
      </c>
      <c r="O872" s="1333">
        <v>7</v>
      </c>
      <c r="P872" s="1334">
        <f t="shared" si="3"/>
        <v>14000</v>
      </c>
    </row>
    <row r="873" spans="1:16" ht="33.75" x14ac:dyDescent="0.2">
      <c r="A873" s="1318" t="s">
        <v>3784</v>
      </c>
      <c r="B873" s="1318" t="s">
        <v>3649</v>
      </c>
      <c r="C873" s="1336" t="s">
        <v>3804</v>
      </c>
      <c r="D873" s="1335" t="s">
        <v>4032</v>
      </c>
      <c r="E873" s="1331">
        <v>4500</v>
      </c>
      <c r="F873" s="1318">
        <v>45897541</v>
      </c>
      <c r="G873" s="1330" t="s">
        <v>4033</v>
      </c>
      <c r="H873" s="1330" t="s">
        <v>4034</v>
      </c>
      <c r="I873" s="1318" t="s">
        <v>3791</v>
      </c>
      <c r="J873" s="1335" t="s">
        <v>4034</v>
      </c>
      <c r="K873" s="1333">
        <v>1</v>
      </c>
      <c r="L873" s="1333">
        <v>0</v>
      </c>
      <c r="M873" s="1334">
        <f t="shared" si="2"/>
        <v>0</v>
      </c>
      <c r="N873" s="1333">
        <v>1</v>
      </c>
      <c r="O873" s="1333">
        <v>4</v>
      </c>
      <c r="P873" s="1334">
        <f t="shared" si="3"/>
        <v>18000</v>
      </c>
    </row>
    <row r="874" spans="1:16" ht="22.5" x14ac:dyDescent="0.2">
      <c r="A874" s="1318" t="s">
        <v>3784</v>
      </c>
      <c r="B874" s="1318" t="s">
        <v>3649</v>
      </c>
      <c r="C874" s="1318" t="s">
        <v>3786</v>
      </c>
      <c r="D874" s="1330" t="s">
        <v>3920</v>
      </c>
      <c r="E874" s="1331">
        <v>1000</v>
      </c>
      <c r="F874" s="1318" t="s">
        <v>4035</v>
      </c>
      <c r="G874" s="1330" t="s">
        <v>4036</v>
      </c>
      <c r="H874" s="1330" t="s">
        <v>3798</v>
      </c>
      <c r="I874" s="1318" t="s">
        <v>3798</v>
      </c>
      <c r="J874" s="1335" t="s">
        <v>3798</v>
      </c>
      <c r="K874" s="1333">
        <v>1</v>
      </c>
      <c r="L874" s="1333">
        <v>12</v>
      </c>
      <c r="M874" s="1334">
        <f t="shared" si="2"/>
        <v>12000</v>
      </c>
      <c r="N874" s="1333">
        <v>0</v>
      </c>
      <c r="O874" s="1333">
        <v>0</v>
      </c>
      <c r="P874" s="1334">
        <f t="shared" si="3"/>
        <v>0</v>
      </c>
    </row>
    <row r="875" spans="1:16" ht="22.5" x14ac:dyDescent="0.2">
      <c r="A875" s="1318" t="s">
        <v>3784</v>
      </c>
      <c r="B875" s="1318" t="s">
        <v>3649</v>
      </c>
      <c r="C875" s="1318" t="s">
        <v>3786</v>
      </c>
      <c r="D875" s="1330" t="s">
        <v>3920</v>
      </c>
      <c r="E875" s="1331">
        <v>950</v>
      </c>
      <c r="F875" s="1318" t="s">
        <v>4037</v>
      </c>
      <c r="G875" s="1330" t="s">
        <v>4038</v>
      </c>
      <c r="H875" s="1330" t="s">
        <v>3798</v>
      </c>
      <c r="I875" s="1318" t="s">
        <v>3798</v>
      </c>
      <c r="J875" s="1335" t="s">
        <v>3798</v>
      </c>
      <c r="K875" s="1333">
        <v>1</v>
      </c>
      <c r="L875" s="1333">
        <v>12</v>
      </c>
      <c r="M875" s="1334">
        <f t="shared" si="2"/>
        <v>11400</v>
      </c>
      <c r="N875" s="1333">
        <v>0</v>
      </c>
      <c r="O875" s="1333">
        <v>0</v>
      </c>
      <c r="P875" s="1334">
        <f t="shared" si="3"/>
        <v>0</v>
      </c>
    </row>
    <row r="876" spans="1:16" x14ac:dyDescent="0.2">
      <c r="A876" s="1318" t="s">
        <v>3784</v>
      </c>
      <c r="B876" s="1318" t="s">
        <v>3785</v>
      </c>
      <c r="C876" s="1318" t="s">
        <v>3786</v>
      </c>
      <c r="D876" s="1330" t="s">
        <v>4039</v>
      </c>
      <c r="E876" s="1331">
        <v>6000</v>
      </c>
      <c r="F876" s="1318">
        <v>33259749</v>
      </c>
      <c r="G876" s="1330" t="s">
        <v>4040</v>
      </c>
      <c r="H876" s="1330" t="s">
        <v>4041</v>
      </c>
      <c r="I876" s="1318" t="s">
        <v>3791</v>
      </c>
      <c r="J876" s="1335" t="s">
        <v>4041</v>
      </c>
      <c r="K876" s="1333">
        <v>1</v>
      </c>
      <c r="L876" s="1333">
        <v>12</v>
      </c>
      <c r="M876" s="1334">
        <f t="shared" si="2"/>
        <v>72000</v>
      </c>
      <c r="N876" s="1333">
        <v>1</v>
      </c>
      <c r="O876" s="1333">
        <v>9</v>
      </c>
      <c r="P876" s="1334">
        <f t="shared" si="3"/>
        <v>54000</v>
      </c>
    </row>
    <row r="877" spans="1:16" x14ac:dyDescent="0.2">
      <c r="A877" s="1318" t="s">
        <v>3784</v>
      </c>
      <c r="B877" s="1318" t="s">
        <v>3649</v>
      </c>
      <c r="C877" s="1318" t="s">
        <v>3786</v>
      </c>
      <c r="D877" s="1330" t="s">
        <v>3974</v>
      </c>
      <c r="E877" s="1331">
        <v>7000</v>
      </c>
      <c r="F877" s="1318" t="s">
        <v>4042</v>
      </c>
      <c r="G877" s="1330" t="s">
        <v>4043</v>
      </c>
      <c r="H877" s="1330" t="s">
        <v>4044</v>
      </c>
      <c r="I877" s="1318" t="s">
        <v>3791</v>
      </c>
      <c r="J877" s="1335" t="s">
        <v>4044</v>
      </c>
      <c r="K877" s="1333">
        <v>1</v>
      </c>
      <c r="L877" s="1333">
        <v>12</v>
      </c>
      <c r="M877" s="1334">
        <f t="shared" si="2"/>
        <v>84000</v>
      </c>
      <c r="N877" s="1333">
        <v>0</v>
      </c>
      <c r="O877" s="1333">
        <v>0</v>
      </c>
      <c r="P877" s="1334">
        <f t="shared" si="3"/>
        <v>0</v>
      </c>
    </row>
    <row r="878" spans="1:16" x14ac:dyDescent="0.2">
      <c r="A878" s="1318" t="s">
        <v>3784</v>
      </c>
      <c r="B878" s="1318" t="s">
        <v>3785</v>
      </c>
      <c r="C878" s="1318" t="s">
        <v>3786</v>
      </c>
      <c r="D878" s="1330" t="s">
        <v>4045</v>
      </c>
      <c r="E878" s="1331">
        <v>3200</v>
      </c>
      <c r="F878" s="1318" t="s">
        <v>4046</v>
      </c>
      <c r="G878" s="1330" t="s">
        <v>4047</v>
      </c>
      <c r="H878" s="1330" t="s">
        <v>4048</v>
      </c>
      <c r="I878" s="1318" t="s">
        <v>1599</v>
      </c>
      <c r="J878" s="1335" t="s">
        <v>4048</v>
      </c>
      <c r="K878" s="1333">
        <v>1</v>
      </c>
      <c r="L878" s="1333">
        <v>12</v>
      </c>
      <c r="M878" s="1334">
        <f t="shared" si="2"/>
        <v>38400</v>
      </c>
      <c r="N878" s="1333">
        <v>1</v>
      </c>
      <c r="O878" s="1333">
        <v>9</v>
      </c>
      <c r="P878" s="1334">
        <f t="shared" si="3"/>
        <v>28800</v>
      </c>
    </row>
    <row r="879" spans="1:16" ht="22.5" x14ac:dyDescent="0.2">
      <c r="A879" s="1318" t="s">
        <v>3784</v>
      </c>
      <c r="B879" s="1318" t="s">
        <v>3785</v>
      </c>
      <c r="C879" s="1318" t="s">
        <v>3786</v>
      </c>
      <c r="D879" s="1330" t="s">
        <v>3795</v>
      </c>
      <c r="E879" s="1331">
        <v>1700</v>
      </c>
      <c r="F879" s="1318" t="s">
        <v>4049</v>
      </c>
      <c r="G879" s="1330" t="s">
        <v>4050</v>
      </c>
      <c r="H879" s="1330" t="s">
        <v>3798</v>
      </c>
      <c r="I879" s="1318" t="s">
        <v>3798</v>
      </c>
      <c r="J879" s="1335" t="s">
        <v>3798</v>
      </c>
      <c r="K879" s="1333">
        <v>1</v>
      </c>
      <c r="L879" s="1333">
        <v>12</v>
      </c>
      <c r="M879" s="1334">
        <f t="shared" si="2"/>
        <v>20400</v>
      </c>
      <c r="N879" s="1333">
        <v>1</v>
      </c>
      <c r="O879" s="1333">
        <v>9</v>
      </c>
      <c r="P879" s="1334">
        <f t="shared" si="3"/>
        <v>15300</v>
      </c>
    </row>
    <row r="880" spans="1:16" ht="22.5" x14ac:dyDescent="0.2">
      <c r="A880" s="1318" t="s">
        <v>3784</v>
      </c>
      <c r="B880" s="1318" t="s">
        <v>3785</v>
      </c>
      <c r="C880" s="1318" t="s">
        <v>3786</v>
      </c>
      <c r="D880" s="1335" t="s">
        <v>3845</v>
      </c>
      <c r="E880" s="1331">
        <v>6000</v>
      </c>
      <c r="F880" s="1318">
        <v>46536603</v>
      </c>
      <c r="G880" s="1330" t="s">
        <v>4051</v>
      </c>
      <c r="H880" s="1330" t="s">
        <v>4052</v>
      </c>
      <c r="I880" s="1318" t="s">
        <v>3791</v>
      </c>
      <c r="J880" s="1335" t="s">
        <v>4052</v>
      </c>
      <c r="K880" s="1333">
        <v>1</v>
      </c>
      <c r="L880" s="1333">
        <v>0</v>
      </c>
      <c r="M880" s="1334">
        <f t="shared" si="2"/>
        <v>0</v>
      </c>
      <c r="N880" s="1333">
        <v>1</v>
      </c>
      <c r="O880" s="1333">
        <v>4</v>
      </c>
      <c r="P880" s="1334">
        <f t="shared" si="3"/>
        <v>24000</v>
      </c>
    </row>
    <row r="881" spans="1:16" ht="33.75" x14ac:dyDescent="0.2">
      <c r="A881" s="1318" t="s">
        <v>3784</v>
      </c>
      <c r="B881" s="1318" t="s">
        <v>3785</v>
      </c>
      <c r="C881" s="1318" t="s">
        <v>3786</v>
      </c>
      <c r="D881" s="1330" t="s">
        <v>4001</v>
      </c>
      <c r="E881" s="1331">
        <v>3800</v>
      </c>
      <c r="F881" s="1318" t="s">
        <v>4053</v>
      </c>
      <c r="G881" s="1330" t="s">
        <v>4054</v>
      </c>
      <c r="H881" s="1330" t="s">
        <v>4055</v>
      </c>
      <c r="I881" s="1318" t="s">
        <v>1599</v>
      </c>
      <c r="J881" s="1335" t="s">
        <v>4055</v>
      </c>
      <c r="K881" s="1333">
        <v>1</v>
      </c>
      <c r="L881" s="1333">
        <v>4</v>
      </c>
      <c r="M881" s="1334">
        <f t="shared" si="2"/>
        <v>15200</v>
      </c>
      <c r="N881" s="1333">
        <v>1</v>
      </c>
      <c r="O881" s="1333">
        <v>9</v>
      </c>
      <c r="P881" s="1334">
        <f t="shared" si="3"/>
        <v>34200</v>
      </c>
    </row>
    <row r="882" spans="1:16" ht="22.5" x14ac:dyDescent="0.2">
      <c r="A882" s="1318" t="s">
        <v>3784</v>
      </c>
      <c r="B882" s="1318" t="s">
        <v>3649</v>
      </c>
      <c r="C882" s="1318" t="s">
        <v>3786</v>
      </c>
      <c r="D882" s="1330" t="s">
        <v>1781</v>
      </c>
      <c r="E882" s="1331">
        <v>1800</v>
      </c>
      <c r="F882" s="1318" t="s">
        <v>4056</v>
      </c>
      <c r="G882" s="1330" t="s">
        <v>4057</v>
      </c>
      <c r="H882" s="1330" t="s">
        <v>3798</v>
      </c>
      <c r="I882" s="1318" t="s">
        <v>3798</v>
      </c>
      <c r="J882" s="1335" t="s">
        <v>3798</v>
      </c>
      <c r="K882" s="1333">
        <v>1</v>
      </c>
      <c r="L882" s="1333">
        <v>12</v>
      </c>
      <c r="M882" s="1334">
        <f t="shared" si="2"/>
        <v>21600</v>
      </c>
      <c r="N882" s="1333">
        <v>1</v>
      </c>
      <c r="O882" s="1333">
        <v>9</v>
      </c>
      <c r="P882" s="1334">
        <f t="shared" si="3"/>
        <v>16200</v>
      </c>
    </row>
    <row r="883" spans="1:16" ht="22.5" x14ac:dyDescent="0.2">
      <c r="A883" s="1318" t="s">
        <v>3784</v>
      </c>
      <c r="B883" s="1318" t="s">
        <v>3785</v>
      </c>
      <c r="C883" s="1318" t="s">
        <v>3786</v>
      </c>
      <c r="D883" s="1330" t="s">
        <v>3833</v>
      </c>
      <c r="E883" s="1331">
        <v>2000</v>
      </c>
      <c r="F883" s="1318" t="s">
        <v>4058</v>
      </c>
      <c r="G883" s="1330" t="s">
        <v>4059</v>
      </c>
      <c r="H883" s="1330" t="s">
        <v>3798</v>
      </c>
      <c r="I883" s="1318" t="s">
        <v>3798</v>
      </c>
      <c r="J883" s="1335" t="s">
        <v>3798</v>
      </c>
      <c r="K883" s="1333">
        <v>1</v>
      </c>
      <c r="L883" s="1333">
        <v>12</v>
      </c>
      <c r="M883" s="1334">
        <f t="shared" si="2"/>
        <v>24000</v>
      </c>
      <c r="N883" s="1333">
        <v>1</v>
      </c>
      <c r="O883" s="1333">
        <v>9</v>
      </c>
      <c r="P883" s="1334">
        <f t="shared" si="3"/>
        <v>18000</v>
      </c>
    </row>
    <row r="884" spans="1:16" x14ac:dyDescent="0.2">
      <c r="A884" s="1318" t="s">
        <v>3784</v>
      </c>
      <c r="B884" s="1318" t="s">
        <v>3785</v>
      </c>
      <c r="C884" s="1318" t="s">
        <v>3786</v>
      </c>
      <c r="D884" s="1330" t="s">
        <v>3920</v>
      </c>
      <c r="E884" s="1331">
        <v>1000</v>
      </c>
      <c r="F884" s="1318">
        <v>40663739</v>
      </c>
      <c r="G884" s="1330" t="s">
        <v>4060</v>
      </c>
      <c r="H884" s="1330"/>
      <c r="I884" s="1318" t="s">
        <v>3798</v>
      </c>
      <c r="J884" s="1335"/>
      <c r="K884" s="1333">
        <v>1</v>
      </c>
      <c r="L884" s="1333">
        <v>0</v>
      </c>
      <c r="M884" s="1334">
        <f t="shared" si="2"/>
        <v>0</v>
      </c>
      <c r="N884" s="1333">
        <v>1</v>
      </c>
      <c r="O884" s="1333">
        <v>1</v>
      </c>
      <c r="P884" s="1334">
        <f t="shared" si="3"/>
        <v>1000</v>
      </c>
    </row>
    <row r="885" spans="1:16" x14ac:dyDescent="0.2">
      <c r="A885" s="1318" t="s">
        <v>3784</v>
      </c>
      <c r="B885" s="1318" t="s">
        <v>3785</v>
      </c>
      <c r="C885" s="1318" t="s">
        <v>3786</v>
      </c>
      <c r="D885" s="1330" t="s">
        <v>3833</v>
      </c>
      <c r="E885" s="1331">
        <v>2000</v>
      </c>
      <c r="F885" s="1318" t="s">
        <v>4061</v>
      </c>
      <c r="G885" s="1330" t="s">
        <v>4062</v>
      </c>
      <c r="H885" s="1330"/>
      <c r="I885" s="1318" t="s">
        <v>3798</v>
      </c>
      <c r="J885" s="1335"/>
      <c r="K885" s="1333">
        <v>1</v>
      </c>
      <c r="L885" s="1333">
        <v>12</v>
      </c>
      <c r="M885" s="1334">
        <f t="shared" si="2"/>
        <v>24000</v>
      </c>
      <c r="N885" s="1333">
        <v>1</v>
      </c>
      <c r="O885" s="1333">
        <v>9</v>
      </c>
      <c r="P885" s="1334">
        <f t="shared" si="3"/>
        <v>18000</v>
      </c>
    </row>
    <row r="886" spans="1:16" x14ac:dyDescent="0.2">
      <c r="A886" s="1318" t="s">
        <v>3784</v>
      </c>
      <c r="B886" s="1318" t="s">
        <v>3785</v>
      </c>
      <c r="C886" s="1318" t="s">
        <v>3786</v>
      </c>
      <c r="D886" s="1330" t="s">
        <v>3966</v>
      </c>
      <c r="E886" s="1331">
        <v>2000</v>
      </c>
      <c r="F886" s="1318">
        <v>10479316</v>
      </c>
      <c r="G886" s="1330" t="s">
        <v>4063</v>
      </c>
      <c r="H886" s="1330"/>
      <c r="I886" s="1318" t="s">
        <v>3798</v>
      </c>
      <c r="J886" s="1335"/>
      <c r="K886" s="1333">
        <v>1</v>
      </c>
      <c r="L886" s="1333">
        <v>0</v>
      </c>
      <c r="M886" s="1334">
        <f t="shared" si="2"/>
        <v>0</v>
      </c>
      <c r="N886" s="1333">
        <v>1</v>
      </c>
      <c r="O886" s="1333">
        <v>7</v>
      </c>
      <c r="P886" s="1334">
        <f t="shared" si="3"/>
        <v>14000</v>
      </c>
    </row>
    <row r="887" spans="1:16" x14ac:dyDescent="0.2">
      <c r="A887" s="1318" t="s">
        <v>3784</v>
      </c>
      <c r="B887" s="1318" t="s">
        <v>3785</v>
      </c>
      <c r="C887" s="1318" t="s">
        <v>3786</v>
      </c>
      <c r="D887" s="1330" t="s">
        <v>1816</v>
      </c>
      <c r="E887" s="1331">
        <v>2200</v>
      </c>
      <c r="F887" s="1318" t="s">
        <v>4064</v>
      </c>
      <c r="G887" s="1330" t="s">
        <v>4065</v>
      </c>
      <c r="H887" s="1330" t="s">
        <v>4004</v>
      </c>
      <c r="I887" s="1318" t="s">
        <v>1599</v>
      </c>
      <c r="J887" s="1335" t="s">
        <v>4004</v>
      </c>
      <c r="K887" s="1333">
        <v>1</v>
      </c>
      <c r="L887" s="1333">
        <v>12</v>
      </c>
      <c r="M887" s="1334">
        <f t="shared" si="2"/>
        <v>26400</v>
      </c>
      <c r="N887" s="1333">
        <v>0</v>
      </c>
      <c r="O887" s="1333">
        <v>0</v>
      </c>
      <c r="P887" s="1334">
        <f t="shared" si="3"/>
        <v>0</v>
      </c>
    </row>
    <row r="888" spans="1:16" x14ac:dyDescent="0.2">
      <c r="A888" s="1318" t="s">
        <v>3784</v>
      </c>
      <c r="B888" s="1318" t="s">
        <v>3649</v>
      </c>
      <c r="C888" s="1318" t="s">
        <v>3786</v>
      </c>
      <c r="D888" s="1330" t="s">
        <v>4066</v>
      </c>
      <c r="E888" s="1331">
        <v>1500</v>
      </c>
      <c r="F888" s="1318" t="s">
        <v>4067</v>
      </c>
      <c r="G888" s="1330" t="s">
        <v>4068</v>
      </c>
      <c r="H888" s="1330" t="s">
        <v>3934</v>
      </c>
      <c r="I888" s="1318" t="s">
        <v>1599</v>
      </c>
      <c r="J888" s="1335" t="s">
        <v>3934</v>
      </c>
      <c r="K888" s="1333">
        <v>1</v>
      </c>
      <c r="L888" s="1333">
        <v>12</v>
      </c>
      <c r="M888" s="1334">
        <f t="shared" si="2"/>
        <v>18000</v>
      </c>
      <c r="N888" s="1333">
        <v>1</v>
      </c>
      <c r="O888" s="1333">
        <v>9</v>
      </c>
      <c r="P888" s="1334">
        <f t="shared" si="3"/>
        <v>13500</v>
      </c>
    </row>
    <row r="889" spans="1:16" ht="22.5" x14ac:dyDescent="0.2">
      <c r="A889" s="1318" t="s">
        <v>3784</v>
      </c>
      <c r="B889" s="1318" t="s">
        <v>3785</v>
      </c>
      <c r="C889" s="1318" t="s">
        <v>3786</v>
      </c>
      <c r="D889" s="1330" t="s">
        <v>3422</v>
      </c>
      <c r="E889" s="1331">
        <v>5000</v>
      </c>
      <c r="F889" s="1318" t="s">
        <v>4069</v>
      </c>
      <c r="G889" s="1330" t="s">
        <v>4070</v>
      </c>
      <c r="H889" s="1330" t="s">
        <v>4071</v>
      </c>
      <c r="I889" s="1318" t="s">
        <v>3791</v>
      </c>
      <c r="J889" s="1335" t="s">
        <v>4071</v>
      </c>
      <c r="K889" s="1333">
        <v>1</v>
      </c>
      <c r="L889" s="1333">
        <v>12</v>
      </c>
      <c r="M889" s="1334">
        <f t="shared" si="2"/>
        <v>60000</v>
      </c>
      <c r="N889" s="1333">
        <v>0</v>
      </c>
      <c r="O889" s="1333">
        <v>0</v>
      </c>
      <c r="P889" s="1334">
        <f t="shared" si="3"/>
        <v>0</v>
      </c>
    </row>
    <row r="890" spans="1:16" ht="45" x14ac:dyDescent="0.2">
      <c r="A890" s="1318" t="s">
        <v>3784</v>
      </c>
      <c r="B890" s="1318" t="s">
        <v>3649</v>
      </c>
      <c r="C890" s="1318" t="s">
        <v>3786</v>
      </c>
      <c r="D890" s="1330" t="s">
        <v>1781</v>
      </c>
      <c r="E890" s="1331">
        <v>2400</v>
      </c>
      <c r="F890" s="1318" t="s">
        <v>4072</v>
      </c>
      <c r="G890" s="1330" t="s">
        <v>4073</v>
      </c>
      <c r="H890" s="1330" t="s">
        <v>4074</v>
      </c>
      <c r="I890" s="1318" t="s">
        <v>3791</v>
      </c>
      <c r="J890" s="1335" t="s">
        <v>4074</v>
      </c>
      <c r="K890" s="1333">
        <v>1</v>
      </c>
      <c r="L890" s="1333">
        <v>7</v>
      </c>
      <c r="M890" s="1334">
        <f t="shared" si="2"/>
        <v>16800</v>
      </c>
      <c r="N890" s="1333">
        <v>1</v>
      </c>
      <c r="O890" s="1333">
        <v>9</v>
      </c>
      <c r="P890" s="1334">
        <f t="shared" si="3"/>
        <v>21600</v>
      </c>
    </row>
    <row r="891" spans="1:16" ht="33.75" x14ac:dyDescent="0.2">
      <c r="A891" s="1318" t="s">
        <v>3784</v>
      </c>
      <c r="B891" s="1318" t="s">
        <v>3649</v>
      </c>
      <c r="C891" s="1318" t="s">
        <v>3786</v>
      </c>
      <c r="D891" s="1330" t="s">
        <v>4075</v>
      </c>
      <c r="E891" s="1331">
        <v>1800</v>
      </c>
      <c r="F891" s="1318">
        <v>41203854</v>
      </c>
      <c r="G891" s="1330" t="s">
        <v>4076</v>
      </c>
      <c r="H891" s="1330" t="s">
        <v>4055</v>
      </c>
      <c r="I891" s="1318" t="s">
        <v>1599</v>
      </c>
      <c r="J891" s="1335" t="s">
        <v>4055</v>
      </c>
      <c r="K891" s="1333">
        <v>1</v>
      </c>
      <c r="L891" s="1333">
        <v>12</v>
      </c>
      <c r="M891" s="1334">
        <f t="shared" si="2"/>
        <v>21600</v>
      </c>
      <c r="N891" s="1333">
        <v>0</v>
      </c>
      <c r="O891" s="1333">
        <v>0</v>
      </c>
      <c r="P891" s="1334">
        <f t="shared" si="3"/>
        <v>0</v>
      </c>
    </row>
    <row r="892" spans="1:16" ht="33.75" x14ac:dyDescent="0.2">
      <c r="A892" s="1318" t="s">
        <v>3784</v>
      </c>
      <c r="B892" s="1318" t="s">
        <v>3649</v>
      </c>
      <c r="C892" s="1318" t="s">
        <v>3786</v>
      </c>
      <c r="D892" s="1330" t="s">
        <v>4077</v>
      </c>
      <c r="E892" s="1331">
        <v>2800</v>
      </c>
      <c r="F892" s="1318">
        <v>41203854</v>
      </c>
      <c r="G892" s="1330" t="s">
        <v>4076</v>
      </c>
      <c r="H892" s="1330" t="s">
        <v>4055</v>
      </c>
      <c r="I892" s="1318" t="s">
        <v>1599</v>
      </c>
      <c r="J892" s="1335" t="s">
        <v>4055</v>
      </c>
      <c r="K892" s="1333">
        <v>1</v>
      </c>
      <c r="L892" s="1333">
        <v>9</v>
      </c>
      <c r="M892" s="1334">
        <f t="shared" si="2"/>
        <v>25200</v>
      </c>
      <c r="N892" s="1333">
        <v>1</v>
      </c>
      <c r="O892" s="1333">
        <v>9</v>
      </c>
      <c r="P892" s="1334">
        <f t="shared" si="3"/>
        <v>25200</v>
      </c>
    </row>
    <row r="893" spans="1:16" ht="22.5" x14ac:dyDescent="0.2">
      <c r="A893" s="1318" t="s">
        <v>3784</v>
      </c>
      <c r="B893" s="1318" t="s">
        <v>3785</v>
      </c>
      <c r="C893" s="1318" t="s">
        <v>3786</v>
      </c>
      <c r="D893" s="1330" t="s">
        <v>3833</v>
      </c>
      <c r="E893" s="1331">
        <v>2000</v>
      </c>
      <c r="F893" s="1318" t="s">
        <v>4078</v>
      </c>
      <c r="G893" s="1330" t="s">
        <v>4079</v>
      </c>
      <c r="H893" s="1330" t="s">
        <v>3798</v>
      </c>
      <c r="I893" s="1318" t="s">
        <v>3798</v>
      </c>
      <c r="J893" s="1335" t="s">
        <v>3798</v>
      </c>
      <c r="K893" s="1333">
        <v>1</v>
      </c>
      <c r="L893" s="1333">
        <v>12</v>
      </c>
      <c r="M893" s="1334">
        <f t="shared" si="2"/>
        <v>24000</v>
      </c>
      <c r="N893" s="1333">
        <v>0</v>
      </c>
      <c r="O893" s="1333">
        <v>0</v>
      </c>
      <c r="P893" s="1334">
        <f t="shared" si="3"/>
        <v>0</v>
      </c>
    </row>
    <row r="894" spans="1:16" x14ac:dyDescent="0.2">
      <c r="A894" s="1318" t="s">
        <v>3784</v>
      </c>
      <c r="B894" s="1318" t="s">
        <v>3785</v>
      </c>
      <c r="C894" s="1318" t="s">
        <v>3786</v>
      </c>
      <c r="D894" s="1330" t="s">
        <v>4080</v>
      </c>
      <c r="E894" s="1331">
        <v>6000</v>
      </c>
      <c r="F894" s="1318" t="s">
        <v>4081</v>
      </c>
      <c r="G894" s="1330" t="s">
        <v>4082</v>
      </c>
      <c r="H894" s="1330" t="s">
        <v>2580</v>
      </c>
      <c r="I894" s="1318" t="s">
        <v>1616</v>
      </c>
      <c r="J894" s="1335" t="s">
        <v>2580</v>
      </c>
      <c r="K894" s="1333">
        <v>1</v>
      </c>
      <c r="L894" s="1333">
        <v>12</v>
      </c>
      <c r="M894" s="1334">
        <f t="shared" si="2"/>
        <v>72000</v>
      </c>
      <c r="N894" s="1333">
        <v>0</v>
      </c>
      <c r="O894" s="1333">
        <v>0</v>
      </c>
      <c r="P894" s="1334">
        <f t="shared" si="3"/>
        <v>0</v>
      </c>
    </row>
    <row r="895" spans="1:16" ht="22.5" x14ac:dyDescent="0.2">
      <c r="A895" s="1318" t="s">
        <v>3784</v>
      </c>
      <c r="B895" s="1318" t="s">
        <v>3785</v>
      </c>
      <c r="C895" s="1318" t="s">
        <v>3786</v>
      </c>
      <c r="D895" s="1330" t="s">
        <v>3833</v>
      </c>
      <c r="E895" s="1331">
        <v>2000</v>
      </c>
      <c r="F895" s="1318" t="s">
        <v>4083</v>
      </c>
      <c r="G895" s="1330" t="s">
        <v>4084</v>
      </c>
      <c r="H895" s="1330" t="s">
        <v>3798</v>
      </c>
      <c r="I895" s="1318" t="s">
        <v>3798</v>
      </c>
      <c r="J895" s="1335" t="s">
        <v>3798</v>
      </c>
      <c r="K895" s="1333">
        <v>1</v>
      </c>
      <c r="L895" s="1333">
        <v>12</v>
      </c>
      <c r="M895" s="1334">
        <f t="shared" si="2"/>
        <v>24000</v>
      </c>
      <c r="N895" s="1333">
        <v>0</v>
      </c>
      <c r="O895" s="1333">
        <v>0</v>
      </c>
      <c r="P895" s="1334">
        <f t="shared" si="3"/>
        <v>0</v>
      </c>
    </row>
    <row r="896" spans="1:16" ht="22.5" x14ac:dyDescent="0.2">
      <c r="A896" s="1318" t="s">
        <v>3784</v>
      </c>
      <c r="B896" s="1318" t="s">
        <v>3649</v>
      </c>
      <c r="C896" s="1318" t="s">
        <v>3786</v>
      </c>
      <c r="D896" s="1330" t="s">
        <v>4066</v>
      </c>
      <c r="E896" s="1331">
        <v>1800</v>
      </c>
      <c r="F896" s="1318" t="s">
        <v>4085</v>
      </c>
      <c r="G896" s="1330" t="s">
        <v>4086</v>
      </c>
      <c r="H896" s="1330" t="s">
        <v>4087</v>
      </c>
      <c r="I896" s="1318" t="s">
        <v>1599</v>
      </c>
      <c r="J896" s="1335" t="s">
        <v>4087</v>
      </c>
      <c r="K896" s="1333">
        <v>1</v>
      </c>
      <c r="L896" s="1333">
        <v>12</v>
      </c>
      <c r="M896" s="1334">
        <f t="shared" si="2"/>
        <v>21600</v>
      </c>
      <c r="N896" s="1333">
        <v>1</v>
      </c>
      <c r="O896" s="1333">
        <v>9</v>
      </c>
      <c r="P896" s="1334">
        <f t="shared" si="3"/>
        <v>16200</v>
      </c>
    </row>
    <row r="897" spans="1:16" ht="45" x14ac:dyDescent="0.2">
      <c r="A897" s="1318" t="s">
        <v>3784</v>
      </c>
      <c r="B897" s="1318" t="s">
        <v>3649</v>
      </c>
      <c r="C897" s="1318" t="s">
        <v>3786</v>
      </c>
      <c r="D897" s="1330" t="s">
        <v>3892</v>
      </c>
      <c r="E897" s="1331">
        <v>2000</v>
      </c>
      <c r="F897" s="1318" t="s">
        <v>4088</v>
      </c>
      <c r="G897" s="1330" t="s">
        <v>4089</v>
      </c>
      <c r="H897" s="1330" t="s">
        <v>4090</v>
      </c>
      <c r="I897" s="1318" t="s">
        <v>1698</v>
      </c>
      <c r="J897" s="1335" t="s">
        <v>4090</v>
      </c>
      <c r="K897" s="1333">
        <v>1</v>
      </c>
      <c r="L897" s="1333">
        <v>12</v>
      </c>
      <c r="M897" s="1334">
        <f t="shared" si="2"/>
        <v>24000</v>
      </c>
      <c r="N897" s="1333">
        <v>0</v>
      </c>
      <c r="O897" s="1333">
        <v>0</v>
      </c>
      <c r="P897" s="1334">
        <f t="shared" si="3"/>
        <v>0</v>
      </c>
    </row>
    <row r="898" spans="1:16" ht="45" x14ac:dyDescent="0.2">
      <c r="A898" s="1318" t="s">
        <v>3784</v>
      </c>
      <c r="B898" s="1318" t="s">
        <v>3649</v>
      </c>
      <c r="C898" s="1318" t="s">
        <v>3786</v>
      </c>
      <c r="D898" s="1330" t="s">
        <v>4091</v>
      </c>
      <c r="E898" s="1331">
        <v>3200</v>
      </c>
      <c r="F898" s="1318" t="s">
        <v>4088</v>
      </c>
      <c r="G898" s="1330" t="s">
        <v>4089</v>
      </c>
      <c r="H898" s="1330" t="s">
        <v>4090</v>
      </c>
      <c r="I898" s="1318" t="s">
        <v>1698</v>
      </c>
      <c r="J898" s="1335" t="s">
        <v>4090</v>
      </c>
      <c r="K898" s="1333">
        <v>1</v>
      </c>
      <c r="L898" s="1333">
        <v>2</v>
      </c>
      <c r="M898" s="1334">
        <f t="shared" si="2"/>
        <v>6400</v>
      </c>
      <c r="N898" s="1333">
        <v>1</v>
      </c>
      <c r="O898" s="1333">
        <v>9</v>
      </c>
      <c r="P898" s="1334">
        <f t="shared" si="3"/>
        <v>28800</v>
      </c>
    </row>
    <row r="899" spans="1:16" x14ac:dyDescent="0.2">
      <c r="A899" s="1318" t="s">
        <v>3784</v>
      </c>
      <c r="B899" s="1318" t="s">
        <v>3649</v>
      </c>
      <c r="C899" s="1318" t="s">
        <v>3786</v>
      </c>
      <c r="D899" s="1330" t="s">
        <v>3808</v>
      </c>
      <c r="E899" s="1331">
        <v>5000</v>
      </c>
      <c r="F899" s="1318" t="s">
        <v>4092</v>
      </c>
      <c r="G899" s="1330" t="s">
        <v>4093</v>
      </c>
      <c r="H899" s="1330" t="s">
        <v>3670</v>
      </c>
      <c r="I899" s="1318" t="s">
        <v>3791</v>
      </c>
      <c r="J899" s="1335" t="s">
        <v>3670</v>
      </c>
      <c r="K899" s="1333">
        <v>1</v>
      </c>
      <c r="L899" s="1333">
        <v>12</v>
      </c>
      <c r="M899" s="1334">
        <f t="shared" si="2"/>
        <v>60000</v>
      </c>
      <c r="N899" s="1333">
        <v>0</v>
      </c>
      <c r="O899" s="1333">
        <v>0</v>
      </c>
      <c r="P899" s="1334">
        <f t="shared" si="3"/>
        <v>0</v>
      </c>
    </row>
    <row r="900" spans="1:16" x14ac:dyDescent="0.2">
      <c r="A900" s="502" t="s">
        <v>420</v>
      </c>
      <c r="B900" s="502"/>
      <c r="C900" s="502"/>
      <c r="D900" s="502"/>
      <c r="E900" s="503"/>
      <c r="F900" s="502"/>
      <c r="G900" s="502"/>
      <c r="H900" s="502"/>
      <c r="I900" s="502"/>
      <c r="J900" s="502"/>
      <c r="K900" s="502"/>
      <c r="L900" s="502"/>
      <c r="M900" s="502"/>
      <c r="N900" s="504"/>
      <c r="O900" s="504"/>
      <c r="P900" s="503"/>
    </row>
  </sheetData>
  <mergeCells count="4">
    <mergeCell ref="A4:E4"/>
    <mergeCell ref="F4:J4"/>
    <mergeCell ref="K4:M4"/>
    <mergeCell ref="N4:P4"/>
  </mergeCells>
  <printOptions horizontalCentered="1"/>
  <pageMargins left="3.937007874015748E-2" right="3.937007874015748E-2" top="0.74803149606299213" bottom="0.74803149606299213" header="0.31496062992125984" footer="0.31496062992125984"/>
  <pageSetup paperSize="9" scale="53" orientation="landscape" r:id="rId1"/>
  <headerFooter alignWithMargins="0">
    <oddHeader>&amp;C&amp;"Arial,Negrita"&amp;18PROYECTO DE PRESUPUESTO 2022</oddHeader>
    <oddFooter>&amp;L&amp;"Arial,Negrita"&amp;8PROYECTO DE PRESUPUESTO PARA EL AÑO FISCAL 2020
INFORMACIÓN PARA LA COMISIÓN DE PRESUPUESTO Y CUENTA GENERAL DE LA REPÚBLICA DEL CONGRESO DE LA REPÚBLICA</oddFooter>
  </headerFooter>
  <rowBreaks count="2" manualBreakCount="2">
    <brk id="733" max="15" man="1"/>
    <brk id="784" max="15" man="1"/>
  </rowBreaks>
  <ignoredErrors>
    <ignoredError sqref="B885:B898"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7030A0"/>
  </sheetPr>
  <dimension ref="A1:S54"/>
  <sheetViews>
    <sheetView showGridLines="0" view="pageBreakPreview" zoomScaleNormal="100" zoomScaleSheetLayoutView="100" zoomScalePageLayoutView="55" workbookViewId="0">
      <selection activeCell="J19" sqref="J19"/>
    </sheetView>
  </sheetViews>
  <sheetFormatPr baseColWidth="10" defaultColWidth="11.42578125" defaultRowHeight="12" x14ac:dyDescent="0.2"/>
  <cols>
    <col min="1" max="6" width="18.7109375" style="462" customWidth="1"/>
    <col min="7" max="8" width="6.7109375" style="350" customWidth="1"/>
    <col min="9" max="9" width="6.7109375" style="462" customWidth="1"/>
    <col min="10" max="12" width="18.7109375" style="462" customWidth="1"/>
    <col min="13" max="13" width="18.28515625" style="462" customWidth="1"/>
    <col min="14" max="14" width="20.42578125" style="462" customWidth="1"/>
    <col min="15" max="16384" width="11.42578125" style="462"/>
  </cols>
  <sheetData>
    <row r="1" spans="1:19" s="386" customFormat="1" ht="15" x14ac:dyDescent="0.25">
      <c r="A1" s="89" t="s">
        <v>421</v>
      </c>
      <c r="B1" s="484"/>
      <c r="C1" s="484"/>
      <c r="D1" s="484"/>
      <c r="E1" s="484"/>
      <c r="F1" s="484"/>
      <c r="G1" s="484"/>
      <c r="H1" s="484"/>
      <c r="J1" s="484"/>
      <c r="K1" s="484"/>
      <c r="L1" s="484"/>
      <c r="M1" s="484"/>
      <c r="N1" s="484"/>
    </row>
    <row r="2" spans="1:19" s="656" customFormat="1" ht="15" x14ac:dyDescent="0.2">
      <c r="A2" s="90" t="s">
        <v>608</v>
      </c>
      <c r="B2" s="396"/>
      <c r="C2" s="396"/>
      <c r="D2" s="396"/>
      <c r="E2" s="396"/>
      <c r="F2" s="396"/>
      <c r="G2" s="396"/>
      <c r="H2" s="396"/>
      <c r="I2" s="396"/>
      <c r="J2" s="396"/>
      <c r="K2" s="396"/>
      <c r="L2" s="396"/>
      <c r="M2" s="396"/>
      <c r="N2" s="396"/>
      <c r="O2" s="396"/>
      <c r="P2" s="396"/>
      <c r="Q2" s="396"/>
      <c r="R2" s="396"/>
      <c r="S2" s="396"/>
    </row>
    <row r="3" spans="1:19" ht="12.75" thickBot="1" x14ac:dyDescent="0.25"/>
    <row r="4" spans="1:19" s="369" customFormat="1" ht="20.25" customHeight="1" thickBot="1" x14ac:dyDescent="0.25">
      <c r="A4" s="1525" t="s">
        <v>312</v>
      </c>
      <c r="B4" s="1527"/>
      <c r="C4" s="1526" t="s">
        <v>313</v>
      </c>
      <c r="D4" s="1526"/>
      <c r="E4" s="1528" t="s">
        <v>316</v>
      </c>
      <c r="F4" s="1529"/>
      <c r="G4" s="1529"/>
      <c r="H4" s="1529"/>
      <c r="I4" s="1531"/>
      <c r="J4" s="1526" t="s">
        <v>317</v>
      </c>
      <c r="K4" s="1526"/>
      <c r="L4" s="1527"/>
      <c r="M4" s="1463" t="s">
        <v>456</v>
      </c>
      <c r="N4" s="1535" t="s">
        <v>449</v>
      </c>
    </row>
    <row r="5" spans="1:19" s="371" customFormat="1" ht="66.75" customHeight="1" thickBot="1" x14ac:dyDescent="0.25">
      <c r="A5" s="447" t="s">
        <v>100</v>
      </c>
      <c r="B5" s="455" t="s">
        <v>101</v>
      </c>
      <c r="C5" s="448" t="s">
        <v>315</v>
      </c>
      <c r="D5" s="456" t="s">
        <v>314</v>
      </c>
      <c r="E5" s="447" t="s">
        <v>320</v>
      </c>
      <c r="F5" s="449" t="s">
        <v>321</v>
      </c>
      <c r="G5" s="457" t="s">
        <v>322</v>
      </c>
      <c r="H5" s="457" t="s">
        <v>323</v>
      </c>
      <c r="I5" s="458" t="s">
        <v>24</v>
      </c>
      <c r="J5" s="447" t="s">
        <v>318</v>
      </c>
      <c r="K5" s="448" t="s">
        <v>319</v>
      </c>
      <c r="L5" s="459" t="s">
        <v>324</v>
      </c>
      <c r="M5" s="1464"/>
      <c r="N5" s="1536"/>
    </row>
    <row r="6" spans="1:19" x14ac:dyDescent="0.2">
      <c r="A6" s="367"/>
      <c r="B6" s="474"/>
      <c r="C6" s="380"/>
      <c r="D6" s="403"/>
      <c r="E6" s="347"/>
      <c r="F6" s="314"/>
      <c r="G6" s="314"/>
      <c r="H6" s="314"/>
      <c r="I6" s="355"/>
      <c r="J6" s="347"/>
      <c r="K6" s="380"/>
      <c r="L6" s="463"/>
      <c r="M6" s="463"/>
      <c r="N6" s="463"/>
    </row>
    <row r="7" spans="1:19" x14ac:dyDescent="0.2">
      <c r="A7" s="347" t="s">
        <v>1540</v>
      </c>
      <c r="B7" s="463" t="s">
        <v>1541</v>
      </c>
      <c r="C7" s="307"/>
      <c r="D7" s="404"/>
      <c r="E7" s="347"/>
      <c r="F7" s="314"/>
      <c r="G7" s="314"/>
      <c r="H7" s="314"/>
      <c r="I7" s="355"/>
      <c r="J7" s="347"/>
      <c r="K7" s="307"/>
      <c r="L7" s="463"/>
      <c r="M7" s="463"/>
      <c r="N7" s="463"/>
    </row>
    <row r="8" spans="1:19" x14ac:dyDescent="0.2">
      <c r="A8" s="347"/>
      <c r="B8" s="463" t="s">
        <v>1542</v>
      </c>
      <c r="C8" s="307"/>
      <c r="D8" s="404"/>
      <c r="E8" s="347"/>
      <c r="F8" s="357"/>
      <c r="G8" s="357"/>
      <c r="H8" s="357"/>
      <c r="I8" s="373"/>
      <c r="J8" s="374"/>
      <c r="K8" s="307"/>
      <c r="L8" s="463"/>
      <c r="M8" s="463"/>
      <c r="N8" s="463"/>
    </row>
    <row r="9" spans="1:19" x14ac:dyDescent="0.2">
      <c r="A9" s="347"/>
      <c r="B9" s="463"/>
      <c r="C9" s="307"/>
      <c r="D9" s="404"/>
      <c r="E9" s="347"/>
      <c r="F9" s="314"/>
      <c r="G9" s="314"/>
      <c r="H9" s="314"/>
      <c r="I9" s="355"/>
      <c r="J9" s="347"/>
      <c r="K9" s="307"/>
      <c r="L9" s="463"/>
      <c r="M9" s="463"/>
      <c r="N9" s="463"/>
    </row>
    <row r="10" spans="1:19" x14ac:dyDescent="0.2">
      <c r="A10" s="347"/>
      <c r="B10" s="463"/>
      <c r="C10" s="356"/>
      <c r="D10" s="405"/>
      <c r="E10" s="374"/>
      <c r="F10" s="314"/>
      <c r="G10" s="314"/>
      <c r="H10" s="314"/>
      <c r="I10" s="355"/>
      <c r="J10" s="347"/>
      <c r="K10" s="356"/>
      <c r="L10" s="358"/>
      <c r="M10" s="358"/>
      <c r="N10" s="358"/>
    </row>
    <row r="11" spans="1:19" x14ac:dyDescent="0.2">
      <c r="A11" s="347"/>
      <c r="B11" s="463"/>
      <c r="C11" s="307"/>
      <c r="D11" s="404"/>
      <c r="E11" s="347"/>
      <c r="F11" s="314"/>
      <c r="G11" s="314"/>
      <c r="H11" s="314"/>
      <c r="I11" s="355"/>
      <c r="J11" s="347"/>
      <c r="K11" s="307"/>
      <c r="L11" s="463"/>
      <c r="M11" s="463"/>
      <c r="N11" s="463"/>
    </row>
    <row r="12" spans="1:19" x14ac:dyDescent="0.2">
      <c r="A12" s="347"/>
      <c r="B12" s="463"/>
      <c r="C12" s="307"/>
      <c r="D12" s="404"/>
      <c r="E12" s="347"/>
      <c r="F12" s="314"/>
      <c r="G12" s="314"/>
      <c r="H12" s="314"/>
      <c r="I12" s="355"/>
      <c r="J12" s="347"/>
      <c r="K12" s="307"/>
      <c r="L12" s="463"/>
      <c r="M12" s="463"/>
      <c r="N12" s="463"/>
    </row>
    <row r="13" spans="1:19" x14ac:dyDescent="0.2">
      <c r="A13" s="347"/>
      <c r="B13" s="463"/>
      <c r="C13" s="307"/>
      <c r="D13" s="404"/>
      <c r="E13" s="347"/>
      <c r="F13" s="314"/>
      <c r="G13" s="314"/>
      <c r="H13" s="314"/>
      <c r="I13" s="355"/>
      <c r="J13" s="347"/>
      <c r="K13" s="307"/>
      <c r="L13" s="463"/>
      <c r="M13" s="463"/>
      <c r="N13" s="463"/>
    </row>
    <row r="14" spans="1:19" x14ac:dyDescent="0.2">
      <c r="A14" s="347"/>
      <c r="B14" s="463"/>
      <c r="C14" s="307"/>
      <c r="D14" s="404"/>
      <c r="E14" s="347"/>
      <c r="F14" s="357"/>
      <c r="G14" s="357"/>
      <c r="H14" s="357"/>
      <c r="I14" s="373"/>
      <c r="J14" s="374"/>
      <c r="K14" s="307"/>
      <c r="L14" s="463"/>
      <c r="M14" s="463"/>
      <c r="N14" s="463"/>
    </row>
    <row r="15" spans="1:19" x14ac:dyDescent="0.2">
      <c r="A15" s="347"/>
      <c r="B15" s="463"/>
      <c r="C15" s="307"/>
      <c r="D15" s="404"/>
      <c r="E15" s="347"/>
      <c r="F15" s="314"/>
      <c r="G15" s="314"/>
      <c r="H15" s="314"/>
      <c r="I15" s="355"/>
      <c r="J15" s="347"/>
      <c r="K15" s="307"/>
      <c r="L15" s="463"/>
      <c r="M15" s="463"/>
      <c r="N15" s="463"/>
    </row>
    <row r="16" spans="1:19" x14ac:dyDescent="0.2">
      <c r="A16" s="347"/>
      <c r="B16" s="463"/>
      <c r="C16" s="307"/>
      <c r="D16" s="404"/>
      <c r="E16" s="347"/>
      <c r="F16" s="314"/>
      <c r="G16" s="314"/>
      <c r="H16" s="314"/>
      <c r="I16" s="355"/>
      <c r="J16" s="347"/>
      <c r="K16" s="307"/>
      <c r="L16" s="463"/>
      <c r="M16" s="463"/>
      <c r="N16" s="463"/>
    </row>
    <row r="17" spans="1:14" ht="12.75" thickBot="1" x14ac:dyDescent="0.25">
      <c r="A17" s="348"/>
      <c r="B17" s="466"/>
      <c r="C17" s="307"/>
      <c r="D17" s="404"/>
      <c r="E17" s="347"/>
      <c r="F17" s="314"/>
      <c r="G17" s="314"/>
      <c r="H17" s="314"/>
      <c r="I17" s="355"/>
      <c r="J17" s="347"/>
      <c r="K17" s="307"/>
      <c r="L17" s="463"/>
      <c r="M17" s="463"/>
      <c r="N17" s="463"/>
    </row>
    <row r="18" spans="1:14" ht="19.5" customHeight="1" thickBot="1" x14ac:dyDescent="0.25">
      <c r="A18" s="368"/>
      <c r="B18" s="734"/>
      <c r="C18" s="351"/>
      <c r="D18" s="406"/>
      <c r="E18" s="407"/>
      <c r="F18" s="349"/>
      <c r="G18" s="349"/>
      <c r="H18" s="349"/>
      <c r="I18" s="402"/>
      <c r="J18" s="309"/>
      <c r="K18" s="351"/>
      <c r="L18" s="310"/>
      <c r="M18" s="310"/>
      <c r="N18" s="310"/>
    </row>
    <row r="19" spans="1:14" ht="21.75" customHeight="1" x14ac:dyDescent="0.2">
      <c r="A19" s="462" t="s">
        <v>422</v>
      </c>
    </row>
    <row r="23" spans="1:14" ht="12.75" thickBot="1" x14ac:dyDescent="0.25"/>
    <row r="24" spans="1:14" ht="21" customHeight="1" thickBot="1" x14ac:dyDescent="0.25">
      <c r="A24" s="1525" t="s">
        <v>312</v>
      </c>
      <c r="B24" s="1527"/>
      <c r="C24" s="1526" t="s">
        <v>313</v>
      </c>
      <c r="D24" s="1526"/>
      <c r="E24" s="1528" t="s">
        <v>316</v>
      </c>
      <c r="F24" s="1529"/>
      <c r="G24" s="1529"/>
      <c r="H24" s="1529"/>
      <c r="I24" s="1531"/>
      <c r="J24" s="1526" t="s">
        <v>317</v>
      </c>
      <c r="K24" s="1526"/>
      <c r="L24" s="1527"/>
      <c r="M24" s="1463" t="s">
        <v>456</v>
      </c>
      <c r="N24" s="1535" t="s">
        <v>449</v>
      </c>
    </row>
    <row r="25" spans="1:14" ht="62.25" thickBot="1" x14ac:dyDescent="0.25">
      <c r="A25" s="447" t="s">
        <v>100</v>
      </c>
      <c r="B25" s="455" t="s">
        <v>101</v>
      </c>
      <c r="C25" s="448" t="s">
        <v>315</v>
      </c>
      <c r="D25" s="456" t="s">
        <v>314</v>
      </c>
      <c r="E25" s="447" t="s">
        <v>320</v>
      </c>
      <c r="F25" s="449" t="s">
        <v>321</v>
      </c>
      <c r="G25" s="457" t="s">
        <v>322</v>
      </c>
      <c r="H25" s="457" t="s">
        <v>323</v>
      </c>
      <c r="I25" s="458" t="s">
        <v>24</v>
      </c>
      <c r="J25" s="447" t="s">
        <v>318</v>
      </c>
      <c r="K25" s="448" t="s">
        <v>319</v>
      </c>
      <c r="L25" s="459" t="s">
        <v>324</v>
      </c>
      <c r="M25" s="1464"/>
      <c r="N25" s="1536"/>
    </row>
    <row r="26" spans="1:14" x14ac:dyDescent="0.2">
      <c r="A26" s="367"/>
      <c r="B26" s="474"/>
      <c r="C26" s="380"/>
      <c r="D26" s="403"/>
      <c r="E26" s="347"/>
      <c r="F26" s="314"/>
      <c r="G26" s="314"/>
      <c r="H26" s="314"/>
      <c r="I26" s="355"/>
      <c r="J26" s="347"/>
      <c r="K26" s="380"/>
      <c r="L26" s="463"/>
      <c r="M26" s="463"/>
      <c r="N26" s="463"/>
    </row>
    <row r="27" spans="1:14" x14ac:dyDescent="0.2">
      <c r="A27" s="508" t="s">
        <v>1543</v>
      </c>
      <c r="B27" s="509" t="s">
        <v>1544</v>
      </c>
      <c r="C27" s="307"/>
      <c r="D27" s="404"/>
      <c r="E27" s="347"/>
      <c r="F27" s="314"/>
      <c r="G27" s="314"/>
      <c r="H27" s="314"/>
      <c r="I27" s="355"/>
      <c r="J27" s="347"/>
      <c r="K27" s="307"/>
      <c r="L27" s="463"/>
      <c r="M27" s="463"/>
      <c r="N27" s="463"/>
    </row>
    <row r="28" spans="1:14" x14ac:dyDescent="0.2">
      <c r="A28" s="347"/>
      <c r="B28" s="463"/>
      <c r="C28" s="307"/>
      <c r="D28" s="404"/>
      <c r="E28" s="347"/>
      <c r="F28" s="357"/>
      <c r="G28" s="357"/>
      <c r="H28" s="357"/>
      <c r="I28" s="373"/>
      <c r="J28" s="374"/>
      <c r="K28" s="307"/>
      <c r="L28" s="463"/>
      <c r="M28" s="463"/>
      <c r="N28" s="463"/>
    </row>
    <row r="29" spans="1:14" x14ac:dyDescent="0.2">
      <c r="A29" s="347"/>
      <c r="B29" s="463"/>
      <c r="C29" s="307"/>
      <c r="D29" s="404"/>
      <c r="E29" s="347"/>
      <c r="F29" s="314"/>
      <c r="G29" s="314"/>
      <c r="H29" s="314"/>
      <c r="I29" s="355"/>
      <c r="J29" s="347"/>
      <c r="K29" s="307"/>
      <c r="L29" s="463"/>
      <c r="M29" s="463"/>
      <c r="N29" s="463"/>
    </row>
    <row r="30" spans="1:14" x14ac:dyDescent="0.2">
      <c r="A30" s="347"/>
      <c r="B30" s="463"/>
      <c r="C30" s="356"/>
      <c r="D30" s="405"/>
      <c r="E30" s="374"/>
      <c r="F30" s="314"/>
      <c r="G30" s="314"/>
      <c r="H30" s="314"/>
      <c r="I30" s="355"/>
      <c r="J30" s="347"/>
      <c r="K30" s="356"/>
      <c r="L30" s="358"/>
      <c r="M30" s="358"/>
      <c r="N30" s="358"/>
    </row>
    <row r="31" spans="1:14" x14ac:dyDescent="0.2">
      <c r="A31" s="347"/>
      <c r="B31" s="463"/>
      <c r="C31" s="307"/>
      <c r="D31" s="404"/>
      <c r="E31" s="347"/>
      <c r="F31" s="314"/>
      <c r="G31" s="314"/>
      <c r="H31" s="314"/>
      <c r="I31" s="355"/>
      <c r="J31" s="347"/>
      <c r="K31" s="307"/>
      <c r="L31" s="463"/>
      <c r="M31" s="463"/>
      <c r="N31" s="463"/>
    </row>
    <row r="32" spans="1:14" x14ac:dyDescent="0.2">
      <c r="A32" s="347"/>
      <c r="B32" s="463"/>
      <c r="C32" s="307"/>
      <c r="D32" s="404"/>
      <c r="E32" s="347"/>
      <c r="F32" s="314"/>
      <c r="G32" s="314"/>
      <c r="H32" s="314"/>
      <c r="I32" s="355"/>
      <c r="J32" s="347"/>
      <c r="K32" s="307"/>
      <c r="L32" s="463"/>
      <c r="M32" s="463"/>
      <c r="N32" s="463"/>
    </row>
    <row r="33" spans="1:14" x14ac:dyDescent="0.2">
      <c r="A33" s="347"/>
      <c r="B33" s="463"/>
      <c r="C33" s="307"/>
      <c r="D33" s="404"/>
      <c r="E33" s="347"/>
      <c r="F33" s="314"/>
      <c r="G33" s="314"/>
      <c r="H33" s="314"/>
      <c r="I33" s="355"/>
      <c r="J33" s="347"/>
      <c r="K33" s="307"/>
      <c r="L33" s="463"/>
      <c r="M33" s="463"/>
      <c r="N33" s="463"/>
    </row>
    <row r="34" spans="1:14" x14ac:dyDescent="0.2">
      <c r="A34" s="347"/>
      <c r="B34" s="463"/>
      <c r="C34" s="307"/>
      <c r="D34" s="404"/>
      <c r="E34" s="347"/>
      <c r="F34" s="357"/>
      <c r="G34" s="357"/>
      <c r="H34" s="357"/>
      <c r="I34" s="373"/>
      <c r="J34" s="374"/>
      <c r="K34" s="307"/>
      <c r="L34" s="463"/>
      <c r="M34" s="463"/>
      <c r="N34" s="463"/>
    </row>
    <row r="35" spans="1:14" x14ac:dyDescent="0.2">
      <c r="A35" s="347"/>
      <c r="B35" s="463"/>
      <c r="C35" s="307"/>
      <c r="D35" s="404"/>
      <c r="E35" s="347"/>
      <c r="F35" s="314"/>
      <c r="G35" s="314"/>
      <c r="H35" s="314"/>
      <c r="I35" s="355"/>
      <c r="J35" s="347"/>
      <c r="K35" s="307"/>
      <c r="L35" s="463"/>
      <c r="M35" s="463"/>
      <c r="N35" s="463"/>
    </row>
    <row r="36" spans="1:14" x14ac:dyDescent="0.2">
      <c r="A36" s="347"/>
      <c r="B36" s="463"/>
      <c r="C36" s="307"/>
      <c r="D36" s="404"/>
      <c r="E36" s="347"/>
      <c r="F36" s="314"/>
      <c r="G36" s="314"/>
      <c r="H36" s="314"/>
      <c r="I36" s="355"/>
      <c r="J36" s="347"/>
      <c r="K36" s="307"/>
      <c r="L36" s="463"/>
      <c r="M36" s="463"/>
      <c r="N36" s="463"/>
    </row>
    <row r="37" spans="1:14" ht="12.75" thickBot="1" x14ac:dyDescent="0.25">
      <c r="A37" s="348"/>
      <c r="B37" s="466"/>
      <c r="C37" s="307"/>
      <c r="D37" s="404"/>
      <c r="E37" s="347"/>
      <c r="F37" s="314"/>
      <c r="G37" s="314"/>
      <c r="H37" s="314"/>
      <c r="I37" s="355"/>
      <c r="J37" s="347"/>
      <c r="K37" s="307"/>
      <c r="L37" s="463"/>
      <c r="M37" s="463"/>
      <c r="N37" s="463"/>
    </row>
    <row r="38" spans="1:14" ht="12.75" thickBot="1" x14ac:dyDescent="0.25">
      <c r="A38" s="368"/>
      <c r="B38" s="734"/>
      <c r="C38" s="351"/>
      <c r="D38" s="406"/>
      <c r="E38" s="407"/>
      <c r="F38" s="349"/>
      <c r="G38" s="349"/>
      <c r="H38" s="349"/>
      <c r="I38" s="402"/>
      <c r="J38" s="309"/>
      <c r="K38" s="351"/>
      <c r="L38" s="310"/>
      <c r="M38" s="310"/>
      <c r="N38" s="310"/>
    </row>
    <row r="39" spans="1:14" x14ac:dyDescent="0.2">
      <c r="A39" s="462" t="s">
        <v>422</v>
      </c>
    </row>
    <row r="41" spans="1:14" ht="12.75" thickBot="1" x14ac:dyDescent="0.25"/>
    <row r="42" spans="1:14" ht="12.75" thickBot="1" x14ac:dyDescent="0.25">
      <c r="A42" s="1525" t="s">
        <v>312</v>
      </c>
      <c r="B42" s="1527"/>
      <c r="C42" s="1526" t="s">
        <v>313</v>
      </c>
      <c r="D42" s="1526"/>
      <c r="E42" s="1528" t="s">
        <v>316</v>
      </c>
      <c r="F42" s="1529"/>
      <c r="G42" s="1529"/>
      <c r="H42" s="1529"/>
      <c r="I42" s="1531"/>
      <c r="J42" s="1526" t="s">
        <v>317</v>
      </c>
      <c r="K42" s="1526"/>
      <c r="L42" s="1527"/>
      <c r="M42" s="1463" t="s">
        <v>456</v>
      </c>
      <c r="N42" s="1535" t="s">
        <v>449</v>
      </c>
    </row>
    <row r="43" spans="1:14" ht="62.25" thickBot="1" x14ac:dyDescent="0.25">
      <c r="A43" s="447" t="s">
        <v>100</v>
      </c>
      <c r="B43" s="455" t="s">
        <v>101</v>
      </c>
      <c r="C43" s="448" t="s">
        <v>315</v>
      </c>
      <c r="D43" s="456" t="s">
        <v>314</v>
      </c>
      <c r="E43" s="447" t="s">
        <v>320</v>
      </c>
      <c r="F43" s="449" t="s">
        <v>321</v>
      </c>
      <c r="G43" s="457" t="s">
        <v>322</v>
      </c>
      <c r="H43" s="457" t="s">
        <v>323</v>
      </c>
      <c r="I43" s="458" t="s">
        <v>24</v>
      </c>
      <c r="J43" s="447" t="s">
        <v>318</v>
      </c>
      <c r="K43" s="448" t="s">
        <v>319</v>
      </c>
      <c r="L43" s="459" t="s">
        <v>324</v>
      </c>
      <c r="M43" s="1464"/>
      <c r="N43" s="1536"/>
    </row>
    <row r="44" spans="1:14" ht="36" x14ac:dyDescent="0.2">
      <c r="A44" s="644" t="s">
        <v>1545</v>
      </c>
      <c r="B44" s="645" t="s">
        <v>1546</v>
      </c>
      <c r="C44" s="552" t="s">
        <v>1547</v>
      </c>
      <c r="D44" s="555">
        <v>43270559</v>
      </c>
      <c r="E44" s="646" t="s">
        <v>1548</v>
      </c>
      <c r="F44" s="647">
        <v>43270559</v>
      </c>
      <c r="G44" s="648" t="s">
        <v>1549</v>
      </c>
      <c r="H44" s="648">
        <v>1</v>
      </c>
      <c r="I44" s="648"/>
      <c r="J44" s="646" t="s">
        <v>1550</v>
      </c>
      <c r="K44" s="639">
        <v>9600</v>
      </c>
      <c r="L44" s="649" t="s">
        <v>1551</v>
      </c>
      <c r="M44" s="650">
        <f>9600*12</f>
        <v>115200</v>
      </c>
      <c r="N44" s="650">
        <f>9600*3</f>
        <v>28800</v>
      </c>
    </row>
    <row r="45" spans="1:14" ht="72" x14ac:dyDescent="0.2">
      <c r="A45" s="506" t="s">
        <v>1545</v>
      </c>
      <c r="B45" s="507" t="s">
        <v>1546</v>
      </c>
      <c r="C45" s="648" t="s">
        <v>1552</v>
      </c>
      <c r="D45" s="647">
        <v>49061890</v>
      </c>
      <c r="E45" s="648" t="s">
        <v>1553</v>
      </c>
      <c r="F45" s="647">
        <v>49061890</v>
      </c>
      <c r="G45" s="648" t="s">
        <v>1554</v>
      </c>
      <c r="H45" s="648">
        <v>1</v>
      </c>
      <c r="I45" s="648"/>
      <c r="J45" s="648" t="s">
        <v>1555</v>
      </c>
      <c r="K45" s="651">
        <v>12600</v>
      </c>
      <c r="L45" s="649" t="s">
        <v>1556</v>
      </c>
      <c r="M45" s="650">
        <f>12600*12</f>
        <v>151200</v>
      </c>
      <c r="N45" s="650">
        <f>12600*7</f>
        <v>88200</v>
      </c>
    </row>
    <row r="46" spans="1:14" ht="36" x14ac:dyDescent="0.2">
      <c r="A46" s="506" t="s">
        <v>1545</v>
      </c>
      <c r="B46" s="507" t="s">
        <v>1546</v>
      </c>
      <c r="C46" s="648" t="s">
        <v>1557</v>
      </c>
      <c r="D46" s="647">
        <v>11003443</v>
      </c>
      <c r="E46" s="648" t="s">
        <v>1558</v>
      </c>
      <c r="F46" s="647">
        <v>11003443</v>
      </c>
      <c r="G46" s="648" t="s">
        <v>1559</v>
      </c>
      <c r="H46" s="648"/>
      <c r="I46" s="648"/>
      <c r="J46" s="648" t="s">
        <v>1560</v>
      </c>
      <c r="K46" s="652">
        <v>1800</v>
      </c>
      <c r="L46" s="648" t="s">
        <v>1556</v>
      </c>
      <c r="M46" s="650">
        <v>28300</v>
      </c>
      <c r="N46" s="650">
        <f>1800*8</f>
        <v>14400</v>
      </c>
    </row>
    <row r="47" spans="1:14" ht="45" x14ac:dyDescent="0.2">
      <c r="A47" s="506" t="s">
        <v>1545</v>
      </c>
      <c r="B47" s="507" t="s">
        <v>1546</v>
      </c>
      <c r="C47" s="648" t="s">
        <v>1561</v>
      </c>
      <c r="D47" s="647" t="s">
        <v>1562</v>
      </c>
      <c r="E47" s="648" t="s">
        <v>1563</v>
      </c>
      <c r="F47" s="647" t="s">
        <v>1562</v>
      </c>
      <c r="G47" s="648" t="s">
        <v>1564</v>
      </c>
      <c r="H47" s="648"/>
      <c r="I47" s="648"/>
      <c r="J47" s="653" t="s">
        <v>1565</v>
      </c>
      <c r="K47" s="651">
        <v>1500</v>
      </c>
      <c r="L47" s="654" t="s">
        <v>1566</v>
      </c>
      <c r="M47" s="650">
        <v>20800</v>
      </c>
      <c r="N47" s="650">
        <v>1500</v>
      </c>
    </row>
    <row r="48" spans="1:14" ht="36" x14ac:dyDescent="0.2">
      <c r="A48" s="506" t="s">
        <v>1545</v>
      </c>
      <c r="B48" s="507" t="s">
        <v>1546</v>
      </c>
      <c r="C48" s="648" t="s">
        <v>1567</v>
      </c>
      <c r="D48" s="647">
        <v>1088158</v>
      </c>
      <c r="E48" s="648" t="s">
        <v>1568</v>
      </c>
      <c r="F48" s="647">
        <v>1088158</v>
      </c>
      <c r="G48" s="648" t="s">
        <v>1569</v>
      </c>
      <c r="H48" s="648"/>
      <c r="I48" s="648"/>
      <c r="J48" s="648" t="s">
        <v>1570</v>
      </c>
      <c r="K48" s="651">
        <v>6500</v>
      </c>
      <c r="L48" s="654" t="s">
        <v>1556</v>
      </c>
      <c r="M48" s="650">
        <f>6500*12</f>
        <v>78000</v>
      </c>
      <c r="N48" s="650">
        <f>6500*3</f>
        <v>19500</v>
      </c>
    </row>
    <row r="49" spans="1:14" ht="47.25" x14ac:dyDescent="0.2">
      <c r="A49" s="506" t="s">
        <v>1545</v>
      </c>
      <c r="B49" s="507" t="s">
        <v>1546</v>
      </c>
      <c r="C49" s="640" t="s">
        <v>1571</v>
      </c>
      <c r="D49" s="641">
        <v>11189978</v>
      </c>
      <c r="E49" s="648" t="s">
        <v>1572</v>
      </c>
      <c r="F49" s="641">
        <v>11189978</v>
      </c>
      <c r="G49" s="641" t="s">
        <v>1573</v>
      </c>
      <c r="H49" s="648"/>
      <c r="I49" s="648"/>
      <c r="J49" s="648" t="s">
        <v>1574</v>
      </c>
      <c r="K49" s="651">
        <v>1500</v>
      </c>
      <c r="L49" s="654" t="s">
        <v>1556</v>
      </c>
      <c r="M49" s="650">
        <v>18900</v>
      </c>
      <c r="N49" s="650">
        <f>1500*8</f>
        <v>12000</v>
      </c>
    </row>
    <row r="50" spans="1:14" ht="33.75" x14ac:dyDescent="0.2">
      <c r="A50" s="506" t="s">
        <v>1545</v>
      </c>
      <c r="B50" s="507" t="s">
        <v>1546</v>
      </c>
      <c r="C50" s="642" t="s">
        <v>1575</v>
      </c>
      <c r="D50" s="641">
        <v>11106325</v>
      </c>
      <c r="E50" s="648" t="s">
        <v>1576</v>
      </c>
      <c r="F50" s="641">
        <v>11106325</v>
      </c>
      <c r="G50" s="641" t="s">
        <v>1577</v>
      </c>
      <c r="H50" s="648"/>
      <c r="I50" s="648"/>
      <c r="J50" s="655" t="s">
        <v>1578</v>
      </c>
      <c r="K50" s="651">
        <v>2200</v>
      </c>
      <c r="L50" s="654" t="s">
        <v>1556</v>
      </c>
      <c r="M50" s="650">
        <v>30200</v>
      </c>
      <c r="N50" s="650">
        <f>2200*8</f>
        <v>17600</v>
      </c>
    </row>
    <row r="51" spans="1:14" ht="47.25" x14ac:dyDescent="0.2">
      <c r="A51" s="506" t="s">
        <v>1545</v>
      </c>
      <c r="B51" s="507" t="s">
        <v>1546</v>
      </c>
      <c r="C51" s="642" t="s">
        <v>1579</v>
      </c>
      <c r="D51" s="641">
        <v>11000375</v>
      </c>
      <c r="E51" s="648" t="s">
        <v>1580</v>
      </c>
      <c r="F51" s="641">
        <v>11000375</v>
      </c>
      <c r="G51" s="641" t="s">
        <v>1581</v>
      </c>
      <c r="H51" s="648"/>
      <c r="I51" s="648"/>
      <c r="J51" s="655" t="s">
        <v>1582</v>
      </c>
      <c r="K51" s="651">
        <v>2500</v>
      </c>
      <c r="L51" s="654" t="s">
        <v>1556</v>
      </c>
      <c r="M51" s="650">
        <v>28250</v>
      </c>
      <c r="N51" s="650">
        <f>5*2500</f>
        <v>12500</v>
      </c>
    </row>
    <row r="52" spans="1:14" ht="34.5" thickBot="1" x14ac:dyDescent="0.25">
      <c r="A52" s="506" t="s">
        <v>1545</v>
      </c>
      <c r="B52" s="507" t="s">
        <v>1546</v>
      </c>
      <c r="C52" s="642" t="s">
        <v>1583</v>
      </c>
      <c r="D52" s="643" t="s">
        <v>1584</v>
      </c>
      <c r="E52" s="648" t="s">
        <v>1585</v>
      </c>
      <c r="F52" s="643" t="s">
        <v>1584</v>
      </c>
      <c r="G52" s="641" t="s">
        <v>1586</v>
      </c>
      <c r="H52" s="648"/>
      <c r="I52" s="648"/>
      <c r="J52" s="655" t="s">
        <v>1587</v>
      </c>
      <c r="K52" s="651">
        <v>1450</v>
      </c>
      <c r="L52" s="654" t="s">
        <v>1556</v>
      </c>
      <c r="M52" s="650">
        <v>25200</v>
      </c>
      <c r="N52" s="650">
        <f>+K52*8</f>
        <v>11600</v>
      </c>
    </row>
    <row r="53" spans="1:14" ht="21" customHeight="1" thickBot="1" x14ac:dyDescent="0.25">
      <c r="A53" s="368"/>
      <c r="B53" s="734"/>
      <c r="C53" s="351"/>
      <c r="D53" s="406"/>
      <c r="E53" s="407"/>
      <c r="F53" s="349"/>
      <c r="G53" s="349"/>
      <c r="H53" s="349"/>
      <c r="I53" s="402"/>
      <c r="J53" s="309"/>
      <c r="K53" s="351"/>
      <c r="L53" s="310"/>
      <c r="M53" s="310"/>
      <c r="N53" s="310"/>
    </row>
    <row r="54" spans="1:14" x14ac:dyDescent="0.2">
      <c r="A54" s="462" t="s">
        <v>422</v>
      </c>
    </row>
  </sheetData>
  <mergeCells count="18">
    <mergeCell ref="N4:N5"/>
    <mergeCell ref="A4:B4"/>
    <mergeCell ref="C4:D4"/>
    <mergeCell ref="E4:I4"/>
    <mergeCell ref="J4:L4"/>
    <mergeCell ref="M4:M5"/>
    <mergeCell ref="N42:N43"/>
    <mergeCell ref="A24:B24"/>
    <mergeCell ref="C24:D24"/>
    <mergeCell ref="E24:I24"/>
    <mergeCell ref="J24:L24"/>
    <mergeCell ref="M24:M25"/>
    <mergeCell ref="N24:N25"/>
    <mergeCell ref="A42:B42"/>
    <mergeCell ref="C42:D42"/>
    <mergeCell ref="E42:I42"/>
    <mergeCell ref="J42:L42"/>
    <mergeCell ref="M42:M43"/>
  </mergeCells>
  <printOptions horizontalCentered="1"/>
  <pageMargins left="0.23622047244094491" right="0.23622047244094491" top="1.1417322834645669" bottom="0.74803149606299213" header="0.31496062992125984" footer="0.31496062992125984"/>
  <pageSetup paperSize="9" scale="60" orientation="landscape" r:id="rId1"/>
  <headerFooter alignWithMargins="0">
    <oddHeader>&amp;C&amp;"Arial,Negrita"&amp;18PROYECTO DE PRESUPUESTO 2022</oddHeader>
    <oddFooter>&amp;L&amp;"Arial,Negrita"&amp;8PROYECTO DE PRESUPUESTO PARA EL AÑO FISCAL 2020
INFORMACIÓN PARA LA COMISIÓN DE PRESUPUESTO Y CUENTA GENERAL DE LA REPÚBLICA DEL CONGRESO DE LA REPÚBLICA</oddFooter>
  </headerFooter>
  <rowBreaks count="1" manualBreakCount="1">
    <brk id="40" max="13" man="1"/>
  </rowBreaks>
  <ignoredErrors>
    <ignoredError sqref="D52:F52" numberStoredAsText="1"/>
  </ignoredError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sheetPr>
  <dimension ref="A1:N55"/>
  <sheetViews>
    <sheetView showGridLines="0" tabSelected="1" view="pageBreakPreview" zoomScaleNormal="100" zoomScaleSheetLayoutView="100" workbookViewId="0">
      <selection activeCell="D42" sqref="D42"/>
    </sheetView>
  </sheetViews>
  <sheetFormatPr baseColWidth="10" defaultColWidth="2" defaultRowHeight="11.25" x14ac:dyDescent="0.2"/>
  <cols>
    <col min="1" max="1" width="19.140625" style="2" customWidth="1"/>
    <col min="2" max="2" width="23.42578125" style="2" customWidth="1"/>
    <col min="3" max="3" width="27.5703125" style="2" customWidth="1"/>
    <col min="4" max="4" width="25.140625" style="2" customWidth="1"/>
    <col min="5" max="5" width="12.85546875" style="2" customWidth="1"/>
    <col min="6" max="6" width="10" style="2" customWidth="1"/>
    <col min="7" max="7" width="22.7109375" style="2" customWidth="1"/>
    <col min="8" max="8" width="16.28515625" style="2" customWidth="1"/>
    <col min="9" max="13" width="10.7109375" style="2" customWidth="1"/>
    <col min="14" max="14" width="8.7109375" style="2" customWidth="1"/>
    <col min="15" max="16384" width="2" style="2"/>
  </cols>
  <sheetData>
    <row r="1" spans="1:13" s="14" customFormat="1" ht="15" x14ac:dyDescent="0.25">
      <c r="A1" s="89" t="s">
        <v>383</v>
      </c>
      <c r="B1" s="27"/>
      <c r="C1" s="13"/>
    </row>
    <row r="2" spans="1:13" s="14" customFormat="1" ht="15" x14ac:dyDescent="0.2">
      <c r="A2" s="90" t="s">
        <v>458</v>
      </c>
      <c r="B2" s="15"/>
      <c r="C2" s="15"/>
    </row>
    <row r="3" spans="1:13" s="14" customFormat="1" ht="12" thickBot="1" x14ac:dyDescent="0.25">
      <c r="A3" s="101"/>
      <c r="B3" s="101"/>
      <c r="C3" s="101"/>
    </row>
    <row r="4" spans="1:13" s="1" customFormat="1" ht="22.5" customHeight="1" x14ac:dyDescent="0.2">
      <c r="A4" s="1429" t="s">
        <v>295</v>
      </c>
      <c r="B4" s="1433" t="s">
        <v>298</v>
      </c>
      <c r="C4" s="1431" t="s">
        <v>297</v>
      </c>
      <c r="D4" s="1420" t="s">
        <v>296</v>
      </c>
      <c r="E4" s="1420" t="s">
        <v>271</v>
      </c>
      <c r="F4" s="1420" t="s">
        <v>272</v>
      </c>
      <c r="G4" s="1420" t="s">
        <v>135</v>
      </c>
      <c r="H4" s="1420" t="s">
        <v>273</v>
      </c>
      <c r="I4" s="1420">
        <v>2020</v>
      </c>
      <c r="J4" s="1420"/>
      <c r="K4" s="1420">
        <v>2021</v>
      </c>
      <c r="L4" s="1420"/>
      <c r="M4" s="140">
        <v>2022</v>
      </c>
    </row>
    <row r="5" spans="1:13" s="1" customFormat="1" ht="36" x14ac:dyDescent="0.2">
      <c r="A5" s="1430"/>
      <c r="B5" s="1434"/>
      <c r="C5" s="1432"/>
      <c r="D5" s="1427"/>
      <c r="E5" s="1427"/>
      <c r="F5" s="1427"/>
      <c r="G5" s="1427"/>
      <c r="H5" s="1427"/>
      <c r="I5" s="141" t="s">
        <v>276</v>
      </c>
      <c r="J5" s="141" t="s">
        <v>274</v>
      </c>
      <c r="K5" s="141" t="s">
        <v>276</v>
      </c>
      <c r="L5" s="141" t="s">
        <v>511</v>
      </c>
      <c r="M5" s="142" t="s">
        <v>276</v>
      </c>
    </row>
    <row r="6" spans="1:13" s="16" customFormat="1" ht="57.75" customHeight="1" x14ac:dyDescent="0.2">
      <c r="A6" s="1435" t="s">
        <v>585</v>
      </c>
      <c r="B6" s="1424" t="s">
        <v>582</v>
      </c>
      <c r="C6" s="1428" t="s">
        <v>465</v>
      </c>
      <c r="D6" s="143" t="s">
        <v>466</v>
      </c>
      <c r="E6" s="144" t="s">
        <v>467</v>
      </c>
      <c r="F6" s="145" t="s">
        <v>468</v>
      </c>
      <c r="G6" s="143" t="s">
        <v>469</v>
      </c>
      <c r="H6" s="143" t="s">
        <v>470</v>
      </c>
      <c r="I6" s="145" t="s">
        <v>515</v>
      </c>
      <c r="J6" s="145" t="s">
        <v>516</v>
      </c>
      <c r="K6" s="145" t="s">
        <v>514</v>
      </c>
      <c r="L6" s="145" t="s">
        <v>517</v>
      </c>
      <c r="M6" s="146" t="s">
        <v>518</v>
      </c>
    </row>
    <row r="7" spans="1:13" s="16" customFormat="1" ht="48.75" customHeight="1" x14ac:dyDescent="0.2">
      <c r="A7" s="1436"/>
      <c r="B7" s="1425"/>
      <c r="C7" s="1428"/>
      <c r="D7" s="143" t="s">
        <v>471</v>
      </c>
      <c r="E7" s="144" t="s">
        <v>472</v>
      </c>
      <c r="F7" s="144" t="s">
        <v>473</v>
      </c>
      <c r="G7" s="143" t="s">
        <v>474</v>
      </c>
      <c r="H7" s="143" t="s">
        <v>475</v>
      </c>
      <c r="I7" s="144" t="s">
        <v>522</v>
      </c>
      <c r="J7" s="144" t="s">
        <v>521</v>
      </c>
      <c r="K7" s="144" t="s">
        <v>520</v>
      </c>
      <c r="L7" s="145" t="s">
        <v>512</v>
      </c>
      <c r="M7" s="146" t="s">
        <v>519</v>
      </c>
    </row>
    <row r="8" spans="1:13" s="16" customFormat="1" ht="60" customHeight="1" x14ac:dyDescent="0.2">
      <c r="A8" s="1436"/>
      <c r="B8" s="1425"/>
      <c r="C8" s="1428"/>
      <c r="D8" s="143" t="s">
        <v>476</v>
      </c>
      <c r="E8" s="147" t="s">
        <v>477</v>
      </c>
      <c r="F8" s="147" t="s">
        <v>478</v>
      </c>
      <c r="G8" s="143" t="s">
        <v>479</v>
      </c>
      <c r="H8" s="143" t="s">
        <v>480</v>
      </c>
      <c r="I8" s="144" t="s">
        <v>481</v>
      </c>
      <c r="J8" s="144" t="s">
        <v>482</v>
      </c>
      <c r="K8" s="147" t="s">
        <v>478</v>
      </c>
      <c r="L8" s="147" t="s">
        <v>513</v>
      </c>
      <c r="M8" s="146" t="s">
        <v>523</v>
      </c>
    </row>
    <row r="9" spans="1:13" s="16" customFormat="1" ht="79.5" customHeight="1" x14ac:dyDescent="0.2">
      <c r="A9" s="1436"/>
      <c r="B9" s="1426"/>
      <c r="C9" s="148" t="s">
        <v>483</v>
      </c>
      <c r="D9" s="143" t="s">
        <v>484</v>
      </c>
      <c r="E9" s="149" t="s">
        <v>485</v>
      </c>
      <c r="F9" s="150">
        <v>0.05</v>
      </c>
      <c r="G9" s="143" t="s">
        <v>486</v>
      </c>
      <c r="H9" s="143" t="s">
        <v>475</v>
      </c>
      <c r="I9" s="150">
        <v>0.05</v>
      </c>
      <c r="J9" s="149">
        <v>5.91E-2</v>
      </c>
      <c r="K9" s="150">
        <v>0.05</v>
      </c>
      <c r="L9" s="149">
        <v>5.2400000000000002E-2</v>
      </c>
      <c r="M9" s="151">
        <v>0.05</v>
      </c>
    </row>
    <row r="10" spans="1:13" s="16" customFormat="1" ht="65.25" customHeight="1" x14ac:dyDescent="0.2">
      <c r="A10" s="1436"/>
      <c r="B10" s="152" t="s">
        <v>579</v>
      </c>
      <c r="C10" s="148" t="s">
        <v>487</v>
      </c>
      <c r="D10" s="143" t="s">
        <v>488</v>
      </c>
      <c r="E10" s="144" t="s">
        <v>489</v>
      </c>
      <c r="F10" s="150">
        <v>1</v>
      </c>
      <c r="G10" s="143" t="s">
        <v>490</v>
      </c>
      <c r="H10" s="143" t="s">
        <v>491</v>
      </c>
      <c r="I10" s="150">
        <v>1</v>
      </c>
      <c r="J10" s="150">
        <v>0.95</v>
      </c>
      <c r="K10" s="150">
        <v>1</v>
      </c>
      <c r="L10" s="153">
        <v>0.31</v>
      </c>
      <c r="M10" s="151">
        <v>1</v>
      </c>
    </row>
    <row r="11" spans="1:13" s="16" customFormat="1" ht="78.75" customHeight="1" x14ac:dyDescent="0.2">
      <c r="A11" s="1436"/>
      <c r="B11" s="154" t="s">
        <v>581</v>
      </c>
      <c r="C11" s="148" t="s">
        <v>492</v>
      </c>
      <c r="D11" s="143" t="s">
        <v>493</v>
      </c>
      <c r="E11" s="144" t="s">
        <v>494</v>
      </c>
      <c r="F11" s="150">
        <v>0.91</v>
      </c>
      <c r="G11" s="143" t="s">
        <v>495</v>
      </c>
      <c r="H11" s="143" t="s">
        <v>496</v>
      </c>
      <c r="I11" s="150">
        <v>0.9</v>
      </c>
      <c r="J11" s="150">
        <v>0.61</v>
      </c>
      <c r="K11" s="150">
        <v>0.91</v>
      </c>
      <c r="L11" s="149">
        <v>0.85289999999999999</v>
      </c>
      <c r="M11" s="151">
        <v>0.92</v>
      </c>
    </row>
    <row r="12" spans="1:13" s="16" customFormat="1" ht="52.5" customHeight="1" x14ac:dyDescent="0.2">
      <c r="A12" s="1436"/>
      <c r="B12" s="1421" t="s">
        <v>580</v>
      </c>
      <c r="C12" s="148" t="s">
        <v>497</v>
      </c>
      <c r="D12" s="143" t="s">
        <v>498</v>
      </c>
      <c r="E12" s="144" t="s">
        <v>499</v>
      </c>
      <c r="F12" s="150">
        <v>0.9</v>
      </c>
      <c r="G12" s="143" t="s">
        <v>500</v>
      </c>
      <c r="H12" s="143" t="s">
        <v>501</v>
      </c>
      <c r="I12" s="150">
        <v>0.9</v>
      </c>
      <c r="J12" s="150">
        <v>0.53600000000000003</v>
      </c>
      <c r="K12" s="150">
        <v>0.9</v>
      </c>
      <c r="L12" s="150">
        <v>0</v>
      </c>
      <c r="M12" s="151">
        <v>0.9</v>
      </c>
    </row>
    <row r="13" spans="1:13" s="16" customFormat="1" ht="43.5" customHeight="1" x14ac:dyDescent="0.2">
      <c r="A13" s="1436"/>
      <c r="B13" s="1422"/>
      <c r="C13" s="148" t="s">
        <v>502</v>
      </c>
      <c r="D13" s="143" t="s">
        <v>503</v>
      </c>
      <c r="E13" s="144" t="s">
        <v>504</v>
      </c>
      <c r="F13" s="144"/>
      <c r="G13" s="143" t="s">
        <v>505</v>
      </c>
      <c r="H13" s="143" t="s">
        <v>506</v>
      </c>
      <c r="I13" s="144">
        <v>1.18</v>
      </c>
      <c r="J13" s="144">
        <v>1.45</v>
      </c>
      <c r="K13" s="144">
        <v>1.2</v>
      </c>
      <c r="L13" s="144">
        <v>1.47</v>
      </c>
      <c r="M13" s="155">
        <v>1.2</v>
      </c>
    </row>
    <row r="14" spans="1:13" s="16" customFormat="1" ht="54" customHeight="1" thickBot="1" x14ac:dyDescent="0.25">
      <c r="A14" s="1437"/>
      <c r="B14" s="1423"/>
      <c r="C14" s="156" t="s">
        <v>507</v>
      </c>
      <c r="D14" s="157" t="s">
        <v>508</v>
      </c>
      <c r="E14" s="158" t="s">
        <v>472</v>
      </c>
      <c r="F14" s="159">
        <v>0.9</v>
      </c>
      <c r="G14" s="157" t="s">
        <v>509</v>
      </c>
      <c r="H14" s="157" t="s">
        <v>510</v>
      </c>
      <c r="I14" s="159">
        <v>0.6</v>
      </c>
      <c r="J14" s="159">
        <v>0.6</v>
      </c>
      <c r="K14" s="159">
        <v>0.9</v>
      </c>
      <c r="L14" s="160">
        <v>0.6</v>
      </c>
      <c r="M14" s="161">
        <v>1</v>
      </c>
    </row>
    <row r="15" spans="1:13" x14ac:dyDescent="0.2">
      <c r="A15" s="2" t="s">
        <v>556</v>
      </c>
    </row>
    <row r="20" spans="1:14" ht="12" thickBot="1" x14ac:dyDescent="0.25">
      <c r="A20" s="13"/>
      <c r="B20" s="101"/>
      <c r="C20" s="101"/>
      <c r="D20" s="14"/>
      <c r="E20" s="14"/>
      <c r="F20" s="14"/>
      <c r="G20" s="14"/>
      <c r="H20" s="14"/>
    </row>
    <row r="21" spans="1:14" x14ac:dyDescent="0.2">
      <c r="A21" s="1418" t="s">
        <v>295</v>
      </c>
      <c r="B21" s="1386" t="s">
        <v>298</v>
      </c>
      <c r="C21" s="1386" t="s">
        <v>297</v>
      </c>
      <c r="D21" s="1386" t="s">
        <v>296</v>
      </c>
      <c r="E21" s="1386" t="s">
        <v>271</v>
      </c>
      <c r="F21" s="1386" t="s">
        <v>524</v>
      </c>
      <c r="G21" s="1386" t="s">
        <v>135</v>
      </c>
      <c r="H21" s="1386" t="s">
        <v>273</v>
      </c>
      <c r="I21" s="1386">
        <v>2019</v>
      </c>
      <c r="J21" s="1386"/>
      <c r="K21" s="1386">
        <v>2020</v>
      </c>
      <c r="L21" s="1386"/>
      <c r="M21" s="84">
        <v>2021</v>
      </c>
      <c r="N21" s="189">
        <v>2022</v>
      </c>
    </row>
    <row r="22" spans="1:14" ht="32.25" customHeight="1" x14ac:dyDescent="0.2">
      <c r="A22" s="1419"/>
      <c r="B22" s="1387"/>
      <c r="C22" s="1387"/>
      <c r="D22" s="1387"/>
      <c r="E22" s="1387"/>
      <c r="F22" s="1387"/>
      <c r="G22" s="1387"/>
      <c r="H22" s="1387"/>
      <c r="I22" s="134" t="s">
        <v>276</v>
      </c>
      <c r="J22" s="134" t="s">
        <v>274</v>
      </c>
      <c r="K22" s="134" t="s">
        <v>276</v>
      </c>
      <c r="L22" s="134" t="s">
        <v>274</v>
      </c>
      <c r="M22" s="134" t="s">
        <v>276</v>
      </c>
      <c r="N22" s="190" t="s">
        <v>276</v>
      </c>
    </row>
    <row r="23" spans="1:14" ht="24" customHeight="1" x14ac:dyDescent="0.2">
      <c r="A23" s="1395" t="s">
        <v>584</v>
      </c>
      <c r="B23" s="1413" t="s">
        <v>557</v>
      </c>
      <c r="C23" s="1416" t="s">
        <v>525</v>
      </c>
      <c r="D23" s="135" t="s">
        <v>526</v>
      </c>
      <c r="E23" s="136">
        <v>12</v>
      </c>
      <c r="F23" s="136" t="s">
        <v>527</v>
      </c>
      <c r="G23" s="136" t="s">
        <v>528</v>
      </c>
      <c r="H23" s="136" t="s">
        <v>528</v>
      </c>
      <c r="I23" s="136">
        <v>12</v>
      </c>
      <c r="J23" s="136">
        <v>11</v>
      </c>
      <c r="K23" s="136" t="s">
        <v>527</v>
      </c>
      <c r="L23" s="136" t="s">
        <v>527</v>
      </c>
      <c r="M23" s="136" t="s">
        <v>527</v>
      </c>
      <c r="N23" s="191" t="s">
        <v>527</v>
      </c>
    </row>
    <row r="24" spans="1:14" ht="24" x14ac:dyDescent="0.2">
      <c r="A24" s="1396"/>
      <c r="B24" s="1414"/>
      <c r="C24" s="1416"/>
      <c r="D24" s="135" t="s">
        <v>529</v>
      </c>
      <c r="E24" s="136">
        <v>39</v>
      </c>
      <c r="F24" s="136" t="s">
        <v>527</v>
      </c>
      <c r="G24" s="136" t="s">
        <v>528</v>
      </c>
      <c r="H24" s="136" t="s">
        <v>528</v>
      </c>
      <c r="I24" s="136">
        <v>40</v>
      </c>
      <c r="J24" s="136">
        <v>36</v>
      </c>
      <c r="K24" s="136" t="s">
        <v>527</v>
      </c>
      <c r="L24" s="136" t="s">
        <v>527</v>
      </c>
      <c r="M24" s="136" t="s">
        <v>527</v>
      </c>
      <c r="N24" s="191" t="s">
        <v>527</v>
      </c>
    </row>
    <row r="25" spans="1:14" ht="54.75" customHeight="1" x14ac:dyDescent="0.2">
      <c r="A25" s="1396"/>
      <c r="B25" s="1414"/>
      <c r="C25" s="135" t="s">
        <v>530</v>
      </c>
      <c r="D25" s="137" t="s">
        <v>531</v>
      </c>
      <c r="E25" s="136">
        <v>0</v>
      </c>
      <c r="F25" s="136" t="s">
        <v>527</v>
      </c>
      <c r="G25" s="136" t="s">
        <v>528</v>
      </c>
      <c r="H25" s="136" t="s">
        <v>528</v>
      </c>
      <c r="I25" s="136">
        <v>1</v>
      </c>
      <c r="J25" s="136">
        <v>1</v>
      </c>
      <c r="K25" s="136" t="s">
        <v>527</v>
      </c>
      <c r="L25" s="136" t="s">
        <v>527</v>
      </c>
      <c r="M25" s="136" t="s">
        <v>527</v>
      </c>
      <c r="N25" s="191" t="s">
        <v>527</v>
      </c>
    </row>
    <row r="26" spans="1:14" ht="42.75" customHeight="1" x14ac:dyDescent="0.2">
      <c r="A26" s="1396"/>
      <c r="B26" s="1414"/>
      <c r="C26" s="1416" t="s">
        <v>532</v>
      </c>
      <c r="D26" s="137" t="s">
        <v>533</v>
      </c>
      <c r="E26" s="136">
        <v>12</v>
      </c>
      <c r="F26" s="136">
        <v>13</v>
      </c>
      <c r="G26" s="136" t="s">
        <v>528</v>
      </c>
      <c r="H26" s="136" t="s">
        <v>528</v>
      </c>
      <c r="I26" s="136" t="s">
        <v>527</v>
      </c>
      <c r="J26" s="136" t="s">
        <v>527</v>
      </c>
      <c r="K26" s="136">
        <v>12</v>
      </c>
      <c r="L26" s="136">
        <v>13</v>
      </c>
      <c r="M26" s="136">
        <v>13</v>
      </c>
      <c r="N26" s="191">
        <v>13</v>
      </c>
    </row>
    <row r="27" spans="1:14" ht="38.25" customHeight="1" x14ac:dyDescent="0.2">
      <c r="A27" s="1396"/>
      <c r="B27" s="1414"/>
      <c r="C27" s="1416"/>
      <c r="D27" s="137" t="s">
        <v>534</v>
      </c>
      <c r="E27" s="136">
        <v>8</v>
      </c>
      <c r="F27" s="136">
        <v>24</v>
      </c>
      <c r="G27" s="136" t="s">
        <v>528</v>
      </c>
      <c r="H27" s="136" t="s">
        <v>528</v>
      </c>
      <c r="I27" s="136" t="s">
        <v>527</v>
      </c>
      <c r="J27" s="136" t="s">
        <v>527</v>
      </c>
      <c r="K27" s="136">
        <v>16</v>
      </c>
      <c r="L27" s="136">
        <v>11</v>
      </c>
      <c r="M27" s="136">
        <v>7</v>
      </c>
      <c r="N27" s="191">
        <v>24</v>
      </c>
    </row>
    <row r="28" spans="1:14" ht="84.75" customHeight="1" x14ac:dyDescent="0.2">
      <c r="A28" s="1396"/>
      <c r="B28" s="1414"/>
      <c r="C28" s="135" t="s">
        <v>535</v>
      </c>
      <c r="D28" s="137" t="s">
        <v>536</v>
      </c>
      <c r="E28" s="136">
        <v>2</v>
      </c>
      <c r="F28" s="136">
        <v>4</v>
      </c>
      <c r="G28" s="136" t="s">
        <v>528</v>
      </c>
      <c r="H28" s="136" t="s">
        <v>528</v>
      </c>
      <c r="I28" s="136" t="s">
        <v>527</v>
      </c>
      <c r="J28" s="136" t="s">
        <v>527</v>
      </c>
      <c r="K28" s="136">
        <v>2</v>
      </c>
      <c r="L28" s="136">
        <v>2</v>
      </c>
      <c r="M28" s="136">
        <v>0</v>
      </c>
      <c r="N28" s="191">
        <v>4</v>
      </c>
    </row>
    <row r="29" spans="1:14" ht="43.5" customHeight="1" x14ac:dyDescent="0.2">
      <c r="A29" s="1396"/>
      <c r="B29" s="1413" t="s">
        <v>579</v>
      </c>
      <c r="C29" s="1416" t="s">
        <v>537</v>
      </c>
      <c r="D29" s="137" t="s">
        <v>538</v>
      </c>
      <c r="E29" s="136">
        <v>0</v>
      </c>
      <c r="F29" s="138" t="s">
        <v>527</v>
      </c>
      <c r="G29" s="136" t="s">
        <v>528</v>
      </c>
      <c r="H29" s="136" t="s">
        <v>528</v>
      </c>
      <c r="I29" s="138">
        <v>0.95</v>
      </c>
      <c r="J29" s="138">
        <v>1</v>
      </c>
      <c r="K29" s="136" t="s">
        <v>527</v>
      </c>
      <c r="L29" s="136" t="s">
        <v>527</v>
      </c>
      <c r="M29" s="136" t="s">
        <v>527</v>
      </c>
      <c r="N29" s="192" t="s">
        <v>527</v>
      </c>
    </row>
    <row r="30" spans="1:14" ht="55.5" customHeight="1" x14ac:dyDescent="0.2">
      <c r="A30" s="1396"/>
      <c r="B30" s="1414"/>
      <c r="C30" s="1416"/>
      <c r="D30" s="137" t="s">
        <v>539</v>
      </c>
      <c r="E30" s="136">
        <v>410</v>
      </c>
      <c r="F30" s="136" t="s">
        <v>527</v>
      </c>
      <c r="G30" s="136" t="s">
        <v>528</v>
      </c>
      <c r="H30" s="136" t="s">
        <v>528</v>
      </c>
      <c r="I30" s="136">
        <v>470</v>
      </c>
      <c r="J30" s="136">
        <v>634</v>
      </c>
      <c r="K30" s="136" t="s">
        <v>527</v>
      </c>
      <c r="L30" s="136" t="s">
        <v>527</v>
      </c>
      <c r="M30" s="136" t="s">
        <v>527</v>
      </c>
      <c r="N30" s="191" t="s">
        <v>527</v>
      </c>
    </row>
    <row r="31" spans="1:14" ht="42" customHeight="1" x14ac:dyDescent="0.2">
      <c r="A31" s="1396"/>
      <c r="B31" s="1414"/>
      <c r="C31" s="1416"/>
      <c r="D31" s="137" t="s">
        <v>540</v>
      </c>
      <c r="E31" s="136">
        <v>3100</v>
      </c>
      <c r="F31" s="136" t="s">
        <v>527</v>
      </c>
      <c r="G31" s="136" t="s">
        <v>528</v>
      </c>
      <c r="H31" s="136" t="s">
        <v>528</v>
      </c>
      <c r="I31" s="136">
        <v>3250</v>
      </c>
      <c r="J31" s="136">
        <v>3847</v>
      </c>
      <c r="K31" s="136" t="s">
        <v>527</v>
      </c>
      <c r="L31" s="136" t="s">
        <v>527</v>
      </c>
      <c r="M31" s="136" t="s">
        <v>527</v>
      </c>
      <c r="N31" s="191" t="s">
        <v>527</v>
      </c>
    </row>
    <row r="32" spans="1:14" ht="46.5" customHeight="1" x14ac:dyDescent="0.2">
      <c r="A32" s="1396"/>
      <c r="B32" s="1414"/>
      <c r="C32" s="1416" t="s">
        <v>541</v>
      </c>
      <c r="D32" s="137" t="s">
        <v>542</v>
      </c>
      <c r="E32" s="136">
        <v>0</v>
      </c>
      <c r="F32" s="136">
        <v>3</v>
      </c>
      <c r="G32" s="136" t="s">
        <v>528</v>
      </c>
      <c r="H32" s="136" t="s">
        <v>528</v>
      </c>
      <c r="I32" s="136" t="s">
        <v>527</v>
      </c>
      <c r="J32" s="136" t="s">
        <v>527</v>
      </c>
      <c r="K32" s="136">
        <v>2</v>
      </c>
      <c r="L32" s="136">
        <v>0</v>
      </c>
      <c r="M32" s="136">
        <v>0</v>
      </c>
      <c r="N32" s="191">
        <v>3</v>
      </c>
    </row>
    <row r="33" spans="1:14" ht="39" customHeight="1" x14ac:dyDescent="0.2">
      <c r="A33" s="1396"/>
      <c r="B33" s="1414"/>
      <c r="C33" s="1416"/>
      <c r="D33" s="137" t="s">
        <v>543</v>
      </c>
      <c r="E33" s="136">
        <v>5522</v>
      </c>
      <c r="F33" s="136">
        <v>6900</v>
      </c>
      <c r="G33" s="136" t="s">
        <v>528</v>
      </c>
      <c r="H33" s="136" t="s">
        <v>528</v>
      </c>
      <c r="I33" s="136" t="s">
        <v>527</v>
      </c>
      <c r="J33" s="136" t="s">
        <v>527</v>
      </c>
      <c r="K33" s="136">
        <v>5960</v>
      </c>
      <c r="L33" s="136">
        <v>2942</v>
      </c>
      <c r="M33" s="139">
        <v>2668</v>
      </c>
      <c r="N33" s="191">
        <v>6900</v>
      </c>
    </row>
    <row r="34" spans="1:14" ht="42.75" customHeight="1" x14ac:dyDescent="0.2">
      <c r="A34" s="1396"/>
      <c r="B34" s="1413" t="s">
        <v>568</v>
      </c>
      <c r="C34" s="135" t="s">
        <v>544</v>
      </c>
      <c r="D34" s="137" t="s">
        <v>545</v>
      </c>
      <c r="E34" s="136">
        <v>721</v>
      </c>
      <c r="F34" s="136" t="s">
        <v>527</v>
      </c>
      <c r="G34" s="136" t="s">
        <v>528</v>
      </c>
      <c r="H34" s="136" t="s">
        <v>528</v>
      </c>
      <c r="I34" s="136">
        <v>800</v>
      </c>
      <c r="J34" s="136">
        <v>9221</v>
      </c>
      <c r="K34" s="136" t="s">
        <v>527</v>
      </c>
      <c r="L34" s="136" t="s">
        <v>527</v>
      </c>
      <c r="M34" s="136" t="s">
        <v>527</v>
      </c>
      <c r="N34" s="191" t="s">
        <v>527</v>
      </c>
    </row>
    <row r="35" spans="1:14" ht="46.5" customHeight="1" x14ac:dyDescent="0.2">
      <c r="A35" s="1396"/>
      <c r="B35" s="1414"/>
      <c r="C35" s="1416" t="s">
        <v>546</v>
      </c>
      <c r="D35" s="137" t="s">
        <v>547</v>
      </c>
      <c r="E35" s="136">
        <v>19</v>
      </c>
      <c r="F35" s="136">
        <v>31</v>
      </c>
      <c r="G35" s="136" t="s">
        <v>528</v>
      </c>
      <c r="H35" s="136" t="s">
        <v>528</v>
      </c>
      <c r="I35" s="136" t="s">
        <v>527</v>
      </c>
      <c r="J35" s="136" t="s">
        <v>527</v>
      </c>
      <c r="K35" s="136">
        <v>30</v>
      </c>
      <c r="L35" s="136">
        <v>18</v>
      </c>
      <c r="M35" s="136">
        <v>13</v>
      </c>
      <c r="N35" s="191">
        <v>31</v>
      </c>
    </row>
    <row r="36" spans="1:14" ht="42.75" customHeight="1" thickBot="1" x14ac:dyDescent="0.25">
      <c r="A36" s="193"/>
      <c r="B36" s="1415"/>
      <c r="C36" s="1417"/>
      <c r="D36" s="194" t="s">
        <v>548</v>
      </c>
      <c r="E36" s="195">
        <v>592</v>
      </c>
      <c r="F36" s="195">
        <v>650</v>
      </c>
      <c r="G36" s="195" t="s">
        <v>528</v>
      </c>
      <c r="H36" s="195" t="s">
        <v>528</v>
      </c>
      <c r="I36" s="195" t="s">
        <v>527</v>
      </c>
      <c r="J36" s="195" t="s">
        <v>527</v>
      </c>
      <c r="K36" s="195">
        <v>550</v>
      </c>
      <c r="L36" s="195">
        <v>630</v>
      </c>
      <c r="M36" s="195">
        <v>534</v>
      </c>
      <c r="N36" s="196">
        <v>650</v>
      </c>
    </row>
    <row r="37" spans="1:14" ht="14.25" customHeight="1" x14ac:dyDescent="0.2">
      <c r="A37" s="203"/>
      <c r="B37" s="186"/>
      <c r="C37" s="187"/>
      <c r="D37" s="187"/>
      <c r="E37" s="188"/>
      <c r="F37" s="188"/>
      <c r="G37" s="188"/>
      <c r="H37" s="188"/>
      <c r="I37" s="188"/>
      <c r="J37" s="188"/>
      <c r="K37" s="188"/>
      <c r="L37" s="188"/>
      <c r="M37" s="188"/>
      <c r="N37" s="188"/>
    </row>
    <row r="38" spans="1:14" ht="15.75" customHeight="1" thickBot="1" x14ac:dyDescent="0.25">
      <c r="A38" s="206"/>
      <c r="B38" s="207"/>
      <c r="C38" s="204"/>
      <c r="D38" s="204"/>
      <c r="E38" s="205"/>
      <c r="F38" s="205"/>
      <c r="G38" s="205"/>
      <c r="H38" s="205"/>
      <c r="I38" s="205"/>
      <c r="J38" s="205"/>
      <c r="K38" s="205"/>
      <c r="L38" s="205"/>
      <c r="M38" s="205"/>
      <c r="N38" s="205"/>
    </row>
    <row r="39" spans="1:14" ht="20.25" customHeight="1" x14ac:dyDescent="0.2">
      <c r="A39" s="1418" t="s">
        <v>295</v>
      </c>
      <c r="B39" s="1386" t="s">
        <v>298</v>
      </c>
      <c r="C39" s="1386" t="s">
        <v>297</v>
      </c>
      <c r="D39" s="1386" t="s">
        <v>296</v>
      </c>
      <c r="E39" s="1386" t="s">
        <v>271</v>
      </c>
      <c r="F39" s="1386" t="s">
        <v>524</v>
      </c>
      <c r="G39" s="1386" t="s">
        <v>135</v>
      </c>
      <c r="H39" s="1386" t="s">
        <v>273</v>
      </c>
      <c r="I39" s="1386">
        <v>2019</v>
      </c>
      <c r="J39" s="1386"/>
      <c r="K39" s="1386">
        <v>2020</v>
      </c>
      <c r="L39" s="1388"/>
      <c r="M39" s="198">
        <v>2021</v>
      </c>
      <c r="N39" s="189">
        <v>2022</v>
      </c>
    </row>
    <row r="40" spans="1:14" ht="30.75" customHeight="1" x14ac:dyDescent="0.2">
      <c r="A40" s="1419"/>
      <c r="B40" s="1387"/>
      <c r="C40" s="1387"/>
      <c r="D40" s="1387"/>
      <c r="E40" s="1387"/>
      <c r="F40" s="1387"/>
      <c r="G40" s="1387"/>
      <c r="H40" s="1387"/>
      <c r="I40" s="134" t="s">
        <v>276</v>
      </c>
      <c r="J40" s="134" t="s">
        <v>274</v>
      </c>
      <c r="K40" s="134" t="s">
        <v>276</v>
      </c>
      <c r="L40" s="190" t="s">
        <v>274</v>
      </c>
      <c r="M40" s="199" t="s">
        <v>276</v>
      </c>
      <c r="N40" s="190" t="s">
        <v>276</v>
      </c>
    </row>
    <row r="41" spans="1:14" ht="41.25" customHeight="1" x14ac:dyDescent="0.2">
      <c r="A41" s="1395" t="s">
        <v>584</v>
      </c>
      <c r="B41" s="1413" t="s">
        <v>573</v>
      </c>
      <c r="C41" s="135" t="s">
        <v>549</v>
      </c>
      <c r="D41" s="135" t="s">
        <v>550</v>
      </c>
      <c r="E41" s="136">
        <v>0</v>
      </c>
      <c r="F41" s="136" t="s">
        <v>527</v>
      </c>
      <c r="G41" s="136" t="s">
        <v>528</v>
      </c>
      <c r="H41" s="136" t="s">
        <v>528</v>
      </c>
      <c r="I41" s="136">
        <v>4</v>
      </c>
      <c r="J41" s="136">
        <v>1</v>
      </c>
      <c r="K41" s="136" t="s">
        <v>527</v>
      </c>
      <c r="L41" s="191" t="s">
        <v>527</v>
      </c>
      <c r="M41" s="200" t="s">
        <v>527</v>
      </c>
      <c r="N41" s="191" t="s">
        <v>527</v>
      </c>
    </row>
    <row r="42" spans="1:14" ht="36.75" customHeight="1" x14ac:dyDescent="0.2">
      <c r="A42" s="1396"/>
      <c r="B42" s="1413"/>
      <c r="C42" s="135" t="s">
        <v>551</v>
      </c>
      <c r="D42" s="135" t="s">
        <v>552</v>
      </c>
      <c r="E42" s="136">
        <v>0</v>
      </c>
      <c r="F42" s="136">
        <v>5</v>
      </c>
      <c r="G42" s="136" t="s">
        <v>528</v>
      </c>
      <c r="H42" s="136" t="s">
        <v>528</v>
      </c>
      <c r="I42" s="136" t="s">
        <v>527</v>
      </c>
      <c r="J42" s="136" t="s">
        <v>527</v>
      </c>
      <c r="K42" s="136">
        <v>3</v>
      </c>
      <c r="L42" s="191">
        <v>7</v>
      </c>
      <c r="M42" s="200">
        <v>3</v>
      </c>
      <c r="N42" s="191">
        <v>5</v>
      </c>
    </row>
    <row r="43" spans="1:14" ht="57" customHeight="1" thickBot="1" x14ac:dyDescent="0.25">
      <c r="A43" s="1397"/>
      <c r="B43" s="195" t="s">
        <v>553</v>
      </c>
      <c r="C43" s="194" t="s">
        <v>554</v>
      </c>
      <c r="D43" s="194" t="s">
        <v>555</v>
      </c>
      <c r="E43" s="195">
        <v>0</v>
      </c>
      <c r="F43" s="197">
        <v>1</v>
      </c>
      <c r="G43" s="195" t="s">
        <v>528</v>
      </c>
      <c r="H43" s="195" t="s">
        <v>528</v>
      </c>
      <c r="I43" s="195" t="s">
        <v>527</v>
      </c>
      <c r="J43" s="195" t="s">
        <v>527</v>
      </c>
      <c r="K43" s="195">
        <v>80</v>
      </c>
      <c r="L43" s="196">
        <v>40</v>
      </c>
      <c r="M43" s="201">
        <v>0.25</v>
      </c>
      <c r="N43" s="202">
        <v>1</v>
      </c>
    </row>
    <row r="44" spans="1:14" x14ac:dyDescent="0.2">
      <c r="A44" s="2" t="s">
        <v>556</v>
      </c>
    </row>
    <row r="47" spans="1:14" ht="12" thickBot="1" x14ac:dyDescent="0.25"/>
    <row r="48" spans="1:14" ht="12" x14ac:dyDescent="0.2">
      <c r="A48" s="1409" t="s">
        <v>295</v>
      </c>
      <c r="B48" s="1409" t="s">
        <v>298</v>
      </c>
      <c r="C48" s="1409" t="s">
        <v>297</v>
      </c>
      <c r="D48" s="1411" t="s">
        <v>296</v>
      </c>
      <c r="E48" s="1411" t="s">
        <v>271</v>
      </c>
      <c r="F48" s="1411" t="s">
        <v>272</v>
      </c>
      <c r="G48" s="1411" t="s">
        <v>135</v>
      </c>
      <c r="H48" s="1411" t="s">
        <v>273</v>
      </c>
      <c r="I48" s="1401">
        <v>2021</v>
      </c>
      <c r="J48" s="1402"/>
      <c r="K48" s="1401">
        <v>2022</v>
      </c>
      <c r="L48" s="1402"/>
      <c r="M48" s="178">
        <v>2021</v>
      </c>
      <c r="N48" s="181">
        <v>2022</v>
      </c>
    </row>
    <row r="49" spans="1:14" ht="29.25" customHeight="1" thickBot="1" x14ac:dyDescent="0.25">
      <c r="A49" s="1410"/>
      <c r="B49" s="1410"/>
      <c r="C49" s="1410"/>
      <c r="D49" s="1412"/>
      <c r="E49" s="1412"/>
      <c r="F49" s="1412"/>
      <c r="G49" s="1412"/>
      <c r="H49" s="1412"/>
      <c r="I49" s="179" t="s">
        <v>276</v>
      </c>
      <c r="J49" s="179" t="s">
        <v>274</v>
      </c>
      <c r="K49" s="179" t="s">
        <v>276</v>
      </c>
      <c r="L49" s="179" t="s">
        <v>275</v>
      </c>
      <c r="M49" s="179" t="s">
        <v>276</v>
      </c>
      <c r="N49" s="182" t="s">
        <v>276</v>
      </c>
    </row>
    <row r="50" spans="1:14" ht="57" customHeight="1" x14ac:dyDescent="0.2">
      <c r="A50" s="1404" t="s">
        <v>583</v>
      </c>
      <c r="B50" s="1407" t="s">
        <v>557</v>
      </c>
      <c r="C50" s="162" t="s">
        <v>558</v>
      </c>
      <c r="D50" s="163" t="s">
        <v>559</v>
      </c>
      <c r="E50" s="164" t="s">
        <v>560</v>
      </c>
      <c r="F50" s="164">
        <v>0.99</v>
      </c>
      <c r="G50" s="165" t="s">
        <v>561</v>
      </c>
      <c r="H50" s="180" t="s">
        <v>562</v>
      </c>
      <c r="I50" s="174">
        <v>0.99</v>
      </c>
      <c r="J50" s="175">
        <v>0.99399999999999999</v>
      </c>
      <c r="K50" s="175">
        <v>0.99</v>
      </c>
      <c r="L50" s="174">
        <v>0.99</v>
      </c>
      <c r="M50" s="164">
        <f>+I50</f>
        <v>0.99</v>
      </c>
      <c r="N50" s="183">
        <f>+K50</f>
        <v>0.99</v>
      </c>
    </row>
    <row r="51" spans="1:14" ht="54" customHeight="1" x14ac:dyDescent="0.2">
      <c r="A51" s="1405"/>
      <c r="B51" s="1393"/>
      <c r="C51" s="1408" t="s">
        <v>563</v>
      </c>
      <c r="D51" s="1408" t="s">
        <v>564</v>
      </c>
      <c r="E51" s="1393" t="s">
        <v>565</v>
      </c>
      <c r="F51" s="1392">
        <v>1</v>
      </c>
      <c r="G51" s="1398" t="s">
        <v>566</v>
      </c>
      <c r="H51" s="1399" t="s">
        <v>567</v>
      </c>
      <c r="I51" s="1389">
        <v>1</v>
      </c>
      <c r="J51" s="1403">
        <v>0.745</v>
      </c>
      <c r="K51" s="1389">
        <v>1</v>
      </c>
      <c r="L51" s="1390">
        <v>1</v>
      </c>
      <c r="M51" s="1392">
        <f>+I51</f>
        <v>1</v>
      </c>
      <c r="N51" s="1394">
        <f>+K51</f>
        <v>1</v>
      </c>
    </row>
    <row r="52" spans="1:14" ht="18" customHeight="1" x14ac:dyDescent="0.2">
      <c r="A52" s="1405"/>
      <c r="B52" s="1393" t="s">
        <v>568</v>
      </c>
      <c r="C52" s="1408"/>
      <c r="D52" s="1408"/>
      <c r="E52" s="1393"/>
      <c r="F52" s="1393"/>
      <c r="G52" s="1398"/>
      <c r="H52" s="1400"/>
      <c r="I52" s="1389"/>
      <c r="J52" s="1403"/>
      <c r="K52" s="1389"/>
      <c r="L52" s="1391"/>
      <c r="M52" s="1393"/>
      <c r="N52" s="1394"/>
    </row>
    <row r="53" spans="1:14" ht="82.5" customHeight="1" x14ac:dyDescent="0.2">
      <c r="A53" s="1405"/>
      <c r="B53" s="1393"/>
      <c r="C53" s="166" t="s">
        <v>569</v>
      </c>
      <c r="D53" s="166" t="s">
        <v>570</v>
      </c>
      <c r="E53" s="167" t="s">
        <v>527</v>
      </c>
      <c r="F53" s="168">
        <v>1</v>
      </c>
      <c r="G53" s="169" t="s">
        <v>571</v>
      </c>
      <c r="H53" s="167" t="s">
        <v>572</v>
      </c>
      <c r="I53" s="176">
        <v>1</v>
      </c>
      <c r="J53" s="176">
        <v>0.3</v>
      </c>
      <c r="K53" s="176">
        <v>1</v>
      </c>
      <c r="L53" s="176">
        <v>1</v>
      </c>
      <c r="M53" s="168">
        <f>+I53</f>
        <v>1</v>
      </c>
      <c r="N53" s="184">
        <f>+K53</f>
        <v>1</v>
      </c>
    </row>
    <row r="54" spans="1:14" ht="53.25" customHeight="1" thickBot="1" x14ac:dyDescent="0.25">
      <c r="A54" s="1406"/>
      <c r="B54" s="170" t="s">
        <v>573</v>
      </c>
      <c r="C54" s="171" t="s">
        <v>574</v>
      </c>
      <c r="D54" s="171" t="s">
        <v>575</v>
      </c>
      <c r="E54" s="170" t="s">
        <v>527</v>
      </c>
      <c r="F54" s="172">
        <v>1</v>
      </c>
      <c r="G54" s="173" t="s">
        <v>576</v>
      </c>
      <c r="H54" s="170" t="s">
        <v>577</v>
      </c>
      <c r="I54" s="177">
        <v>1</v>
      </c>
      <c r="J54" s="177" t="s">
        <v>578</v>
      </c>
      <c r="K54" s="177">
        <v>1</v>
      </c>
      <c r="L54" s="177">
        <v>1</v>
      </c>
      <c r="M54" s="172">
        <f>+I54</f>
        <v>1</v>
      </c>
      <c r="N54" s="185">
        <f>+K54</f>
        <v>1</v>
      </c>
    </row>
    <row r="55" spans="1:14" x14ac:dyDescent="0.2">
      <c r="A55" s="2" t="s">
        <v>556</v>
      </c>
    </row>
  </sheetData>
  <mergeCells count="70">
    <mergeCell ref="A4:A5"/>
    <mergeCell ref="C4:C5"/>
    <mergeCell ref="B4:B5"/>
    <mergeCell ref="A6:A14"/>
    <mergeCell ref="D4:D5"/>
    <mergeCell ref="D21:D22"/>
    <mergeCell ref="E21:E22"/>
    <mergeCell ref="K4:L4"/>
    <mergeCell ref="B12:B14"/>
    <mergeCell ref="B6:B9"/>
    <mergeCell ref="I4:J4"/>
    <mergeCell ref="H4:H5"/>
    <mergeCell ref="G4:G5"/>
    <mergeCell ref="C6:C8"/>
    <mergeCell ref="E4:E5"/>
    <mergeCell ref="F4:F5"/>
    <mergeCell ref="C35:C36"/>
    <mergeCell ref="B41:B42"/>
    <mergeCell ref="A21:A22"/>
    <mergeCell ref="B21:B22"/>
    <mergeCell ref="C21:C22"/>
    <mergeCell ref="B23:B28"/>
    <mergeCell ref="C23:C24"/>
    <mergeCell ref="C26:C27"/>
    <mergeCell ref="B29:B33"/>
    <mergeCell ref="C29:C31"/>
    <mergeCell ref="C32:C33"/>
    <mergeCell ref="A39:A40"/>
    <mergeCell ref="B39:B40"/>
    <mergeCell ref="C39:C40"/>
    <mergeCell ref="I21:J21"/>
    <mergeCell ref="K21:L21"/>
    <mergeCell ref="A48:A49"/>
    <mergeCell ref="B48:B49"/>
    <mergeCell ref="C48:C49"/>
    <mergeCell ref="D48:D49"/>
    <mergeCell ref="E48:E49"/>
    <mergeCell ref="F48:F49"/>
    <mergeCell ref="G48:G49"/>
    <mergeCell ref="H48:H49"/>
    <mergeCell ref="K48:L48"/>
    <mergeCell ref="A23:A35"/>
    <mergeCell ref="F21:F22"/>
    <mergeCell ref="G21:G22"/>
    <mergeCell ref="H21:H22"/>
    <mergeCell ref="B34:B36"/>
    <mergeCell ref="N51:N52"/>
    <mergeCell ref="A41:A43"/>
    <mergeCell ref="F51:F52"/>
    <mergeCell ref="G51:G52"/>
    <mergeCell ref="H51:H52"/>
    <mergeCell ref="B52:B53"/>
    <mergeCell ref="I48:J48"/>
    <mergeCell ref="I51:I52"/>
    <mergeCell ref="J51:J52"/>
    <mergeCell ref="A50:A54"/>
    <mergeCell ref="B50:B51"/>
    <mergeCell ref="C51:C52"/>
    <mergeCell ref="D51:D52"/>
    <mergeCell ref="E51:E52"/>
    <mergeCell ref="I39:J39"/>
    <mergeCell ref="K39:L39"/>
    <mergeCell ref="K51:K52"/>
    <mergeCell ref="L51:L52"/>
    <mergeCell ref="M51:M52"/>
    <mergeCell ref="D39:D40"/>
    <mergeCell ref="E39:E40"/>
    <mergeCell ref="F39:F40"/>
    <mergeCell ref="G39:G40"/>
    <mergeCell ref="H39:H40"/>
  </mergeCells>
  <printOptions horizontalCentered="1"/>
  <pageMargins left="3.937007874015748E-2" right="3.937007874015748E-2" top="0.74803149606299213" bottom="0.74803149606299213" header="0.31496062992125984" footer="0.31496062992125984"/>
  <pageSetup paperSize="9" scale="67" orientation="landscape" r:id="rId1"/>
  <headerFooter alignWithMargins="0">
    <oddHeader xml:space="preserve">&amp;C&amp;"Arial,Negrita"&amp;18PROYECTO DE PRESUPUESTO 2022
</oddHeader>
    <oddFooter>&amp;L&amp;"Arial,Negrita"&amp;8PROYECTO DE PRESUPUESTO PARA EL AÑO FISCAL 2020
INFORMACIÓN PARA LA COMISIÓN DE PRESUPUESTO Y CUENTA GENERAL DE LA REPÚBLICA DEL CONGRESO DE LA REPÚBLICA</oddFooter>
  </headerFooter>
  <rowBreaks count="3" manualBreakCount="3">
    <brk id="19" max="13" man="1"/>
    <brk id="37" max="13" man="1"/>
    <brk id="46" max="13" man="1"/>
  </rowBreaks>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
  <sheetViews>
    <sheetView workbookViewId="0"/>
  </sheetViews>
  <sheetFormatPr baseColWidth="10" defaultColWidth="10.7109375"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249977111117893"/>
  </sheetPr>
  <dimension ref="A1:D30"/>
  <sheetViews>
    <sheetView showGridLines="0" zoomScale="80" zoomScaleNormal="80" workbookViewId="0">
      <selection activeCell="A2" sqref="A2"/>
    </sheetView>
  </sheetViews>
  <sheetFormatPr baseColWidth="10" defaultColWidth="11.28515625" defaultRowHeight="12.75" x14ac:dyDescent="0.2"/>
  <cols>
    <col min="1" max="1" width="68.42578125" customWidth="1"/>
    <col min="2" max="4" width="20.7109375" customWidth="1"/>
  </cols>
  <sheetData>
    <row r="1" spans="1:4" ht="15" x14ac:dyDescent="0.25">
      <c r="A1" s="89" t="s">
        <v>384</v>
      </c>
    </row>
    <row r="2" spans="1:4" ht="15" x14ac:dyDescent="0.2">
      <c r="A2" s="90" t="s">
        <v>458</v>
      </c>
    </row>
    <row r="3" spans="1:4" ht="15" x14ac:dyDescent="0.2">
      <c r="A3" s="90"/>
    </row>
    <row r="4" spans="1:4" s="25" customFormat="1" ht="28.35" customHeight="1" x14ac:dyDescent="0.2">
      <c r="A4" s="35" t="s">
        <v>334</v>
      </c>
      <c r="B4" s="36">
        <v>2020</v>
      </c>
      <c r="C4" s="36">
        <v>2021</v>
      </c>
      <c r="D4" s="36">
        <v>2022</v>
      </c>
    </row>
    <row r="5" spans="1:4" s="32" customFormat="1" ht="20.100000000000001" customHeight="1" x14ac:dyDescent="0.2">
      <c r="A5" s="85" t="s">
        <v>331</v>
      </c>
      <c r="B5" s="86">
        <v>125770382</v>
      </c>
      <c r="C5" s="86">
        <v>100597095</v>
      </c>
      <c r="D5" s="86">
        <v>138653524</v>
      </c>
    </row>
    <row r="6" spans="1:4" s="32" customFormat="1" ht="20.100000000000001" customHeight="1" x14ac:dyDescent="0.2">
      <c r="A6" s="85" t="s">
        <v>332</v>
      </c>
      <c r="B6" s="86">
        <v>181854998</v>
      </c>
      <c r="C6" s="86">
        <v>138124049</v>
      </c>
      <c r="D6" s="86">
        <v>141480259</v>
      </c>
    </row>
    <row r="7" spans="1:4" s="32" customFormat="1" ht="20.100000000000001" customHeight="1" x14ac:dyDescent="0.2">
      <c r="A7" s="85" t="s">
        <v>333</v>
      </c>
      <c r="B7" s="86">
        <v>430265561</v>
      </c>
      <c r="C7" s="86">
        <v>237415522</v>
      </c>
      <c r="D7" s="86">
        <v>263485129</v>
      </c>
    </row>
    <row r="8" spans="1:4" s="32" customFormat="1" ht="28.35" customHeight="1" x14ac:dyDescent="0.2">
      <c r="A8" s="33" t="s">
        <v>325</v>
      </c>
      <c r="B8" s="88">
        <f>SUM(B5:B7)</f>
        <v>737890941</v>
      </c>
      <c r="C8" s="88">
        <f t="shared" ref="C8:D8" si="0">SUM(C5:C7)</f>
        <v>476136666</v>
      </c>
      <c r="D8" s="88">
        <f t="shared" si="0"/>
        <v>543618912</v>
      </c>
    </row>
    <row r="9" spans="1:4" x14ac:dyDescent="0.2">
      <c r="B9" s="99">
        <v>737890941</v>
      </c>
      <c r="C9" s="99">
        <v>476136666</v>
      </c>
      <c r="D9" s="100">
        <v>543618912</v>
      </c>
    </row>
    <row r="10" spans="1:4" x14ac:dyDescent="0.2">
      <c r="B10" s="99"/>
      <c r="C10" s="99">
        <f>+C9-C8</f>
        <v>0</v>
      </c>
      <c r="D10" s="99">
        <f>+D9-D8</f>
        <v>0</v>
      </c>
    </row>
    <row r="11" spans="1:4" x14ac:dyDescent="0.2">
      <c r="B11" s="87"/>
    </row>
    <row r="12" spans="1:4" s="25" customFormat="1" ht="28.35" customHeight="1" x14ac:dyDescent="0.2">
      <c r="A12" s="35" t="s">
        <v>335</v>
      </c>
      <c r="B12" s="36">
        <v>2020</v>
      </c>
      <c r="C12" s="36" t="s">
        <v>385</v>
      </c>
      <c r="D12" s="36" t="s">
        <v>386</v>
      </c>
    </row>
    <row r="13" spans="1:4" s="32" customFormat="1" ht="20.100000000000001" customHeight="1" x14ac:dyDescent="0.2">
      <c r="A13" s="85" t="s">
        <v>331</v>
      </c>
      <c r="B13" s="86">
        <v>105808569</v>
      </c>
      <c r="C13" s="86">
        <v>98467397</v>
      </c>
      <c r="D13" s="86">
        <v>138653524</v>
      </c>
    </row>
    <row r="14" spans="1:4" s="32" customFormat="1" ht="20.100000000000001" customHeight="1" x14ac:dyDescent="0.2">
      <c r="A14" s="85" t="s">
        <v>332</v>
      </c>
      <c r="B14" s="86">
        <v>1118732178</v>
      </c>
      <c r="C14" s="86">
        <v>512453689</v>
      </c>
      <c r="D14" s="86">
        <v>141480259</v>
      </c>
    </row>
    <row r="15" spans="1:4" s="32" customFormat="1" ht="20.100000000000001" customHeight="1" x14ac:dyDescent="0.2">
      <c r="A15" s="85" t="s">
        <v>333</v>
      </c>
      <c r="B15" s="86">
        <v>461644931</v>
      </c>
      <c r="C15" s="86">
        <v>392464010</v>
      </c>
      <c r="D15" s="86">
        <v>263485129</v>
      </c>
    </row>
    <row r="16" spans="1:4" s="32" customFormat="1" ht="28.35" customHeight="1" x14ac:dyDescent="0.2">
      <c r="A16" s="33" t="s">
        <v>326</v>
      </c>
      <c r="B16" s="88">
        <f>SUM(B13:B15)</f>
        <v>1686185678</v>
      </c>
      <c r="C16" s="88">
        <f t="shared" ref="C16:D16" si="1">SUM(C13:C15)</f>
        <v>1003385096</v>
      </c>
      <c r="D16" s="88">
        <f t="shared" si="1"/>
        <v>543618912</v>
      </c>
    </row>
    <row r="17" spans="1:4" x14ac:dyDescent="0.2">
      <c r="B17" s="87"/>
      <c r="C17" s="99">
        <v>1003385096</v>
      </c>
    </row>
    <row r="18" spans="1:4" x14ac:dyDescent="0.2">
      <c r="B18" s="87"/>
      <c r="C18" s="99">
        <f>+C17-C16</f>
        <v>0</v>
      </c>
    </row>
    <row r="19" spans="1:4" x14ac:dyDescent="0.2">
      <c r="B19" s="87"/>
    </row>
    <row r="20" spans="1:4" s="25" customFormat="1" ht="28.35" customHeight="1" x14ac:dyDescent="0.2">
      <c r="A20" s="35" t="s">
        <v>336</v>
      </c>
      <c r="B20" s="36">
        <v>2020</v>
      </c>
      <c r="C20" s="36" t="s">
        <v>385</v>
      </c>
      <c r="D20" s="36" t="s">
        <v>386</v>
      </c>
    </row>
    <row r="21" spans="1:4" s="32" customFormat="1" ht="20.100000000000001" customHeight="1" x14ac:dyDescent="0.2">
      <c r="A21" s="85" t="s">
        <v>331</v>
      </c>
      <c r="B21" s="86">
        <v>88327448</v>
      </c>
      <c r="C21" s="86">
        <f>92833222.43-561026</f>
        <v>92272196.430000007</v>
      </c>
      <c r="D21" s="86">
        <v>138653524</v>
      </c>
    </row>
    <row r="22" spans="1:4" s="32" customFormat="1" ht="20.100000000000001" customHeight="1" x14ac:dyDescent="0.2">
      <c r="A22" s="85" t="s">
        <v>332</v>
      </c>
      <c r="B22" s="86">
        <v>889446846</v>
      </c>
      <c r="C22" s="86">
        <v>491455745.57999998</v>
      </c>
      <c r="D22" s="86">
        <v>141480259</v>
      </c>
    </row>
    <row r="23" spans="1:4" s="32" customFormat="1" ht="20.100000000000001" customHeight="1" x14ac:dyDescent="0.2">
      <c r="A23" s="85" t="s">
        <v>333</v>
      </c>
      <c r="B23" s="86">
        <v>283626567</v>
      </c>
      <c r="C23" s="86">
        <v>391500673.80000001</v>
      </c>
      <c r="D23" s="86">
        <v>263485129</v>
      </c>
    </row>
    <row r="24" spans="1:4" s="32" customFormat="1" ht="28.35" customHeight="1" x14ac:dyDescent="0.2">
      <c r="A24" s="33" t="s">
        <v>327</v>
      </c>
      <c r="B24" s="88">
        <f>SUM(B21:B23)</f>
        <v>1261400861</v>
      </c>
      <c r="C24" s="88">
        <f t="shared" ref="C24:D24" si="2">SUM(C21:C23)</f>
        <v>975228615.80999994</v>
      </c>
      <c r="D24" s="88">
        <f t="shared" si="2"/>
        <v>543618912</v>
      </c>
    </row>
    <row r="25" spans="1:4" x14ac:dyDescent="0.2">
      <c r="A25" s="81" t="s">
        <v>387</v>
      </c>
      <c r="B25" s="87"/>
    </row>
    <row r="26" spans="1:4" x14ac:dyDescent="0.2">
      <c r="A26" s="82" t="s">
        <v>388</v>
      </c>
      <c r="B26" s="87"/>
      <c r="C26" s="94"/>
    </row>
    <row r="27" spans="1:4" x14ac:dyDescent="0.2">
      <c r="C27" s="95"/>
    </row>
    <row r="28" spans="1:4" x14ac:dyDescent="0.2">
      <c r="C28" s="95"/>
    </row>
    <row r="29" spans="1:4" x14ac:dyDescent="0.2">
      <c r="C29" s="95"/>
    </row>
    <row r="30" spans="1:4" x14ac:dyDescent="0.2">
      <c r="C30" s="95"/>
    </row>
  </sheetData>
  <printOptions horizontalCentered="1"/>
  <pageMargins left="0.70866141732283472" right="0.51181102362204722" top="0.74803149606299213" bottom="0.74803149606299213" header="0.31496062992125984" footer="0.31496062992125984"/>
  <pageSetup paperSize="9" scale="90" orientation="landscape" r:id="rId1"/>
  <headerFooter>
    <oddHeader xml:space="preserve">&amp;L&amp;"Arial,Negrita"&amp;14
&amp;C&amp;"Arial,Negrita"&amp;18PROYECTO DE PRESUPUESTO 2021&amp;R&amp;"Arial,Negrita"&amp;14 </oddHeader>
    <oddFooter>&amp;L&amp;"Arial,Negrita"&amp;8PROYECTO DE PRESUPUESTO PARA EL AÑO FISCAL 2020
INFORMACIÓN PARA LA COMISIÓN DE PRESUPUESTO Y CUENTA GENERAL DE LA REPÚBLICA DEL CONGRESO DE LA REPÚBLICA</oddFooter>
  </headerFooter>
  <ignoredErrors>
    <ignoredError sqref="B8:D8 B16:D16 B24"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249977111117893"/>
  </sheetPr>
  <dimension ref="A1:D324"/>
  <sheetViews>
    <sheetView showGridLines="0" zoomScale="90" zoomScaleNormal="90" workbookViewId="0">
      <selection activeCell="A2" sqref="A2"/>
    </sheetView>
  </sheetViews>
  <sheetFormatPr baseColWidth="10" defaultColWidth="11.28515625" defaultRowHeight="12.75" x14ac:dyDescent="0.2"/>
  <cols>
    <col min="1" max="1" width="59.7109375" customWidth="1"/>
    <col min="2" max="4" width="20.7109375" customWidth="1"/>
  </cols>
  <sheetData>
    <row r="1" spans="1:4" ht="15" x14ac:dyDescent="0.25">
      <c r="A1" s="89" t="s">
        <v>389</v>
      </c>
    </row>
    <row r="2" spans="1:4" ht="15" x14ac:dyDescent="0.2">
      <c r="A2" s="90" t="s">
        <v>458</v>
      </c>
    </row>
    <row r="3" spans="1:4" x14ac:dyDescent="0.2">
      <c r="A3" s="15"/>
    </row>
    <row r="4" spans="1:4" x14ac:dyDescent="0.2">
      <c r="A4" s="15" t="s">
        <v>459</v>
      </c>
    </row>
    <row r="5" spans="1:4" s="25" customFormat="1" ht="28.35" customHeight="1" x14ac:dyDescent="0.2">
      <c r="A5" s="35" t="s">
        <v>330</v>
      </c>
      <c r="B5" s="36">
        <v>2020</v>
      </c>
      <c r="C5" s="36">
        <v>2021</v>
      </c>
      <c r="D5" s="36">
        <v>2022</v>
      </c>
    </row>
    <row r="6" spans="1:4" s="96" customFormat="1" ht="15.95" customHeight="1" x14ac:dyDescent="0.2">
      <c r="A6" s="31" t="s">
        <v>118</v>
      </c>
      <c r="B6" s="93">
        <f>SUM(B7:B12)</f>
        <v>328208290</v>
      </c>
      <c r="C6" s="93">
        <f t="shared" ref="C6:D6" si="0">SUM(C7:C12)</f>
        <v>252511165</v>
      </c>
      <c r="D6" s="93">
        <f t="shared" si="0"/>
        <v>297194614</v>
      </c>
    </row>
    <row r="7" spans="1:4" s="32" customFormat="1" ht="15.95" customHeight="1" x14ac:dyDescent="0.2">
      <c r="A7" s="97" t="s">
        <v>107</v>
      </c>
      <c r="B7" s="98">
        <f>+B61+B115+B169+B223+B277</f>
        <v>0</v>
      </c>
      <c r="C7" s="98">
        <f t="shared" ref="C7:D7" si="1">+C61+C115+C169+C223+C277</f>
        <v>0</v>
      </c>
      <c r="D7" s="98">
        <f t="shared" si="1"/>
        <v>0</v>
      </c>
    </row>
    <row r="8" spans="1:4" s="32" customFormat="1" ht="15.95" customHeight="1" x14ac:dyDescent="0.2">
      <c r="A8" s="97" t="s">
        <v>108</v>
      </c>
      <c r="B8" s="98">
        <f t="shared" ref="B8:D17" si="2">+B62+B116+B170+B224+B278</f>
        <v>51767958</v>
      </c>
      <c r="C8" s="98">
        <f t="shared" si="2"/>
        <v>51861019</v>
      </c>
      <c r="D8" s="98">
        <f t="shared" si="2"/>
        <v>51206376</v>
      </c>
    </row>
    <row r="9" spans="1:4" s="32" customFormat="1" ht="15.95" customHeight="1" x14ac:dyDescent="0.2">
      <c r="A9" s="97" t="s">
        <v>109</v>
      </c>
      <c r="B9" s="98">
        <f t="shared" si="2"/>
        <v>13883524</v>
      </c>
      <c r="C9" s="98">
        <f t="shared" si="2"/>
        <v>13234786</v>
      </c>
      <c r="D9" s="98">
        <f t="shared" si="2"/>
        <v>12981571</v>
      </c>
    </row>
    <row r="10" spans="1:4" s="32" customFormat="1" ht="15.95" customHeight="1" x14ac:dyDescent="0.2">
      <c r="A10" s="97" t="s">
        <v>110</v>
      </c>
      <c r="B10" s="98">
        <f t="shared" si="2"/>
        <v>235482312</v>
      </c>
      <c r="C10" s="98">
        <f t="shared" si="2"/>
        <v>170531788</v>
      </c>
      <c r="D10" s="98">
        <f t="shared" si="2"/>
        <v>202816250</v>
      </c>
    </row>
    <row r="11" spans="1:4" s="32" customFormat="1" ht="15.95" customHeight="1" x14ac:dyDescent="0.2">
      <c r="A11" s="97" t="s">
        <v>137</v>
      </c>
      <c r="B11" s="98">
        <f t="shared" si="2"/>
        <v>26435000</v>
      </c>
      <c r="C11" s="98">
        <f t="shared" si="2"/>
        <v>16544076</v>
      </c>
      <c r="D11" s="98">
        <f t="shared" si="2"/>
        <v>29738907</v>
      </c>
    </row>
    <row r="12" spans="1:4" s="32" customFormat="1" ht="15.95" customHeight="1" x14ac:dyDescent="0.2">
      <c r="A12" s="97" t="s">
        <v>138</v>
      </c>
      <c r="B12" s="98">
        <f t="shared" si="2"/>
        <v>639496</v>
      </c>
      <c r="C12" s="98">
        <f t="shared" si="2"/>
        <v>339496</v>
      </c>
      <c r="D12" s="98">
        <f t="shared" si="2"/>
        <v>451510</v>
      </c>
    </row>
    <row r="13" spans="1:4" s="32" customFormat="1" ht="15.95" customHeight="1" x14ac:dyDescent="0.2">
      <c r="A13" s="31" t="s">
        <v>106</v>
      </c>
      <c r="B13" s="93">
        <f>SUM(B14:B17)</f>
        <v>409682651</v>
      </c>
      <c r="C13" s="93">
        <f t="shared" ref="C13:D13" si="3">SUM(C14:C17)</f>
        <v>223625501</v>
      </c>
      <c r="D13" s="93">
        <f t="shared" si="3"/>
        <v>246424298</v>
      </c>
    </row>
    <row r="14" spans="1:4" s="32" customFormat="1" ht="15.95" customHeight="1" x14ac:dyDescent="0.2">
      <c r="A14" s="97" t="s">
        <v>136</v>
      </c>
      <c r="B14" s="98">
        <f t="shared" si="2"/>
        <v>50000000</v>
      </c>
      <c r="C14" s="98">
        <f t="shared" ref="C14:D14" si="4">+C68+C122+C176+C230+C284</f>
        <v>0</v>
      </c>
      <c r="D14" s="98">
        <f t="shared" si="4"/>
        <v>0</v>
      </c>
    </row>
    <row r="15" spans="1:4" s="32" customFormat="1" ht="15.95" customHeight="1" x14ac:dyDescent="0.2">
      <c r="A15" s="97" t="s">
        <v>139</v>
      </c>
      <c r="B15" s="98">
        <f t="shared" si="2"/>
        <v>0</v>
      </c>
      <c r="C15" s="98">
        <f t="shared" ref="C15:D15" si="5">+C69+C123+C177+C231+C285</f>
        <v>0</v>
      </c>
      <c r="D15" s="98">
        <f t="shared" si="5"/>
        <v>0</v>
      </c>
    </row>
    <row r="16" spans="1:4" s="32" customFormat="1" ht="15.95" customHeight="1" x14ac:dyDescent="0.2">
      <c r="A16" s="97" t="s">
        <v>115</v>
      </c>
      <c r="B16" s="98">
        <f t="shared" si="2"/>
        <v>359682651</v>
      </c>
      <c r="C16" s="98">
        <f t="shared" ref="C16:D16" si="6">+C70+C124+C178+C232+C286</f>
        <v>223625501</v>
      </c>
      <c r="D16" s="98">
        <f t="shared" si="6"/>
        <v>246424298</v>
      </c>
    </row>
    <row r="17" spans="1:4" s="32" customFormat="1" ht="15.95" customHeight="1" x14ac:dyDescent="0.2">
      <c r="A17" s="97" t="s">
        <v>116</v>
      </c>
      <c r="B17" s="98">
        <f t="shared" si="2"/>
        <v>0</v>
      </c>
      <c r="C17" s="98">
        <f t="shared" ref="C17:D17" si="7">+C71+C125+C179+C233+C287</f>
        <v>0</v>
      </c>
      <c r="D17" s="98">
        <f t="shared" si="7"/>
        <v>0</v>
      </c>
    </row>
    <row r="18" spans="1:4" s="32" customFormat="1" ht="15.95" customHeight="1" x14ac:dyDescent="0.2">
      <c r="A18" s="31" t="s">
        <v>95</v>
      </c>
      <c r="B18" s="93"/>
      <c r="C18" s="93"/>
      <c r="D18" s="93"/>
    </row>
    <row r="19" spans="1:4" s="32" customFormat="1" ht="15.95" customHeight="1" x14ac:dyDescent="0.2">
      <c r="A19" s="97" t="s">
        <v>117</v>
      </c>
      <c r="B19" s="98"/>
      <c r="C19" s="98"/>
      <c r="D19" s="98"/>
    </row>
    <row r="20" spans="1:4" s="32" customFormat="1" ht="15.95" customHeight="1" x14ac:dyDescent="0.2">
      <c r="A20" s="30" t="s">
        <v>325</v>
      </c>
      <c r="B20" s="93">
        <f>+B6+B13</f>
        <v>737890941</v>
      </c>
      <c r="C20" s="93">
        <f t="shared" ref="C20:D20" si="8">+C6+C13</f>
        <v>476136666</v>
      </c>
      <c r="D20" s="93">
        <f t="shared" si="8"/>
        <v>543618912</v>
      </c>
    </row>
    <row r="22" spans="1:4" s="25" customFormat="1" ht="28.35" customHeight="1" x14ac:dyDescent="0.2">
      <c r="A22" s="35" t="s">
        <v>329</v>
      </c>
      <c r="B22" s="36">
        <v>2020</v>
      </c>
      <c r="C22" s="36">
        <v>2021</v>
      </c>
      <c r="D22" s="36">
        <v>2022</v>
      </c>
    </row>
    <row r="23" spans="1:4" s="29" customFormat="1" ht="15.95" customHeight="1" x14ac:dyDescent="0.2">
      <c r="A23" s="28" t="s">
        <v>118</v>
      </c>
      <c r="B23" s="91">
        <f>SUM(B24:B29)</f>
        <v>1142755867</v>
      </c>
      <c r="C23" s="91">
        <f t="shared" ref="C23:D23" si="9">SUM(C24:C29)</f>
        <v>281408073</v>
      </c>
      <c r="D23" s="91">
        <f t="shared" si="9"/>
        <v>297194614</v>
      </c>
    </row>
    <row r="24" spans="1:4" s="27" customFormat="1" ht="15.95" customHeight="1" x14ac:dyDescent="0.2">
      <c r="A24" s="26" t="s">
        <v>107</v>
      </c>
      <c r="B24" s="92">
        <f>+B78+B132+B186+B240+B277</f>
        <v>0</v>
      </c>
      <c r="C24" s="92">
        <f t="shared" ref="C24:D24" si="10">+C78+C132+C186+C240+C277</f>
        <v>0</v>
      </c>
      <c r="D24" s="92">
        <f t="shared" si="10"/>
        <v>0</v>
      </c>
    </row>
    <row r="25" spans="1:4" s="27" customFormat="1" ht="15.95" customHeight="1" x14ac:dyDescent="0.2">
      <c r="A25" s="26" t="s">
        <v>108</v>
      </c>
      <c r="B25" s="92">
        <f t="shared" ref="B25:D29" si="11">+B79+B133+B187+B241+B278</f>
        <v>52295300</v>
      </c>
      <c r="C25" s="92">
        <f t="shared" si="11"/>
        <v>51587784</v>
      </c>
      <c r="D25" s="92">
        <f t="shared" si="11"/>
        <v>51206376</v>
      </c>
    </row>
    <row r="26" spans="1:4" s="27" customFormat="1" ht="15.95" customHeight="1" x14ac:dyDescent="0.2">
      <c r="A26" s="26" t="s">
        <v>109</v>
      </c>
      <c r="B26" s="92">
        <f t="shared" si="11"/>
        <v>14551895</v>
      </c>
      <c r="C26" s="92">
        <f t="shared" si="11"/>
        <v>14509400</v>
      </c>
      <c r="D26" s="92">
        <f t="shared" si="11"/>
        <v>12981571</v>
      </c>
    </row>
    <row r="27" spans="1:4" s="27" customFormat="1" ht="15.95" customHeight="1" x14ac:dyDescent="0.2">
      <c r="A27" s="26" t="s">
        <v>110</v>
      </c>
      <c r="B27" s="92">
        <f t="shared" si="11"/>
        <v>179823382</v>
      </c>
      <c r="C27" s="92">
        <f t="shared" si="11"/>
        <v>171116920</v>
      </c>
      <c r="D27" s="92">
        <f t="shared" si="11"/>
        <v>202816250</v>
      </c>
    </row>
    <row r="28" spans="1:4" s="27" customFormat="1" ht="15.95" customHeight="1" x14ac:dyDescent="0.2">
      <c r="A28" s="26" t="s">
        <v>137</v>
      </c>
      <c r="B28" s="92">
        <f>+B82+B136+B190+B244+B298</f>
        <v>48722851</v>
      </c>
      <c r="C28" s="92">
        <f t="shared" ref="C28:D28" si="12">+C82+C136+C190+C244+C298</f>
        <v>42086313</v>
      </c>
      <c r="D28" s="92">
        <f t="shared" si="12"/>
        <v>29738907</v>
      </c>
    </row>
    <row r="29" spans="1:4" s="27" customFormat="1" ht="15.95" customHeight="1" x14ac:dyDescent="0.2">
      <c r="A29" s="26" t="s">
        <v>138</v>
      </c>
      <c r="B29" s="92">
        <f t="shared" si="11"/>
        <v>847362439</v>
      </c>
      <c r="C29" s="92">
        <f t="shared" si="11"/>
        <v>2107656</v>
      </c>
      <c r="D29" s="92">
        <f t="shared" si="11"/>
        <v>451510</v>
      </c>
    </row>
    <row r="30" spans="1:4" s="27" customFormat="1" ht="15.95" customHeight="1" x14ac:dyDescent="0.2">
      <c r="A30" s="28" t="s">
        <v>106</v>
      </c>
      <c r="B30" s="91">
        <f>SUM(B31:B34)</f>
        <v>543429811</v>
      </c>
      <c r="C30" s="91">
        <f t="shared" ref="C30:D30" si="13">SUM(C31:C34)</f>
        <v>721977023</v>
      </c>
      <c r="D30" s="91">
        <f t="shared" si="13"/>
        <v>246424298</v>
      </c>
    </row>
    <row r="31" spans="1:4" s="27" customFormat="1" ht="15.95" customHeight="1" x14ac:dyDescent="0.2">
      <c r="A31" s="26" t="s">
        <v>136</v>
      </c>
      <c r="B31" s="92">
        <f t="shared" ref="B31:D34" si="14">+B85+B139+B193+B247+B301</f>
        <v>273726353</v>
      </c>
      <c r="C31" s="92">
        <f t="shared" si="14"/>
        <v>441118763</v>
      </c>
      <c r="D31" s="92">
        <f t="shared" si="14"/>
        <v>0</v>
      </c>
    </row>
    <row r="32" spans="1:4" s="27" customFormat="1" ht="15.95" customHeight="1" x14ac:dyDescent="0.2">
      <c r="A32" s="26" t="s">
        <v>139</v>
      </c>
      <c r="B32" s="92">
        <f t="shared" si="14"/>
        <v>0</v>
      </c>
      <c r="C32" s="92">
        <f t="shared" si="14"/>
        <v>0</v>
      </c>
      <c r="D32" s="92">
        <f t="shared" si="14"/>
        <v>0</v>
      </c>
    </row>
    <row r="33" spans="1:4" s="27" customFormat="1" ht="15.95" customHeight="1" x14ac:dyDescent="0.2">
      <c r="A33" s="26" t="s">
        <v>115</v>
      </c>
      <c r="B33" s="92">
        <f t="shared" si="14"/>
        <v>269703458</v>
      </c>
      <c r="C33" s="92">
        <f t="shared" si="14"/>
        <v>280858260</v>
      </c>
      <c r="D33" s="92">
        <f t="shared" si="14"/>
        <v>246424298</v>
      </c>
    </row>
    <row r="34" spans="1:4" s="27" customFormat="1" ht="15.95" customHeight="1" x14ac:dyDescent="0.2">
      <c r="A34" s="26" t="s">
        <v>116</v>
      </c>
      <c r="B34" s="92">
        <f t="shared" si="14"/>
        <v>0</v>
      </c>
      <c r="C34" s="92">
        <f t="shared" si="14"/>
        <v>0</v>
      </c>
      <c r="D34" s="92">
        <f t="shared" si="14"/>
        <v>0</v>
      </c>
    </row>
    <row r="35" spans="1:4" s="27" customFormat="1" ht="15.95" customHeight="1" x14ac:dyDescent="0.2">
      <c r="A35" s="28" t="s">
        <v>95</v>
      </c>
      <c r="B35" s="91"/>
      <c r="C35" s="91"/>
      <c r="D35" s="91"/>
    </row>
    <row r="36" spans="1:4" s="27" customFormat="1" ht="15.95" customHeight="1" x14ac:dyDescent="0.2">
      <c r="A36" s="26" t="s">
        <v>117</v>
      </c>
      <c r="B36" s="92"/>
      <c r="C36" s="92"/>
      <c r="D36" s="92"/>
    </row>
    <row r="37" spans="1:4" s="32" customFormat="1" ht="15.95" customHeight="1" x14ac:dyDescent="0.2">
      <c r="A37" s="30" t="s">
        <v>326</v>
      </c>
      <c r="B37" s="93">
        <f>+B23+B30</f>
        <v>1686185678</v>
      </c>
      <c r="C37" s="93">
        <f t="shared" ref="C37:D37" si="15">+C23+C30</f>
        <v>1003385096</v>
      </c>
      <c r="D37" s="93">
        <f t="shared" si="15"/>
        <v>543618912</v>
      </c>
    </row>
    <row r="39" spans="1:4" s="25" customFormat="1" ht="28.35" customHeight="1" x14ac:dyDescent="0.2">
      <c r="A39" s="35" t="s">
        <v>328</v>
      </c>
      <c r="B39" s="36">
        <v>2020</v>
      </c>
      <c r="C39" s="36">
        <v>2021</v>
      </c>
      <c r="D39" s="36">
        <v>2022</v>
      </c>
    </row>
    <row r="40" spans="1:4" s="29" customFormat="1" ht="15.95" customHeight="1" x14ac:dyDescent="0.2">
      <c r="A40" s="28" t="s">
        <v>118</v>
      </c>
      <c r="B40" s="91">
        <f>SUM(B41:B46)</f>
        <v>907307498</v>
      </c>
      <c r="C40" s="91">
        <f t="shared" ref="C40:D40" si="16">SUM(C41:C46)</f>
        <v>254584361</v>
      </c>
      <c r="D40" s="91">
        <f t="shared" si="16"/>
        <v>297194614</v>
      </c>
    </row>
    <row r="41" spans="1:4" s="27" customFormat="1" ht="15.95" customHeight="1" x14ac:dyDescent="0.2">
      <c r="A41" s="26" t="s">
        <v>107</v>
      </c>
      <c r="B41" s="92">
        <f>+B95+B149+B203+B257+B311</f>
        <v>0</v>
      </c>
      <c r="C41" s="92">
        <f t="shared" ref="C41:D41" si="17">+C95+C149+C203+C257+C311</f>
        <v>0</v>
      </c>
      <c r="D41" s="92">
        <f t="shared" si="17"/>
        <v>0</v>
      </c>
    </row>
    <row r="42" spans="1:4" s="27" customFormat="1" ht="15.95" customHeight="1" x14ac:dyDescent="0.2">
      <c r="A42" s="26" t="s">
        <v>108</v>
      </c>
      <c r="B42" s="92">
        <f t="shared" ref="B42:D51" si="18">+B96+B150+B204+B258+B312</f>
        <v>47129328</v>
      </c>
      <c r="C42" s="92">
        <f t="shared" si="18"/>
        <v>52146080</v>
      </c>
      <c r="D42" s="92">
        <f t="shared" si="18"/>
        <v>51206376</v>
      </c>
    </row>
    <row r="43" spans="1:4" s="27" customFormat="1" ht="15.95" customHeight="1" x14ac:dyDescent="0.2">
      <c r="A43" s="26" t="s">
        <v>109</v>
      </c>
      <c r="B43" s="92">
        <f t="shared" si="18"/>
        <v>13758447</v>
      </c>
      <c r="C43" s="92">
        <f t="shared" si="18"/>
        <v>13714559</v>
      </c>
      <c r="D43" s="92">
        <f t="shared" si="18"/>
        <v>12981571</v>
      </c>
    </row>
    <row r="44" spans="1:4" s="27" customFormat="1" ht="15.95" customHeight="1" x14ac:dyDescent="0.2">
      <c r="A44" s="26" t="s">
        <v>110</v>
      </c>
      <c r="B44" s="92">
        <f t="shared" si="18"/>
        <v>152399737</v>
      </c>
      <c r="C44" s="92">
        <f t="shared" si="18"/>
        <v>166779007</v>
      </c>
      <c r="D44" s="92">
        <f t="shared" si="18"/>
        <v>202816250</v>
      </c>
    </row>
    <row r="45" spans="1:4" s="27" customFormat="1" ht="15.95" customHeight="1" x14ac:dyDescent="0.2">
      <c r="A45" s="26" t="s">
        <v>137</v>
      </c>
      <c r="B45" s="92">
        <f t="shared" si="18"/>
        <v>47795184</v>
      </c>
      <c r="C45" s="92">
        <f>+C99+C153+C207+C261+C315</f>
        <v>19961923</v>
      </c>
      <c r="D45" s="92">
        <f t="shared" si="18"/>
        <v>29738907</v>
      </c>
    </row>
    <row r="46" spans="1:4" s="27" customFormat="1" ht="15.95" customHeight="1" x14ac:dyDescent="0.2">
      <c r="A46" s="26" t="s">
        <v>138</v>
      </c>
      <c r="B46" s="92">
        <f t="shared" si="18"/>
        <v>646224802</v>
      </c>
      <c r="C46" s="92">
        <f t="shared" si="18"/>
        <v>1982792</v>
      </c>
      <c r="D46" s="92">
        <f t="shared" si="18"/>
        <v>451510</v>
      </c>
    </row>
    <row r="47" spans="1:4" s="27" customFormat="1" ht="15.95" customHeight="1" x14ac:dyDescent="0.2">
      <c r="A47" s="28" t="s">
        <v>106</v>
      </c>
      <c r="B47" s="91">
        <f>SUM(B48:B51)</f>
        <v>354093362</v>
      </c>
      <c r="C47" s="91">
        <f t="shared" ref="C47:D47" si="19">SUM(C48:C51)</f>
        <v>720644255</v>
      </c>
      <c r="D47" s="91">
        <f t="shared" si="19"/>
        <v>246424298</v>
      </c>
    </row>
    <row r="48" spans="1:4" s="27" customFormat="1" ht="15.95" customHeight="1" x14ac:dyDescent="0.2">
      <c r="A48" s="26" t="s">
        <v>136</v>
      </c>
      <c r="B48" s="92">
        <f t="shared" si="18"/>
        <v>273726348</v>
      </c>
      <c r="C48" s="92">
        <f t="shared" ref="C48:D48" si="20">+C102+C156+C210+C264+C318</f>
        <v>450383979</v>
      </c>
      <c r="D48" s="92">
        <f t="shared" si="20"/>
        <v>0</v>
      </c>
    </row>
    <row r="49" spans="1:4" s="27" customFormat="1" ht="15.95" customHeight="1" x14ac:dyDescent="0.2">
      <c r="A49" s="26" t="s">
        <v>139</v>
      </c>
      <c r="B49" s="92">
        <f t="shared" si="18"/>
        <v>0</v>
      </c>
      <c r="C49" s="92">
        <f t="shared" ref="C49:D49" si="21">+C103+C157+C211+C265+C319</f>
        <v>0</v>
      </c>
      <c r="D49" s="92">
        <f t="shared" si="21"/>
        <v>0</v>
      </c>
    </row>
    <row r="50" spans="1:4" s="27" customFormat="1" ht="15.95" customHeight="1" x14ac:dyDescent="0.2">
      <c r="A50" s="26" t="s">
        <v>115</v>
      </c>
      <c r="B50" s="92">
        <f t="shared" si="18"/>
        <v>80367014</v>
      </c>
      <c r="C50" s="92">
        <f t="shared" ref="C50:D50" si="22">+C104+C158+C212+C266+C320</f>
        <v>270260276</v>
      </c>
      <c r="D50" s="92">
        <f t="shared" si="22"/>
        <v>246424298</v>
      </c>
    </row>
    <row r="51" spans="1:4" s="27" customFormat="1" ht="15.95" customHeight="1" x14ac:dyDescent="0.2">
      <c r="A51" s="26" t="s">
        <v>116</v>
      </c>
      <c r="B51" s="92">
        <f t="shared" si="18"/>
        <v>0</v>
      </c>
      <c r="C51" s="92">
        <f t="shared" ref="C51:D51" si="23">+C105+C159+C213+C267+C321</f>
        <v>0</v>
      </c>
      <c r="D51" s="92">
        <f t="shared" si="23"/>
        <v>0</v>
      </c>
    </row>
    <row r="52" spans="1:4" s="27" customFormat="1" ht="15.95" customHeight="1" x14ac:dyDescent="0.2">
      <c r="A52" s="28" t="s">
        <v>95</v>
      </c>
      <c r="B52" s="91"/>
      <c r="C52" s="91"/>
      <c r="D52" s="91"/>
    </row>
    <row r="53" spans="1:4" s="27" customFormat="1" ht="15.95" customHeight="1" x14ac:dyDescent="0.2">
      <c r="A53" s="26" t="s">
        <v>117</v>
      </c>
      <c r="B53" s="92"/>
      <c r="C53" s="92"/>
      <c r="D53" s="92"/>
    </row>
    <row r="54" spans="1:4" s="32" customFormat="1" ht="15.95" customHeight="1" x14ac:dyDescent="0.2">
      <c r="A54" s="80" t="s">
        <v>327</v>
      </c>
      <c r="B54" s="93">
        <f>+B40+B47</f>
        <v>1261400860</v>
      </c>
      <c r="C54" s="93">
        <f t="shared" ref="C54:D54" si="24">+C40+C47</f>
        <v>975228616</v>
      </c>
      <c r="D54" s="93">
        <f t="shared" si="24"/>
        <v>543618912</v>
      </c>
    </row>
    <row r="55" spans="1:4" x14ac:dyDescent="0.2">
      <c r="A55" s="81"/>
    </row>
    <row r="56" spans="1:4" x14ac:dyDescent="0.2">
      <c r="A56" s="82"/>
    </row>
    <row r="58" spans="1:4" x14ac:dyDescent="0.2">
      <c r="A58" s="15" t="s">
        <v>460</v>
      </c>
    </row>
    <row r="59" spans="1:4" ht="25.5" x14ac:dyDescent="0.2">
      <c r="A59" s="35" t="s">
        <v>330</v>
      </c>
      <c r="B59" s="36">
        <v>2020</v>
      </c>
      <c r="C59" s="36">
        <v>2021</v>
      </c>
      <c r="D59" s="36">
        <v>2022</v>
      </c>
    </row>
    <row r="60" spans="1:4" ht="15.95" customHeight="1" x14ac:dyDescent="0.2">
      <c r="A60" s="28" t="s">
        <v>118</v>
      </c>
      <c r="B60" s="91">
        <f>SUM(B61:B66)</f>
        <v>84024131</v>
      </c>
      <c r="C60" s="91">
        <f t="shared" ref="C60" si="25">SUM(C61:C66)</f>
        <v>60566161</v>
      </c>
      <c r="D60" s="91">
        <f t="shared" ref="D60" si="26">SUM(D61:D66)</f>
        <v>74316375</v>
      </c>
    </row>
    <row r="61" spans="1:4" ht="15.95" customHeight="1" x14ac:dyDescent="0.2">
      <c r="A61" s="26" t="s">
        <v>107</v>
      </c>
      <c r="B61" s="92"/>
      <c r="C61" s="92"/>
      <c r="D61" s="92"/>
    </row>
    <row r="62" spans="1:4" ht="15.95" customHeight="1" x14ac:dyDescent="0.2">
      <c r="A62" s="26" t="s">
        <v>108</v>
      </c>
      <c r="B62" s="92">
        <v>43902850</v>
      </c>
      <c r="C62" s="92">
        <v>43668318</v>
      </c>
      <c r="D62" s="92">
        <v>43858336</v>
      </c>
    </row>
    <row r="63" spans="1:4" ht="15.95" customHeight="1" x14ac:dyDescent="0.2">
      <c r="A63" s="26" t="s">
        <v>109</v>
      </c>
      <c r="B63" s="92">
        <v>8911273</v>
      </c>
      <c r="C63" s="92">
        <v>7984321</v>
      </c>
      <c r="D63" s="92">
        <v>7765509</v>
      </c>
    </row>
    <row r="64" spans="1:4" ht="15.95" customHeight="1" x14ac:dyDescent="0.2">
      <c r="A64" s="26" t="s">
        <v>110</v>
      </c>
      <c r="B64" s="92">
        <v>30710008</v>
      </c>
      <c r="C64" s="92">
        <v>8713522</v>
      </c>
      <c r="D64" s="92">
        <v>7587730</v>
      </c>
    </row>
    <row r="65" spans="1:4" ht="15.95" customHeight="1" x14ac:dyDescent="0.2">
      <c r="A65" s="26" t="s">
        <v>137</v>
      </c>
      <c r="B65" s="92"/>
      <c r="C65" s="92"/>
      <c r="D65" s="92">
        <v>15000000</v>
      </c>
    </row>
    <row r="66" spans="1:4" ht="15.95" customHeight="1" x14ac:dyDescent="0.2">
      <c r="A66" s="26" t="s">
        <v>138</v>
      </c>
      <c r="B66" s="92">
        <v>500000</v>
      </c>
      <c r="C66" s="92">
        <v>200000</v>
      </c>
      <c r="D66" s="92">
        <v>104800</v>
      </c>
    </row>
    <row r="67" spans="1:4" ht="15.95" customHeight="1" x14ac:dyDescent="0.2">
      <c r="A67" s="28" t="s">
        <v>106</v>
      </c>
      <c r="B67" s="91">
        <f>SUM(B68:B71)</f>
        <v>10902564</v>
      </c>
      <c r="C67" s="91">
        <f t="shared" ref="C67" si="27">SUM(C68:C71)</f>
        <v>4395332</v>
      </c>
      <c r="D67" s="91">
        <f t="shared" ref="D67" si="28">SUM(D68:D71)</f>
        <v>1113344</v>
      </c>
    </row>
    <row r="68" spans="1:4" ht="15.95" customHeight="1" x14ac:dyDescent="0.2">
      <c r="A68" s="26" t="s">
        <v>136</v>
      </c>
      <c r="B68" s="92"/>
      <c r="C68" s="92"/>
      <c r="D68" s="92"/>
    </row>
    <row r="69" spans="1:4" ht="15.95" customHeight="1" x14ac:dyDescent="0.2">
      <c r="A69" s="26" t="s">
        <v>139</v>
      </c>
      <c r="B69" s="92"/>
      <c r="C69" s="92"/>
      <c r="D69" s="92"/>
    </row>
    <row r="70" spans="1:4" ht="15.95" customHeight="1" x14ac:dyDescent="0.2">
      <c r="A70" s="26" t="s">
        <v>115</v>
      </c>
      <c r="B70" s="92">
        <v>10902564</v>
      </c>
      <c r="C70" s="92">
        <v>4395332</v>
      </c>
      <c r="D70" s="92">
        <v>1113344</v>
      </c>
    </row>
    <row r="71" spans="1:4" ht="15.95" customHeight="1" x14ac:dyDescent="0.2">
      <c r="A71" s="26" t="s">
        <v>116</v>
      </c>
      <c r="B71" s="92"/>
      <c r="C71" s="92"/>
      <c r="D71" s="92"/>
    </row>
    <row r="72" spans="1:4" ht="15.95" customHeight="1" x14ac:dyDescent="0.2">
      <c r="A72" s="28" t="s">
        <v>95</v>
      </c>
      <c r="B72" s="91"/>
      <c r="C72" s="91"/>
      <c r="D72" s="91"/>
    </row>
    <row r="73" spans="1:4" ht="15.95" customHeight="1" x14ac:dyDescent="0.2">
      <c r="A73" s="26" t="s">
        <v>117</v>
      </c>
      <c r="B73" s="92"/>
      <c r="C73" s="92"/>
      <c r="D73" s="92"/>
    </row>
    <row r="74" spans="1:4" ht="15.95" customHeight="1" x14ac:dyDescent="0.2">
      <c r="A74" s="30" t="s">
        <v>325</v>
      </c>
      <c r="B74" s="93">
        <f>+B60+B67</f>
        <v>94926695</v>
      </c>
      <c r="C74" s="93">
        <f t="shared" ref="C74:D74" si="29">+C60+C67</f>
        <v>64961493</v>
      </c>
      <c r="D74" s="93">
        <f t="shared" si="29"/>
        <v>75429719</v>
      </c>
    </row>
    <row r="76" spans="1:4" ht="25.5" x14ac:dyDescent="0.2">
      <c r="A76" s="35" t="s">
        <v>329</v>
      </c>
      <c r="B76" s="36">
        <v>2020</v>
      </c>
      <c r="C76" s="36">
        <v>2021</v>
      </c>
      <c r="D76" s="36">
        <v>2022</v>
      </c>
    </row>
    <row r="77" spans="1:4" ht="15.95" customHeight="1" x14ac:dyDescent="0.2">
      <c r="A77" s="28" t="s">
        <v>118</v>
      </c>
      <c r="B77" s="91">
        <f>SUM(B78:B83)</f>
        <v>79963272</v>
      </c>
      <c r="C77" s="91">
        <f t="shared" ref="C77" si="30">SUM(C78:C83)</f>
        <v>61158898</v>
      </c>
      <c r="D77" s="91">
        <f t="shared" ref="D77" si="31">SUM(D78:D83)</f>
        <v>74316375</v>
      </c>
    </row>
    <row r="78" spans="1:4" ht="15.95" customHeight="1" x14ac:dyDescent="0.2">
      <c r="A78" s="26" t="s">
        <v>107</v>
      </c>
      <c r="B78" s="92"/>
      <c r="C78" s="92"/>
      <c r="D78" s="92"/>
    </row>
    <row r="79" spans="1:4" ht="15.95" customHeight="1" x14ac:dyDescent="0.2">
      <c r="A79" s="26" t="s">
        <v>108</v>
      </c>
      <c r="B79" s="92">
        <v>43991246</v>
      </c>
      <c r="C79" s="92">
        <v>43706593</v>
      </c>
      <c r="D79" s="92">
        <v>43858336</v>
      </c>
    </row>
    <row r="80" spans="1:4" ht="15.95" customHeight="1" x14ac:dyDescent="0.2">
      <c r="A80" s="26" t="s">
        <v>109</v>
      </c>
      <c r="B80" s="92">
        <v>8563943</v>
      </c>
      <c r="C80" s="92">
        <v>8245438</v>
      </c>
      <c r="D80" s="92">
        <v>7765509</v>
      </c>
    </row>
    <row r="81" spans="1:4" ht="15.95" customHeight="1" x14ac:dyDescent="0.2">
      <c r="A81" s="26" t="s">
        <v>110</v>
      </c>
      <c r="B81" s="92">
        <v>25400540</v>
      </c>
      <c r="C81" s="92">
        <v>8866617</v>
      </c>
      <c r="D81" s="92">
        <v>7587730</v>
      </c>
    </row>
    <row r="82" spans="1:4" ht="15.95" customHeight="1" x14ac:dyDescent="0.2">
      <c r="A82" s="26" t="s">
        <v>137</v>
      </c>
      <c r="B82" s="92">
        <v>1022747</v>
      </c>
      <c r="C82" s="92"/>
      <c r="D82" s="92">
        <v>15000000</v>
      </c>
    </row>
    <row r="83" spans="1:4" ht="15.95" customHeight="1" x14ac:dyDescent="0.2">
      <c r="A83" s="26" t="s">
        <v>138</v>
      </c>
      <c r="B83" s="92">
        <v>984796</v>
      </c>
      <c r="C83" s="92">
        <v>340250</v>
      </c>
      <c r="D83" s="92">
        <v>104800</v>
      </c>
    </row>
    <row r="84" spans="1:4" ht="15.95" customHeight="1" x14ac:dyDescent="0.2">
      <c r="A84" s="28" t="s">
        <v>106</v>
      </c>
      <c r="B84" s="91">
        <f>SUM(B85:B88)</f>
        <v>12281190</v>
      </c>
      <c r="C84" s="91">
        <f t="shared" ref="C84" si="32">SUM(C85:C88)</f>
        <v>4508355</v>
      </c>
      <c r="D84" s="91">
        <f t="shared" ref="D84" si="33">SUM(D85:D88)</f>
        <v>1113344</v>
      </c>
    </row>
    <row r="85" spans="1:4" ht="15.95" customHeight="1" x14ac:dyDescent="0.2">
      <c r="A85" s="26" t="s">
        <v>136</v>
      </c>
      <c r="B85" s="92"/>
      <c r="C85" s="92"/>
      <c r="D85" s="92"/>
    </row>
    <row r="86" spans="1:4" ht="15.95" customHeight="1" x14ac:dyDescent="0.2">
      <c r="A86" s="26" t="s">
        <v>139</v>
      </c>
      <c r="B86" s="92"/>
      <c r="C86" s="92"/>
      <c r="D86" s="92"/>
    </row>
    <row r="87" spans="1:4" ht="15.95" customHeight="1" x14ac:dyDescent="0.2">
      <c r="A87" s="26" t="s">
        <v>115</v>
      </c>
      <c r="B87" s="92">
        <v>12281190</v>
      </c>
      <c r="C87" s="92">
        <v>4508355</v>
      </c>
      <c r="D87" s="92">
        <v>1113344</v>
      </c>
    </row>
    <row r="88" spans="1:4" ht="15.95" customHeight="1" x14ac:dyDescent="0.2">
      <c r="A88" s="26" t="s">
        <v>116</v>
      </c>
      <c r="B88" s="92"/>
      <c r="C88" s="92"/>
      <c r="D88" s="92"/>
    </row>
    <row r="89" spans="1:4" ht="15.95" customHeight="1" x14ac:dyDescent="0.2">
      <c r="A89" s="28" t="s">
        <v>95</v>
      </c>
      <c r="B89" s="91"/>
      <c r="C89" s="91"/>
      <c r="D89" s="91"/>
    </row>
    <row r="90" spans="1:4" ht="15.95" customHeight="1" x14ac:dyDescent="0.2">
      <c r="A90" s="26" t="s">
        <v>117</v>
      </c>
      <c r="B90" s="92"/>
      <c r="C90" s="92"/>
      <c r="D90" s="92"/>
    </row>
    <row r="91" spans="1:4" ht="15.95" customHeight="1" x14ac:dyDescent="0.2">
      <c r="A91" s="30" t="s">
        <v>326</v>
      </c>
      <c r="B91" s="93">
        <f>+B77+B84</f>
        <v>92244462</v>
      </c>
      <c r="C91" s="93">
        <f t="shared" ref="C91:D91" si="34">+C77+C84</f>
        <v>65667253</v>
      </c>
      <c r="D91" s="93">
        <f t="shared" si="34"/>
        <v>75429719</v>
      </c>
    </row>
    <row r="93" spans="1:4" ht="25.5" x14ac:dyDescent="0.2">
      <c r="A93" s="35" t="s">
        <v>328</v>
      </c>
      <c r="B93" s="36">
        <v>2020</v>
      </c>
      <c r="C93" s="36">
        <v>2021</v>
      </c>
      <c r="D93" s="36">
        <v>2022</v>
      </c>
    </row>
    <row r="94" spans="1:4" ht="15.95" customHeight="1" x14ac:dyDescent="0.2">
      <c r="A94" s="28" t="s">
        <v>118</v>
      </c>
      <c r="B94" s="91">
        <f>SUM(B95:B100)</f>
        <v>73173681</v>
      </c>
      <c r="C94" s="91">
        <f t="shared" ref="C94" si="35">SUM(C95:C100)</f>
        <v>61735337</v>
      </c>
      <c r="D94" s="91">
        <f t="shared" ref="D94" si="36">SUM(D95:D100)</f>
        <v>74316375</v>
      </c>
    </row>
    <row r="95" spans="1:4" ht="15.95" customHeight="1" x14ac:dyDescent="0.2">
      <c r="A95" s="26" t="s">
        <v>107</v>
      </c>
      <c r="B95" s="92"/>
      <c r="C95" s="92"/>
      <c r="D95" s="92"/>
    </row>
    <row r="96" spans="1:4" ht="15.95" customHeight="1" x14ac:dyDescent="0.2">
      <c r="A96" s="26" t="s">
        <v>108</v>
      </c>
      <c r="B96" s="92">
        <v>41408819</v>
      </c>
      <c r="C96" s="92">
        <v>45451034</v>
      </c>
      <c r="D96" s="92">
        <v>43858336</v>
      </c>
    </row>
    <row r="97" spans="1:4" ht="15.95" customHeight="1" x14ac:dyDescent="0.2">
      <c r="A97" s="26" t="s">
        <v>109</v>
      </c>
      <c r="B97" s="92">
        <v>8027976</v>
      </c>
      <c r="C97" s="92">
        <v>7659196</v>
      </c>
      <c r="D97" s="92">
        <v>7765509</v>
      </c>
    </row>
    <row r="98" spans="1:4" ht="15.95" customHeight="1" x14ac:dyDescent="0.2">
      <c r="A98" s="26" t="s">
        <v>110</v>
      </c>
      <c r="B98" s="92">
        <v>21741294</v>
      </c>
      <c r="C98" s="92">
        <v>8288423</v>
      </c>
      <c r="D98" s="92">
        <v>7587730</v>
      </c>
    </row>
    <row r="99" spans="1:4" ht="15.95" customHeight="1" x14ac:dyDescent="0.2">
      <c r="A99" s="26" t="s">
        <v>137</v>
      </c>
      <c r="B99" s="92">
        <v>1022745</v>
      </c>
      <c r="C99" s="92">
        <v>0</v>
      </c>
      <c r="D99" s="92">
        <v>15000000</v>
      </c>
    </row>
    <row r="100" spans="1:4" ht="15.95" customHeight="1" x14ac:dyDescent="0.2">
      <c r="A100" s="26" t="s">
        <v>138</v>
      </c>
      <c r="B100" s="92">
        <v>972847</v>
      </c>
      <c r="C100" s="92">
        <v>336684</v>
      </c>
      <c r="D100" s="92">
        <v>104800</v>
      </c>
    </row>
    <row r="101" spans="1:4" ht="15.95" customHeight="1" x14ac:dyDescent="0.2">
      <c r="A101" s="28" t="s">
        <v>106</v>
      </c>
      <c r="B101" s="91">
        <f>SUM(B102:B105)</f>
        <v>7184733</v>
      </c>
      <c r="C101" s="91">
        <f t="shared" ref="C101" si="37">SUM(C102:C105)</f>
        <v>4508355</v>
      </c>
      <c r="D101" s="91">
        <f t="shared" ref="D101" si="38">SUM(D102:D105)</f>
        <v>1113344</v>
      </c>
    </row>
    <row r="102" spans="1:4" ht="15.95" customHeight="1" x14ac:dyDescent="0.2">
      <c r="A102" s="26" t="s">
        <v>136</v>
      </c>
      <c r="B102" s="92"/>
      <c r="C102" s="92"/>
      <c r="D102" s="92"/>
    </row>
    <row r="103" spans="1:4" ht="15.95" customHeight="1" x14ac:dyDescent="0.2">
      <c r="A103" s="26" t="s">
        <v>139</v>
      </c>
      <c r="B103" s="92"/>
      <c r="C103" s="92"/>
      <c r="D103" s="92"/>
    </row>
    <row r="104" spans="1:4" ht="15.95" customHeight="1" x14ac:dyDescent="0.2">
      <c r="A104" s="26" t="s">
        <v>115</v>
      </c>
      <c r="B104" s="92">
        <v>7184733</v>
      </c>
      <c r="C104" s="92">
        <v>4508355</v>
      </c>
      <c r="D104" s="92">
        <v>1113344</v>
      </c>
    </row>
    <row r="105" spans="1:4" ht="15.95" customHeight="1" x14ac:dyDescent="0.2">
      <c r="A105" s="26" t="s">
        <v>116</v>
      </c>
      <c r="B105" s="92"/>
      <c r="C105" s="92"/>
      <c r="D105" s="92"/>
    </row>
    <row r="106" spans="1:4" ht="15.95" customHeight="1" x14ac:dyDescent="0.2">
      <c r="A106" s="28" t="s">
        <v>95</v>
      </c>
      <c r="B106" s="91"/>
      <c r="C106" s="91"/>
      <c r="D106" s="91"/>
    </row>
    <row r="107" spans="1:4" ht="15.95" customHeight="1" x14ac:dyDescent="0.2">
      <c r="A107" s="26" t="s">
        <v>117</v>
      </c>
      <c r="B107" s="92"/>
      <c r="C107" s="92"/>
      <c r="D107" s="92"/>
    </row>
    <row r="108" spans="1:4" ht="15.95" customHeight="1" x14ac:dyDescent="0.2">
      <c r="A108" s="30" t="s">
        <v>327</v>
      </c>
      <c r="B108" s="93">
        <f>+B94+B101</f>
        <v>80358414</v>
      </c>
      <c r="C108" s="93">
        <f t="shared" ref="C108:D108" si="39">+C94+C101</f>
        <v>66243692</v>
      </c>
      <c r="D108" s="93">
        <f t="shared" si="39"/>
        <v>75429719</v>
      </c>
    </row>
    <row r="112" spans="1:4" x14ac:dyDescent="0.2">
      <c r="A112" s="15" t="s">
        <v>461</v>
      </c>
    </row>
    <row r="113" spans="1:4" ht="25.5" x14ac:dyDescent="0.2">
      <c r="A113" s="35" t="s">
        <v>330</v>
      </c>
      <c r="B113" s="36">
        <v>2020</v>
      </c>
      <c r="C113" s="36">
        <v>2021</v>
      </c>
      <c r="D113" s="36">
        <v>2022</v>
      </c>
    </row>
    <row r="114" spans="1:4" ht="15.95" customHeight="1" x14ac:dyDescent="0.2">
      <c r="A114" s="28" t="s">
        <v>118</v>
      </c>
      <c r="B114" s="91">
        <f>SUM(B115:B120)</f>
        <v>242184159</v>
      </c>
      <c r="C114" s="91">
        <f t="shared" ref="C114" si="40">SUM(C115:C120)</f>
        <v>185105804</v>
      </c>
      <c r="D114" s="91">
        <f t="shared" ref="D114" si="41">SUM(D115:D120)</f>
        <v>216130711</v>
      </c>
    </row>
    <row r="115" spans="1:4" ht="15.95" customHeight="1" x14ac:dyDescent="0.2">
      <c r="A115" s="26" t="s">
        <v>107</v>
      </c>
      <c r="B115" s="92"/>
      <c r="C115" s="92"/>
      <c r="D115" s="92"/>
    </row>
    <row r="116" spans="1:4" ht="15.95" customHeight="1" x14ac:dyDescent="0.2">
      <c r="A116" s="26" t="s">
        <v>108</v>
      </c>
      <c r="B116" s="92">
        <v>7865108</v>
      </c>
      <c r="C116" s="92">
        <v>8192701</v>
      </c>
      <c r="D116" s="92">
        <v>7348040</v>
      </c>
    </row>
    <row r="117" spans="1:4" ht="15.95" customHeight="1" x14ac:dyDescent="0.2">
      <c r="A117" s="26" t="s">
        <v>109</v>
      </c>
      <c r="B117" s="92">
        <v>4972251</v>
      </c>
      <c r="C117" s="92">
        <v>5250465</v>
      </c>
      <c r="D117" s="92">
        <v>5216062</v>
      </c>
    </row>
    <row r="118" spans="1:4" ht="15.95" customHeight="1" x14ac:dyDescent="0.2">
      <c r="A118" s="26" t="s">
        <v>110</v>
      </c>
      <c r="B118" s="92">
        <v>202772304</v>
      </c>
      <c r="C118" s="92">
        <v>154979066</v>
      </c>
      <c r="D118" s="92">
        <v>188480992</v>
      </c>
    </row>
    <row r="119" spans="1:4" ht="15.95" customHeight="1" x14ac:dyDescent="0.2">
      <c r="A119" s="26" t="s">
        <v>137</v>
      </c>
      <c r="B119" s="92">
        <v>26435000</v>
      </c>
      <c r="C119" s="92">
        <v>16544076</v>
      </c>
      <c r="D119" s="92">
        <v>14738907</v>
      </c>
    </row>
    <row r="120" spans="1:4" ht="15.95" customHeight="1" x14ac:dyDescent="0.2">
      <c r="A120" s="26" t="s">
        <v>138</v>
      </c>
      <c r="B120" s="92">
        <v>139496</v>
      </c>
      <c r="C120" s="92">
        <v>139496</v>
      </c>
      <c r="D120" s="92">
        <v>346710</v>
      </c>
    </row>
    <row r="121" spans="1:4" ht="15.95" customHeight="1" x14ac:dyDescent="0.2">
      <c r="A121" s="28" t="s">
        <v>106</v>
      </c>
      <c r="B121" s="91">
        <f>SUM(B122:B125)</f>
        <v>176939042</v>
      </c>
      <c r="C121" s="91">
        <f t="shared" ref="C121" si="42">SUM(C122:C125)</f>
        <v>114787834</v>
      </c>
      <c r="D121" s="91">
        <f t="shared" ref="D121" si="43">SUM(D122:D125)</f>
        <v>124785276</v>
      </c>
    </row>
    <row r="122" spans="1:4" ht="15.95" customHeight="1" x14ac:dyDescent="0.2">
      <c r="A122" s="26" t="s">
        <v>136</v>
      </c>
      <c r="B122" s="92">
        <v>50000000</v>
      </c>
      <c r="C122" s="92"/>
      <c r="D122" s="92"/>
    </row>
    <row r="123" spans="1:4" ht="15.95" customHeight="1" x14ac:dyDescent="0.2">
      <c r="A123" s="26" t="s">
        <v>139</v>
      </c>
      <c r="B123" s="92"/>
      <c r="C123" s="92"/>
      <c r="D123" s="92"/>
    </row>
    <row r="124" spans="1:4" ht="15.95" customHeight="1" x14ac:dyDescent="0.2">
      <c r="A124" s="26" t="s">
        <v>115</v>
      </c>
      <c r="B124" s="92">
        <v>126939042</v>
      </c>
      <c r="C124" s="92">
        <v>114787834</v>
      </c>
      <c r="D124" s="92">
        <v>124785276</v>
      </c>
    </row>
    <row r="125" spans="1:4" ht="15.95" customHeight="1" x14ac:dyDescent="0.2">
      <c r="A125" s="26" t="s">
        <v>116</v>
      </c>
      <c r="B125" s="92"/>
      <c r="C125" s="92"/>
      <c r="D125" s="92"/>
    </row>
    <row r="126" spans="1:4" ht="15.95" customHeight="1" x14ac:dyDescent="0.2">
      <c r="A126" s="28" t="s">
        <v>95</v>
      </c>
      <c r="B126" s="91"/>
      <c r="C126" s="91"/>
      <c r="D126" s="91"/>
    </row>
    <row r="127" spans="1:4" ht="15.95" customHeight="1" x14ac:dyDescent="0.2">
      <c r="A127" s="26" t="s">
        <v>117</v>
      </c>
      <c r="B127" s="92"/>
      <c r="C127" s="92"/>
      <c r="D127" s="92"/>
    </row>
    <row r="128" spans="1:4" ht="15.95" customHeight="1" x14ac:dyDescent="0.2">
      <c r="A128" s="30" t="s">
        <v>325</v>
      </c>
      <c r="B128" s="93">
        <f>+B114+B121</f>
        <v>419123201</v>
      </c>
      <c r="C128" s="93">
        <f t="shared" ref="C128:D128" si="44">+C114+C121</f>
        <v>299893638</v>
      </c>
      <c r="D128" s="93">
        <f t="shared" si="44"/>
        <v>340915987</v>
      </c>
    </row>
    <row r="130" spans="1:4" ht="25.5" x14ac:dyDescent="0.2">
      <c r="A130" s="35" t="s">
        <v>329</v>
      </c>
      <c r="B130" s="36">
        <v>2020</v>
      </c>
      <c r="C130" s="36">
        <v>2021</v>
      </c>
      <c r="D130" s="36">
        <v>2022</v>
      </c>
    </row>
    <row r="131" spans="1:4" ht="15.95" customHeight="1" x14ac:dyDescent="0.2">
      <c r="A131" s="28" t="s">
        <v>118</v>
      </c>
      <c r="B131" s="91">
        <f>SUM(B132:B137)</f>
        <v>197351266</v>
      </c>
      <c r="C131" s="91">
        <f t="shared" ref="C131" si="45">SUM(C132:C137)</f>
        <v>189574248</v>
      </c>
      <c r="D131" s="91">
        <f t="shared" ref="D131" si="46">SUM(D132:D137)</f>
        <v>216130711</v>
      </c>
    </row>
    <row r="132" spans="1:4" ht="15.95" customHeight="1" x14ac:dyDescent="0.2">
      <c r="A132" s="26" t="s">
        <v>107</v>
      </c>
      <c r="B132" s="92"/>
      <c r="C132" s="92"/>
      <c r="D132" s="92"/>
    </row>
    <row r="133" spans="1:4" ht="15.95" customHeight="1" x14ac:dyDescent="0.2">
      <c r="A133" s="26" t="s">
        <v>108</v>
      </c>
      <c r="B133" s="92">
        <v>8169354</v>
      </c>
      <c r="C133" s="92">
        <v>7881191</v>
      </c>
      <c r="D133" s="92">
        <v>7348040</v>
      </c>
    </row>
    <row r="134" spans="1:4" ht="15.95" customHeight="1" x14ac:dyDescent="0.2">
      <c r="A134" s="26" t="s">
        <v>109</v>
      </c>
      <c r="B134" s="92">
        <v>5987952</v>
      </c>
      <c r="C134" s="92">
        <v>6263962</v>
      </c>
      <c r="D134" s="92">
        <v>5216062</v>
      </c>
    </row>
    <row r="135" spans="1:4" ht="15.95" customHeight="1" x14ac:dyDescent="0.2">
      <c r="A135" s="26" t="s">
        <v>110</v>
      </c>
      <c r="B135" s="92">
        <v>151927744</v>
      </c>
      <c r="C135" s="92">
        <v>154910858</v>
      </c>
      <c r="D135" s="92">
        <v>188480992</v>
      </c>
    </row>
    <row r="136" spans="1:4" ht="15.95" customHeight="1" x14ac:dyDescent="0.2">
      <c r="A136" s="26" t="s">
        <v>137</v>
      </c>
      <c r="B136" s="92">
        <v>13034504</v>
      </c>
      <c r="C136" s="92">
        <v>18766856</v>
      </c>
      <c r="D136" s="92">
        <v>14738907</v>
      </c>
    </row>
    <row r="137" spans="1:4" ht="15.95" customHeight="1" x14ac:dyDescent="0.2">
      <c r="A137" s="26" t="s">
        <v>138</v>
      </c>
      <c r="B137" s="92">
        <v>18231712</v>
      </c>
      <c r="C137" s="92">
        <v>1751381</v>
      </c>
      <c r="D137" s="92">
        <v>346710</v>
      </c>
    </row>
    <row r="138" spans="1:4" ht="15.95" customHeight="1" x14ac:dyDescent="0.2">
      <c r="A138" s="28" t="s">
        <v>106</v>
      </c>
      <c r="B138" s="91">
        <f>SUM(B139:B142)</f>
        <v>140632731</v>
      </c>
      <c r="C138" s="91">
        <f t="shared" ref="C138" si="47">SUM(C139:C142)</f>
        <v>584984944</v>
      </c>
      <c r="D138" s="91">
        <f t="shared" ref="D138" si="48">SUM(D139:D142)</f>
        <v>124785276</v>
      </c>
    </row>
    <row r="139" spans="1:4" ht="15.95" customHeight="1" x14ac:dyDescent="0.2">
      <c r="A139" s="26" t="s">
        <v>136</v>
      </c>
      <c r="B139" s="92">
        <v>50888712</v>
      </c>
      <c r="C139" s="92">
        <v>415633862</v>
      </c>
      <c r="D139" s="92"/>
    </row>
    <row r="140" spans="1:4" ht="15.95" customHeight="1" x14ac:dyDescent="0.2">
      <c r="A140" s="26" t="s">
        <v>139</v>
      </c>
      <c r="B140" s="92"/>
      <c r="C140" s="92"/>
      <c r="D140" s="92"/>
    </row>
    <row r="141" spans="1:4" ht="15.95" customHeight="1" x14ac:dyDescent="0.2">
      <c r="A141" s="26" t="s">
        <v>115</v>
      </c>
      <c r="B141" s="92">
        <v>89744019</v>
      </c>
      <c r="C141" s="92">
        <v>169351082</v>
      </c>
      <c r="D141" s="92">
        <v>124785276</v>
      </c>
    </row>
    <row r="142" spans="1:4" ht="15.95" customHeight="1" x14ac:dyDescent="0.2">
      <c r="A142" s="26" t="s">
        <v>116</v>
      </c>
      <c r="B142" s="92"/>
      <c r="C142" s="92"/>
      <c r="D142" s="92"/>
    </row>
    <row r="143" spans="1:4" ht="15.95" customHeight="1" x14ac:dyDescent="0.2">
      <c r="A143" s="28" t="s">
        <v>95</v>
      </c>
      <c r="B143" s="91"/>
      <c r="C143" s="91"/>
      <c r="D143" s="91"/>
    </row>
    <row r="144" spans="1:4" ht="15.95" customHeight="1" x14ac:dyDescent="0.2">
      <c r="A144" s="26" t="s">
        <v>117</v>
      </c>
      <c r="B144" s="92"/>
      <c r="C144" s="92"/>
      <c r="D144" s="92"/>
    </row>
    <row r="145" spans="1:4" ht="15.95" customHeight="1" x14ac:dyDescent="0.2">
      <c r="A145" s="30" t="s">
        <v>326</v>
      </c>
      <c r="B145" s="93">
        <f>+B131+B138</f>
        <v>337983997</v>
      </c>
      <c r="C145" s="93">
        <f t="shared" ref="C145:D145" si="49">+C131+C138</f>
        <v>774559192</v>
      </c>
      <c r="D145" s="93">
        <f t="shared" si="49"/>
        <v>340915987</v>
      </c>
    </row>
    <row r="147" spans="1:4" ht="25.5" x14ac:dyDescent="0.2">
      <c r="A147" s="35" t="s">
        <v>328</v>
      </c>
      <c r="B147" s="36">
        <v>2020</v>
      </c>
      <c r="C147" s="36">
        <v>2021</v>
      </c>
      <c r="D147" s="36">
        <v>2022</v>
      </c>
    </row>
    <row r="148" spans="1:4" x14ac:dyDescent="0.2">
      <c r="A148" s="28" t="s">
        <v>118</v>
      </c>
      <c r="B148" s="91">
        <f>SUM(B149:B154)</f>
        <v>170391603</v>
      </c>
      <c r="C148" s="91">
        <f t="shared" ref="C148" si="50">SUM(C149:C154)</f>
        <v>183762008</v>
      </c>
      <c r="D148" s="91">
        <f t="shared" ref="D148" si="51">SUM(D149:D154)</f>
        <v>216130711</v>
      </c>
    </row>
    <row r="149" spans="1:4" x14ac:dyDescent="0.2">
      <c r="A149" s="26" t="s">
        <v>107</v>
      </c>
      <c r="B149" s="92"/>
      <c r="C149" s="92"/>
      <c r="D149" s="92"/>
    </row>
    <row r="150" spans="1:4" x14ac:dyDescent="0.2">
      <c r="A150" s="26" t="s">
        <v>108</v>
      </c>
      <c r="B150" s="92">
        <v>5620909</v>
      </c>
      <c r="C150" s="92">
        <v>6695046</v>
      </c>
      <c r="D150" s="92">
        <v>7348040</v>
      </c>
    </row>
    <row r="151" spans="1:4" x14ac:dyDescent="0.2">
      <c r="A151" s="26" t="s">
        <v>109</v>
      </c>
      <c r="B151" s="92">
        <v>5730471</v>
      </c>
      <c r="C151" s="92">
        <v>6055363</v>
      </c>
      <c r="D151" s="92">
        <v>5216062</v>
      </c>
    </row>
    <row r="152" spans="1:4" x14ac:dyDescent="0.2">
      <c r="A152" s="26" t="s">
        <v>110</v>
      </c>
      <c r="B152" s="92">
        <v>128781308</v>
      </c>
      <c r="C152" s="92">
        <v>151151139</v>
      </c>
      <c r="D152" s="92">
        <v>188480992</v>
      </c>
    </row>
    <row r="153" spans="1:4" x14ac:dyDescent="0.2">
      <c r="A153" s="26" t="s">
        <v>137</v>
      </c>
      <c r="B153" s="92">
        <v>12106839</v>
      </c>
      <c r="C153" s="92">
        <v>18230377</v>
      </c>
      <c r="D153" s="92">
        <v>14738907</v>
      </c>
    </row>
    <row r="154" spans="1:4" x14ac:dyDescent="0.2">
      <c r="A154" s="26" t="s">
        <v>138</v>
      </c>
      <c r="B154" s="92">
        <v>18152076</v>
      </c>
      <c r="C154" s="92">
        <v>1630083</v>
      </c>
      <c r="D154" s="92">
        <v>346710</v>
      </c>
    </row>
    <row r="155" spans="1:4" x14ac:dyDescent="0.2">
      <c r="A155" s="28" t="s">
        <v>106</v>
      </c>
      <c r="B155" s="91">
        <f>SUM(B156:B159)</f>
        <v>95392883</v>
      </c>
      <c r="C155" s="91">
        <f t="shared" ref="C155" si="52">SUM(C156:C159)</f>
        <v>569284893</v>
      </c>
      <c r="D155" s="91">
        <f t="shared" ref="D155" si="53">SUM(D156:D159)</f>
        <v>124785276</v>
      </c>
    </row>
    <row r="156" spans="1:4" x14ac:dyDescent="0.2">
      <c r="A156" s="26" t="s">
        <v>136</v>
      </c>
      <c r="B156" s="92">
        <v>50888707</v>
      </c>
      <c r="C156" s="92">
        <v>406951167</v>
      </c>
      <c r="D156" s="92"/>
    </row>
    <row r="157" spans="1:4" x14ac:dyDescent="0.2">
      <c r="A157" s="26" t="s">
        <v>139</v>
      </c>
      <c r="B157" s="92"/>
      <c r="C157" s="92"/>
      <c r="D157" s="92"/>
    </row>
    <row r="158" spans="1:4" x14ac:dyDescent="0.2">
      <c r="A158" s="26" t="s">
        <v>115</v>
      </c>
      <c r="B158" s="92">
        <v>44504176</v>
      </c>
      <c r="C158" s="92">
        <v>162333726</v>
      </c>
      <c r="D158" s="92">
        <v>124785276</v>
      </c>
    </row>
    <row r="159" spans="1:4" x14ac:dyDescent="0.2">
      <c r="A159" s="26" t="s">
        <v>116</v>
      </c>
      <c r="B159" s="92"/>
      <c r="C159" s="92"/>
      <c r="D159" s="92"/>
    </row>
    <row r="160" spans="1:4" x14ac:dyDescent="0.2">
      <c r="A160" s="28" t="s">
        <v>95</v>
      </c>
      <c r="B160" s="91"/>
      <c r="C160" s="91"/>
      <c r="D160" s="91"/>
    </row>
    <row r="161" spans="1:4" x14ac:dyDescent="0.2">
      <c r="A161" s="26" t="s">
        <v>117</v>
      </c>
      <c r="B161" s="92"/>
      <c r="C161" s="92"/>
      <c r="D161" s="92"/>
    </row>
    <row r="162" spans="1:4" x14ac:dyDescent="0.2">
      <c r="A162" s="30" t="s">
        <v>327</v>
      </c>
      <c r="B162" s="93">
        <f>+B148+B155</f>
        <v>265784486</v>
      </c>
      <c r="C162" s="93">
        <f t="shared" ref="C162:D162" si="54">+C148+C155</f>
        <v>753046901</v>
      </c>
      <c r="D162" s="93">
        <f t="shared" si="54"/>
        <v>340915987</v>
      </c>
    </row>
    <row r="166" spans="1:4" x14ac:dyDescent="0.2">
      <c r="A166" s="15" t="s">
        <v>462</v>
      </c>
    </row>
    <row r="167" spans="1:4" ht="25.5" x14ac:dyDescent="0.2">
      <c r="A167" s="35" t="s">
        <v>330</v>
      </c>
      <c r="B167" s="36">
        <v>2020</v>
      </c>
      <c r="C167" s="36">
        <v>2021</v>
      </c>
      <c r="D167" s="36">
        <v>2022</v>
      </c>
    </row>
    <row r="168" spans="1:4" ht="15.95" customHeight="1" x14ac:dyDescent="0.2">
      <c r="A168" s="28" t="s">
        <v>118</v>
      </c>
      <c r="B168" s="91">
        <f>SUM(B169:B174)</f>
        <v>0</v>
      </c>
      <c r="C168" s="91">
        <f t="shared" ref="C168" si="55">SUM(C169:C174)</f>
        <v>0</v>
      </c>
      <c r="D168" s="91">
        <f t="shared" ref="D168" si="56">SUM(D169:D174)</f>
        <v>0</v>
      </c>
    </row>
    <row r="169" spans="1:4" ht="15.95" customHeight="1" x14ac:dyDescent="0.2">
      <c r="A169" s="26" t="s">
        <v>107</v>
      </c>
      <c r="B169" s="92"/>
      <c r="C169" s="92"/>
      <c r="D169" s="92"/>
    </row>
    <row r="170" spans="1:4" ht="15.95" customHeight="1" x14ac:dyDescent="0.2">
      <c r="A170" s="26" t="s">
        <v>108</v>
      </c>
      <c r="B170" s="92"/>
      <c r="C170" s="92"/>
      <c r="D170" s="92"/>
    </row>
    <row r="171" spans="1:4" ht="15.95" customHeight="1" x14ac:dyDescent="0.2">
      <c r="A171" s="26" t="s">
        <v>109</v>
      </c>
      <c r="B171" s="92"/>
      <c r="C171" s="92"/>
      <c r="D171" s="92"/>
    </row>
    <row r="172" spans="1:4" ht="15.95" customHeight="1" x14ac:dyDescent="0.2">
      <c r="A172" s="26" t="s">
        <v>110</v>
      </c>
      <c r="B172" s="92"/>
      <c r="C172" s="92"/>
      <c r="D172" s="92"/>
    </row>
    <row r="173" spans="1:4" ht="15.95" customHeight="1" x14ac:dyDescent="0.2">
      <c r="A173" s="26" t="s">
        <v>137</v>
      </c>
      <c r="B173" s="92"/>
      <c r="C173" s="92"/>
      <c r="D173" s="92"/>
    </row>
    <row r="174" spans="1:4" ht="15.95" customHeight="1" x14ac:dyDescent="0.2">
      <c r="A174" s="26" t="s">
        <v>138</v>
      </c>
      <c r="B174" s="92"/>
      <c r="C174" s="92"/>
      <c r="D174" s="92"/>
    </row>
    <row r="175" spans="1:4" ht="15.95" customHeight="1" x14ac:dyDescent="0.2">
      <c r="A175" s="28" t="s">
        <v>106</v>
      </c>
      <c r="B175" s="91">
        <f>SUM(B176:B179)</f>
        <v>0</v>
      </c>
      <c r="C175" s="91">
        <f t="shared" ref="C175" si="57">SUM(C176:C179)</f>
        <v>0</v>
      </c>
      <c r="D175" s="91">
        <f t="shared" ref="D175" si="58">SUM(D176:D179)</f>
        <v>0</v>
      </c>
    </row>
    <row r="176" spans="1:4" ht="15.95" customHeight="1" x14ac:dyDescent="0.2">
      <c r="A176" s="26" t="s">
        <v>136</v>
      </c>
      <c r="B176" s="92"/>
      <c r="C176" s="92"/>
      <c r="D176" s="92"/>
    </row>
    <row r="177" spans="1:4" ht="15.95" customHeight="1" x14ac:dyDescent="0.2">
      <c r="A177" s="26" t="s">
        <v>139</v>
      </c>
      <c r="B177" s="92"/>
      <c r="C177" s="92"/>
      <c r="D177" s="92"/>
    </row>
    <row r="178" spans="1:4" ht="15.95" customHeight="1" x14ac:dyDescent="0.2">
      <c r="A178" s="26" t="s">
        <v>115</v>
      </c>
      <c r="B178" s="92"/>
      <c r="C178" s="92"/>
      <c r="D178" s="92"/>
    </row>
    <row r="179" spans="1:4" ht="15.95" customHeight="1" x14ac:dyDescent="0.2">
      <c r="A179" s="26" t="s">
        <v>116</v>
      </c>
      <c r="B179" s="92"/>
      <c r="C179" s="92"/>
      <c r="D179" s="92"/>
    </row>
    <row r="180" spans="1:4" ht="15.95" customHeight="1" x14ac:dyDescent="0.2">
      <c r="A180" s="28" t="s">
        <v>95</v>
      </c>
      <c r="B180" s="91"/>
      <c r="C180" s="91"/>
      <c r="D180" s="91"/>
    </row>
    <row r="181" spans="1:4" ht="15.95" customHeight="1" x14ac:dyDescent="0.2">
      <c r="A181" s="26" t="s">
        <v>117</v>
      </c>
      <c r="B181" s="92"/>
      <c r="C181" s="92"/>
      <c r="D181" s="92"/>
    </row>
    <row r="182" spans="1:4" ht="15.95" customHeight="1" x14ac:dyDescent="0.2">
      <c r="A182" s="30" t="s">
        <v>325</v>
      </c>
      <c r="B182" s="93">
        <f>+B168+B175</f>
        <v>0</v>
      </c>
      <c r="C182" s="93">
        <f t="shared" ref="C182:D182" si="59">+C168+C175</f>
        <v>0</v>
      </c>
      <c r="D182" s="93">
        <f t="shared" si="59"/>
        <v>0</v>
      </c>
    </row>
    <row r="184" spans="1:4" ht="25.5" x14ac:dyDescent="0.2">
      <c r="A184" s="35" t="s">
        <v>329</v>
      </c>
      <c r="B184" s="36">
        <v>2020</v>
      </c>
      <c r="C184" s="36">
        <v>2021</v>
      </c>
      <c r="D184" s="36">
        <v>2022</v>
      </c>
    </row>
    <row r="185" spans="1:4" ht="15.95" customHeight="1" x14ac:dyDescent="0.2">
      <c r="A185" s="28" t="s">
        <v>118</v>
      </c>
      <c r="B185" s="91">
        <f>SUM(B186:B191)</f>
        <v>828202096</v>
      </c>
      <c r="C185" s="91">
        <f t="shared" ref="C185" si="60">SUM(C186:C191)</f>
        <v>0</v>
      </c>
      <c r="D185" s="91">
        <f t="shared" ref="D185" si="61">SUM(D186:D191)</f>
        <v>0</v>
      </c>
    </row>
    <row r="186" spans="1:4" ht="15.95" customHeight="1" x14ac:dyDescent="0.2">
      <c r="A186" s="26" t="s">
        <v>107</v>
      </c>
      <c r="B186" s="92"/>
      <c r="C186" s="92"/>
      <c r="D186" s="92"/>
    </row>
    <row r="187" spans="1:4" ht="15.95" customHeight="1" x14ac:dyDescent="0.2">
      <c r="A187" s="26" t="s">
        <v>108</v>
      </c>
      <c r="B187" s="92">
        <v>134700</v>
      </c>
      <c r="C187" s="92"/>
      <c r="D187" s="92"/>
    </row>
    <row r="188" spans="1:4" ht="15.95" customHeight="1" x14ac:dyDescent="0.2">
      <c r="A188" s="26" t="s">
        <v>109</v>
      </c>
      <c r="B188" s="92"/>
      <c r="C188" s="92"/>
      <c r="D188" s="92"/>
    </row>
    <row r="189" spans="1:4" ht="15.95" customHeight="1" x14ac:dyDescent="0.2">
      <c r="A189" s="26" t="s">
        <v>110</v>
      </c>
      <c r="B189" s="92">
        <v>270900</v>
      </c>
      <c r="C189" s="92"/>
      <c r="D189" s="92"/>
    </row>
    <row r="190" spans="1:4" ht="15.95" customHeight="1" x14ac:dyDescent="0.2">
      <c r="A190" s="26" t="s">
        <v>137</v>
      </c>
      <c r="B190" s="92"/>
      <c r="C190" s="92"/>
      <c r="D190" s="92"/>
    </row>
    <row r="191" spans="1:4" ht="15.95" customHeight="1" x14ac:dyDescent="0.2">
      <c r="A191" s="26" t="s">
        <v>138</v>
      </c>
      <c r="B191" s="92">
        <v>827796496</v>
      </c>
      <c r="C191" s="92"/>
      <c r="D191" s="92"/>
    </row>
    <row r="192" spans="1:4" ht="15.95" customHeight="1" x14ac:dyDescent="0.2">
      <c r="A192" s="28" t="s">
        <v>106</v>
      </c>
      <c r="B192" s="91">
        <f>SUM(B193:B196)</f>
        <v>0</v>
      </c>
      <c r="C192" s="91">
        <f t="shared" ref="C192" si="62">SUM(C193:C196)</f>
        <v>0</v>
      </c>
      <c r="D192" s="91">
        <f t="shared" ref="D192" si="63">SUM(D193:D196)</f>
        <v>0</v>
      </c>
    </row>
    <row r="193" spans="1:4" ht="15.95" customHeight="1" x14ac:dyDescent="0.2">
      <c r="A193" s="26" t="s">
        <v>136</v>
      </c>
      <c r="B193" s="92"/>
      <c r="C193" s="92"/>
      <c r="D193" s="92"/>
    </row>
    <row r="194" spans="1:4" ht="15.95" customHeight="1" x14ac:dyDescent="0.2">
      <c r="A194" s="26" t="s">
        <v>139</v>
      </c>
      <c r="B194" s="92"/>
      <c r="C194" s="92"/>
      <c r="D194" s="92"/>
    </row>
    <row r="195" spans="1:4" ht="15.95" customHeight="1" x14ac:dyDescent="0.2">
      <c r="A195" s="26" t="s">
        <v>115</v>
      </c>
      <c r="B195" s="92"/>
      <c r="C195" s="92"/>
      <c r="D195" s="92"/>
    </row>
    <row r="196" spans="1:4" ht="15.95" customHeight="1" x14ac:dyDescent="0.2">
      <c r="A196" s="26" t="s">
        <v>116</v>
      </c>
      <c r="B196" s="92"/>
      <c r="C196" s="92"/>
      <c r="D196" s="92"/>
    </row>
    <row r="197" spans="1:4" ht="15.95" customHeight="1" x14ac:dyDescent="0.2">
      <c r="A197" s="28" t="s">
        <v>95</v>
      </c>
      <c r="B197" s="91"/>
      <c r="C197" s="91"/>
      <c r="D197" s="91"/>
    </row>
    <row r="198" spans="1:4" ht="15.95" customHeight="1" x14ac:dyDescent="0.2">
      <c r="A198" s="26" t="s">
        <v>117</v>
      </c>
      <c r="B198" s="92"/>
      <c r="C198" s="92"/>
      <c r="D198" s="92"/>
    </row>
    <row r="199" spans="1:4" ht="15.95" customHeight="1" x14ac:dyDescent="0.2">
      <c r="A199" s="30" t="s">
        <v>326</v>
      </c>
      <c r="B199" s="93">
        <f>+B185+B192</f>
        <v>828202096</v>
      </c>
      <c r="C199" s="93">
        <f t="shared" ref="C199:D199" si="64">+C185+C192</f>
        <v>0</v>
      </c>
      <c r="D199" s="93">
        <f t="shared" si="64"/>
        <v>0</v>
      </c>
    </row>
    <row r="201" spans="1:4" ht="25.5" x14ac:dyDescent="0.2">
      <c r="A201" s="35" t="s">
        <v>328</v>
      </c>
      <c r="B201" s="36">
        <v>2020</v>
      </c>
      <c r="C201" s="36">
        <v>2021</v>
      </c>
      <c r="D201" s="36">
        <v>2022</v>
      </c>
    </row>
    <row r="202" spans="1:4" ht="15.95" customHeight="1" x14ac:dyDescent="0.2">
      <c r="A202" s="28" t="s">
        <v>118</v>
      </c>
      <c r="B202" s="91">
        <f>SUM(B203:B208)</f>
        <v>627335385</v>
      </c>
      <c r="C202" s="91">
        <f t="shared" ref="C202" si="65">SUM(C203:C208)</f>
        <v>0</v>
      </c>
      <c r="D202" s="91">
        <f t="shared" ref="D202" si="66">SUM(D203:D208)</f>
        <v>0</v>
      </c>
    </row>
    <row r="203" spans="1:4" ht="15.95" customHeight="1" x14ac:dyDescent="0.2">
      <c r="A203" s="26" t="s">
        <v>107</v>
      </c>
      <c r="B203" s="92"/>
      <c r="C203" s="92"/>
      <c r="D203" s="92"/>
    </row>
    <row r="204" spans="1:4" ht="15.95" customHeight="1" x14ac:dyDescent="0.2">
      <c r="A204" s="26" t="s">
        <v>108</v>
      </c>
      <c r="B204" s="92">
        <v>99600</v>
      </c>
      <c r="C204" s="92"/>
      <c r="D204" s="92"/>
    </row>
    <row r="205" spans="1:4" ht="15.95" customHeight="1" x14ac:dyDescent="0.2">
      <c r="A205" s="26" t="s">
        <v>109</v>
      </c>
      <c r="B205" s="92"/>
      <c r="C205" s="92"/>
      <c r="D205" s="92"/>
    </row>
    <row r="206" spans="1:4" ht="15.95" customHeight="1" x14ac:dyDescent="0.2">
      <c r="A206" s="26" t="s">
        <v>110</v>
      </c>
      <c r="B206" s="92">
        <v>269000</v>
      </c>
      <c r="C206" s="92"/>
      <c r="D206" s="92"/>
    </row>
    <row r="207" spans="1:4" ht="15.95" customHeight="1" x14ac:dyDescent="0.2">
      <c r="A207" s="26" t="s">
        <v>137</v>
      </c>
      <c r="B207" s="92"/>
      <c r="C207" s="92"/>
      <c r="D207" s="92"/>
    </row>
    <row r="208" spans="1:4" ht="15.95" customHeight="1" x14ac:dyDescent="0.2">
      <c r="A208" s="26" t="s">
        <v>138</v>
      </c>
      <c r="B208" s="92">
        <v>626966785</v>
      </c>
      <c r="C208" s="92"/>
      <c r="D208" s="92"/>
    </row>
    <row r="209" spans="1:4" ht="15.95" customHeight="1" x14ac:dyDescent="0.2">
      <c r="A209" s="28" t="s">
        <v>106</v>
      </c>
      <c r="B209" s="91">
        <f>SUM(B210:B213)</f>
        <v>0</v>
      </c>
      <c r="C209" s="91">
        <f t="shared" ref="C209" si="67">SUM(C210:C213)</f>
        <v>0</v>
      </c>
      <c r="D209" s="91">
        <f t="shared" ref="D209" si="68">SUM(D210:D213)</f>
        <v>0</v>
      </c>
    </row>
    <row r="210" spans="1:4" ht="15.95" customHeight="1" x14ac:dyDescent="0.2">
      <c r="A210" s="26" t="s">
        <v>136</v>
      </c>
      <c r="B210" s="92"/>
      <c r="C210" s="92"/>
      <c r="D210" s="92"/>
    </row>
    <row r="211" spans="1:4" ht="15.95" customHeight="1" x14ac:dyDescent="0.2">
      <c r="A211" s="26" t="s">
        <v>139</v>
      </c>
      <c r="B211" s="92"/>
      <c r="C211" s="92"/>
      <c r="D211" s="92"/>
    </row>
    <row r="212" spans="1:4" ht="15.95" customHeight="1" x14ac:dyDescent="0.2">
      <c r="A212" s="26" t="s">
        <v>115</v>
      </c>
      <c r="B212" s="92"/>
      <c r="C212" s="92"/>
      <c r="D212" s="92"/>
    </row>
    <row r="213" spans="1:4" ht="15.95" customHeight="1" x14ac:dyDescent="0.2">
      <c r="A213" s="26" t="s">
        <v>116</v>
      </c>
      <c r="B213" s="92"/>
      <c r="C213" s="92"/>
      <c r="D213" s="92"/>
    </row>
    <row r="214" spans="1:4" ht="15.95" customHeight="1" x14ac:dyDescent="0.2">
      <c r="A214" s="28" t="s">
        <v>95</v>
      </c>
      <c r="B214" s="91"/>
      <c r="C214" s="91"/>
      <c r="D214" s="91"/>
    </row>
    <row r="215" spans="1:4" ht="15.95" customHeight="1" x14ac:dyDescent="0.2">
      <c r="A215" s="26" t="s">
        <v>117</v>
      </c>
      <c r="B215" s="92"/>
      <c r="C215" s="92"/>
      <c r="D215" s="92"/>
    </row>
    <row r="216" spans="1:4" ht="15.95" customHeight="1" x14ac:dyDescent="0.2">
      <c r="A216" s="30" t="s">
        <v>327</v>
      </c>
      <c r="B216" s="93">
        <f>+B202+B209</f>
        <v>627335385</v>
      </c>
      <c r="C216" s="93">
        <f t="shared" ref="C216:D216" si="69">+C202+C209</f>
        <v>0</v>
      </c>
      <c r="D216" s="93">
        <f t="shared" si="69"/>
        <v>0</v>
      </c>
    </row>
    <row r="220" spans="1:4" x14ac:dyDescent="0.2">
      <c r="A220" s="15" t="s">
        <v>463</v>
      </c>
    </row>
    <row r="221" spans="1:4" ht="25.5" x14ac:dyDescent="0.2">
      <c r="A221" s="35" t="s">
        <v>330</v>
      </c>
      <c r="B221" s="36">
        <v>2020</v>
      </c>
      <c r="C221" s="36">
        <v>2021</v>
      </c>
      <c r="D221" s="36">
        <v>2022</v>
      </c>
    </row>
    <row r="222" spans="1:4" ht="15.95" customHeight="1" x14ac:dyDescent="0.2">
      <c r="A222" s="28" t="s">
        <v>118</v>
      </c>
      <c r="B222" s="91">
        <f>SUM(B223:B228)</f>
        <v>2000000</v>
      </c>
      <c r="C222" s="91">
        <f t="shared" ref="C222" si="70">SUM(C223:C228)</f>
        <v>6839200</v>
      </c>
      <c r="D222" s="91">
        <f t="shared" ref="D222" si="71">SUM(D223:D228)</f>
        <v>6747528</v>
      </c>
    </row>
    <row r="223" spans="1:4" ht="15.95" customHeight="1" x14ac:dyDescent="0.2">
      <c r="A223" s="26" t="s">
        <v>107</v>
      </c>
      <c r="B223" s="92"/>
      <c r="C223" s="92"/>
      <c r="D223" s="92"/>
    </row>
    <row r="224" spans="1:4" ht="15.95" customHeight="1" x14ac:dyDescent="0.2">
      <c r="A224" s="26" t="s">
        <v>108</v>
      </c>
      <c r="B224" s="92"/>
      <c r="C224" s="92"/>
      <c r="D224" s="92"/>
    </row>
    <row r="225" spans="1:4" ht="15.95" customHeight="1" x14ac:dyDescent="0.2">
      <c r="A225" s="26" t="s">
        <v>109</v>
      </c>
      <c r="B225" s="92"/>
      <c r="C225" s="92"/>
      <c r="D225" s="92"/>
    </row>
    <row r="226" spans="1:4" ht="15.95" customHeight="1" x14ac:dyDescent="0.2">
      <c r="A226" s="26" t="s">
        <v>110</v>
      </c>
      <c r="B226" s="92">
        <v>2000000</v>
      </c>
      <c r="C226" s="92">
        <v>6839200</v>
      </c>
      <c r="D226" s="92">
        <v>6747528</v>
      </c>
    </row>
    <row r="227" spans="1:4" ht="15.95" customHeight="1" x14ac:dyDescent="0.2">
      <c r="A227" s="26" t="s">
        <v>137</v>
      </c>
      <c r="B227" s="92"/>
      <c r="C227" s="92"/>
      <c r="D227" s="92"/>
    </row>
    <row r="228" spans="1:4" ht="15.95" customHeight="1" x14ac:dyDescent="0.2">
      <c r="A228" s="26" t="s">
        <v>138</v>
      </c>
      <c r="B228" s="92"/>
      <c r="C228" s="92"/>
      <c r="D228" s="92"/>
    </row>
    <row r="229" spans="1:4" ht="15.95" customHeight="1" x14ac:dyDescent="0.2">
      <c r="A229" s="28" t="s">
        <v>106</v>
      </c>
      <c r="B229" s="91">
        <f>SUM(B230:B233)</f>
        <v>1145322</v>
      </c>
      <c r="C229" s="91">
        <f t="shared" ref="C229" si="72">SUM(C230:C233)</f>
        <v>0</v>
      </c>
      <c r="D229" s="91">
        <f t="shared" ref="D229" si="73">SUM(D230:D233)</f>
        <v>525678</v>
      </c>
    </row>
    <row r="230" spans="1:4" ht="15.95" customHeight="1" x14ac:dyDescent="0.2">
      <c r="A230" s="26" t="s">
        <v>136</v>
      </c>
      <c r="B230" s="92"/>
      <c r="C230" s="92"/>
      <c r="D230" s="92"/>
    </row>
    <row r="231" spans="1:4" ht="15.95" customHeight="1" x14ac:dyDescent="0.2">
      <c r="A231" s="26" t="s">
        <v>139</v>
      </c>
      <c r="B231" s="92"/>
      <c r="C231" s="92"/>
      <c r="D231" s="92"/>
    </row>
    <row r="232" spans="1:4" ht="15.95" customHeight="1" x14ac:dyDescent="0.2">
      <c r="A232" s="26" t="s">
        <v>115</v>
      </c>
      <c r="B232" s="92">
        <v>1145322</v>
      </c>
      <c r="C232" s="92"/>
      <c r="D232" s="92">
        <v>525678</v>
      </c>
    </row>
    <row r="233" spans="1:4" ht="15.95" customHeight="1" x14ac:dyDescent="0.2">
      <c r="A233" s="26" t="s">
        <v>116</v>
      </c>
      <c r="B233" s="92"/>
      <c r="C233" s="92"/>
      <c r="D233" s="92"/>
    </row>
    <row r="234" spans="1:4" ht="15.95" customHeight="1" x14ac:dyDescent="0.2">
      <c r="A234" s="28" t="s">
        <v>95</v>
      </c>
      <c r="B234" s="91"/>
      <c r="C234" s="91"/>
      <c r="D234" s="91"/>
    </row>
    <row r="235" spans="1:4" ht="15.95" customHeight="1" x14ac:dyDescent="0.2">
      <c r="A235" s="26" t="s">
        <v>117</v>
      </c>
      <c r="B235" s="92"/>
      <c r="C235" s="92"/>
      <c r="D235" s="92"/>
    </row>
    <row r="236" spans="1:4" ht="15.95" customHeight="1" x14ac:dyDescent="0.2">
      <c r="A236" s="30" t="s">
        <v>325</v>
      </c>
      <c r="B236" s="93">
        <f>+B222+B229</f>
        <v>3145322</v>
      </c>
      <c r="C236" s="93">
        <f t="shared" ref="C236:D236" si="74">+C222+C229</f>
        <v>6839200</v>
      </c>
      <c r="D236" s="93">
        <f t="shared" si="74"/>
        <v>7273206</v>
      </c>
    </row>
    <row r="238" spans="1:4" ht="25.5" x14ac:dyDescent="0.2">
      <c r="A238" s="35" t="s">
        <v>329</v>
      </c>
      <c r="B238" s="36">
        <v>2020</v>
      </c>
      <c r="C238" s="36">
        <v>2021</v>
      </c>
      <c r="D238" s="36">
        <v>2022</v>
      </c>
    </row>
    <row r="239" spans="1:4" ht="15.95" customHeight="1" x14ac:dyDescent="0.2">
      <c r="A239" s="28" t="s">
        <v>118</v>
      </c>
      <c r="B239" s="91">
        <f>SUM(B240:B245)</f>
        <v>2573633</v>
      </c>
      <c r="C239" s="91">
        <f t="shared" ref="C239" si="75">SUM(C240:C245)</f>
        <v>9087016</v>
      </c>
      <c r="D239" s="91">
        <f t="shared" ref="D239" si="76">SUM(D240:D245)</f>
        <v>6747528</v>
      </c>
    </row>
    <row r="240" spans="1:4" ht="15.95" customHeight="1" x14ac:dyDescent="0.2">
      <c r="A240" s="26" t="s">
        <v>107</v>
      </c>
      <c r="B240" s="92"/>
      <c r="C240" s="92"/>
      <c r="D240" s="92"/>
    </row>
    <row r="241" spans="1:4" ht="15.95" customHeight="1" x14ac:dyDescent="0.2">
      <c r="A241" s="26" t="s">
        <v>108</v>
      </c>
      <c r="B241" s="92"/>
      <c r="C241" s="92"/>
      <c r="D241" s="92"/>
    </row>
    <row r="242" spans="1:4" ht="15.95" customHeight="1" x14ac:dyDescent="0.2">
      <c r="A242" s="26" t="s">
        <v>109</v>
      </c>
      <c r="B242" s="92"/>
      <c r="C242" s="92"/>
      <c r="D242" s="92"/>
    </row>
    <row r="243" spans="1:4" ht="15.95" customHeight="1" x14ac:dyDescent="0.2">
      <c r="A243" s="26" t="s">
        <v>110</v>
      </c>
      <c r="B243" s="92">
        <v>2224198</v>
      </c>
      <c r="C243" s="92">
        <v>7339445</v>
      </c>
      <c r="D243" s="92">
        <v>6747528</v>
      </c>
    </row>
    <row r="244" spans="1:4" ht="15.95" customHeight="1" x14ac:dyDescent="0.2">
      <c r="A244" s="26" t="s">
        <v>137</v>
      </c>
      <c r="B244" s="92"/>
      <c r="C244" s="92">
        <v>1731546</v>
      </c>
      <c r="D244" s="92"/>
    </row>
    <row r="245" spans="1:4" ht="15.95" customHeight="1" x14ac:dyDescent="0.2">
      <c r="A245" s="26" t="s">
        <v>138</v>
      </c>
      <c r="B245" s="92">
        <v>349435</v>
      </c>
      <c r="C245" s="92">
        <v>16025</v>
      </c>
      <c r="D245" s="92"/>
    </row>
    <row r="246" spans="1:4" ht="15.95" customHeight="1" x14ac:dyDescent="0.2">
      <c r="A246" s="28" t="s">
        <v>106</v>
      </c>
      <c r="B246" s="91">
        <f>SUM(B247:B250)</f>
        <v>4485787</v>
      </c>
      <c r="C246" s="91">
        <f t="shared" ref="C246" si="77">SUM(C247:C250)</f>
        <v>30598383</v>
      </c>
      <c r="D246" s="91">
        <f t="shared" ref="D246" si="78">SUM(D247:D250)</f>
        <v>525678</v>
      </c>
    </row>
    <row r="247" spans="1:4" ht="15.95" customHeight="1" x14ac:dyDescent="0.2">
      <c r="A247" s="26" t="s">
        <v>136</v>
      </c>
      <c r="B247" s="92"/>
      <c r="C247" s="92">
        <v>25484901</v>
      </c>
      <c r="D247" s="92"/>
    </row>
    <row r="248" spans="1:4" ht="15.95" customHeight="1" x14ac:dyDescent="0.2">
      <c r="A248" s="26" t="s">
        <v>139</v>
      </c>
      <c r="B248" s="92"/>
      <c r="C248" s="92"/>
      <c r="D248" s="92"/>
    </row>
    <row r="249" spans="1:4" ht="15.95" customHeight="1" x14ac:dyDescent="0.2">
      <c r="A249" s="26" t="s">
        <v>115</v>
      </c>
      <c r="B249" s="92">
        <v>4485787</v>
      </c>
      <c r="C249" s="92">
        <v>5113482</v>
      </c>
      <c r="D249" s="92">
        <v>525678</v>
      </c>
    </row>
    <row r="250" spans="1:4" ht="15.95" customHeight="1" x14ac:dyDescent="0.2">
      <c r="A250" s="26" t="s">
        <v>116</v>
      </c>
      <c r="B250" s="92"/>
      <c r="C250" s="92"/>
      <c r="D250" s="92"/>
    </row>
    <row r="251" spans="1:4" ht="15.95" customHeight="1" x14ac:dyDescent="0.2">
      <c r="A251" s="28" t="s">
        <v>95</v>
      </c>
      <c r="B251" s="91"/>
      <c r="C251" s="91"/>
      <c r="D251" s="91"/>
    </row>
    <row r="252" spans="1:4" ht="15.95" customHeight="1" x14ac:dyDescent="0.2">
      <c r="A252" s="26" t="s">
        <v>117</v>
      </c>
      <c r="B252" s="92"/>
      <c r="C252" s="92"/>
      <c r="D252" s="92"/>
    </row>
    <row r="253" spans="1:4" ht="15.95" customHeight="1" x14ac:dyDescent="0.2">
      <c r="A253" s="30" t="s">
        <v>326</v>
      </c>
      <c r="B253" s="93">
        <f>+B239+B246</f>
        <v>7059420</v>
      </c>
      <c r="C253" s="93">
        <f t="shared" ref="C253:D253" si="79">+C239+C246</f>
        <v>39685399</v>
      </c>
      <c r="D253" s="93">
        <f t="shared" si="79"/>
        <v>7273206</v>
      </c>
    </row>
    <row r="255" spans="1:4" ht="25.5" x14ac:dyDescent="0.2">
      <c r="A255" s="35" t="s">
        <v>328</v>
      </c>
      <c r="B255" s="36">
        <v>2020</v>
      </c>
      <c r="C255" s="36">
        <v>2021</v>
      </c>
      <c r="D255" s="36">
        <v>2022</v>
      </c>
    </row>
    <row r="256" spans="1:4" ht="15.95" customHeight="1" x14ac:dyDescent="0.2">
      <c r="A256" s="28" t="s">
        <v>118</v>
      </c>
      <c r="B256" s="91">
        <f>SUM(B257:B262)</f>
        <v>1741229</v>
      </c>
      <c r="C256" s="91">
        <f t="shared" ref="C256" si="80">SUM(C257:C262)</f>
        <v>9087016</v>
      </c>
      <c r="D256" s="91">
        <f t="shared" ref="D256" si="81">SUM(D257:D262)</f>
        <v>6747528</v>
      </c>
    </row>
    <row r="257" spans="1:4" ht="15.95" customHeight="1" x14ac:dyDescent="0.2">
      <c r="A257" s="26" t="s">
        <v>107</v>
      </c>
      <c r="B257" s="92"/>
      <c r="C257" s="92"/>
      <c r="D257" s="92"/>
    </row>
    <row r="258" spans="1:4" ht="15.95" customHeight="1" x14ac:dyDescent="0.2">
      <c r="A258" s="26" t="s">
        <v>108</v>
      </c>
      <c r="B258" s="92"/>
      <c r="C258" s="92"/>
      <c r="D258" s="92"/>
    </row>
    <row r="259" spans="1:4" ht="15.95" customHeight="1" x14ac:dyDescent="0.2">
      <c r="A259" s="26" t="s">
        <v>109</v>
      </c>
      <c r="B259" s="92"/>
      <c r="C259" s="92"/>
      <c r="D259" s="92"/>
    </row>
    <row r="260" spans="1:4" ht="15.95" customHeight="1" x14ac:dyDescent="0.2">
      <c r="A260" s="26" t="s">
        <v>110</v>
      </c>
      <c r="B260" s="92">
        <v>1608135</v>
      </c>
      <c r="C260" s="92">
        <v>7339445</v>
      </c>
      <c r="D260" s="92">
        <v>6747528</v>
      </c>
    </row>
    <row r="261" spans="1:4" ht="15.95" customHeight="1" x14ac:dyDescent="0.2">
      <c r="A261" s="26" t="s">
        <v>137</v>
      </c>
      <c r="B261" s="92"/>
      <c r="C261" s="92">
        <v>1731546</v>
      </c>
      <c r="D261" s="92"/>
    </row>
    <row r="262" spans="1:4" ht="15.95" customHeight="1" x14ac:dyDescent="0.2">
      <c r="A262" s="26" t="s">
        <v>138</v>
      </c>
      <c r="B262" s="92">
        <v>133094</v>
      </c>
      <c r="C262" s="92">
        <v>16025</v>
      </c>
      <c r="D262" s="92"/>
    </row>
    <row r="263" spans="1:4" ht="15.95" customHeight="1" x14ac:dyDescent="0.2">
      <c r="A263" s="28" t="s">
        <v>106</v>
      </c>
      <c r="B263" s="91">
        <f>SUM(B264:B267)</f>
        <v>1505665</v>
      </c>
      <c r="C263" s="91">
        <f t="shared" ref="C263" si="82">SUM(C264:C267)</f>
        <v>28680746</v>
      </c>
      <c r="D263" s="91">
        <f t="shared" ref="D263" si="83">SUM(D264:D267)</f>
        <v>525678</v>
      </c>
    </row>
    <row r="264" spans="1:4" ht="15.95" customHeight="1" x14ac:dyDescent="0.2">
      <c r="A264" s="26" t="s">
        <v>136</v>
      </c>
      <c r="B264" s="92"/>
      <c r="C264" s="92">
        <v>25484901</v>
      </c>
      <c r="D264" s="92"/>
    </row>
    <row r="265" spans="1:4" ht="15.95" customHeight="1" x14ac:dyDescent="0.2">
      <c r="A265" s="26" t="s">
        <v>139</v>
      </c>
      <c r="B265" s="92"/>
      <c r="C265" s="92"/>
      <c r="D265" s="92"/>
    </row>
    <row r="266" spans="1:4" ht="15.95" customHeight="1" x14ac:dyDescent="0.2">
      <c r="A266" s="26" t="s">
        <v>115</v>
      </c>
      <c r="B266" s="92">
        <v>1505665</v>
      </c>
      <c r="C266" s="92">
        <v>3195845</v>
      </c>
      <c r="D266" s="92">
        <v>525678</v>
      </c>
    </row>
    <row r="267" spans="1:4" ht="15.95" customHeight="1" x14ac:dyDescent="0.2">
      <c r="A267" s="26" t="s">
        <v>116</v>
      </c>
      <c r="B267" s="92"/>
      <c r="C267" s="92"/>
      <c r="D267" s="92"/>
    </row>
    <row r="268" spans="1:4" ht="15.95" customHeight="1" x14ac:dyDescent="0.2">
      <c r="A268" s="28" t="s">
        <v>95</v>
      </c>
      <c r="B268" s="91"/>
      <c r="C268" s="91"/>
      <c r="D268" s="91"/>
    </row>
    <row r="269" spans="1:4" ht="15.95" customHeight="1" x14ac:dyDescent="0.2">
      <c r="A269" s="26" t="s">
        <v>117</v>
      </c>
      <c r="B269" s="92"/>
      <c r="C269" s="92"/>
      <c r="D269" s="92"/>
    </row>
    <row r="270" spans="1:4" ht="15.95" customHeight="1" x14ac:dyDescent="0.2">
      <c r="A270" s="30" t="s">
        <v>327</v>
      </c>
      <c r="B270" s="93">
        <f>+B256+B263</f>
        <v>3246894</v>
      </c>
      <c r="C270" s="93">
        <f t="shared" ref="C270:D270" si="84">+C256+C263</f>
        <v>37767762</v>
      </c>
      <c r="D270" s="93">
        <f t="shared" si="84"/>
        <v>7273206</v>
      </c>
    </row>
    <row r="274" spans="1:4" x14ac:dyDescent="0.2">
      <c r="A274" s="15" t="s">
        <v>464</v>
      </c>
    </row>
    <row r="275" spans="1:4" ht="25.5" x14ac:dyDescent="0.2">
      <c r="A275" s="35" t="s">
        <v>330</v>
      </c>
      <c r="B275" s="36">
        <v>2020</v>
      </c>
      <c r="C275" s="36">
        <v>2021</v>
      </c>
      <c r="D275" s="36">
        <v>2022</v>
      </c>
    </row>
    <row r="276" spans="1:4" ht="15.95" customHeight="1" x14ac:dyDescent="0.2">
      <c r="A276" s="28" t="s">
        <v>118</v>
      </c>
      <c r="B276" s="91">
        <f>SUM(B277:B282)</f>
        <v>0</v>
      </c>
      <c r="C276" s="91">
        <f t="shared" ref="C276" si="85">SUM(C277:C282)</f>
        <v>0</v>
      </c>
      <c r="D276" s="91">
        <f t="shared" ref="D276" si="86">SUM(D277:D282)</f>
        <v>0</v>
      </c>
    </row>
    <row r="277" spans="1:4" ht="15.95" customHeight="1" x14ac:dyDescent="0.2">
      <c r="A277" s="26" t="s">
        <v>107</v>
      </c>
      <c r="B277" s="92"/>
      <c r="C277" s="92"/>
      <c r="D277" s="92"/>
    </row>
    <row r="278" spans="1:4" ht="15.95" customHeight="1" x14ac:dyDescent="0.2">
      <c r="A278" s="26" t="s">
        <v>108</v>
      </c>
      <c r="B278" s="92"/>
      <c r="C278" s="92"/>
      <c r="D278" s="92"/>
    </row>
    <row r="279" spans="1:4" ht="15.95" customHeight="1" x14ac:dyDescent="0.2">
      <c r="A279" s="26" t="s">
        <v>109</v>
      </c>
      <c r="B279" s="92"/>
      <c r="C279" s="92"/>
      <c r="D279" s="92"/>
    </row>
    <row r="280" spans="1:4" ht="15.95" customHeight="1" x14ac:dyDescent="0.2">
      <c r="A280" s="26" t="s">
        <v>110</v>
      </c>
      <c r="B280" s="92"/>
      <c r="C280" s="92"/>
      <c r="D280" s="92"/>
    </row>
    <row r="281" spans="1:4" ht="15.95" customHeight="1" x14ac:dyDescent="0.2">
      <c r="A281" s="26" t="s">
        <v>137</v>
      </c>
      <c r="B281" s="92"/>
      <c r="C281" s="92"/>
      <c r="D281" s="92"/>
    </row>
    <row r="282" spans="1:4" ht="15.95" customHeight="1" x14ac:dyDescent="0.2">
      <c r="A282" s="26" t="s">
        <v>138</v>
      </c>
      <c r="B282" s="92"/>
      <c r="C282" s="92"/>
      <c r="D282" s="92"/>
    </row>
    <row r="283" spans="1:4" ht="15.95" customHeight="1" x14ac:dyDescent="0.2">
      <c r="A283" s="28" t="s">
        <v>106</v>
      </c>
      <c r="B283" s="91">
        <f>SUM(B284:B287)</f>
        <v>220695723</v>
      </c>
      <c r="C283" s="91">
        <f t="shared" ref="C283" si="87">SUM(C284:C287)</f>
        <v>104442335</v>
      </c>
      <c r="D283" s="91">
        <f t="shared" ref="D283" si="88">SUM(D284:D287)</f>
        <v>120000000</v>
      </c>
    </row>
    <row r="284" spans="1:4" ht="15.95" customHeight="1" x14ac:dyDescent="0.2">
      <c r="A284" s="26" t="s">
        <v>136</v>
      </c>
      <c r="B284" s="92"/>
      <c r="C284" s="92"/>
      <c r="D284" s="92"/>
    </row>
    <row r="285" spans="1:4" ht="15.95" customHeight="1" x14ac:dyDescent="0.2">
      <c r="A285" s="26" t="s">
        <v>139</v>
      </c>
      <c r="B285" s="92"/>
      <c r="C285" s="92"/>
      <c r="D285" s="92"/>
    </row>
    <row r="286" spans="1:4" ht="15.95" customHeight="1" x14ac:dyDescent="0.2">
      <c r="A286" s="26" t="s">
        <v>115</v>
      </c>
      <c r="B286" s="92">
        <v>220695723</v>
      </c>
      <c r="C286" s="92">
        <v>104442335</v>
      </c>
      <c r="D286" s="92">
        <v>120000000</v>
      </c>
    </row>
    <row r="287" spans="1:4" ht="15.95" customHeight="1" x14ac:dyDescent="0.2">
      <c r="A287" s="26" t="s">
        <v>116</v>
      </c>
      <c r="B287" s="92"/>
      <c r="C287" s="92"/>
      <c r="D287" s="92"/>
    </row>
    <row r="288" spans="1:4" ht="15.95" customHeight="1" x14ac:dyDescent="0.2">
      <c r="A288" s="28" t="s">
        <v>95</v>
      </c>
      <c r="B288" s="91"/>
      <c r="C288" s="91"/>
      <c r="D288" s="91"/>
    </row>
    <row r="289" spans="1:4" ht="15.95" customHeight="1" x14ac:dyDescent="0.2">
      <c r="A289" s="26" t="s">
        <v>117</v>
      </c>
      <c r="B289" s="92"/>
      <c r="C289" s="92"/>
      <c r="D289" s="92"/>
    </row>
    <row r="290" spans="1:4" ht="15.95" customHeight="1" x14ac:dyDescent="0.2">
      <c r="A290" s="30" t="s">
        <v>325</v>
      </c>
      <c r="B290" s="93">
        <f>+B276+B283</f>
        <v>220695723</v>
      </c>
      <c r="C290" s="93">
        <f t="shared" ref="C290:D290" si="89">+C276+C283</f>
        <v>104442335</v>
      </c>
      <c r="D290" s="93">
        <f t="shared" si="89"/>
        <v>120000000</v>
      </c>
    </row>
    <row r="292" spans="1:4" ht="25.5" x14ac:dyDescent="0.2">
      <c r="A292" s="35" t="s">
        <v>329</v>
      </c>
      <c r="B292" s="36">
        <v>2020</v>
      </c>
      <c r="C292" s="36">
        <v>2021</v>
      </c>
      <c r="D292" s="36">
        <v>2022</v>
      </c>
    </row>
    <row r="293" spans="1:4" ht="15.95" customHeight="1" x14ac:dyDescent="0.2">
      <c r="A293" s="28" t="s">
        <v>118</v>
      </c>
      <c r="B293" s="91">
        <f>SUM(B294:B299)</f>
        <v>34665600</v>
      </c>
      <c r="C293" s="91">
        <f t="shared" ref="C293" si="90">SUM(C294:C299)</f>
        <v>21587911</v>
      </c>
      <c r="D293" s="91">
        <f t="shared" ref="D293" si="91">SUM(D294:D299)</f>
        <v>0</v>
      </c>
    </row>
    <row r="294" spans="1:4" ht="15.95" customHeight="1" x14ac:dyDescent="0.2">
      <c r="A294" s="26" t="s">
        <v>107</v>
      </c>
      <c r="B294" s="92"/>
      <c r="C294" s="92"/>
      <c r="D294" s="92"/>
    </row>
    <row r="295" spans="1:4" ht="15.95" customHeight="1" x14ac:dyDescent="0.2">
      <c r="A295" s="26" t="s">
        <v>108</v>
      </c>
      <c r="B295" s="92"/>
      <c r="C295" s="92"/>
      <c r="D295" s="92"/>
    </row>
    <row r="296" spans="1:4" ht="15.95" customHeight="1" x14ac:dyDescent="0.2">
      <c r="A296" s="26" t="s">
        <v>109</v>
      </c>
      <c r="B296" s="92"/>
      <c r="C296" s="92"/>
      <c r="D296" s="92"/>
    </row>
    <row r="297" spans="1:4" ht="15.95" customHeight="1" x14ac:dyDescent="0.2">
      <c r="A297" s="26" t="s">
        <v>110</v>
      </c>
      <c r="B297" s="92"/>
      <c r="C297" s="92"/>
      <c r="D297" s="92"/>
    </row>
    <row r="298" spans="1:4" ht="15.95" customHeight="1" x14ac:dyDescent="0.2">
      <c r="A298" s="26" t="s">
        <v>137</v>
      </c>
      <c r="B298" s="92">
        <v>34665600</v>
      </c>
      <c r="C298" s="92">
        <v>21587911</v>
      </c>
      <c r="D298" s="92"/>
    </row>
    <row r="299" spans="1:4" ht="15.95" customHeight="1" x14ac:dyDescent="0.2">
      <c r="A299" s="26" t="s">
        <v>138</v>
      </c>
      <c r="B299" s="92"/>
      <c r="C299" s="92"/>
      <c r="D299" s="92"/>
    </row>
    <row r="300" spans="1:4" ht="15.95" customHeight="1" x14ac:dyDescent="0.2">
      <c r="A300" s="28" t="s">
        <v>106</v>
      </c>
      <c r="B300" s="91">
        <f>SUM(B301:B304)</f>
        <v>386030103</v>
      </c>
      <c r="C300" s="91">
        <f t="shared" ref="C300" si="92">SUM(C301:C304)</f>
        <v>101885341</v>
      </c>
      <c r="D300" s="91">
        <f t="shared" ref="D300" si="93">SUM(D301:D304)</f>
        <v>120000000</v>
      </c>
    </row>
    <row r="301" spans="1:4" ht="15.95" customHeight="1" x14ac:dyDescent="0.2">
      <c r="A301" s="26" t="s">
        <v>136</v>
      </c>
      <c r="B301" s="92">
        <v>222837641</v>
      </c>
      <c r="C301" s="92"/>
      <c r="D301" s="92"/>
    </row>
    <row r="302" spans="1:4" ht="15.95" customHeight="1" x14ac:dyDescent="0.2">
      <c r="A302" s="26" t="s">
        <v>139</v>
      </c>
      <c r="B302" s="92"/>
      <c r="C302" s="92"/>
      <c r="D302" s="92"/>
    </row>
    <row r="303" spans="1:4" ht="15.95" customHeight="1" x14ac:dyDescent="0.2">
      <c r="A303" s="26" t="s">
        <v>115</v>
      </c>
      <c r="B303" s="92">
        <v>163192462</v>
      </c>
      <c r="C303" s="92">
        <v>101885341</v>
      </c>
      <c r="D303" s="92">
        <v>120000000</v>
      </c>
    </row>
    <row r="304" spans="1:4" ht="15.95" customHeight="1" x14ac:dyDescent="0.2">
      <c r="A304" s="26" t="s">
        <v>116</v>
      </c>
      <c r="B304" s="92"/>
      <c r="C304" s="92"/>
      <c r="D304" s="92"/>
    </row>
    <row r="305" spans="1:4" ht="15.95" customHeight="1" x14ac:dyDescent="0.2">
      <c r="A305" s="28" t="s">
        <v>95</v>
      </c>
      <c r="B305" s="91"/>
      <c r="C305" s="91"/>
      <c r="D305" s="91"/>
    </row>
    <row r="306" spans="1:4" ht="15.95" customHeight="1" x14ac:dyDescent="0.2">
      <c r="A306" s="26" t="s">
        <v>117</v>
      </c>
      <c r="B306" s="92"/>
      <c r="C306" s="92"/>
      <c r="D306" s="92"/>
    </row>
    <row r="307" spans="1:4" ht="15.95" customHeight="1" x14ac:dyDescent="0.2">
      <c r="A307" s="30" t="s">
        <v>326</v>
      </c>
      <c r="B307" s="93">
        <f>+B293+B300</f>
        <v>420695703</v>
      </c>
      <c r="C307" s="93">
        <f t="shared" ref="C307:D307" si="94">+C293+C300</f>
        <v>123473252</v>
      </c>
      <c r="D307" s="93">
        <f t="shared" si="94"/>
        <v>120000000</v>
      </c>
    </row>
    <row r="309" spans="1:4" ht="25.5" x14ac:dyDescent="0.2">
      <c r="A309" s="35" t="s">
        <v>328</v>
      </c>
      <c r="B309" s="36">
        <v>2020</v>
      </c>
      <c r="C309" s="36">
        <v>2021</v>
      </c>
      <c r="D309" s="36">
        <v>2022</v>
      </c>
    </row>
    <row r="310" spans="1:4" ht="15.95" customHeight="1" x14ac:dyDescent="0.2">
      <c r="A310" s="28" t="s">
        <v>118</v>
      </c>
      <c r="B310" s="91">
        <f>SUM(B311:B316)</f>
        <v>34665600</v>
      </c>
      <c r="C310" s="91">
        <f t="shared" ref="C310" si="95">SUM(C311:C316)</f>
        <v>0</v>
      </c>
      <c r="D310" s="91">
        <f t="shared" ref="D310" si="96">SUM(D311:D316)</f>
        <v>0</v>
      </c>
    </row>
    <row r="311" spans="1:4" ht="15.95" customHeight="1" x14ac:dyDescent="0.2">
      <c r="A311" s="26" t="s">
        <v>107</v>
      </c>
      <c r="B311" s="92"/>
      <c r="C311" s="92"/>
      <c r="D311" s="92"/>
    </row>
    <row r="312" spans="1:4" ht="15.95" customHeight="1" x14ac:dyDescent="0.2">
      <c r="A312" s="26" t="s">
        <v>108</v>
      </c>
      <c r="B312" s="92"/>
      <c r="C312" s="92"/>
      <c r="D312" s="92"/>
    </row>
    <row r="313" spans="1:4" ht="15.95" customHeight="1" x14ac:dyDescent="0.2">
      <c r="A313" s="26" t="s">
        <v>109</v>
      </c>
      <c r="B313" s="92"/>
      <c r="C313" s="92"/>
      <c r="D313" s="92"/>
    </row>
    <row r="314" spans="1:4" ht="15.95" customHeight="1" x14ac:dyDescent="0.2">
      <c r="A314" s="26" t="s">
        <v>110</v>
      </c>
      <c r="B314" s="92"/>
      <c r="C314" s="92"/>
      <c r="D314" s="92"/>
    </row>
    <row r="315" spans="1:4" ht="15.95" customHeight="1" x14ac:dyDescent="0.2">
      <c r="A315" s="26" t="s">
        <v>137</v>
      </c>
      <c r="B315" s="92">
        <v>34665600</v>
      </c>
      <c r="C315" s="92"/>
      <c r="D315" s="92"/>
    </row>
    <row r="316" spans="1:4" ht="15.95" customHeight="1" x14ac:dyDescent="0.2">
      <c r="A316" s="26" t="s">
        <v>138</v>
      </c>
      <c r="B316" s="92"/>
      <c r="C316" s="92"/>
      <c r="D316" s="92"/>
    </row>
    <row r="317" spans="1:4" ht="15.95" customHeight="1" x14ac:dyDescent="0.2">
      <c r="A317" s="28" t="s">
        <v>106</v>
      </c>
      <c r="B317" s="91">
        <f>SUM(B318:B321)</f>
        <v>250010081</v>
      </c>
      <c r="C317" s="91">
        <f t="shared" ref="C317" si="97">SUM(C318:C321)</f>
        <v>118170261</v>
      </c>
      <c r="D317" s="91">
        <f t="shared" ref="D317" si="98">SUM(D318:D321)</f>
        <v>120000000</v>
      </c>
    </row>
    <row r="318" spans="1:4" ht="15.95" customHeight="1" x14ac:dyDescent="0.2">
      <c r="A318" s="26" t="s">
        <v>136</v>
      </c>
      <c r="B318" s="92">
        <v>222837641</v>
      </c>
      <c r="C318" s="92">
        <v>17947911</v>
      </c>
      <c r="D318" s="92"/>
    </row>
    <row r="319" spans="1:4" ht="15.95" customHeight="1" x14ac:dyDescent="0.2">
      <c r="A319" s="26" t="s">
        <v>139</v>
      </c>
      <c r="B319" s="92"/>
      <c r="C319" s="92"/>
      <c r="D319" s="92"/>
    </row>
    <row r="320" spans="1:4" ht="15.95" customHeight="1" x14ac:dyDescent="0.2">
      <c r="A320" s="26" t="s">
        <v>115</v>
      </c>
      <c r="B320" s="92">
        <v>27172440</v>
      </c>
      <c r="C320" s="92">
        <v>100222350</v>
      </c>
      <c r="D320" s="92">
        <v>120000000</v>
      </c>
    </row>
    <row r="321" spans="1:4" ht="15.95" customHeight="1" x14ac:dyDescent="0.2">
      <c r="A321" s="26" t="s">
        <v>116</v>
      </c>
      <c r="B321" s="92"/>
      <c r="C321" s="92"/>
      <c r="D321" s="92"/>
    </row>
    <row r="322" spans="1:4" ht="15.95" customHeight="1" x14ac:dyDescent="0.2">
      <c r="A322" s="28" t="s">
        <v>95</v>
      </c>
      <c r="B322" s="91"/>
      <c r="C322" s="91"/>
      <c r="D322" s="91"/>
    </row>
    <row r="323" spans="1:4" ht="15.95" customHeight="1" x14ac:dyDescent="0.2">
      <c r="A323" s="26" t="s">
        <v>117</v>
      </c>
      <c r="B323" s="92"/>
      <c r="C323" s="92"/>
      <c r="D323" s="92"/>
    </row>
    <row r="324" spans="1:4" ht="15.95" customHeight="1" x14ac:dyDescent="0.2">
      <c r="A324" s="30" t="s">
        <v>327</v>
      </c>
      <c r="B324" s="93">
        <f>+B310+B317</f>
        <v>284675681</v>
      </c>
      <c r="C324" s="93">
        <f t="shared" ref="C324:D324" si="99">+C310+C317</f>
        <v>118170261</v>
      </c>
      <c r="D324" s="93">
        <f t="shared" si="99"/>
        <v>120000000</v>
      </c>
    </row>
  </sheetData>
  <pageMargins left="0.70866141732283472" right="0.51181102362204722" top="0.74803149606299213" bottom="0.74803149606299213" header="0.31496062992125984" footer="0.31496062992125984"/>
  <pageSetup paperSize="9" scale="75" orientation="portrait" r:id="rId1"/>
  <headerFooter>
    <oddHeader xml:space="preserve">&amp;C&amp;"Arial,Negrita"&amp;18PROYECTO DE PRESUPUESTO 2022
</oddHeader>
    <oddFooter>&amp;L&amp;"Arial,Negrita"&amp;8PROYECTO DE PRESUPUESTO PARA EL AÑO FISCAL 2022
INFORMACIÓN PARA LA COMISIÓN DE PRESUPUESTO Y CUENTA GENERAL DE LA REPÚBLICA DEL CONGRESO DE LA REPÚBLICA</oddFooter>
  </headerFooter>
  <rowBreaks count="5" manualBreakCount="5">
    <brk id="56" max="16383" man="1"/>
    <brk id="110" max="16383" man="1"/>
    <brk id="164" max="16383" man="1"/>
    <brk id="218" max="16383" man="1"/>
    <brk id="272" max="16383" man="1"/>
  </rowBreaks>
  <ignoredErrors>
    <ignoredError sqref="B13 B30 B28 C13:D13 C28:D28 B47:D47"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8">
    <tabColor rgb="FF7030A0"/>
  </sheetPr>
  <dimension ref="A1:W56"/>
  <sheetViews>
    <sheetView showGridLines="0" view="pageBreakPreview" zoomScaleNormal="100" zoomScaleSheetLayoutView="100" workbookViewId="0"/>
  </sheetViews>
  <sheetFormatPr baseColWidth="10" defaultColWidth="11.28515625" defaultRowHeight="11.25" x14ac:dyDescent="0.2"/>
  <cols>
    <col min="1" max="1" width="46.7109375" style="20" customWidth="1"/>
    <col min="2" max="2" width="48.5703125" style="20" customWidth="1"/>
    <col min="3" max="3" width="5" style="20" customWidth="1"/>
    <col min="4" max="4" width="12.140625" style="20" bestFit="1" customWidth="1"/>
    <col min="5" max="5" width="11.28515625" style="20" bestFit="1" customWidth="1"/>
    <col min="6" max="6" width="12.85546875" style="20" bestFit="1" customWidth="1"/>
    <col min="7" max="7" width="12.140625" style="20" bestFit="1" customWidth="1"/>
    <col min="8" max="8" width="10" style="20" bestFit="1" customWidth="1"/>
    <col min="9" max="9" width="12.85546875" style="20" bestFit="1" customWidth="1"/>
    <col min="10" max="11" width="5" style="20" customWidth="1"/>
    <col min="12" max="12" width="12.85546875" style="20" bestFit="1" customWidth="1"/>
    <col min="13" max="13" width="5" style="20" customWidth="1"/>
    <col min="14" max="14" width="12.85546875" style="20" bestFit="1" customWidth="1"/>
    <col min="15" max="16" width="5" style="20" customWidth="1"/>
    <col min="17" max="17" width="12.85546875" style="20" bestFit="1" customWidth="1"/>
    <col min="18" max="18" width="5" style="20" customWidth="1"/>
    <col min="19" max="16384" width="11.28515625" style="20"/>
  </cols>
  <sheetData>
    <row r="1" spans="1:23" s="19" customFormat="1" ht="15" x14ac:dyDescent="0.25">
      <c r="A1" s="89" t="s">
        <v>390</v>
      </c>
      <c r="B1" s="13"/>
      <c r="C1" s="37"/>
      <c r="D1" s="37"/>
      <c r="E1" s="37"/>
      <c r="F1" s="37"/>
      <c r="G1" s="37"/>
      <c r="H1" s="38"/>
      <c r="I1" s="38"/>
      <c r="J1" s="38"/>
      <c r="K1" s="38"/>
      <c r="L1" s="38"/>
      <c r="M1" s="38"/>
      <c r="N1" s="38"/>
      <c r="O1" s="38"/>
      <c r="P1" s="38"/>
      <c r="Q1" s="38"/>
      <c r="R1" s="38"/>
    </row>
    <row r="2" spans="1:23" s="19" customFormat="1" ht="15" x14ac:dyDescent="0.2">
      <c r="A2" s="90" t="s">
        <v>458</v>
      </c>
      <c r="B2" s="15"/>
      <c r="C2" s="15"/>
      <c r="D2" s="15"/>
      <c r="E2" s="15"/>
      <c r="F2" s="15"/>
      <c r="G2" s="15"/>
      <c r="H2" s="15"/>
      <c r="I2" s="15"/>
      <c r="J2" s="15"/>
      <c r="K2" s="15"/>
      <c r="L2" s="15"/>
      <c r="M2" s="15"/>
      <c r="N2" s="15"/>
      <c r="O2" s="15"/>
      <c r="P2" s="15"/>
      <c r="Q2" s="15"/>
      <c r="R2" s="15"/>
      <c r="S2" s="18"/>
      <c r="T2" s="18"/>
      <c r="U2" s="18"/>
      <c r="V2" s="18"/>
      <c r="W2" s="18"/>
    </row>
    <row r="3" spans="1:23" s="19" customFormat="1" ht="15" x14ac:dyDescent="0.2">
      <c r="A3" s="90"/>
      <c r="B3" s="101"/>
      <c r="C3" s="101"/>
      <c r="D3" s="101"/>
      <c r="E3" s="101"/>
      <c r="F3" s="101"/>
      <c r="G3" s="101"/>
      <c r="H3" s="101"/>
      <c r="I3" s="101"/>
      <c r="J3" s="101"/>
      <c r="K3" s="101"/>
      <c r="L3" s="101"/>
      <c r="M3" s="101"/>
      <c r="N3" s="101"/>
      <c r="O3" s="101"/>
      <c r="P3" s="101"/>
      <c r="Q3" s="101"/>
      <c r="R3" s="101"/>
      <c r="S3" s="102"/>
      <c r="T3" s="102"/>
      <c r="U3" s="102"/>
      <c r="V3" s="102"/>
      <c r="W3" s="102"/>
    </row>
    <row r="4" spans="1:23" ht="12.75" thickBot="1" x14ac:dyDescent="0.25">
      <c r="A4" s="210" t="s">
        <v>593</v>
      </c>
      <c r="B4" s="208"/>
      <c r="C4" s="208"/>
      <c r="D4" s="208"/>
      <c r="E4" s="208"/>
      <c r="F4" s="208"/>
      <c r="G4" s="208"/>
      <c r="H4" s="208"/>
      <c r="I4" s="208"/>
      <c r="J4" s="208"/>
      <c r="K4" s="208"/>
      <c r="L4" s="208"/>
      <c r="M4" s="208"/>
      <c r="N4" s="208"/>
      <c r="O4" s="208"/>
      <c r="P4" s="208"/>
      <c r="Q4" s="208"/>
      <c r="R4" s="208"/>
    </row>
    <row r="5" spans="1:23" ht="18" customHeight="1" thickBot="1" x14ac:dyDescent="0.25">
      <c r="A5" s="1438" t="s">
        <v>294</v>
      </c>
      <c r="B5" s="1438" t="s">
        <v>277</v>
      </c>
      <c r="C5" s="1440" t="s">
        <v>118</v>
      </c>
      <c r="D5" s="1444"/>
      <c r="E5" s="1444"/>
      <c r="F5" s="1444"/>
      <c r="G5" s="1444"/>
      <c r="H5" s="1444"/>
      <c r="I5" s="1441"/>
      <c r="J5" s="1440" t="s">
        <v>106</v>
      </c>
      <c r="K5" s="1444"/>
      <c r="L5" s="1444"/>
      <c r="M5" s="1444"/>
      <c r="N5" s="1441"/>
      <c r="O5" s="1440" t="s">
        <v>95</v>
      </c>
      <c r="P5" s="1441"/>
      <c r="Q5" s="1440" t="s">
        <v>0</v>
      </c>
      <c r="R5" s="1441"/>
    </row>
    <row r="6" spans="1:23" ht="141.75" customHeight="1" thickBot="1" x14ac:dyDescent="0.25">
      <c r="A6" s="1439"/>
      <c r="B6" s="1439"/>
      <c r="C6" s="213" t="s">
        <v>107</v>
      </c>
      <c r="D6" s="214" t="s">
        <v>108</v>
      </c>
      <c r="E6" s="214" t="s">
        <v>109</v>
      </c>
      <c r="F6" s="214" t="s">
        <v>110</v>
      </c>
      <c r="G6" s="214" t="s">
        <v>111</v>
      </c>
      <c r="H6" s="214" t="s">
        <v>112</v>
      </c>
      <c r="I6" s="215" t="s">
        <v>103</v>
      </c>
      <c r="J6" s="213" t="s">
        <v>113</v>
      </c>
      <c r="K6" s="214" t="s">
        <v>114</v>
      </c>
      <c r="L6" s="214" t="s">
        <v>115</v>
      </c>
      <c r="M6" s="214" t="s">
        <v>116</v>
      </c>
      <c r="N6" s="215" t="s">
        <v>104</v>
      </c>
      <c r="O6" s="213" t="s">
        <v>117</v>
      </c>
      <c r="P6" s="215" t="s">
        <v>105</v>
      </c>
      <c r="Q6" s="216" t="s">
        <v>140</v>
      </c>
      <c r="R6" s="217" t="s">
        <v>94</v>
      </c>
    </row>
    <row r="7" spans="1:23" ht="30" customHeight="1" x14ac:dyDescent="0.2">
      <c r="A7" s="1442" t="s">
        <v>587</v>
      </c>
      <c r="B7" s="218" t="s">
        <v>586</v>
      </c>
      <c r="C7" s="219"/>
      <c r="D7" s="220">
        <v>12643077</v>
      </c>
      <c r="E7" s="220">
        <v>7325213</v>
      </c>
      <c r="F7" s="220">
        <v>133943345</v>
      </c>
      <c r="G7" s="220">
        <v>29351147</v>
      </c>
      <c r="H7" s="220">
        <v>54800</v>
      </c>
      <c r="I7" s="221">
        <v>183317582</v>
      </c>
      <c r="J7" s="219"/>
      <c r="K7" s="222"/>
      <c r="L7" s="223">
        <v>0</v>
      </c>
      <c r="M7" s="222"/>
      <c r="N7" s="224">
        <v>0</v>
      </c>
      <c r="O7" s="219"/>
      <c r="P7" s="221"/>
      <c r="Q7" s="219">
        <v>183317582</v>
      </c>
      <c r="R7" s="225">
        <v>0.33721707974721821</v>
      </c>
    </row>
    <row r="8" spans="1:23" ht="30" customHeight="1" x14ac:dyDescent="0.2">
      <c r="A8" s="1443"/>
      <c r="B8" s="226" t="s">
        <v>588</v>
      </c>
      <c r="C8" s="227"/>
      <c r="D8" s="220">
        <v>5318077</v>
      </c>
      <c r="E8" s="220">
        <v>486255</v>
      </c>
      <c r="F8" s="220">
        <v>8617711</v>
      </c>
      <c r="G8" s="220">
        <v>0</v>
      </c>
      <c r="H8" s="220">
        <v>63638</v>
      </c>
      <c r="I8" s="221">
        <v>14485681</v>
      </c>
      <c r="J8" s="227"/>
      <c r="K8" s="228"/>
      <c r="L8" s="220">
        <v>240986374</v>
      </c>
      <c r="M8" s="228"/>
      <c r="N8" s="224">
        <v>240986374</v>
      </c>
      <c r="O8" s="227"/>
      <c r="P8" s="229"/>
      <c r="Q8" s="219">
        <v>255472055</v>
      </c>
      <c r="R8" s="225">
        <v>0.4699469598290944</v>
      </c>
    </row>
    <row r="9" spans="1:23" ht="30" customHeight="1" x14ac:dyDescent="0.2">
      <c r="A9" s="226" t="s">
        <v>589</v>
      </c>
      <c r="B9" s="226" t="s">
        <v>590</v>
      </c>
      <c r="C9" s="230"/>
      <c r="D9" s="220">
        <v>22846907</v>
      </c>
      <c r="E9" s="220">
        <v>1363766</v>
      </c>
      <c r="F9" s="220">
        <v>10668856</v>
      </c>
      <c r="G9" s="220">
        <v>387760</v>
      </c>
      <c r="H9" s="220">
        <v>69819</v>
      </c>
      <c r="I9" s="221">
        <v>35337108</v>
      </c>
      <c r="J9" s="230"/>
      <c r="K9" s="231"/>
      <c r="L9" s="220">
        <v>1639022</v>
      </c>
      <c r="M9" s="231"/>
      <c r="N9" s="224">
        <v>1639022</v>
      </c>
      <c r="O9" s="230"/>
      <c r="P9" s="232"/>
      <c r="Q9" s="219">
        <v>36976130</v>
      </c>
      <c r="R9" s="225">
        <v>6.8018476148968124E-2</v>
      </c>
    </row>
    <row r="10" spans="1:23" ht="30" customHeight="1" thickBot="1" x14ac:dyDescent="0.25">
      <c r="A10" s="226" t="s">
        <v>591</v>
      </c>
      <c r="B10" s="226" t="s">
        <v>592</v>
      </c>
      <c r="C10" s="230"/>
      <c r="D10" s="220">
        <v>10398315</v>
      </c>
      <c r="E10" s="220">
        <v>3806337</v>
      </c>
      <c r="F10" s="220">
        <v>49586338</v>
      </c>
      <c r="G10" s="220">
        <v>0</v>
      </c>
      <c r="H10" s="220">
        <v>263253</v>
      </c>
      <c r="I10" s="221">
        <v>64054243</v>
      </c>
      <c r="J10" s="230"/>
      <c r="K10" s="231"/>
      <c r="L10" s="220">
        <v>3798902</v>
      </c>
      <c r="M10" s="231"/>
      <c r="N10" s="224">
        <v>3798902</v>
      </c>
      <c r="O10" s="230"/>
      <c r="P10" s="232"/>
      <c r="Q10" s="219">
        <v>67853145</v>
      </c>
      <c r="R10" s="225">
        <v>0.12481748427471927</v>
      </c>
    </row>
    <row r="11" spans="1:23" ht="30" customHeight="1" thickBot="1" x14ac:dyDescent="0.25">
      <c r="A11" s="233" t="s">
        <v>87</v>
      </c>
      <c r="B11" s="233" t="s">
        <v>87</v>
      </c>
      <c r="C11" s="234"/>
      <c r="D11" s="235">
        <v>51206376</v>
      </c>
      <c r="E11" s="235">
        <v>12981571</v>
      </c>
      <c r="F11" s="235">
        <v>202816250</v>
      </c>
      <c r="G11" s="235">
        <v>29738907</v>
      </c>
      <c r="H11" s="235">
        <v>451510</v>
      </c>
      <c r="I11" s="235">
        <v>297194614</v>
      </c>
      <c r="J11" s="234"/>
      <c r="K11" s="235"/>
      <c r="L11" s="235">
        <v>246424298</v>
      </c>
      <c r="M11" s="235"/>
      <c r="N11" s="235">
        <v>246424298</v>
      </c>
      <c r="O11" s="234"/>
      <c r="P11" s="236"/>
      <c r="Q11" s="235">
        <v>543618912</v>
      </c>
      <c r="R11" s="237">
        <v>1</v>
      </c>
    </row>
    <row r="12" spans="1:23" ht="12" x14ac:dyDescent="0.2">
      <c r="A12" s="238"/>
      <c r="B12" s="238"/>
      <c r="C12" s="239"/>
      <c r="D12" s="240"/>
      <c r="E12" s="241"/>
      <c r="F12" s="241"/>
      <c r="G12" s="241"/>
      <c r="H12" s="241"/>
      <c r="I12" s="241"/>
      <c r="J12" s="241"/>
      <c r="K12" s="241"/>
      <c r="L12" s="241"/>
      <c r="M12" s="241"/>
      <c r="N12" s="241"/>
      <c r="O12" s="241"/>
      <c r="P12" s="241"/>
      <c r="Q12" s="241"/>
      <c r="R12" s="241"/>
    </row>
    <row r="13" spans="1:23" ht="12" x14ac:dyDescent="0.2">
      <c r="A13" s="242"/>
      <c r="B13" s="242"/>
      <c r="C13" s="242"/>
      <c r="D13" s="242"/>
      <c r="E13" s="242"/>
      <c r="F13" s="242"/>
      <c r="G13" s="242"/>
      <c r="H13" s="242"/>
      <c r="I13" s="242"/>
      <c r="J13" s="242"/>
      <c r="K13" s="242"/>
      <c r="L13" s="242"/>
      <c r="M13" s="242"/>
      <c r="N13" s="242"/>
      <c r="O13" s="242"/>
      <c r="P13" s="242"/>
      <c r="Q13" s="242"/>
      <c r="R13" s="242"/>
    </row>
    <row r="14" spans="1:23" ht="12" x14ac:dyDescent="0.2">
      <c r="A14" s="210"/>
      <c r="B14" s="208"/>
      <c r="C14" s="208"/>
      <c r="D14" s="208"/>
      <c r="E14" s="208"/>
      <c r="F14" s="208"/>
      <c r="G14" s="208"/>
      <c r="H14" s="208"/>
      <c r="I14" s="208"/>
      <c r="J14" s="208"/>
      <c r="K14" s="208"/>
      <c r="L14" s="208"/>
      <c r="M14" s="208"/>
      <c r="N14" s="208"/>
      <c r="O14" s="208"/>
      <c r="P14" s="208"/>
      <c r="Q14" s="208"/>
      <c r="R14" s="208"/>
    </row>
    <row r="15" spans="1:23" ht="12.75" thickBot="1" x14ac:dyDescent="0.25">
      <c r="A15" s="210" t="s">
        <v>595</v>
      </c>
      <c r="B15" s="208"/>
      <c r="C15" s="208"/>
      <c r="D15" s="208"/>
      <c r="E15" s="208"/>
      <c r="F15" s="208"/>
      <c r="G15" s="208"/>
      <c r="H15" s="208"/>
      <c r="I15" s="208"/>
      <c r="J15" s="208"/>
      <c r="K15" s="208"/>
      <c r="L15" s="208"/>
      <c r="M15" s="208"/>
      <c r="N15" s="208"/>
      <c r="O15" s="208"/>
      <c r="P15" s="208"/>
      <c r="Q15" s="208"/>
      <c r="R15" s="208"/>
    </row>
    <row r="16" spans="1:23" ht="17.25" customHeight="1" thickBot="1" x14ac:dyDescent="0.25">
      <c r="A16" s="1438" t="s">
        <v>294</v>
      </c>
      <c r="B16" s="1438" t="s">
        <v>277</v>
      </c>
      <c r="C16" s="1440" t="s">
        <v>118</v>
      </c>
      <c r="D16" s="1444"/>
      <c r="E16" s="1444"/>
      <c r="F16" s="1444"/>
      <c r="G16" s="1444"/>
      <c r="H16" s="1444"/>
      <c r="I16" s="1441"/>
      <c r="J16" s="1440" t="s">
        <v>106</v>
      </c>
      <c r="K16" s="1444"/>
      <c r="L16" s="1444"/>
      <c r="M16" s="1444"/>
      <c r="N16" s="1441"/>
      <c r="O16" s="1440" t="s">
        <v>95</v>
      </c>
      <c r="P16" s="1441"/>
      <c r="Q16" s="1440" t="s">
        <v>0</v>
      </c>
      <c r="R16" s="1441"/>
    </row>
    <row r="17" spans="1:18" ht="127.5" customHeight="1" thickBot="1" x14ac:dyDescent="0.25">
      <c r="A17" s="1439"/>
      <c r="B17" s="1439"/>
      <c r="C17" s="213" t="s">
        <v>107</v>
      </c>
      <c r="D17" s="214" t="s">
        <v>108</v>
      </c>
      <c r="E17" s="214" t="s">
        <v>109</v>
      </c>
      <c r="F17" s="214" t="s">
        <v>110</v>
      </c>
      <c r="G17" s="214" t="s">
        <v>111</v>
      </c>
      <c r="H17" s="214" t="s">
        <v>112</v>
      </c>
      <c r="I17" s="215" t="s">
        <v>103</v>
      </c>
      <c r="J17" s="213" t="s">
        <v>113</v>
      </c>
      <c r="K17" s="214" t="s">
        <v>114</v>
      </c>
      <c r="L17" s="214" t="s">
        <v>115</v>
      </c>
      <c r="M17" s="214" t="s">
        <v>116</v>
      </c>
      <c r="N17" s="215" t="s">
        <v>104</v>
      </c>
      <c r="O17" s="213" t="s">
        <v>117</v>
      </c>
      <c r="P17" s="215" t="s">
        <v>105</v>
      </c>
      <c r="Q17" s="216" t="s">
        <v>140</v>
      </c>
      <c r="R17" s="217" t="s">
        <v>94</v>
      </c>
    </row>
    <row r="18" spans="1:18" s="212" customFormat="1" ht="30" customHeight="1" x14ac:dyDescent="0.2">
      <c r="A18" s="1442" t="s">
        <v>587</v>
      </c>
      <c r="B18" s="218" t="s">
        <v>586</v>
      </c>
      <c r="C18" s="243"/>
      <c r="D18" s="244">
        <v>11559785</v>
      </c>
      <c r="E18" s="245">
        <v>5430320</v>
      </c>
      <c r="F18" s="245">
        <v>1468703</v>
      </c>
      <c r="G18" s="245">
        <v>15000000</v>
      </c>
      <c r="H18" s="244">
        <v>54800</v>
      </c>
      <c r="I18" s="246">
        <v>33513608</v>
      </c>
      <c r="J18" s="243"/>
      <c r="K18" s="247"/>
      <c r="L18" s="247"/>
      <c r="M18" s="247"/>
      <c r="N18" s="246">
        <v>0</v>
      </c>
      <c r="O18" s="243"/>
      <c r="P18" s="246"/>
      <c r="Q18" s="243">
        <v>33513608</v>
      </c>
      <c r="R18" s="225">
        <v>0.44430243734568331</v>
      </c>
    </row>
    <row r="19" spans="1:18" s="212" customFormat="1" ht="30" customHeight="1" x14ac:dyDescent="0.2">
      <c r="A19" s="1443"/>
      <c r="B19" s="226" t="s">
        <v>588</v>
      </c>
      <c r="C19" s="248"/>
      <c r="D19" s="249">
        <v>4246461</v>
      </c>
      <c r="E19" s="250">
        <v>285000</v>
      </c>
      <c r="F19" s="250">
        <v>29195</v>
      </c>
      <c r="G19" s="250"/>
      <c r="H19" s="251">
        <v>50000</v>
      </c>
      <c r="I19" s="246">
        <v>4610656</v>
      </c>
      <c r="J19" s="248"/>
      <c r="K19" s="252"/>
      <c r="L19" s="252"/>
      <c r="M19" s="252"/>
      <c r="N19" s="246">
        <v>0</v>
      </c>
      <c r="O19" s="248"/>
      <c r="P19" s="253"/>
      <c r="Q19" s="243">
        <v>4610656</v>
      </c>
      <c r="R19" s="225">
        <v>6.1125191252535356E-2</v>
      </c>
    </row>
    <row r="20" spans="1:18" s="212" customFormat="1" ht="30" customHeight="1" x14ac:dyDescent="0.2">
      <c r="A20" s="226" t="s">
        <v>589</v>
      </c>
      <c r="B20" s="226" t="s">
        <v>590</v>
      </c>
      <c r="C20" s="254"/>
      <c r="D20" s="249">
        <v>22846907</v>
      </c>
      <c r="E20" s="250">
        <v>1363766</v>
      </c>
      <c r="F20" s="250">
        <v>6059500</v>
      </c>
      <c r="G20" s="250"/>
      <c r="H20" s="251"/>
      <c r="I20" s="246">
        <v>30270173</v>
      </c>
      <c r="J20" s="254"/>
      <c r="K20" s="255"/>
      <c r="L20" s="250">
        <v>1113344</v>
      </c>
      <c r="M20" s="255"/>
      <c r="N20" s="246">
        <v>1113344</v>
      </c>
      <c r="O20" s="254"/>
      <c r="P20" s="256"/>
      <c r="Q20" s="243">
        <v>31383517</v>
      </c>
      <c r="R20" s="225">
        <v>0.41606302417751284</v>
      </c>
    </row>
    <row r="21" spans="1:18" s="212" customFormat="1" ht="30" customHeight="1" thickBot="1" x14ac:dyDescent="0.25">
      <c r="A21" s="226" t="s">
        <v>591</v>
      </c>
      <c r="B21" s="226" t="s">
        <v>592</v>
      </c>
      <c r="C21" s="254"/>
      <c r="D21" s="244">
        <v>5205183</v>
      </c>
      <c r="E21" s="257">
        <v>686423</v>
      </c>
      <c r="F21" s="257">
        <v>30332</v>
      </c>
      <c r="G21" s="257"/>
      <c r="H21" s="258"/>
      <c r="I21" s="246">
        <v>5921938</v>
      </c>
      <c r="J21" s="254"/>
      <c r="K21" s="255"/>
      <c r="L21" s="255"/>
      <c r="M21" s="255"/>
      <c r="N21" s="246">
        <v>0</v>
      </c>
      <c r="O21" s="254"/>
      <c r="P21" s="256"/>
      <c r="Q21" s="243">
        <v>5921938</v>
      </c>
      <c r="R21" s="225">
        <v>7.8509347224268458E-2</v>
      </c>
    </row>
    <row r="22" spans="1:18" s="212" customFormat="1" ht="30" customHeight="1" thickBot="1" x14ac:dyDescent="0.25">
      <c r="A22" s="233" t="s">
        <v>87</v>
      </c>
      <c r="B22" s="233" t="s">
        <v>87</v>
      </c>
      <c r="C22" s="259"/>
      <c r="D22" s="260">
        <v>43858336</v>
      </c>
      <c r="E22" s="260">
        <v>7765509</v>
      </c>
      <c r="F22" s="260">
        <v>7587730</v>
      </c>
      <c r="G22" s="260">
        <v>15000000</v>
      </c>
      <c r="H22" s="260">
        <v>104800</v>
      </c>
      <c r="I22" s="261">
        <v>74316375</v>
      </c>
      <c r="J22" s="259">
        <v>0</v>
      </c>
      <c r="K22" s="260">
        <v>0</v>
      </c>
      <c r="L22" s="260">
        <v>1113344</v>
      </c>
      <c r="M22" s="260">
        <v>0</v>
      </c>
      <c r="N22" s="260">
        <v>1113344</v>
      </c>
      <c r="O22" s="259"/>
      <c r="P22" s="262"/>
      <c r="Q22" s="263">
        <v>75429719</v>
      </c>
      <c r="R22" s="237">
        <v>1</v>
      </c>
    </row>
    <row r="23" spans="1:18" ht="12" x14ac:dyDescent="0.2">
      <c r="A23" s="242"/>
      <c r="B23" s="242"/>
      <c r="C23" s="242"/>
      <c r="D23" s="242"/>
      <c r="E23" s="242"/>
      <c r="F23" s="242"/>
      <c r="G23" s="242"/>
      <c r="H23" s="242"/>
      <c r="I23" s="242"/>
      <c r="J23" s="242"/>
      <c r="K23" s="242"/>
      <c r="L23" s="242"/>
      <c r="M23" s="242"/>
      <c r="N23" s="242"/>
      <c r="O23" s="242"/>
      <c r="P23" s="242"/>
      <c r="Q23" s="242"/>
      <c r="R23" s="242"/>
    </row>
    <row r="24" spans="1:18" ht="12" x14ac:dyDescent="0.2">
      <c r="A24" s="242"/>
      <c r="B24" s="242"/>
      <c r="C24" s="242"/>
      <c r="D24" s="242"/>
      <c r="E24" s="242"/>
      <c r="F24" s="242"/>
      <c r="G24" s="242"/>
      <c r="H24" s="242"/>
      <c r="I24" s="242"/>
      <c r="J24" s="242"/>
      <c r="K24" s="242"/>
      <c r="L24" s="242"/>
      <c r="M24" s="242"/>
      <c r="N24" s="242"/>
      <c r="O24" s="242"/>
      <c r="P24" s="242"/>
      <c r="Q24" s="242"/>
      <c r="R24" s="242"/>
    </row>
    <row r="25" spans="1:18" ht="12" x14ac:dyDescent="0.2">
      <c r="A25" s="210"/>
      <c r="B25" s="208"/>
      <c r="C25" s="208"/>
      <c r="D25" s="208"/>
      <c r="E25" s="208"/>
      <c r="F25" s="208"/>
      <c r="G25" s="208"/>
      <c r="H25" s="208"/>
      <c r="I25" s="208"/>
      <c r="J25" s="208"/>
      <c r="K25" s="208"/>
      <c r="L25" s="208"/>
      <c r="M25" s="208"/>
      <c r="N25" s="208"/>
      <c r="O25" s="208"/>
      <c r="P25" s="208"/>
      <c r="Q25" s="208"/>
      <c r="R25" s="208"/>
    </row>
    <row r="26" spans="1:18" ht="12.75" thickBot="1" x14ac:dyDescent="0.25">
      <c r="A26" s="210" t="s">
        <v>596</v>
      </c>
      <c r="B26" s="208"/>
      <c r="C26" s="208"/>
      <c r="D26" s="208"/>
      <c r="E26" s="208"/>
      <c r="F26" s="208"/>
      <c r="G26" s="208"/>
      <c r="H26" s="208"/>
      <c r="I26" s="208"/>
      <c r="J26" s="208"/>
      <c r="K26" s="208"/>
      <c r="L26" s="208"/>
      <c r="M26" s="208"/>
      <c r="N26" s="208"/>
      <c r="O26" s="208"/>
      <c r="P26" s="208"/>
      <c r="Q26" s="208"/>
      <c r="R26" s="208"/>
    </row>
    <row r="27" spans="1:18" ht="18" customHeight="1" thickBot="1" x14ac:dyDescent="0.25">
      <c r="A27" s="1438" t="s">
        <v>294</v>
      </c>
      <c r="B27" s="1438" t="s">
        <v>277</v>
      </c>
      <c r="C27" s="1440" t="s">
        <v>118</v>
      </c>
      <c r="D27" s="1444"/>
      <c r="E27" s="1444"/>
      <c r="F27" s="1444"/>
      <c r="G27" s="1444"/>
      <c r="H27" s="1444"/>
      <c r="I27" s="1441"/>
      <c r="J27" s="1440" t="s">
        <v>106</v>
      </c>
      <c r="K27" s="1444"/>
      <c r="L27" s="1444"/>
      <c r="M27" s="1444"/>
      <c r="N27" s="1441"/>
      <c r="O27" s="1440" t="s">
        <v>95</v>
      </c>
      <c r="P27" s="1441"/>
      <c r="Q27" s="1440" t="s">
        <v>0</v>
      </c>
      <c r="R27" s="1441"/>
    </row>
    <row r="28" spans="1:18" ht="111.75" customHeight="1" thickBot="1" x14ac:dyDescent="0.25">
      <c r="A28" s="1439"/>
      <c r="B28" s="1439"/>
      <c r="C28" s="213" t="s">
        <v>107</v>
      </c>
      <c r="D28" s="214" t="s">
        <v>108</v>
      </c>
      <c r="E28" s="214" t="s">
        <v>109</v>
      </c>
      <c r="F28" s="214" t="s">
        <v>110</v>
      </c>
      <c r="G28" s="214" t="s">
        <v>111</v>
      </c>
      <c r="H28" s="214" t="s">
        <v>112</v>
      </c>
      <c r="I28" s="215" t="s">
        <v>103</v>
      </c>
      <c r="J28" s="213" t="s">
        <v>113</v>
      </c>
      <c r="K28" s="214" t="s">
        <v>114</v>
      </c>
      <c r="L28" s="214" t="s">
        <v>115</v>
      </c>
      <c r="M28" s="214" t="s">
        <v>116</v>
      </c>
      <c r="N28" s="215" t="s">
        <v>104</v>
      </c>
      <c r="O28" s="213" t="s">
        <v>117</v>
      </c>
      <c r="P28" s="215" t="s">
        <v>105</v>
      </c>
      <c r="Q28" s="216" t="s">
        <v>140</v>
      </c>
      <c r="R28" s="217" t="s">
        <v>94</v>
      </c>
    </row>
    <row r="29" spans="1:18" ht="30" customHeight="1" x14ac:dyDescent="0.2">
      <c r="A29" s="1442" t="s">
        <v>587</v>
      </c>
      <c r="B29" s="218" t="s">
        <v>586</v>
      </c>
      <c r="C29" s="243"/>
      <c r="D29" s="244">
        <v>1083292</v>
      </c>
      <c r="E29" s="264">
        <v>1894893</v>
      </c>
      <c r="F29" s="264">
        <v>125727114</v>
      </c>
      <c r="G29" s="264">
        <v>14351147</v>
      </c>
      <c r="H29" s="264"/>
      <c r="I29" s="246">
        <v>143056446</v>
      </c>
      <c r="J29" s="243"/>
      <c r="K29" s="247"/>
      <c r="L29" s="247"/>
      <c r="M29" s="247"/>
      <c r="N29" s="246">
        <v>0</v>
      </c>
      <c r="O29" s="243"/>
      <c r="P29" s="246"/>
      <c r="Q29" s="243">
        <v>143056446</v>
      </c>
      <c r="R29" s="225">
        <v>0.41962375322692042</v>
      </c>
    </row>
    <row r="30" spans="1:18" ht="30" customHeight="1" x14ac:dyDescent="0.2">
      <c r="A30" s="1443"/>
      <c r="B30" s="226" t="s">
        <v>588</v>
      </c>
      <c r="C30" s="248"/>
      <c r="D30" s="250">
        <v>1071616</v>
      </c>
      <c r="E30" s="250">
        <v>201255</v>
      </c>
      <c r="F30" s="250">
        <v>8588516</v>
      </c>
      <c r="G30" s="250"/>
      <c r="H30" s="250">
        <v>13638</v>
      </c>
      <c r="I30" s="246">
        <v>9875025</v>
      </c>
      <c r="J30" s="248"/>
      <c r="K30" s="252"/>
      <c r="L30" s="244">
        <v>120986374</v>
      </c>
      <c r="M30" s="252"/>
      <c r="N30" s="246">
        <v>120986374</v>
      </c>
      <c r="O30" s="248"/>
      <c r="P30" s="253"/>
      <c r="Q30" s="243">
        <v>130861399</v>
      </c>
      <c r="R30" s="225">
        <v>0.38385233896349952</v>
      </c>
    </row>
    <row r="31" spans="1:18" ht="30" customHeight="1" x14ac:dyDescent="0.2">
      <c r="A31" s="226" t="s">
        <v>589</v>
      </c>
      <c r="B31" s="226" t="s">
        <v>590</v>
      </c>
      <c r="C31" s="254"/>
      <c r="D31" s="249"/>
      <c r="E31" s="250"/>
      <c r="F31" s="250">
        <v>4609356</v>
      </c>
      <c r="G31" s="250">
        <v>387760</v>
      </c>
      <c r="H31" s="251">
        <v>69819</v>
      </c>
      <c r="I31" s="246">
        <v>5066935</v>
      </c>
      <c r="J31" s="254"/>
      <c r="K31" s="255"/>
      <c r="L31" s="250"/>
      <c r="M31" s="255"/>
      <c r="N31" s="246">
        <v>0</v>
      </c>
      <c r="O31" s="254"/>
      <c r="P31" s="256"/>
      <c r="Q31" s="243">
        <v>5066935</v>
      </c>
      <c r="R31" s="225">
        <v>1.4862708682535326E-2</v>
      </c>
    </row>
    <row r="32" spans="1:18" ht="30" customHeight="1" thickBot="1" x14ac:dyDescent="0.25">
      <c r="A32" s="226" t="s">
        <v>591</v>
      </c>
      <c r="B32" s="226" t="s">
        <v>592</v>
      </c>
      <c r="C32" s="254"/>
      <c r="D32" s="244">
        <v>5193132</v>
      </c>
      <c r="E32" s="257">
        <v>3119914</v>
      </c>
      <c r="F32" s="257">
        <v>49556006</v>
      </c>
      <c r="G32" s="257"/>
      <c r="H32" s="258">
        <v>263253</v>
      </c>
      <c r="I32" s="246">
        <v>58132305</v>
      </c>
      <c r="J32" s="254"/>
      <c r="K32" s="255"/>
      <c r="L32" s="244">
        <v>3798902</v>
      </c>
      <c r="M32" s="255"/>
      <c r="N32" s="246">
        <v>3798902</v>
      </c>
      <c r="O32" s="254"/>
      <c r="P32" s="256"/>
      <c r="Q32" s="243">
        <v>61931207</v>
      </c>
      <c r="R32" s="225">
        <v>0.18166119912704476</v>
      </c>
    </row>
    <row r="33" spans="1:18" ht="30" customHeight="1" thickBot="1" x14ac:dyDescent="0.25">
      <c r="A33" s="233" t="s">
        <v>87</v>
      </c>
      <c r="B33" s="233" t="s">
        <v>87</v>
      </c>
      <c r="C33" s="259"/>
      <c r="D33" s="260">
        <v>7348040</v>
      </c>
      <c r="E33" s="260">
        <v>5216062</v>
      </c>
      <c r="F33" s="260">
        <v>188480992</v>
      </c>
      <c r="G33" s="260">
        <v>14738907</v>
      </c>
      <c r="H33" s="260">
        <v>346710</v>
      </c>
      <c r="I33" s="261">
        <v>216130711</v>
      </c>
      <c r="J33" s="259">
        <v>0</v>
      </c>
      <c r="K33" s="260">
        <v>0</v>
      </c>
      <c r="L33" s="260">
        <v>124785276</v>
      </c>
      <c r="M33" s="260">
        <v>0</v>
      </c>
      <c r="N33" s="260">
        <v>124785276</v>
      </c>
      <c r="O33" s="259"/>
      <c r="P33" s="262"/>
      <c r="Q33" s="263">
        <v>340915987</v>
      </c>
      <c r="R33" s="237">
        <v>1</v>
      </c>
    </row>
    <row r="34" spans="1:18" ht="12" x14ac:dyDescent="0.2">
      <c r="A34" s="242"/>
      <c r="B34" s="242"/>
      <c r="C34" s="242"/>
      <c r="D34" s="242"/>
      <c r="E34" s="242"/>
      <c r="F34" s="242"/>
      <c r="G34" s="242"/>
      <c r="H34" s="242"/>
      <c r="I34" s="242"/>
      <c r="J34" s="242"/>
      <c r="K34" s="242"/>
      <c r="L34" s="242"/>
      <c r="M34" s="242"/>
      <c r="N34" s="242"/>
      <c r="O34" s="242"/>
      <c r="P34" s="242"/>
      <c r="Q34" s="242"/>
      <c r="R34" s="242"/>
    </row>
    <row r="35" spans="1:18" ht="12" x14ac:dyDescent="0.2">
      <c r="A35" s="242"/>
      <c r="B35" s="242"/>
      <c r="C35" s="242"/>
      <c r="D35" s="242"/>
      <c r="E35" s="242"/>
      <c r="F35" s="242"/>
      <c r="G35" s="242"/>
      <c r="H35" s="242"/>
      <c r="I35" s="242"/>
      <c r="J35" s="242"/>
      <c r="K35" s="242"/>
      <c r="L35" s="242"/>
      <c r="M35" s="242"/>
      <c r="N35" s="242"/>
      <c r="O35" s="242"/>
      <c r="P35" s="242"/>
      <c r="Q35" s="242"/>
      <c r="R35" s="242"/>
    </row>
    <row r="36" spans="1:18" ht="12" x14ac:dyDescent="0.2">
      <c r="A36" s="210"/>
      <c r="B36" s="208"/>
      <c r="C36" s="208"/>
      <c r="D36" s="208"/>
      <c r="E36" s="208"/>
      <c r="F36" s="208"/>
      <c r="G36" s="208"/>
      <c r="H36" s="208"/>
      <c r="I36" s="208"/>
      <c r="J36" s="208"/>
      <c r="K36" s="208"/>
      <c r="L36" s="208"/>
      <c r="M36" s="208"/>
      <c r="N36" s="208"/>
      <c r="O36" s="208"/>
      <c r="P36" s="208"/>
      <c r="Q36" s="208"/>
      <c r="R36" s="208"/>
    </row>
    <row r="37" spans="1:18" ht="12.75" thickBot="1" x14ac:dyDescent="0.25">
      <c r="A37" s="210" t="s">
        <v>597</v>
      </c>
      <c r="B37" s="208"/>
      <c r="C37" s="208"/>
      <c r="D37" s="208"/>
      <c r="E37" s="208"/>
      <c r="F37" s="208"/>
      <c r="G37" s="208"/>
      <c r="H37" s="208"/>
      <c r="I37" s="208"/>
      <c r="J37" s="208"/>
      <c r="K37" s="208"/>
      <c r="L37" s="208"/>
      <c r="M37" s="208"/>
      <c r="N37" s="208"/>
      <c r="O37" s="208"/>
      <c r="P37" s="208"/>
      <c r="Q37" s="208"/>
      <c r="R37" s="208"/>
    </row>
    <row r="38" spans="1:18" ht="24.75" customHeight="1" thickBot="1" x14ac:dyDescent="0.25">
      <c r="A38" s="1438" t="s">
        <v>294</v>
      </c>
      <c r="B38" s="1438" t="s">
        <v>277</v>
      </c>
      <c r="C38" s="1440" t="s">
        <v>118</v>
      </c>
      <c r="D38" s="1444"/>
      <c r="E38" s="1444"/>
      <c r="F38" s="1444"/>
      <c r="G38" s="1444"/>
      <c r="H38" s="1444"/>
      <c r="I38" s="1441"/>
      <c r="J38" s="1440" t="s">
        <v>106</v>
      </c>
      <c r="K38" s="1444"/>
      <c r="L38" s="1444"/>
      <c r="M38" s="1444"/>
      <c r="N38" s="1441"/>
      <c r="O38" s="1440" t="s">
        <v>95</v>
      </c>
      <c r="P38" s="1441"/>
      <c r="Q38" s="1440" t="s">
        <v>0</v>
      </c>
      <c r="R38" s="1441"/>
    </row>
    <row r="39" spans="1:18" ht="93.75" customHeight="1" thickBot="1" x14ac:dyDescent="0.25">
      <c r="A39" s="1439"/>
      <c r="B39" s="1439"/>
      <c r="C39" s="213" t="s">
        <v>107</v>
      </c>
      <c r="D39" s="214" t="s">
        <v>108</v>
      </c>
      <c r="E39" s="214" t="s">
        <v>109</v>
      </c>
      <c r="F39" s="214" t="s">
        <v>110</v>
      </c>
      <c r="G39" s="214" t="s">
        <v>111</v>
      </c>
      <c r="H39" s="214" t="s">
        <v>112</v>
      </c>
      <c r="I39" s="215" t="s">
        <v>103</v>
      </c>
      <c r="J39" s="213" t="s">
        <v>113</v>
      </c>
      <c r="K39" s="214" t="s">
        <v>114</v>
      </c>
      <c r="L39" s="214" t="s">
        <v>115</v>
      </c>
      <c r="M39" s="214" t="s">
        <v>116</v>
      </c>
      <c r="N39" s="215" t="s">
        <v>104</v>
      </c>
      <c r="O39" s="213" t="s">
        <v>117</v>
      </c>
      <c r="P39" s="215" t="s">
        <v>105</v>
      </c>
      <c r="Q39" s="216" t="s">
        <v>140</v>
      </c>
      <c r="R39" s="217" t="s">
        <v>94</v>
      </c>
    </row>
    <row r="40" spans="1:18" ht="30" customHeight="1" x14ac:dyDescent="0.2">
      <c r="A40" s="1442" t="s">
        <v>587</v>
      </c>
      <c r="B40" s="218" t="s">
        <v>586</v>
      </c>
      <c r="C40" s="243"/>
      <c r="D40" s="265"/>
      <c r="E40" s="266"/>
      <c r="F40" s="266">
        <v>6747528</v>
      </c>
      <c r="G40" s="266"/>
      <c r="H40" s="265"/>
      <c r="I40" s="246">
        <v>6747528</v>
      </c>
      <c r="J40" s="243"/>
      <c r="K40" s="247"/>
      <c r="L40" s="247"/>
      <c r="M40" s="247"/>
      <c r="N40" s="246">
        <v>0</v>
      </c>
      <c r="O40" s="243"/>
      <c r="P40" s="246"/>
      <c r="Q40" s="243">
        <v>6747528</v>
      </c>
      <c r="R40" s="225">
        <v>0.92772403256555636</v>
      </c>
    </row>
    <row r="41" spans="1:18" ht="30" customHeight="1" x14ac:dyDescent="0.2">
      <c r="A41" s="1443"/>
      <c r="B41" s="226" t="s">
        <v>588</v>
      </c>
      <c r="C41" s="248"/>
      <c r="D41" s="267"/>
      <c r="E41" s="267"/>
      <c r="F41" s="267"/>
      <c r="G41" s="267"/>
      <c r="H41" s="267"/>
      <c r="I41" s="246">
        <v>0</v>
      </c>
      <c r="J41" s="248"/>
      <c r="K41" s="252"/>
      <c r="L41" s="265"/>
      <c r="M41" s="252"/>
      <c r="N41" s="246">
        <v>0</v>
      </c>
      <c r="O41" s="248"/>
      <c r="P41" s="253"/>
      <c r="Q41" s="243">
        <v>0</v>
      </c>
      <c r="R41" s="225">
        <v>0</v>
      </c>
    </row>
    <row r="42" spans="1:18" ht="30" customHeight="1" x14ac:dyDescent="0.2">
      <c r="A42" s="226" t="s">
        <v>589</v>
      </c>
      <c r="B42" s="226" t="s">
        <v>590</v>
      </c>
      <c r="C42" s="254"/>
      <c r="D42" s="268"/>
      <c r="E42" s="267"/>
      <c r="F42" s="267"/>
      <c r="G42" s="267"/>
      <c r="H42" s="269"/>
      <c r="I42" s="246">
        <v>0</v>
      </c>
      <c r="J42" s="254"/>
      <c r="K42" s="255"/>
      <c r="L42" s="267">
        <v>525678</v>
      </c>
      <c r="M42" s="255"/>
      <c r="N42" s="246">
        <v>525678</v>
      </c>
      <c r="O42" s="254"/>
      <c r="P42" s="256"/>
      <c r="Q42" s="243">
        <v>525678</v>
      </c>
      <c r="R42" s="225">
        <v>7.227596743444363E-2</v>
      </c>
    </row>
    <row r="43" spans="1:18" ht="30" customHeight="1" thickBot="1" x14ac:dyDescent="0.25">
      <c r="A43" s="226" t="s">
        <v>591</v>
      </c>
      <c r="B43" s="226" t="s">
        <v>592</v>
      </c>
      <c r="C43" s="254"/>
      <c r="D43" s="265"/>
      <c r="E43" s="257"/>
      <c r="F43" s="257"/>
      <c r="G43" s="257"/>
      <c r="H43" s="258"/>
      <c r="I43" s="246">
        <v>0</v>
      </c>
      <c r="J43" s="254"/>
      <c r="K43" s="255"/>
      <c r="L43" s="265"/>
      <c r="M43" s="255"/>
      <c r="N43" s="246">
        <v>0</v>
      </c>
      <c r="O43" s="254"/>
      <c r="P43" s="256"/>
      <c r="Q43" s="243">
        <v>0</v>
      </c>
      <c r="R43" s="225">
        <v>0</v>
      </c>
    </row>
    <row r="44" spans="1:18" ht="30" customHeight="1" thickBot="1" x14ac:dyDescent="0.25">
      <c r="A44" s="233" t="s">
        <v>87</v>
      </c>
      <c r="B44" s="233" t="s">
        <v>87</v>
      </c>
      <c r="C44" s="259"/>
      <c r="D44" s="260">
        <v>0</v>
      </c>
      <c r="E44" s="260">
        <v>0</v>
      </c>
      <c r="F44" s="260">
        <v>6747528</v>
      </c>
      <c r="G44" s="260">
        <v>0</v>
      </c>
      <c r="H44" s="260">
        <v>0</v>
      </c>
      <c r="I44" s="261">
        <v>6747528</v>
      </c>
      <c r="J44" s="259">
        <v>0</v>
      </c>
      <c r="K44" s="260">
        <v>0</v>
      </c>
      <c r="L44" s="260">
        <v>525678</v>
      </c>
      <c r="M44" s="260">
        <v>0</v>
      </c>
      <c r="N44" s="260">
        <v>525678</v>
      </c>
      <c r="O44" s="259"/>
      <c r="P44" s="262"/>
      <c r="Q44" s="263">
        <v>7273206</v>
      </c>
      <c r="R44" s="237">
        <v>1</v>
      </c>
    </row>
    <row r="45" spans="1:18" ht="12" x14ac:dyDescent="0.2">
      <c r="A45" s="242"/>
      <c r="B45" s="242"/>
      <c r="C45" s="242"/>
      <c r="D45" s="242"/>
      <c r="E45" s="242"/>
      <c r="F45" s="242"/>
      <c r="G45" s="242"/>
      <c r="H45" s="242"/>
      <c r="I45" s="242"/>
      <c r="J45" s="242"/>
      <c r="K45" s="242"/>
      <c r="L45" s="242"/>
      <c r="M45" s="242"/>
      <c r="N45" s="242"/>
      <c r="O45" s="242"/>
      <c r="P45" s="242"/>
      <c r="Q45" s="242"/>
      <c r="R45" s="242"/>
    </row>
    <row r="46" spans="1:18" ht="12" x14ac:dyDescent="0.2">
      <c r="A46" s="242"/>
      <c r="B46" s="242"/>
      <c r="C46" s="242"/>
      <c r="D46" s="242"/>
      <c r="E46" s="242"/>
      <c r="F46" s="242"/>
      <c r="G46" s="242"/>
      <c r="H46" s="242"/>
      <c r="I46" s="242"/>
      <c r="J46" s="242"/>
      <c r="K46" s="242"/>
      <c r="L46" s="242"/>
      <c r="M46" s="242"/>
      <c r="N46" s="242"/>
      <c r="O46" s="242"/>
      <c r="P46" s="242"/>
      <c r="Q46" s="242"/>
      <c r="R46" s="242"/>
    </row>
    <row r="47" spans="1:18" ht="12" x14ac:dyDescent="0.2">
      <c r="A47" s="242"/>
      <c r="B47" s="242"/>
      <c r="C47" s="242"/>
      <c r="D47" s="242"/>
      <c r="E47" s="242"/>
      <c r="F47" s="242"/>
      <c r="G47" s="242"/>
      <c r="H47" s="242"/>
      <c r="I47" s="242"/>
      <c r="J47" s="242"/>
      <c r="K47" s="242"/>
      <c r="L47" s="242"/>
      <c r="M47" s="242"/>
      <c r="N47" s="242"/>
      <c r="O47" s="242"/>
      <c r="P47" s="242"/>
      <c r="Q47" s="242"/>
      <c r="R47" s="242"/>
    </row>
    <row r="48" spans="1:18" ht="12" x14ac:dyDescent="0.2">
      <c r="A48" s="210"/>
      <c r="B48" s="208"/>
      <c r="C48" s="208"/>
      <c r="D48" s="208"/>
      <c r="E48" s="208"/>
      <c r="F48" s="208"/>
      <c r="G48" s="208"/>
      <c r="H48" s="208"/>
      <c r="I48" s="208"/>
      <c r="J48" s="208"/>
      <c r="K48" s="208"/>
      <c r="L48" s="208"/>
      <c r="M48" s="208"/>
      <c r="N48" s="208"/>
      <c r="O48" s="208"/>
      <c r="P48" s="208"/>
      <c r="Q48" s="208"/>
      <c r="R48" s="208"/>
    </row>
    <row r="49" spans="1:18" ht="12.75" thickBot="1" x14ac:dyDescent="0.25">
      <c r="A49" s="210" t="s">
        <v>598</v>
      </c>
      <c r="B49" s="208"/>
      <c r="C49" s="208"/>
      <c r="D49" s="208"/>
      <c r="E49" s="208"/>
      <c r="F49" s="208"/>
      <c r="G49" s="208"/>
      <c r="H49" s="208"/>
      <c r="I49" s="208"/>
      <c r="J49" s="208"/>
      <c r="K49" s="208"/>
      <c r="L49" s="208"/>
      <c r="M49" s="208"/>
      <c r="N49" s="208"/>
      <c r="O49" s="208"/>
      <c r="P49" s="208"/>
      <c r="Q49" s="208"/>
      <c r="R49" s="208"/>
    </row>
    <row r="50" spans="1:18" ht="12.75" thickBot="1" x14ac:dyDescent="0.25">
      <c r="A50" s="1438" t="s">
        <v>294</v>
      </c>
      <c r="B50" s="1438" t="s">
        <v>277</v>
      </c>
      <c r="C50" s="1440" t="s">
        <v>118</v>
      </c>
      <c r="D50" s="1444"/>
      <c r="E50" s="1444"/>
      <c r="F50" s="1444"/>
      <c r="G50" s="1444"/>
      <c r="H50" s="1444"/>
      <c r="I50" s="1441"/>
      <c r="J50" s="1440" t="s">
        <v>106</v>
      </c>
      <c r="K50" s="1444"/>
      <c r="L50" s="1444"/>
      <c r="M50" s="1444"/>
      <c r="N50" s="1441"/>
      <c r="O50" s="1440" t="s">
        <v>95</v>
      </c>
      <c r="P50" s="1441"/>
      <c r="Q50" s="1440" t="s">
        <v>0</v>
      </c>
      <c r="R50" s="1441"/>
    </row>
    <row r="51" spans="1:18" ht="113.25" customHeight="1" thickBot="1" x14ac:dyDescent="0.25">
      <c r="A51" s="1439"/>
      <c r="B51" s="1439"/>
      <c r="C51" s="213" t="s">
        <v>107</v>
      </c>
      <c r="D51" s="214" t="s">
        <v>108</v>
      </c>
      <c r="E51" s="214" t="s">
        <v>109</v>
      </c>
      <c r="F51" s="214" t="s">
        <v>110</v>
      </c>
      <c r="G51" s="214" t="s">
        <v>111</v>
      </c>
      <c r="H51" s="214" t="s">
        <v>112</v>
      </c>
      <c r="I51" s="215" t="s">
        <v>103</v>
      </c>
      <c r="J51" s="213" t="s">
        <v>113</v>
      </c>
      <c r="K51" s="214" t="s">
        <v>114</v>
      </c>
      <c r="L51" s="214" t="s">
        <v>115</v>
      </c>
      <c r="M51" s="214" t="s">
        <v>116</v>
      </c>
      <c r="N51" s="215" t="s">
        <v>104</v>
      </c>
      <c r="O51" s="213" t="s">
        <v>117</v>
      </c>
      <c r="P51" s="215" t="s">
        <v>105</v>
      </c>
      <c r="Q51" s="216" t="s">
        <v>140</v>
      </c>
      <c r="R51" s="217" t="s">
        <v>94</v>
      </c>
    </row>
    <row r="52" spans="1:18" ht="30" customHeight="1" x14ac:dyDescent="0.2">
      <c r="A52" s="1442" t="s">
        <v>587</v>
      </c>
      <c r="B52" s="218" t="s">
        <v>586</v>
      </c>
      <c r="C52" s="270"/>
      <c r="D52" s="211"/>
      <c r="E52" s="271"/>
      <c r="F52" s="271"/>
      <c r="G52" s="271"/>
      <c r="H52" s="211"/>
      <c r="I52" s="272">
        <v>0</v>
      </c>
      <c r="J52" s="273"/>
      <c r="K52" s="274"/>
      <c r="L52" s="274"/>
      <c r="M52" s="274"/>
      <c r="N52" s="272">
        <v>0</v>
      </c>
      <c r="O52" s="273"/>
      <c r="P52" s="272"/>
      <c r="Q52" s="273">
        <v>0</v>
      </c>
      <c r="R52" s="225">
        <v>0</v>
      </c>
    </row>
    <row r="53" spans="1:18" ht="30" customHeight="1" x14ac:dyDescent="0.2">
      <c r="A53" s="1443"/>
      <c r="B53" s="226" t="s">
        <v>588</v>
      </c>
      <c r="C53" s="275"/>
      <c r="D53" s="209"/>
      <c r="E53" s="209"/>
      <c r="F53" s="209"/>
      <c r="G53" s="209"/>
      <c r="H53" s="209"/>
      <c r="I53" s="272">
        <v>0</v>
      </c>
      <c r="J53" s="276"/>
      <c r="K53" s="277"/>
      <c r="L53" s="211">
        <v>120000000</v>
      </c>
      <c r="M53" s="277"/>
      <c r="N53" s="272">
        <v>120000000</v>
      </c>
      <c r="O53" s="276"/>
      <c r="P53" s="278"/>
      <c r="Q53" s="273">
        <v>120000000</v>
      </c>
      <c r="R53" s="225">
        <v>1</v>
      </c>
    </row>
    <row r="54" spans="1:18" ht="30" customHeight="1" x14ac:dyDescent="0.2">
      <c r="A54" s="226" t="s">
        <v>589</v>
      </c>
      <c r="B54" s="226" t="s">
        <v>590</v>
      </c>
      <c r="C54" s="279"/>
      <c r="D54" s="280"/>
      <c r="E54" s="209"/>
      <c r="F54" s="209"/>
      <c r="G54" s="209"/>
      <c r="H54" s="281"/>
      <c r="I54" s="272">
        <v>0</v>
      </c>
      <c r="J54" s="282"/>
      <c r="K54" s="283"/>
      <c r="L54" s="209"/>
      <c r="M54" s="283"/>
      <c r="N54" s="272">
        <v>0</v>
      </c>
      <c r="O54" s="282"/>
      <c r="P54" s="284"/>
      <c r="Q54" s="273">
        <v>0</v>
      </c>
      <c r="R54" s="225">
        <v>0</v>
      </c>
    </row>
    <row r="55" spans="1:18" ht="30" customHeight="1" thickBot="1" x14ac:dyDescent="0.25">
      <c r="A55" s="226" t="s">
        <v>591</v>
      </c>
      <c r="B55" s="226" t="s">
        <v>592</v>
      </c>
      <c r="C55" s="279"/>
      <c r="D55" s="211"/>
      <c r="E55" s="285"/>
      <c r="F55" s="285"/>
      <c r="G55" s="285"/>
      <c r="H55" s="286"/>
      <c r="I55" s="272">
        <v>0</v>
      </c>
      <c r="J55" s="282"/>
      <c r="K55" s="283"/>
      <c r="L55" s="211"/>
      <c r="M55" s="283"/>
      <c r="N55" s="272">
        <v>0</v>
      </c>
      <c r="O55" s="282"/>
      <c r="P55" s="284"/>
      <c r="Q55" s="273">
        <v>0</v>
      </c>
      <c r="R55" s="225">
        <v>0</v>
      </c>
    </row>
    <row r="56" spans="1:18" ht="30" customHeight="1" thickBot="1" x14ac:dyDescent="0.25">
      <c r="A56" s="233" t="s">
        <v>87</v>
      </c>
      <c r="B56" s="233" t="s">
        <v>87</v>
      </c>
      <c r="C56" s="287"/>
      <c r="D56" s="288">
        <v>0</v>
      </c>
      <c r="E56" s="288">
        <v>0</v>
      </c>
      <c r="F56" s="288">
        <v>0</v>
      </c>
      <c r="G56" s="288">
        <v>0</v>
      </c>
      <c r="H56" s="288">
        <v>0</v>
      </c>
      <c r="I56" s="289">
        <v>0</v>
      </c>
      <c r="J56" s="290">
        <v>0</v>
      </c>
      <c r="K56" s="288">
        <v>0</v>
      </c>
      <c r="L56" s="288">
        <v>120000000</v>
      </c>
      <c r="M56" s="288">
        <v>0</v>
      </c>
      <c r="N56" s="288">
        <v>120000000</v>
      </c>
      <c r="O56" s="290"/>
      <c r="P56" s="291"/>
      <c r="Q56" s="292">
        <v>120000000</v>
      </c>
      <c r="R56" s="237">
        <v>1</v>
      </c>
    </row>
  </sheetData>
  <mergeCells count="35">
    <mergeCell ref="A29:A30"/>
    <mergeCell ref="A5:A6"/>
    <mergeCell ref="J5:N5"/>
    <mergeCell ref="O5:P5"/>
    <mergeCell ref="Q5:R5"/>
    <mergeCell ref="Q27:R27"/>
    <mergeCell ref="A16:A17"/>
    <mergeCell ref="B16:B17"/>
    <mergeCell ref="C16:I16"/>
    <mergeCell ref="J16:N16"/>
    <mergeCell ref="A27:A28"/>
    <mergeCell ref="B27:B28"/>
    <mergeCell ref="C27:I27"/>
    <mergeCell ref="J27:N27"/>
    <mergeCell ref="O27:P27"/>
    <mergeCell ref="C5:I5"/>
    <mergeCell ref="A52:A53"/>
    <mergeCell ref="O38:P38"/>
    <mergeCell ref="Q38:R38"/>
    <mergeCell ref="A40:A41"/>
    <mergeCell ref="A50:A51"/>
    <mergeCell ref="B50:B51"/>
    <mergeCell ref="C50:I50"/>
    <mergeCell ref="J50:N50"/>
    <mergeCell ref="O50:P50"/>
    <mergeCell ref="Q50:R50"/>
    <mergeCell ref="A38:A39"/>
    <mergeCell ref="B38:B39"/>
    <mergeCell ref="C38:I38"/>
    <mergeCell ref="J38:N38"/>
    <mergeCell ref="B5:B6"/>
    <mergeCell ref="O16:P16"/>
    <mergeCell ref="Q16:R16"/>
    <mergeCell ref="A18:A19"/>
    <mergeCell ref="A7:A8"/>
  </mergeCells>
  <phoneticPr fontId="0" type="noConversion"/>
  <pageMargins left="0.23622047244094491" right="0.23622047244094491" top="0.74803149606299213" bottom="0.74803149606299213" header="0.31496062992125984" footer="0.31496062992125984"/>
  <pageSetup paperSize="9" scale="60" orientation="landscape" r:id="rId1"/>
  <headerFooter alignWithMargins="0">
    <oddHeader xml:space="preserve">&amp;C&amp;"Arial,Negrita"&amp;18PROYECTO DE PRESUPUESTO 2022
</oddHeader>
    <oddFooter>&amp;L&amp;"Arial,Negrita"&amp;8PROYECTO DE PRESUPUESTO PARA EL AÑO FISCAL 2020
INFORMACIÓN PARA LA COMISIÓN DE PRESUPUESTO Y CUENTA GENERAL DE LA REPÚBLICA DEL CONGRESO DE LA REPÚBLICA</oddFooter>
  </headerFooter>
  <rowBreaks count="2" manualBreakCount="2">
    <brk id="24" max="16383" man="1"/>
    <brk id="47" max="16383" man="1"/>
  </rowBreaks>
  <colBreaks count="1" manualBreakCount="1">
    <brk id="1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sheetPr>
  <dimension ref="A1:D31"/>
  <sheetViews>
    <sheetView showGridLines="0" zoomScaleNormal="100" workbookViewId="0">
      <selection activeCell="C28" sqref="C28"/>
    </sheetView>
  </sheetViews>
  <sheetFormatPr baseColWidth="10" defaultColWidth="11.28515625" defaultRowHeight="12.75" x14ac:dyDescent="0.2"/>
  <cols>
    <col min="1" max="1" width="64" customWidth="1"/>
    <col min="2" max="4" width="16.7109375" customWidth="1"/>
  </cols>
  <sheetData>
    <row r="1" spans="1:4" ht="15" x14ac:dyDescent="0.25">
      <c r="A1" s="89" t="s">
        <v>391</v>
      </c>
    </row>
    <row r="2" spans="1:4" ht="15" x14ac:dyDescent="0.2">
      <c r="A2" s="90" t="s">
        <v>458</v>
      </c>
    </row>
    <row r="3" spans="1:4" x14ac:dyDescent="0.2">
      <c r="A3" s="298"/>
    </row>
    <row r="4" spans="1:4" s="25" customFormat="1" ht="28.35" customHeight="1" x14ac:dyDescent="0.2">
      <c r="A4" s="35" t="s">
        <v>337</v>
      </c>
      <c r="B4" s="36">
        <v>2020</v>
      </c>
      <c r="C4" s="36">
        <v>2021</v>
      </c>
      <c r="D4" s="36">
        <v>2022</v>
      </c>
    </row>
    <row r="5" spans="1:4" s="6" customFormat="1" ht="24.95" customHeight="1" x14ac:dyDescent="0.2">
      <c r="A5" s="85" t="s">
        <v>599</v>
      </c>
      <c r="B5" s="295">
        <v>401449915</v>
      </c>
      <c r="C5" s="295">
        <v>215669936</v>
      </c>
      <c r="D5" s="295">
        <v>243054684</v>
      </c>
    </row>
    <row r="6" spans="1:4" s="32" customFormat="1" ht="24.95" customHeight="1" x14ac:dyDescent="0.2">
      <c r="A6" s="85" t="s">
        <v>600</v>
      </c>
      <c r="B6" s="86">
        <v>4306695</v>
      </c>
      <c r="C6" s="86">
        <v>4069171</v>
      </c>
      <c r="D6" s="86">
        <v>5374600</v>
      </c>
    </row>
    <row r="7" spans="1:4" s="32" customFormat="1" ht="24.95" customHeight="1" x14ac:dyDescent="0.2">
      <c r="A7" s="85" t="s">
        <v>601</v>
      </c>
      <c r="B7" s="86">
        <v>2397132</v>
      </c>
      <c r="C7" s="86">
        <v>1169456</v>
      </c>
      <c r="D7" s="86">
        <v>1100000</v>
      </c>
    </row>
    <row r="8" spans="1:4" s="32" customFormat="1" ht="24.95" customHeight="1" x14ac:dyDescent="0.2">
      <c r="A8" s="85" t="s">
        <v>602</v>
      </c>
      <c r="B8" s="86">
        <v>18350641</v>
      </c>
      <c r="C8" s="86">
        <v>12302292</v>
      </c>
      <c r="D8" s="86">
        <v>9929844</v>
      </c>
    </row>
    <row r="9" spans="1:4" s="32" customFormat="1" ht="24.95" customHeight="1" x14ac:dyDescent="0.2">
      <c r="A9" s="85" t="s">
        <v>603</v>
      </c>
      <c r="B9" s="86">
        <v>1167000</v>
      </c>
      <c r="C9" s="86">
        <v>682460</v>
      </c>
      <c r="D9" s="86">
        <v>694820</v>
      </c>
    </row>
    <row r="10" spans="1:4" s="32" customFormat="1" ht="24.95" customHeight="1" x14ac:dyDescent="0.2">
      <c r="A10" s="85" t="s">
        <v>604</v>
      </c>
      <c r="B10" s="86">
        <v>2594178</v>
      </c>
      <c r="C10" s="86">
        <v>3522207</v>
      </c>
      <c r="D10" s="86">
        <v>3331181</v>
      </c>
    </row>
    <row r="11" spans="1:4" s="32" customFormat="1" ht="22.5" customHeight="1" x14ac:dyDescent="0.2">
      <c r="A11" s="33" t="s">
        <v>325</v>
      </c>
      <c r="B11" s="88">
        <f>SUM(B5:B10)</f>
        <v>430265561</v>
      </c>
      <c r="C11" s="88">
        <f>SUM(C5:C10)</f>
        <v>237415522</v>
      </c>
      <c r="D11" s="88">
        <f>SUM(D5:D10)</f>
        <v>263485129</v>
      </c>
    </row>
    <row r="13" spans="1:4" s="25" customFormat="1" ht="28.35" customHeight="1" x14ac:dyDescent="0.2">
      <c r="A13" s="35" t="s">
        <v>338</v>
      </c>
      <c r="B13" s="36">
        <v>2020</v>
      </c>
      <c r="C13" s="36" t="s">
        <v>385</v>
      </c>
      <c r="D13" s="36" t="s">
        <v>386</v>
      </c>
    </row>
    <row r="14" spans="1:4" s="6" customFormat="1" ht="24.95" customHeight="1" x14ac:dyDescent="0.2">
      <c r="A14" s="85" t="s">
        <v>599</v>
      </c>
      <c r="B14" s="295">
        <v>321089527</v>
      </c>
      <c r="C14" s="295">
        <v>266526303</v>
      </c>
      <c r="D14" s="295">
        <v>243054684</v>
      </c>
    </row>
    <row r="15" spans="1:4" s="32" customFormat="1" ht="24.95" customHeight="1" x14ac:dyDescent="0.2">
      <c r="A15" s="85" t="s">
        <v>600</v>
      </c>
      <c r="B15" s="86">
        <v>5892830</v>
      </c>
      <c r="C15" s="86">
        <v>7094167</v>
      </c>
      <c r="D15" s="86">
        <v>5374600</v>
      </c>
    </row>
    <row r="16" spans="1:4" s="32" customFormat="1" ht="24.95" customHeight="1" x14ac:dyDescent="0.2">
      <c r="A16" s="85" t="s">
        <v>601</v>
      </c>
      <c r="B16" s="86">
        <v>113588777</v>
      </c>
      <c r="C16" s="86">
        <v>101629874</v>
      </c>
      <c r="D16" s="86">
        <v>1100000</v>
      </c>
    </row>
    <row r="17" spans="1:4" s="32" customFormat="1" ht="24.95" customHeight="1" x14ac:dyDescent="0.2">
      <c r="A17" s="85" t="s">
        <v>602</v>
      </c>
      <c r="B17" s="86">
        <v>17127813</v>
      </c>
      <c r="C17" s="86">
        <v>12983014</v>
      </c>
      <c r="D17" s="86">
        <v>9929844</v>
      </c>
    </row>
    <row r="18" spans="1:4" s="32" customFormat="1" ht="24.95" customHeight="1" x14ac:dyDescent="0.2">
      <c r="A18" s="85" t="s">
        <v>603</v>
      </c>
      <c r="B18" s="86">
        <v>1190762</v>
      </c>
      <c r="C18" s="86">
        <v>682460</v>
      </c>
      <c r="D18" s="86">
        <v>694820</v>
      </c>
    </row>
    <row r="19" spans="1:4" s="32" customFormat="1" ht="24.95" customHeight="1" x14ac:dyDescent="0.2">
      <c r="A19" s="85" t="s">
        <v>604</v>
      </c>
      <c r="B19" s="86">
        <v>2755222</v>
      </c>
      <c r="C19" s="86">
        <v>3548192</v>
      </c>
      <c r="D19" s="86">
        <v>3331181</v>
      </c>
    </row>
    <row r="20" spans="1:4" s="32" customFormat="1" ht="22.5" customHeight="1" x14ac:dyDescent="0.2">
      <c r="A20" s="33" t="s">
        <v>325</v>
      </c>
      <c r="B20" s="88">
        <f>SUM(B14:B19)</f>
        <v>461644931</v>
      </c>
      <c r="C20" s="88">
        <f t="shared" ref="C20:D20" si="0">SUM(C14:C19)</f>
        <v>392464010</v>
      </c>
      <c r="D20" s="88">
        <f t="shared" si="0"/>
        <v>263485129</v>
      </c>
    </row>
    <row r="22" spans="1:4" s="25" customFormat="1" ht="28.35" customHeight="1" x14ac:dyDescent="0.2">
      <c r="A22" s="35" t="s">
        <v>339</v>
      </c>
      <c r="B22" s="36">
        <v>2020</v>
      </c>
      <c r="C22" s="36" t="s">
        <v>385</v>
      </c>
      <c r="D22" s="36" t="s">
        <v>386</v>
      </c>
    </row>
    <row r="23" spans="1:4" s="6" customFormat="1" ht="24.95" customHeight="1" x14ac:dyDescent="0.2">
      <c r="A23" s="85" t="s">
        <v>599</v>
      </c>
      <c r="B23" s="295">
        <v>151310520</v>
      </c>
      <c r="C23" s="295">
        <v>266026303</v>
      </c>
      <c r="D23" s="295">
        <v>243054684</v>
      </c>
    </row>
    <row r="24" spans="1:4" s="32" customFormat="1" ht="24.95" customHeight="1" x14ac:dyDescent="0.2">
      <c r="A24" s="1354" t="s">
        <v>600</v>
      </c>
      <c r="B24" s="86">
        <v>3985992</v>
      </c>
      <c r="C24" s="86">
        <v>7078005</v>
      </c>
      <c r="D24" s="86">
        <v>5374600</v>
      </c>
    </row>
    <row r="25" spans="1:4" s="32" customFormat="1" ht="24.95" customHeight="1" x14ac:dyDescent="0.2">
      <c r="A25" s="85" t="s">
        <v>601</v>
      </c>
      <c r="B25" s="86">
        <v>112133892</v>
      </c>
      <c r="C25" s="86">
        <v>101629874</v>
      </c>
      <c r="D25" s="86">
        <v>1100000</v>
      </c>
    </row>
    <row r="26" spans="1:4" s="32" customFormat="1" ht="24.95" customHeight="1" x14ac:dyDescent="0.2">
      <c r="A26" s="85" t="s">
        <v>602</v>
      </c>
      <c r="B26" s="86">
        <v>13646464</v>
      </c>
      <c r="C26" s="86">
        <v>12983460</v>
      </c>
      <c r="D26" s="86">
        <v>9929844</v>
      </c>
    </row>
    <row r="27" spans="1:4" s="32" customFormat="1" ht="24.95" customHeight="1" x14ac:dyDescent="0.2">
      <c r="A27" s="85" t="s">
        <v>603</v>
      </c>
      <c r="B27" s="86">
        <v>113558</v>
      </c>
      <c r="C27" s="86">
        <v>682460</v>
      </c>
      <c r="D27" s="86">
        <v>694820</v>
      </c>
    </row>
    <row r="28" spans="1:4" s="32" customFormat="1" ht="24.95" customHeight="1" x14ac:dyDescent="0.2">
      <c r="A28" s="85" t="s">
        <v>604</v>
      </c>
      <c r="B28" s="86">
        <v>2436142</v>
      </c>
      <c r="C28" s="86">
        <v>3100572</v>
      </c>
      <c r="D28" s="86">
        <v>3331181</v>
      </c>
    </row>
    <row r="29" spans="1:4" s="32" customFormat="1" ht="22.5" customHeight="1" x14ac:dyDescent="0.2">
      <c r="A29" s="33" t="s">
        <v>325</v>
      </c>
      <c r="B29" s="88">
        <f>SUM(B23:B28)</f>
        <v>283626568</v>
      </c>
      <c r="C29" s="88">
        <f t="shared" ref="C29:D29" si="1">SUM(C23:C28)</f>
        <v>391500674</v>
      </c>
      <c r="D29" s="88">
        <f t="shared" si="1"/>
        <v>263485129</v>
      </c>
    </row>
    <row r="30" spans="1:4" x14ac:dyDescent="0.2">
      <c r="A30" s="81" t="s">
        <v>387</v>
      </c>
    </row>
    <row r="31" spans="1:4" x14ac:dyDescent="0.2">
      <c r="A31" s="82" t="s">
        <v>388</v>
      </c>
    </row>
  </sheetData>
  <printOptions horizontalCentered="1"/>
  <pageMargins left="0.47244094488188981" right="0.51181102362204722" top="1.1417322834645669" bottom="0.74803149606299213" header="0.31496062992125984" footer="0.31496062992125984"/>
  <pageSetup paperSize="9" scale="80" orientation="portrait" r:id="rId1"/>
  <headerFooter>
    <oddHeader>&amp;C&amp;"Arial,Negrita"&amp;18PROYECTO DE PRESUPUESTO 2022</oddHeader>
    <oddFooter>&amp;L&amp;"Arial,Negrita"&amp;8PROYECTO DE PRESUPUESTO PARA EL AÑO FISCAL 2021
INFORMACIÓN PARA LA COMISIÓN DE PRESUPUESTO Y CUENTA GENERAL DE LA REPÚBLICA DEL CONGRESO DE LA REPÚBLICA</oddFooter>
  </headerFooter>
  <ignoredErrors>
    <ignoredError sqref="B11:D11 B20:D20 B29:D29"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12">
    <tabColor rgb="FF7030A0"/>
  </sheetPr>
  <dimension ref="A1:N50"/>
  <sheetViews>
    <sheetView showGridLines="0" zoomScale="80" zoomScaleNormal="80" zoomScaleSheetLayoutView="70" zoomScalePageLayoutView="90" workbookViewId="0">
      <selection activeCell="A2" sqref="A2"/>
    </sheetView>
  </sheetViews>
  <sheetFormatPr baseColWidth="10" defaultColWidth="11.28515625" defaultRowHeight="11.25" x14ac:dyDescent="0.2"/>
  <cols>
    <col min="1" max="1" width="41.7109375" style="20" customWidth="1"/>
    <col min="2" max="3" width="8.7109375" style="20" customWidth="1"/>
    <col min="4" max="5" width="8.7109375" style="34" customWidth="1"/>
    <col min="6" max="14" width="8.7109375" style="20" customWidth="1"/>
    <col min="15" max="16384" width="11.28515625" style="20"/>
  </cols>
  <sheetData>
    <row r="1" spans="1:14" s="17" customFormat="1" ht="14.25" customHeight="1" x14ac:dyDescent="0.25">
      <c r="A1" s="89" t="s">
        <v>392</v>
      </c>
      <c r="B1" s="39"/>
      <c r="C1" s="39"/>
      <c r="D1" s="39"/>
      <c r="E1" s="39"/>
      <c r="F1" s="39"/>
      <c r="G1" s="39"/>
      <c r="H1" s="39"/>
      <c r="I1" s="39"/>
      <c r="J1" s="39"/>
      <c r="K1" s="39"/>
      <c r="L1" s="39"/>
      <c r="M1" s="39"/>
      <c r="N1" s="39"/>
    </row>
    <row r="2" spans="1:14" s="19" customFormat="1" ht="15" x14ac:dyDescent="0.2">
      <c r="A2" s="90" t="s">
        <v>458</v>
      </c>
      <c r="B2" s="15"/>
      <c r="C2" s="15"/>
      <c r="D2" s="15"/>
      <c r="E2" s="15"/>
      <c r="F2" s="15"/>
      <c r="G2" s="15"/>
      <c r="H2" s="15"/>
      <c r="I2" s="15"/>
      <c r="J2" s="15"/>
      <c r="K2" s="15"/>
      <c r="L2" s="15"/>
      <c r="M2" s="15"/>
      <c r="N2" s="15"/>
    </row>
    <row r="3" spans="1:14" s="19" customFormat="1" ht="7.5" customHeight="1" thickBot="1" x14ac:dyDescent="0.25">
      <c r="A3" s="90"/>
      <c r="B3" s="298"/>
      <c r="C3" s="298"/>
      <c r="D3" s="298"/>
      <c r="E3" s="298"/>
      <c r="F3" s="298"/>
      <c r="G3" s="298"/>
      <c r="H3" s="298"/>
      <c r="I3" s="298"/>
      <c r="J3" s="298"/>
      <c r="K3" s="298"/>
      <c r="L3" s="298"/>
      <c r="M3" s="298"/>
      <c r="N3" s="298"/>
    </row>
    <row r="4" spans="1:14" s="21" customFormat="1" ht="15" customHeight="1" thickBot="1" x14ac:dyDescent="0.25">
      <c r="A4" s="1450" t="s">
        <v>205</v>
      </c>
      <c r="B4" s="1448" t="s">
        <v>238</v>
      </c>
      <c r="C4" s="1449"/>
      <c r="D4" s="1449"/>
      <c r="E4" s="1449"/>
      <c r="F4" s="1445" t="s">
        <v>239</v>
      </c>
      <c r="G4" s="1446"/>
      <c r="H4" s="1447"/>
      <c r="I4" s="1445" t="s">
        <v>237</v>
      </c>
      <c r="J4" s="1446"/>
      <c r="K4" s="1446"/>
      <c r="L4" s="1446"/>
      <c r="M4" s="1446"/>
      <c r="N4" s="1447"/>
    </row>
    <row r="5" spans="1:14" s="23" customFormat="1" ht="45" customHeight="1" thickBot="1" x14ac:dyDescent="0.25">
      <c r="A5" s="1451"/>
      <c r="B5" s="40">
        <v>2020</v>
      </c>
      <c r="C5" s="41">
        <v>2021</v>
      </c>
      <c r="D5" s="41" t="s">
        <v>378</v>
      </c>
      <c r="E5" s="43" t="s">
        <v>393</v>
      </c>
      <c r="F5" s="40">
        <v>2020</v>
      </c>
      <c r="G5" s="41">
        <v>2021</v>
      </c>
      <c r="H5" s="41" t="s">
        <v>378</v>
      </c>
      <c r="I5" s="40">
        <v>2020</v>
      </c>
      <c r="J5" s="41" t="s">
        <v>385</v>
      </c>
      <c r="K5" s="41" t="s">
        <v>378</v>
      </c>
      <c r="L5" s="42" t="s">
        <v>394</v>
      </c>
      <c r="M5" s="42" t="s">
        <v>393</v>
      </c>
      <c r="N5" s="43" t="s">
        <v>395</v>
      </c>
    </row>
    <row r="6" spans="1:14" x14ac:dyDescent="0.2">
      <c r="A6" s="44"/>
      <c r="B6" s="45"/>
      <c r="C6" s="46"/>
      <c r="D6" s="46"/>
      <c r="E6" s="47"/>
      <c r="F6" s="45"/>
      <c r="G6" s="46"/>
      <c r="H6" s="48"/>
      <c r="I6" s="45"/>
      <c r="J6" s="46"/>
      <c r="K6" s="48"/>
      <c r="L6" s="47"/>
      <c r="M6" s="47"/>
      <c r="N6" s="48"/>
    </row>
    <row r="7" spans="1:14" ht="15.75" customHeight="1" x14ac:dyDescent="0.2">
      <c r="A7" s="49" t="s">
        <v>236</v>
      </c>
      <c r="B7" s="50"/>
      <c r="C7" s="51"/>
      <c r="D7" s="51"/>
      <c r="E7" s="52"/>
      <c r="F7" s="50"/>
      <c r="G7" s="51"/>
      <c r="H7" s="53"/>
      <c r="I7" s="50"/>
      <c r="J7" s="51"/>
      <c r="K7" s="53"/>
      <c r="L7" s="52"/>
      <c r="M7" s="52"/>
      <c r="N7" s="53"/>
    </row>
    <row r="8" spans="1:14" x14ac:dyDescent="0.2">
      <c r="A8" s="54" t="s">
        <v>206</v>
      </c>
      <c r="B8" s="55"/>
      <c r="C8" s="56"/>
      <c r="D8" s="56"/>
      <c r="E8" s="57"/>
      <c r="F8" s="55"/>
      <c r="G8" s="56"/>
      <c r="H8" s="58"/>
      <c r="I8" s="55"/>
      <c r="J8" s="56"/>
      <c r="K8" s="58"/>
      <c r="L8" s="57"/>
      <c r="M8" s="57"/>
      <c r="N8" s="58"/>
    </row>
    <row r="9" spans="1:14" s="21" customFormat="1" x14ac:dyDescent="0.2">
      <c r="A9" s="59"/>
      <c r="B9" s="55"/>
      <c r="C9" s="56"/>
      <c r="D9" s="56"/>
      <c r="E9" s="57"/>
      <c r="F9" s="55"/>
      <c r="G9" s="56"/>
      <c r="H9" s="58"/>
      <c r="I9" s="55"/>
      <c r="J9" s="56"/>
      <c r="K9" s="58"/>
      <c r="L9" s="57"/>
      <c r="M9" s="57"/>
      <c r="N9" s="58"/>
    </row>
    <row r="10" spans="1:14" x14ac:dyDescent="0.2">
      <c r="A10" s="49" t="s">
        <v>211</v>
      </c>
      <c r="B10" s="55"/>
      <c r="C10" s="56"/>
      <c r="D10" s="56"/>
      <c r="E10" s="57"/>
      <c r="F10" s="55"/>
      <c r="G10" s="56"/>
      <c r="H10" s="58"/>
      <c r="I10" s="55"/>
      <c r="J10" s="56"/>
      <c r="K10" s="58"/>
      <c r="L10" s="57"/>
      <c r="M10" s="57"/>
      <c r="N10" s="58"/>
    </row>
    <row r="11" spans="1:14" x14ac:dyDescent="0.2">
      <c r="A11" s="60" t="s">
        <v>207</v>
      </c>
      <c r="B11" s="55"/>
      <c r="C11" s="56"/>
      <c r="D11" s="56"/>
      <c r="E11" s="57"/>
      <c r="F11" s="55"/>
      <c r="G11" s="56"/>
      <c r="H11" s="58"/>
      <c r="I11" s="55"/>
      <c r="J11" s="56"/>
      <c r="K11" s="58"/>
      <c r="L11" s="57"/>
      <c r="M11" s="57"/>
      <c r="N11" s="58"/>
    </row>
    <row r="12" spans="1:14" x14ac:dyDescent="0.2">
      <c r="A12" s="60" t="s">
        <v>208</v>
      </c>
      <c r="B12" s="55"/>
      <c r="C12" s="56"/>
      <c r="D12" s="56"/>
      <c r="E12" s="57"/>
      <c r="F12" s="55"/>
      <c r="G12" s="56"/>
      <c r="H12" s="58"/>
      <c r="I12" s="55"/>
      <c r="J12" s="56"/>
      <c r="K12" s="58"/>
      <c r="L12" s="57"/>
      <c r="M12" s="57"/>
      <c r="N12" s="58"/>
    </row>
    <row r="13" spans="1:14" x14ac:dyDescent="0.2">
      <c r="A13" s="60" t="s">
        <v>209</v>
      </c>
      <c r="B13" s="55"/>
      <c r="C13" s="56"/>
      <c r="D13" s="56"/>
      <c r="E13" s="57"/>
      <c r="F13" s="55"/>
      <c r="G13" s="56"/>
      <c r="H13" s="58"/>
      <c r="I13" s="55"/>
      <c r="J13" s="56"/>
      <c r="K13" s="58"/>
      <c r="L13" s="57"/>
      <c r="M13" s="57"/>
      <c r="N13" s="58"/>
    </row>
    <row r="14" spans="1:14" x14ac:dyDescent="0.2">
      <c r="A14" s="60" t="s">
        <v>210</v>
      </c>
      <c r="B14" s="55"/>
      <c r="C14" s="56"/>
      <c r="D14" s="56"/>
      <c r="E14" s="57"/>
      <c r="F14" s="55"/>
      <c r="G14" s="56"/>
      <c r="H14" s="58"/>
      <c r="I14" s="55"/>
      <c r="J14" s="56"/>
      <c r="K14" s="58"/>
      <c r="L14" s="57"/>
      <c r="M14" s="57"/>
      <c r="N14" s="58"/>
    </row>
    <row r="15" spans="1:14" x14ac:dyDescent="0.2">
      <c r="A15" s="60"/>
      <c r="B15" s="50"/>
      <c r="C15" s="51"/>
      <c r="D15" s="51"/>
      <c r="E15" s="52"/>
      <c r="F15" s="50"/>
      <c r="G15" s="51"/>
      <c r="H15" s="53"/>
      <c r="I15" s="50"/>
      <c r="J15" s="51"/>
      <c r="K15" s="53"/>
      <c r="L15" s="52"/>
      <c r="M15" s="52"/>
      <c r="N15" s="53"/>
    </row>
    <row r="16" spans="1:14" x14ac:dyDescent="0.2">
      <c r="A16" s="49" t="s">
        <v>230</v>
      </c>
      <c r="B16" s="55"/>
      <c r="C16" s="56"/>
      <c r="D16" s="56"/>
      <c r="E16" s="57"/>
      <c r="F16" s="55"/>
      <c r="G16" s="56"/>
      <c r="H16" s="58"/>
      <c r="I16" s="55"/>
      <c r="J16" s="56"/>
      <c r="K16" s="58"/>
      <c r="L16" s="57"/>
      <c r="M16" s="57"/>
      <c r="N16" s="58"/>
    </row>
    <row r="17" spans="1:14" x14ac:dyDescent="0.2">
      <c r="A17" s="60" t="s">
        <v>212</v>
      </c>
      <c r="B17" s="55"/>
      <c r="C17" s="56"/>
      <c r="D17" s="56"/>
      <c r="E17" s="57"/>
      <c r="F17" s="55"/>
      <c r="G17" s="56"/>
      <c r="H17" s="58"/>
      <c r="I17" s="55"/>
      <c r="J17" s="56"/>
      <c r="K17" s="58"/>
      <c r="L17" s="57"/>
      <c r="M17" s="57"/>
      <c r="N17" s="58"/>
    </row>
    <row r="18" spans="1:14" x14ac:dyDescent="0.2">
      <c r="A18" s="60" t="s">
        <v>213</v>
      </c>
      <c r="B18" s="55"/>
      <c r="C18" s="56"/>
      <c r="D18" s="56"/>
      <c r="E18" s="57"/>
      <c r="F18" s="55"/>
      <c r="G18" s="56"/>
      <c r="H18" s="58"/>
      <c r="I18" s="55"/>
      <c r="J18" s="56"/>
      <c r="K18" s="58"/>
      <c r="L18" s="57"/>
      <c r="M18" s="57"/>
      <c r="N18" s="58"/>
    </row>
    <row r="19" spans="1:14" x14ac:dyDescent="0.2">
      <c r="A19" s="60" t="s">
        <v>214</v>
      </c>
      <c r="B19" s="55"/>
      <c r="C19" s="56"/>
      <c r="D19" s="56"/>
      <c r="E19" s="57"/>
      <c r="F19" s="55"/>
      <c r="G19" s="56"/>
      <c r="H19" s="58"/>
      <c r="I19" s="55"/>
      <c r="J19" s="56"/>
      <c r="K19" s="58"/>
      <c r="L19" s="57"/>
      <c r="M19" s="57"/>
      <c r="N19" s="58"/>
    </row>
    <row r="20" spans="1:14" x14ac:dyDescent="0.2">
      <c r="A20" s="60" t="s">
        <v>215</v>
      </c>
      <c r="B20" s="55"/>
      <c r="C20" s="56"/>
      <c r="D20" s="56"/>
      <c r="E20" s="57"/>
      <c r="F20" s="55"/>
      <c r="G20" s="56"/>
      <c r="H20" s="58"/>
      <c r="I20" s="55"/>
      <c r="J20" s="56"/>
      <c r="K20" s="58"/>
      <c r="L20" s="57"/>
      <c r="M20" s="57"/>
      <c r="N20" s="58"/>
    </row>
    <row r="21" spans="1:14" x14ac:dyDescent="0.2">
      <c r="A21" s="60" t="s">
        <v>216</v>
      </c>
      <c r="B21" s="55"/>
      <c r="C21" s="56"/>
      <c r="D21" s="56"/>
      <c r="E21" s="57"/>
      <c r="F21" s="55"/>
      <c r="G21" s="56"/>
      <c r="H21" s="58"/>
      <c r="I21" s="55"/>
      <c r="J21" s="56"/>
      <c r="K21" s="58"/>
      <c r="L21" s="57"/>
      <c r="M21" s="57"/>
      <c r="N21" s="58"/>
    </row>
    <row r="22" spans="1:14" x14ac:dyDescent="0.2">
      <c r="A22" s="61"/>
      <c r="B22" s="55"/>
      <c r="C22" s="56"/>
      <c r="D22" s="56"/>
      <c r="E22" s="57"/>
      <c r="F22" s="55"/>
      <c r="G22" s="56"/>
      <c r="H22" s="58"/>
      <c r="I22" s="55"/>
      <c r="J22" s="56"/>
      <c r="K22" s="58"/>
      <c r="L22" s="57"/>
      <c r="M22" s="57"/>
      <c r="N22" s="58"/>
    </row>
    <row r="23" spans="1:14" x14ac:dyDescent="0.2">
      <c r="A23" s="62" t="s">
        <v>231</v>
      </c>
      <c r="B23" s="55"/>
      <c r="C23" s="56"/>
      <c r="D23" s="56"/>
      <c r="E23" s="57"/>
      <c r="F23" s="55"/>
      <c r="G23" s="56"/>
      <c r="H23" s="58"/>
      <c r="I23" s="55"/>
      <c r="J23" s="56"/>
      <c r="K23" s="58"/>
      <c r="L23" s="57"/>
      <c r="M23" s="57"/>
      <c r="N23" s="58"/>
    </row>
    <row r="24" spans="1:14" x14ac:dyDescent="0.2">
      <c r="A24" s="60" t="s">
        <v>217</v>
      </c>
      <c r="B24" s="55"/>
      <c r="C24" s="56"/>
      <c r="D24" s="56"/>
      <c r="E24" s="57"/>
      <c r="F24" s="55"/>
      <c r="G24" s="56"/>
      <c r="H24" s="58"/>
      <c r="I24" s="55"/>
      <c r="J24" s="56"/>
      <c r="K24" s="58"/>
      <c r="L24" s="57"/>
      <c r="M24" s="57"/>
      <c r="N24" s="58"/>
    </row>
    <row r="25" spans="1:14" x14ac:dyDescent="0.2">
      <c r="A25" s="60" t="s">
        <v>218</v>
      </c>
      <c r="B25" s="55"/>
      <c r="C25" s="56"/>
      <c r="D25" s="56"/>
      <c r="E25" s="57"/>
      <c r="F25" s="55"/>
      <c r="G25" s="56"/>
      <c r="H25" s="58"/>
      <c r="I25" s="55"/>
      <c r="J25" s="56"/>
      <c r="K25" s="58"/>
      <c r="L25" s="57"/>
      <c r="M25" s="57"/>
      <c r="N25" s="58"/>
    </row>
    <row r="26" spans="1:14" x14ac:dyDescent="0.2">
      <c r="A26" s="60" t="s">
        <v>219</v>
      </c>
      <c r="B26" s="55"/>
      <c r="C26" s="56"/>
      <c r="D26" s="56"/>
      <c r="E26" s="57"/>
      <c r="F26" s="55"/>
      <c r="G26" s="56"/>
      <c r="H26" s="58"/>
      <c r="I26" s="55"/>
      <c r="J26" s="56"/>
      <c r="K26" s="58"/>
      <c r="L26" s="57"/>
      <c r="M26" s="57"/>
      <c r="N26" s="58"/>
    </row>
    <row r="27" spans="1:14" x14ac:dyDescent="0.2">
      <c r="A27" s="60"/>
      <c r="B27" s="55"/>
      <c r="C27" s="56"/>
      <c r="D27" s="56"/>
      <c r="E27" s="57"/>
      <c r="F27" s="55"/>
      <c r="G27" s="56"/>
      <c r="H27" s="58"/>
      <c r="I27" s="55"/>
      <c r="J27" s="56"/>
      <c r="K27" s="58"/>
      <c r="L27" s="57"/>
      <c r="M27" s="57"/>
      <c r="N27" s="58"/>
    </row>
    <row r="28" spans="1:14" x14ac:dyDescent="0.2">
      <c r="A28" s="62" t="s">
        <v>232</v>
      </c>
      <c r="B28" s="55"/>
      <c r="C28" s="56"/>
      <c r="D28" s="56"/>
      <c r="E28" s="57"/>
      <c r="F28" s="55"/>
      <c r="G28" s="56"/>
      <c r="H28" s="58"/>
      <c r="I28" s="55"/>
      <c r="J28" s="56"/>
      <c r="K28" s="58"/>
      <c r="L28" s="57"/>
      <c r="M28" s="57"/>
      <c r="N28" s="58"/>
    </row>
    <row r="29" spans="1:14" x14ac:dyDescent="0.2">
      <c r="A29" s="60" t="s">
        <v>220</v>
      </c>
      <c r="B29" s="55"/>
      <c r="C29" s="56"/>
      <c r="D29" s="56"/>
      <c r="E29" s="57"/>
      <c r="F29" s="55"/>
      <c r="G29" s="56"/>
      <c r="H29" s="58"/>
      <c r="I29" s="55"/>
      <c r="J29" s="56"/>
      <c r="K29" s="58"/>
      <c r="L29" s="57"/>
      <c r="M29" s="57"/>
      <c r="N29" s="58"/>
    </row>
    <row r="30" spans="1:14" x14ac:dyDescent="0.2">
      <c r="A30" s="60" t="s">
        <v>218</v>
      </c>
      <c r="B30" s="55"/>
      <c r="C30" s="56"/>
      <c r="D30" s="56"/>
      <c r="E30" s="57"/>
      <c r="F30" s="55"/>
      <c r="G30" s="56"/>
      <c r="H30" s="58"/>
      <c r="I30" s="55"/>
      <c r="J30" s="56"/>
      <c r="K30" s="58"/>
      <c r="L30" s="57"/>
      <c r="M30" s="57"/>
      <c r="N30" s="58"/>
    </row>
    <row r="31" spans="1:14" x14ac:dyDescent="0.2">
      <c r="A31" s="60"/>
      <c r="B31" s="55"/>
      <c r="C31" s="56"/>
      <c r="D31" s="56"/>
      <c r="E31" s="57"/>
      <c r="F31" s="55"/>
      <c r="G31" s="56"/>
      <c r="H31" s="58"/>
      <c r="I31" s="55"/>
      <c r="J31" s="56"/>
      <c r="K31" s="58"/>
      <c r="L31" s="57"/>
      <c r="M31" s="57"/>
      <c r="N31" s="58"/>
    </row>
    <row r="32" spans="1:14" x14ac:dyDescent="0.2">
      <c r="A32" s="62" t="s">
        <v>233</v>
      </c>
      <c r="B32" s="55"/>
      <c r="C32" s="56"/>
      <c r="D32" s="56"/>
      <c r="E32" s="57"/>
      <c r="F32" s="55"/>
      <c r="G32" s="56"/>
      <c r="H32" s="58"/>
      <c r="I32" s="55"/>
      <c r="J32" s="56"/>
      <c r="K32" s="58"/>
      <c r="L32" s="57"/>
      <c r="M32" s="57"/>
      <c r="N32" s="58"/>
    </row>
    <row r="33" spans="1:14" x14ac:dyDescent="0.2">
      <c r="A33" s="60" t="s">
        <v>221</v>
      </c>
      <c r="B33" s="55"/>
      <c r="C33" s="56"/>
      <c r="D33" s="56"/>
      <c r="E33" s="57"/>
      <c r="F33" s="55"/>
      <c r="G33" s="56"/>
      <c r="H33" s="58"/>
      <c r="I33" s="55"/>
      <c r="J33" s="56"/>
      <c r="K33" s="58"/>
      <c r="L33" s="57"/>
      <c r="M33" s="57"/>
      <c r="N33" s="58"/>
    </row>
    <row r="34" spans="1:14" x14ac:dyDescent="0.2">
      <c r="A34" s="60" t="s">
        <v>219</v>
      </c>
      <c r="B34" s="55"/>
      <c r="C34" s="56"/>
      <c r="D34" s="56"/>
      <c r="E34" s="57"/>
      <c r="F34" s="55"/>
      <c r="G34" s="56"/>
      <c r="H34" s="58"/>
      <c r="I34" s="55"/>
      <c r="J34" s="56"/>
      <c r="K34" s="58"/>
      <c r="L34" s="57"/>
      <c r="M34" s="57"/>
      <c r="N34" s="58"/>
    </row>
    <row r="35" spans="1:14" x14ac:dyDescent="0.2">
      <c r="A35" s="60" t="s">
        <v>222</v>
      </c>
      <c r="B35" s="55"/>
      <c r="C35" s="56"/>
      <c r="D35" s="56"/>
      <c r="E35" s="57"/>
      <c r="F35" s="55"/>
      <c r="G35" s="56"/>
      <c r="H35" s="58"/>
      <c r="I35" s="55"/>
      <c r="J35" s="56"/>
      <c r="K35" s="58"/>
      <c r="L35" s="57"/>
      <c r="M35" s="57"/>
      <c r="N35" s="58"/>
    </row>
    <row r="36" spans="1:14" x14ac:dyDescent="0.2">
      <c r="A36" s="60" t="s">
        <v>223</v>
      </c>
      <c r="B36" s="55"/>
      <c r="C36" s="56"/>
      <c r="D36" s="56"/>
      <c r="E36" s="57"/>
      <c r="F36" s="55"/>
      <c r="G36" s="56"/>
      <c r="H36" s="58"/>
      <c r="I36" s="55"/>
      <c r="J36" s="56"/>
      <c r="K36" s="58"/>
      <c r="L36" s="57"/>
      <c r="M36" s="57"/>
      <c r="N36" s="58"/>
    </row>
    <row r="37" spans="1:14" x14ac:dyDescent="0.2">
      <c r="A37" s="60"/>
      <c r="B37" s="55"/>
      <c r="C37" s="56"/>
      <c r="D37" s="56"/>
      <c r="E37" s="57"/>
      <c r="F37" s="55"/>
      <c r="G37" s="56"/>
      <c r="H37" s="58"/>
      <c r="I37" s="55"/>
      <c r="J37" s="56"/>
      <c r="K37" s="58"/>
      <c r="L37" s="57"/>
      <c r="M37" s="57"/>
      <c r="N37" s="58"/>
    </row>
    <row r="38" spans="1:14" x14ac:dyDescent="0.2">
      <c r="A38" s="62" t="s">
        <v>234</v>
      </c>
      <c r="B38" s="55"/>
      <c r="C38" s="56"/>
      <c r="D38" s="56"/>
      <c r="E38" s="57"/>
      <c r="F38" s="55"/>
      <c r="G38" s="56"/>
      <c r="H38" s="58"/>
      <c r="I38" s="55"/>
      <c r="J38" s="56"/>
      <c r="K38" s="58"/>
      <c r="L38" s="57"/>
      <c r="M38" s="57"/>
      <c r="N38" s="58"/>
    </row>
    <row r="39" spans="1:14" x14ac:dyDescent="0.2">
      <c r="A39" s="60" t="s">
        <v>224</v>
      </c>
      <c r="B39" s="55"/>
      <c r="C39" s="56"/>
      <c r="D39" s="56"/>
      <c r="E39" s="57"/>
      <c r="F39" s="55"/>
      <c r="G39" s="56"/>
      <c r="H39" s="58"/>
      <c r="I39" s="55"/>
      <c r="J39" s="56"/>
      <c r="K39" s="58"/>
      <c r="L39" s="57"/>
      <c r="M39" s="57"/>
      <c r="N39" s="58"/>
    </row>
    <row r="40" spans="1:14" x14ac:dyDescent="0.2">
      <c r="A40" s="60" t="s">
        <v>225</v>
      </c>
      <c r="B40" s="55"/>
      <c r="C40" s="56"/>
      <c r="D40" s="56"/>
      <c r="E40" s="57"/>
      <c r="F40" s="55"/>
      <c r="G40" s="56"/>
      <c r="H40" s="58"/>
      <c r="I40" s="55"/>
      <c r="J40" s="56"/>
      <c r="K40" s="58"/>
      <c r="L40" s="57"/>
      <c r="M40" s="57"/>
      <c r="N40" s="58"/>
    </row>
    <row r="41" spans="1:14" x14ac:dyDescent="0.2">
      <c r="A41" s="60" t="s">
        <v>226</v>
      </c>
      <c r="B41" s="55"/>
      <c r="C41" s="56"/>
      <c r="D41" s="56"/>
      <c r="E41" s="57"/>
      <c r="F41" s="55"/>
      <c r="G41" s="56"/>
      <c r="H41" s="58"/>
      <c r="I41" s="55"/>
      <c r="J41" s="56"/>
      <c r="K41" s="58"/>
      <c r="L41" s="57"/>
      <c r="M41" s="57"/>
      <c r="N41" s="58"/>
    </row>
    <row r="42" spans="1:14" x14ac:dyDescent="0.2">
      <c r="A42" s="60" t="s">
        <v>227</v>
      </c>
      <c r="B42" s="55"/>
      <c r="C42" s="56"/>
      <c r="D42" s="56"/>
      <c r="E42" s="57"/>
      <c r="F42" s="55"/>
      <c r="G42" s="56"/>
      <c r="H42" s="58"/>
      <c r="I42" s="55"/>
      <c r="J42" s="56"/>
      <c r="K42" s="58"/>
      <c r="L42" s="57"/>
      <c r="M42" s="57"/>
      <c r="N42" s="58"/>
    </row>
    <row r="43" spans="1:14" x14ac:dyDescent="0.2">
      <c r="A43" s="60"/>
      <c r="B43" s="55"/>
      <c r="C43" s="56"/>
      <c r="D43" s="56"/>
      <c r="E43" s="57"/>
      <c r="F43" s="55"/>
      <c r="G43" s="56"/>
      <c r="H43" s="58"/>
      <c r="I43" s="55"/>
      <c r="J43" s="56"/>
      <c r="K43" s="58"/>
      <c r="L43" s="57"/>
      <c r="M43" s="57"/>
      <c r="N43" s="58"/>
    </row>
    <row r="44" spans="1:14" x14ac:dyDescent="0.2">
      <c r="A44" s="62" t="s">
        <v>235</v>
      </c>
      <c r="B44" s="55"/>
      <c r="C44" s="56"/>
      <c r="D44" s="56"/>
      <c r="E44" s="57"/>
      <c r="F44" s="55"/>
      <c r="G44" s="56"/>
      <c r="H44" s="58"/>
      <c r="I44" s="55"/>
      <c r="J44" s="56"/>
      <c r="K44" s="58"/>
      <c r="L44" s="57"/>
      <c r="M44" s="57"/>
      <c r="N44" s="58"/>
    </row>
    <row r="45" spans="1:14" x14ac:dyDescent="0.2">
      <c r="A45" s="60" t="s">
        <v>228</v>
      </c>
      <c r="B45" s="55"/>
      <c r="C45" s="56"/>
      <c r="D45" s="56"/>
      <c r="E45" s="57"/>
      <c r="F45" s="55"/>
      <c r="G45" s="56"/>
      <c r="H45" s="58"/>
      <c r="I45" s="55"/>
      <c r="J45" s="56"/>
      <c r="K45" s="58"/>
      <c r="L45" s="57"/>
      <c r="M45" s="57"/>
      <c r="N45" s="58"/>
    </row>
    <row r="46" spans="1:14" s="21" customFormat="1" x14ac:dyDescent="0.2">
      <c r="A46" s="60" t="s">
        <v>229</v>
      </c>
      <c r="B46" s="55"/>
      <c r="C46" s="56"/>
      <c r="D46" s="56"/>
      <c r="E46" s="57"/>
      <c r="F46" s="55"/>
      <c r="G46" s="56"/>
      <c r="H46" s="58"/>
      <c r="I46" s="55"/>
      <c r="J46" s="56"/>
      <c r="K46" s="58"/>
      <c r="L46" s="57"/>
      <c r="M46" s="57"/>
      <c r="N46" s="58"/>
    </row>
    <row r="47" spans="1:14" s="19" customFormat="1" ht="12" thickBot="1" x14ac:dyDescent="0.25">
      <c r="A47" s="63" t="s">
        <v>0</v>
      </c>
      <c r="B47" s="64"/>
      <c r="C47" s="65"/>
      <c r="D47" s="75"/>
      <c r="E47" s="67"/>
      <c r="F47" s="64"/>
      <c r="G47" s="66"/>
      <c r="H47" s="67"/>
      <c r="I47" s="64"/>
      <c r="J47" s="65"/>
      <c r="K47" s="73"/>
      <c r="L47" s="66"/>
      <c r="M47" s="66"/>
      <c r="N47" s="67"/>
    </row>
    <row r="48" spans="1:14" s="19" customFormat="1" ht="12.75" thickTop="1" thickBot="1" x14ac:dyDescent="0.25">
      <c r="A48" s="68" t="s">
        <v>20</v>
      </c>
      <c r="B48" s="69"/>
      <c r="C48" s="70"/>
      <c r="D48" s="76"/>
      <c r="E48" s="72"/>
      <c r="F48" s="69"/>
      <c r="G48" s="71"/>
      <c r="H48" s="72"/>
      <c r="I48" s="69"/>
      <c r="J48" s="70"/>
      <c r="K48" s="74"/>
      <c r="L48" s="71"/>
      <c r="M48" s="71"/>
      <c r="N48" s="72"/>
    </row>
    <row r="49" spans="1:14" x14ac:dyDescent="0.2">
      <c r="A49" s="2" t="s">
        <v>420</v>
      </c>
      <c r="B49" s="2"/>
      <c r="C49" s="2"/>
      <c r="D49" s="2"/>
      <c r="E49" s="2"/>
      <c r="F49" s="2"/>
      <c r="G49" s="2"/>
      <c r="H49" s="2"/>
      <c r="I49" s="2"/>
      <c r="J49" s="2"/>
      <c r="K49" s="2"/>
      <c r="L49" s="2"/>
      <c r="M49" s="2"/>
      <c r="N49" s="2"/>
    </row>
    <row r="50" spans="1:14" x14ac:dyDescent="0.2">
      <c r="A50" s="2" t="s">
        <v>450</v>
      </c>
      <c r="B50" s="2"/>
      <c r="C50" s="2"/>
      <c r="D50" s="2"/>
      <c r="E50" s="2"/>
      <c r="F50" s="2"/>
      <c r="G50" s="2"/>
      <c r="H50" s="2"/>
      <c r="I50" s="2"/>
      <c r="J50" s="2"/>
      <c r="K50" s="2"/>
      <c r="L50" s="2"/>
      <c r="M50" s="2"/>
      <c r="N50" s="2"/>
    </row>
  </sheetData>
  <mergeCells count="4">
    <mergeCell ref="I4:N4"/>
    <mergeCell ref="B4:E4"/>
    <mergeCell ref="F4:H4"/>
    <mergeCell ref="A4:A5"/>
  </mergeCells>
  <printOptions horizontalCentered="1"/>
  <pageMargins left="0.23622047244094491" right="0.23622047244094491" top="0.74803149606299213" bottom="0.74803149606299213" header="0.31496062992125984" footer="0.31496062992125984"/>
  <pageSetup paperSize="9" scale="80" orientation="landscape" r:id="rId1"/>
  <headerFooter alignWithMargins="0">
    <oddHeader xml:space="preserve">&amp;C&amp;"Arial,Negrita"&amp;18PROYECTO DE PRESUPUESTO 2022
</oddHeader>
    <oddFooter>&amp;L&amp;"Arial,Negrita"&amp;8PROYECTO DE PRESUPUESTO PARA EL AÑO FISCAL 2021
INFORMACIÓN PARA LA COMISIÓN DE PRESUPUESTO Y CUENTA GENERAL DE LA REPÚBLICA DEL CONGRESO DE LA REPÚBLICA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3">
    <tabColor rgb="FF7030A0"/>
  </sheetPr>
  <dimension ref="A1:V20"/>
  <sheetViews>
    <sheetView showGridLines="0" zoomScaleNormal="100" zoomScaleSheetLayoutView="90" workbookViewId="0">
      <selection activeCell="A2" sqref="A2"/>
    </sheetView>
  </sheetViews>
  <sheetFormatPr baseColWidth="10" defaultColWidth="11.28515625" defaultRowHeight="11.25" x14ac:dyDescent="0.2"/>
  <cols>
    <col min="1" max="1" width="45.140625" style="20" customWidth="1"/>
    <col min="2" max="2" width="7" style="20" customWidth="1"/>
    <col min="3" max="8" width="12.7109375" style="20" customWidth="1"/>
    <col min="9" max="9" width="7" style="20" customWidth="1"/>
    <col min="10" max="10" width="5.5703125" style="20" customWidth="1"/>
    <col min="11" max="11" width="13.7109375" style="20" customWidth="1"/>
    <col min="12" max="12" width="8.140625" style="20" customWidth="1"/>
    <col min="13" max="13" width="13.7109375" style="20" customWidth="1"/>
    <col min="14" max="14" width="7" style="20" customWidth="1"/>
    <col min="15" max="15" width="11" style="20" customWidth="1"/>
    <col min="16" max="16" width="14.7109375" style="20" customWidth="1"/>
    <col min="17" max="17" width="7" style="20" customWidth="1"/>
    <col min="18" max="16384" width="11.28515625" style="20"/>
  </cols>
  <sheetData>
    <row r="1" spans="1:22" s="19" customFormat="1" ht="15" x14ac:dyDescent="0.25">
      <c r="A1" s="89" t="s">
        <v>396</v>
      </c>
      <c r="B1" s="22"/>
      <c r="C1" s="22"/>
      <c r="D1" s="22"/>
      <c r="E1" s="22"/>
    </row>
    <row r="2" spans="1:22" s="19" customFormat="1" ht="15" x14ac:dyDescent="0.2">
      <c r="A2" s="90" t="s">
        <v>458</v>
      </c>
      <c r="B2" s="18"/>
      <c r="C2" s="18"/>
      <c r="D2" s="18"/>
      <c r="E2" s="18"/>
      <c r="F2" s="18"/>
      <c r="G2" s="18"/>
      <c r="H2" s="18"/>
      <c r="I2" s="18"/>
      <c r="J2" s="18"/>
      <c r="K2" s="18"/>
      <c r="L2" s="18"/>
      <c r="M2" s="18"/>
      <c r="N2" s="18"/>
      <c r="O2" s="18"/>
      <c r="P2" s="18"/>
      <c r="Q2" s="18"/>
      <c r="R2" s="18"/>
      <c r="S2" s="18"/>
      <c r="T2" s="18"/>
      <c r="U2" s="18"/>
      <c r="V2" s="18"/>
    </row>
    <row r="3" spans="1:22" s="19" customFormat="1" ht="15.75" thickBot="1" x14ac:dyDescent="0.25">
      <c r="A3" s="90"/>
      <c r="B3" s="401"/>
      <c r="C3" s="401"/>
      <c r="D3" s="401"/>
      <c r="E3" s="401"/>
      <c r="F3" s="401"/>
      <c r="G3" s="401"/>
      <c r="H3" s="401"/>
      <c r="I3" s="401"/>
      <c r="J3" s="401"/>
      <c r="K3" s="401"/>
      <c r="L3" s="401"/>
      <c r="M3" s="401"/>
      <c r="N3" s="401"/>
      <c r="O3" s="401"/>
      <c r="P3" s="401"/>
      <c r="Q3" s="401"/>
      <c r="R3" s="401"/>
      <c r="S3" s="401"/>
      <c r="T3" s="401"/>
      <c r="U3" s="401"/>
      <c r="V3" s="401"/>
    </row>
    <row r="4" spans="1:22" s="212" customFormat="1" ht="27" customHeight="1" thickBot="1" x14ac:dyDescent="0.25">
      <c r="A4" s="1454" t="s">
        <v>1</v>
      </c>
      <c r="B4" s="1454" t="s">
        <v>397</v>
      </c>
      <c r="C4" s="1455"/>
      <c r="D4" s="1455"/>
      <c r="E4" s="1455"/>
      <c r="F4" s="1455"/>
      <c r="G4" s="1455"/>
      <c r="H4" s="1453"/>
      <c r="I4" s="1452" t="s">
        <v>398</v>
      </c>
      <c r="J4" s="1455"/>
      <c r="K4" s="1455"/>
      <c r="L4" s="1455"/>
      <c r="M4" s="1453"/>
      <c r="N4" s="1457" t="s">
        <v>399</v>
      </c>
      <c r="O4" s="1458"/>
      <c r="P4" s="1452" t="s">
        <v>0</v>
      </c>
      <c r="Q4" s="1453"/>
    </row>
    <row r="5" spans="1:22" s="24" customFormat="1" ht="66.75" customHeight="1" thickBot="1" x14ac:dyDescent="0.25">
      <c r="A5" s="1456"/>
      <c r="B5" s="299" t="s">
        <v>278</v>
      </c>
      <c r="C5" s="296" t="s">
        <v>279</v>
      </c>
      <c r="D5" s="299" t="s">
        <v>280</v>
      </c>
      <c r="E5" s="299" t="s">
        <v>281</v>
      </c>
      <c r="F5" s="299" t="s">
        <v>282</v>
      </c>
      <c r="G5" s="293" t="s">
        <v>283</v>
      </c>
      <c r="H5" s="293" t="s">
        <v>284</v>
      </c>
      <c r="I5" s="299" t="s">
        <v>285</v>
      </c>
      <c r="J5" s="293" t="s">
        <v>283</v>
      </c>
      <c r="K5" s="293" t="s">
        <v>286</v>
      </c>
      <c r="L5" s="293" t="s">
        <v>287</v>
      </c>
      <c r="M5" s="293" t="s">
        <v>288</v>
      </c>
      <c r="N5" s="293" t="s">
        <v>289</v>
      </c>
      <c r="O5" s="296" t="s">
        <v>290</v>
      </c>
      <c r="P5" s="299" t="s">
        <v>19</v>
      </c>
      <c r="Q5" s="293" t="s">
        <v>21</v>
      </c>
    </row>
    <row r="6" spans="1:22" ht="12" x14ac:dyDescent="0.2">
      <c r="A6" s="297"/>
      <c r="B6" s="300"/>
      <c r="C6" s="294"/>
      <c r="D6" s="300"/>
      <c r="E6" s="735"/>
      <c r="F6" s="735"/>
      <c r="G6" s="735"/>
      <c r="H6" s="735"/>
      <c r="I6" s="735"/>
      <c r="J6" s="735"/>
      <c r="K6" s="735"/>
      <c r="L6" s="735"/>
      <c r="M6" s="735"/>
      <c r="N6" s="735"/>
      <c r="O6" s="735"/>
      <c r="P6" s="294"/>
      <c r="Q6" s="297"/>
    </row>
    <row r="7" spans="1:22" s="212" customFormat="1" ht="24.95" customHeight="1" x14ac:dyDescent="0.2">
      <c r="A7" s="749" t="s">
        <v>47</v>
      </c>
      <c r="B7" s="750"/>
      <c r="C7" s="751">
        <v>43858336</v>
      </c>
      <c r="D7" s="750">
        <v>7765509</v>
      </c>
      <c r="E7" s="752">
        <v>7587730</v>
      </c>
      <c r="F7" s="752">
        <v>15000000</v>
      </c>
      <c r="G7" s="752">
        <v>104800</v>
      </c>
      <c r="H7" s="752">
        <v>74316375</v>
      </c>
      <c r="I7" s="752"/>
      <c r="J7" s="752"/>
      <c r="K7" s="752">
        <v>1113344</v>
      </c>
      <c r="L7" s="752"/>
      <c r="M7" s="753">
        <v>1113344</v>
      </c>
      <c r="N7" s="752"/>
      <c r="O7" s="752"/>
      <c r="P7" s="754">
        <v>75429719</v>
      </c>
      <c r="Q7" s="755">
        <v>0.13875477349102969</v>
      </c>
    </row>
    <row r="8" spans="1:22" s="212" customFormat="1" ht="24.95" customHeight="1" x14ac:dyDescent="0.2">
      <c r="A8" s="756" t="s">
        <v>48</v>
      </c>
      <c r="B8" s="757"/>
      <c r="C8" s="758">
        <v>7348040</v>
      </c>
      <c r="D8" s="757">
        <v>5216062</v>
      </c>
      <c r="E8" s="759">
        <v>188480992</v>
      </c>
      <c r="F8" s="759">
        <v>14738907</v>
      </c>
      <c r="G8" s="759">
        <v>346710</v>
      </c>
      <c r="H8" s="759">
        <v>216130711</v>
      </c>
      <c r="I8" s="759"/>
      <c r="J8" s="759"/>
      <c r="K8" s="759">
        <v>124785276</v>
      </c>
      <c r="L8" s="759"/>
      <c r="M8" s="760">
        <v>124785276</v>
      </c>
      <c r="N8" s="759"/>
      <c r="O8" s="759"/>
      <c r="P8" s="761">
        <v>340915987</v>
      </c>
      <c r="Q8" s="762">
        <v>0.62712311782118424</v>
      </c>
    </row>
    <row r="9" spans="1:22" s="212" customFormat="1" ht="24.95" customHeight="1" x14ac:dyDescent="0.2">
      <c r="A9" s="756" t="s">
        <v>606</v>
      </c>
      <c r="B9" s="757"/>
      <c r="C9" s="758"/>
      <c r="D9" s="757"/>
      <c r="E9" s="759"/>
      <c r="F9" s="759"/>
      <c r="G9" s="759"/>
      <c r="H9" s="759"/>
      <c r="I9" s="759"/>
      <c r="J9" s="759"/>
      <c r="K9" s="759"/>
      <c r="L9" s="759"/>
      <c r="M9" s="759"/>
      <c r="N9" s="759"/>
      <c r="O9" s="759"/>
      <c r="P9" s="761"/>
      <c r="Q9" s="762"/>
    </row>
    <row r="10" spans="1:22" s="212" customFormat="1" ht="24.95" customHeight="1" x14ac:dyDescent="0.2">
      <c r="A10" s="756" t="s">
        <v>50</v>
      </c>
      <c r="B10" s="757"/>
      <c r="C10" s="758"/>
      <c r="D10" s="757"/>
      <c r="E10" s="759">
        <v>6747528</v>
      </c>
      <c r="F10" s="759"/>
      <c r="G10" s="759"/>
      <c r="H10" s="759">
        <v>6747528</v>
      </c>
      <c r="I10" s="759"/>
      <c r="J10" s="759"/>
      <c r="K10" s="759">
        <v>525678</v>
      </c>
      <c r="L10" s="759"/>
      <c r="M10" s="760">
        <v>525678</v>
      </c>
      <c r="N10" s="759"/>
      <c r="O10" s="759"/>
      <c r="P10" s="761">
        <v>7273206</v>
      </c>
      <c r="Q10" s="762">
        <v>1.3379236519276945E-2</v>
      </c>
    </row>
    <row r="11" spans="1:22" s="212" customFormat="1" ht="24.95" customHeight="1" x14ac:dyDescent="0.2">
      <c r="A11" s="756" t="s">
        <v>51</v>
      </c>
      <c r="B11" s="757"/>
      <c r="C11" s="763">
        <v>0</v>
      </c>
      <c r="D11" s="764">
        <v>0</v>
      </c>
      <c r="E11" s="764">
        <v>0</v>
      </c>
      <c r="F11" s="764">
        <v>0</v>
      </c>
      <c r="G11" s="764">
        <v>0</v>
      </c>
      <c r="H11" s="765">
        <v>0</v>
      </c>
      <c r="I11" s="759"/>
      <c r="J11" s="759"/>
      <c r="K11" s="757">
        <v>120000000</v>
      </c>
      <c r="L11" s="759"/>
      <c r="M11" s="760">
        <v>120000000</v>
      </c>
      <c r="N11" s="759"/>
      <c r="O11" s="759"/>
      <c r="P11" s="761">
        <v>120000000</v>
      </c>
      <c r="Q11" s="762">
        <v>0.2207428721685091</v>
      </c>
    </row>
    <row r="12" spans="1:22" ht="12" x14ac:dyDescent="0.2">
      <c r="A12" s="297"/>
      <c r="B12" s="300"/>
      <c r="C12" s="294"/>
      <c r="D12" s="300"/>
      <c r="E12" s="735"/>
      <c r="F12" s="735"/>
      <c r="G12" s="735"/>
      <c r="H12" s="735"/>
      <c r="I12" s="735"/>
      <c r="J12" s="735"/>
      <c r="K12" s="735"/>
      <c r="L12" s="735"/>
      <c r="M12" s="735"/>
      <c r="N12" s="735"/>
      <c r="O12" s="735"/>
      <c r="P12" s="736"/>
      <c r="Q12" s="737"/>
    </row>
    <row r="13" spans="1:22" ht="12" x14ac:dyDescent="0.2">
      <c r="A13" s="766" t="s">
        <v>607</v>
      </c>
      <c r="B13" s="767"/>
      <c r="C13" s="768"/>
      <c r="D13" s="767"/>
      <c r="E13" s="769"/>
      <c r="F13" s="769"/>
      <c r="G13" s="769"/>
      <c r="H13" s="769"/>
      <c r="I13" s="769"/>
      <c r="J13" s="769"/>
      <c r="K13" s="769">
        <v>120000000</v>
      </c>
      <c r="L13" s="769"/>
      <c r="M13" s="769">
        <v>120000000</v>
      </c>
      <c r="N13" s="769"/>
      <c r="O13" s="769"/>
      <c r="P13" s="770">
        <v>120000000</v>
      </c>
      <c r="Q13" s="771"/>
    </row>
    <row r="14" spans="1:22" ht="12" x14ac:dyDescent="0.2">
      <c r="A14" s="772" t="s">
        <v>52</v>
      </c>
      <c r="B14" s="773"/>
      <c r="C14" s="774"/>
      <c r="D14" s="773"/>
      <c r="E14" s="775"/>
      <c r="F14" s="775"/>
      <c r="G14" s="775"/>
      <c r="H14" s="775"/>
      <c r="I14" s="775"/>
      <c r="J14" s="775"/>
      <c r="K14" s="775"/>
      <c r="L14" s="775"/>
      <c r="M14" s="775"/>
      <c r="N14" s="775"/>
      <c r="O14" s="775"/>
      <c r="P14" s="776"/>
      <c r="Q14" s="777"/>
    </row>
    <row r="15" spans="1:22" ht="12" x14ac:dyDescent="0.2">
      <c r="A15" s="772" t="s">
        <v>53</v>
      </c>
      <c r="B15" s="773"/>
      <c r="C15" s="774"/>
      <c r="D15" s="773"/>
      <c r="E15" s="775"/>
      <c r="F15" s="775"/>
      <c r="G15" s="775"/>
      <c r="H15" s="775"/>
      <c r="I15" s="775"/>
      <c r="J15" s="775"/>
      <c r="K15" s="775"/>
      <c r="L15" s="775"/>
      <c r="M15" s="775"/>
      <c r="N15" s="775"/>
      <c r="O15" s="775"/>
      <c r="P15" s="776"/>
      <c r="Q15" s="777"/>
    </row>
    <row r="16" spans="1:22" ht="12" x14ac:dyDescent="0.2">
      <c r="A16" s="772" t="s">
        <v>54</v>
      </c>
      <c r="B16" s="773"/>
      <c r="C16" s="774"/>
      <c r="D16" s="773"/>
      <c r="E16" s="775"/>
      <c r="F16" s="775"/>
      <c r="G16" s="775"/>
      <c r="H16" s="775"/>
      <c r="I16" s="775"/>
      <c r="J16" s="775"/>
      <c r="K16" s="775"/>
      <c r="L16" s="775"/>
      <c r="M16" s="775"/>
      <c r="N16" s="775"/>
      <c r="O16" s="775"/>
      <c r="P16" s="776"/>
      <c r="Q16" s="777"/>
    </row>
    <row r="17" spans="1:17" ht="12" x14ac:dyDescent="0.2">
      <c r="A17" s="772" t="s">
        <v>86</v>
      </c>
      <c r="B17" s="773"/>
      <c r="C17" s="774"/>
      <c r="D17" s="773"/>
      <c r="E17" s="775"/>
      <c r="F17" s="775"/>
      <c r="G17" s="775"/>
      <c r="H17" s="775"/>
      <c r="I17" s="775"/>
      <c r="J17" s="775"/>
      <c r="K17" s="775"/>
      <c r="L17" s="775"/>
      <c r="M17" s="775"/>
      <c r="N17" s="775"/>
      <c r="O17" s="775"/>
      <c r="P17" s="776"/>
      <c r="Q17" s="777"/>
    </row>
    <row r="18" spans="1:17" ht="12.75" thickBot="1" x14ac:dyDescent="0.25">
      <c r="A18" s="738"/>
      <c r="B18" s="738"/>
      <c r="C18" s="739"/>
      <c r="D18" s="297"/>
      <c r="E18" s="740"/>
      <c r="F18" s="740"/>
      <c r="G18" s="740"/>
      <c r="H18" s="740"/>
      <c r="I18" s="740"/>
      <c r="J18" s="740"/>
      <c r="K18" s="740"/>
      <c r="L18" s="740"/>
      <c r="M18" s="740"/>
      <c r="N18" s="740"/>
      <c r="O18" s="740"/>
      <c r="P18" s="743"/>
      <c r="Q18" s="742"/>
    </row>
    <row r="19" spans="1:17" ht="19.5" customHeight="1" thickBot="1" x14ac:dyDescent="0.25">
      <c r="A19" s="744" t="s">
        <v>0</v>
      </c>
      <c r="B19" s="746"/>
      <c r="C19" s="747">
        <v>51206376</v>
      </c>
      <c r="D19" s="747">
        <v>12981571</v>
      </c>
      <c r="E19" s="747">
        <v>202816250</v>
      </c>
      <c r="F19" s="747">
        <v>29738907</v>
      </c>
      <c r="G19" s="747">
        <v>451510</v>
      </c>
      <c r="H19" s="747">
        <v>297194614</v>
      </c>
      <c r="I19" s="748"/>
      <c r="J19" s="748"/>
      <c r="K19" s="747">
        <v>246424298</v>
      </c>
      <c r="L19" s="748"/>
      <c r="M19" s="747">
        <v>246424298</v>
      </c>
      <c r="N19" s="748"/>
      <c r="O19" s="748"/>
      <c r="P19" s="747">
        <v>543618912</v>
      </c>
      <c r="Q19" s="745">
        <v>1</v>
      </c>
    </row>
    <row r="20" spans="1:17" ht="12" x14ac:dyDescent="0.2">
      <c r="A20" s="238"/>
      <c r="B20" s="741"/>
      <c r="C20" s="741"/>
      <c r="D20" s="741"/>
      <c r="E20" s="741"/>
      <c r="F20" s="741"/>
      <c r="G20" s="741"/>
      <c r="H20" s="741"/>
      <c r="I20" s="741"/>
      <c r="J20" s="741"/>
      <c r="K20" s="741"/>
      <c r="L20" s="741"/>
      <c r="M20" s="741"/>
      <c r="N20" s="741"/>
      <c r="O20" s="741"/>
      <c r="P20" s="741"/>
      <c r="Q20" s="741"/>
    </row>
  </sheetData>
  <mergeCells count="5">
    <mergeCell ref="P4:Q4"/>
    <mergeCell ref="B4:H4"/>
    <mergeCell ref="I4:M4"/>
    <mergeCell ref="A4:A5"/>
    <mergeCell ref="N4:O4"/>
  </mergeCells>
  <phoneticPr fontId="0" type="noConversion"/>
  <pageMargins left="0.23622047244094491" right="0.23622047244094491" top="1.3385826771653544" bottom="0.74803149606299213" header="0.31496062992125984" footer="0.31496062992125984"/>
  <pageSetup paperSize="9" scale="67" orientation="landscape" r:id="rId1"/>
  <headerFooter alignWithMargins="0">
    <oddHeader xml:space="preserve">&amp;C&amp;"Arial,Negrita"&amp;18PROYECTO DEL PRESUPUESTO 2022
</oddHeader>
    <oddFooter>&amp;L&amp;"Arial,Negrita"&amp;8PROYECTO DE PRESUPUESTO PARA EL AÑO FISCAL 2020
INFORMACIÓN PARA LA COMISIÓN DE PRESUPUESTO Y CUENTA GENERAL DE LA REPÚBLICA DEL CONGRESO DE LA REPÚBLICA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030A0"/>
    <pageSetUpPr fitToPage="1"/>
  </sheetPr>
  <dimension ref="A1:V53"/>
  <sheetViews>
    <sheetView showGridLines="0" zoomScaleNormal="100" zoomScaleSheetLayoutView="70" zoomScalePageLayoutView="90" workbookViewId="0">
      <selection activeCell="G7" sqref="G7"/>
    </sheetView>
  </sheetViews>
  <sheetFormatPr baseColWidth="10" defaultColWidth="11.42578125" defaultRowHeight="12" x14ac:dyDescent="0.2"/>
  <cols>
    <col min="1" max="1" width="25" style="462" customWidth="1"/>
    <col min="2" max="2" width="16.28515625" style="462" bestFit="1" customWidth="1"/>
    <col min="3" max="3" width="8.7109375" style="462" customWidth="1"/>
    <col min="4" max="4" width="13.5703125" style="462" bestFit="1" customWidth="1"/>
    <col min="5" max="5" width="12.85546875" style="462" bestFit="1" customWidth="1"/>
    <col min="6" max="6" width="13.5703125" style="462" bestFit="1" customWidth="1"/>
    <col min="7" max="7" width="12.42578125" style="462" bestFit="1" customWidth="1"/>
    <col min="8" max="8" width="8.7109375" style="462" customWidth="1"/>
    <col min="9" max="9" width="13.42578125" style="462" bestFit="1" customWidth="1"/>
    <col min="10" max="10" width="11" style="462" bestFit="1" customWidth="1"/>
    <col min="11" max="11" width="8.7109375" style="462" customWidth="1"/>
    <col min="12" max="12" width="12.85546875" style="462" bestFit="1" customWidth="1"/>
    <col min="13" max="13" width="8.7109375" style="462" customWidth="1"/>
    <col min="14" max="14" width="14.42578125" style="462" bestFit="1" customWidth="1"/>
    <col min="15" max="16" width="8.7109375" style="462" customWidth="1"/>
    <col min="17" max="17" width="12" style="462" bestFit="1" customWidth="1"/>
    <col min="18" max="18" width="8.7109375" style="462" customWidth="1"/>
    <col min="19" max="16384" width="11.42578125" style="462"/>
  </cols>
  <sheetData>
    <row r="1" spans="1:22" s="656" customFormat="1" ht="15" x14ac:dyDescent="0.25">
      <c r="A1" s="89" t="s">
        <v>400</v>
      </c>
      <c r="B1" s="476"/>
      <c r="C1" s="476"/>
      <c r="D1" s="476"/>
      <c r="E1" s="476"/>
      <c r="F1" s="476"/>
      <c r="G1" s="476"/>
      <c r="H1" s="476"/>
      <c r="I1" s="476"/>
      <c r="J1" s="476"/>
      <c r="K1" s="476"/>
      <c r="L1" s="476"/>
      <c r="M1" s="476"/>
      <c r="N1" s="476"/>
      <c r="O1" s="476"/>
      <c r="P1" s="476"/>
      <c r="Q1" s="476"/>
      <c r="R1" s="476"/>
    </row>
    <row r="2" spans="1:22" s="656" customFormat="1" ht="15" x14ac:dyDescent="0.2">
      <c r="A2" s="90" t="s">
        <v>458</v>
      </c>
      <c r="B2" s="396"/>
      <c r="C2" s="396"/>
      <c r="D2" s="396"/>
      <c r="E2" s="396"/>
      <c r="F2" s="396"/>
      <c r="G2" s="396"/>
      <c r="H2" s="396"/>
      <c r="I2" s="396"/>
      <c r="J2" s="396"/>
      <c r="K2" s="396"/>
      <c r="L2" s="396"/>
      <c r="M2" s="396"/>
      <c r="N2" s="396"/>
      <c r="O2" s="396"/>
      <c r="P2" s="396"/>
      <c r="Q2" s="396"/>
      <c r="R2" s="396"/>
      <c r="S2" s="396"/>
      <c r="T2" s="396"/>
      <c r="U2" s="396"/>
      <c r="V2" s="396"/>
    </row>
    <row r="3" spans="1:22" s="656" customFormat="1" ht="15.75" thickBot="1" x14ac:dyDescent="0.25">
      <c r="A3" s="90"/>
      <c r="B3" s="396"/>
      <c r="C3" s="396"/>
      <c r="D3" s="396"/>
      <c r="E3" s="396"/>
      <c r="F3" s="396"/>
      <c r="G3" s="396"/>
      <c r="H3" s="396"/>
      <c r="I3" s="396"/>
      <c r="J3" s="396"/>
      <c r="K3" s="396"/>
      <c r="L3" s="396"/>
      <c r="M3" s="396"/>
      <c r="N3" s="396"/>
      <c r="O3" s="396"/>
      <c r="P3" s="396"/>
      <c r="Q3" s="396"/>
      <c r="R3" s="396"/>
      <c r="S3" s="396"/>
      <c r="T3" s="396"/>
      <c r="U3" s="396"/>
      <c r="V3" s="396"/>
    </row>
    <row r="4" spans="1:22" ht="27" customHeight="1" x14ac:dyDescent="0.2">
      <c r="A4" s="1461" t="s">
        <v>125</v>
      </c>
      <c r="B4" s="1463" t="s">
        <v>126</v>
      </c>
      <c r="C4" s="1465" t="s">
        <v>22</v>
      </c>
      <c r="D4" s="1466"/>
      <c r="E4" s="1466"/>
      <c r="F4" s="1466"/>
      <c r="G4" s="1466"/>
      <c r="H4" s="1466"/>
      <c r="I4" s="1467"/>
      <c r="J4" s="1468" t="s">
        <v>106</v>
      </c>
      <c r="K4" s="1459"/>
      <c r="L4" s="1459"/>
      <c r="M4" s="1459"/>
      <c r="N4" s="1460"/>
      <c r="O4" s="1469" t="s">
        <v>95</v>
      </c>
      <c r="P4" s="1459"/>
      <c r="Q4" s="1459" t="s">
        <v>0</v>
      </c>
      <c r="R4" s="1460"/>
    </row>
    <row r="5" spans="1:22" ht="117" customHeight="1" thickBot="1" x14ac:dyDescent="0.25">
      <c r="A5" s="1462"/>
      <c r="B5" s="1464"/>
      <c r="C5" s="408" t="s">
        <v>241</v>
      </c>
      <c r="D5" s="409" t="s">
        <v>242</v>
      </c>
      <c r="E5" s="409" t="s">
        <v>243</v>
      </c>
      <c r="F5" s="409" t="s">
        <v>244</v>
      </c>
      <c r="G5" s="409" t="s">
        <v>245</v>
      </c>
      <c r="H5" s="409" t="s">
        <v>246</v>
      </c>
      <c r="I5" s="410" t="s">
        <v>103</v>
      </c>
      <c r="J5" s="408" t="s">
        <v>245</v>
      </c>
      <c r="K5" s="409" t="s">
        <v>246</v>
      </c>
      <c r="L5" s="409" t="s">
        <v>247</v>
      </c>
      <c r="M5" s="409" t="s">
        <v>248</v>
      </c>
      <c r="N5" s="410" t="s">
        <v>104</v>
      </c>
      <c r="O5" s="411" t="s">
        <v>249</v>
      </c>
      <c r="P5" s="409" t="s">
        <v>105</v>
      </c>
      <c r="Q5" s="412" t="s">
        <v>43</v>
      </c>
      <c r="R5" s="413" t="s">
        <v>94</v>
      </c>
    </row>
    <row r="6" spans="1:22" s="111" customFormat="1" ht="18" customHeight="1" x14ac:dyDescent="0.2">
      <c r="A6" s="103" t="s">
        <v>127</v>
      </c>
      <c r="B6" s="104">
        <v>2020</v>
      </c>
      <c r="C6" s="784"/>
      <c r="D6" s="778">
        <v>11729247</v>
      </c>
      <c r="E6" s="778">
        <v>1724925</v>
      </c>
      <c r="F6" s="778">
        <v>100088402</v>
      </c>
      <c r="G6" s="778">
        <v>6735000</v>
      </c>
      <c r="H6" s="778">
        <v>282496</v>
      </c>
      <c r="I6" s="785">
        <f>SUM(D6:H6)</f>
        <v>120560070</v>
      </c>
      <c r="J6" s="784"/>
      <c r="K6" s="786"/>
      <c r="L6" s="779">
        <v>322369</v>
      </c>
      <c r="M6" s="786"/>
      <c r="N6" s="787">
        <f>SUM(J6:M6)</f>
        <v>322369</v>
      </c>
      <c r="O6" s="788"/>
      <c r="P6" s="786"/>
      <c r="Q6" s="789">
        <f>+I6+N6+P6</f>
        <v>120882439</v>
      </c>
      <c r="R6" s="489">
        <f>+Q6/$Q$22</f>
        <v>0.16387110724349241</v>
      </c>
    </row>
    <row r="7" spans="1:22" s="111" customFormat="1" ht="18" customHeight="1" x14ac:dyDescent="0.2">
      <c r="A7" s="105"/>
      <c r="B7" s="492">
        <v>2021</v>
      </c>
      <c r="C7" s="790"/>
      <c r="D7" s="778">
        <v>12306452</v>
      </c>
      <c r="E7" s="778">
        <v>1914893</v>
      </c>
      <c r="F7" s="778">
        <v>62917215</v>
      </c>
      <c r="G7" s="778">
        <v>9044076</v>
      </c>
      <c r="H7" s="778">
        <v>178502</v>
      </c>
      <c r="I7" s="785">
        <f>SUM(D7:H7)</f>
        <v>86361138</v>
      </c>
      <c r="J7" s="790"/>
      <c r="K7" s="791"/>
      <c r="L7" s="778">
        <v>545511</v>
      </c>
      <c r="M7" s="791"/>
      <c r="N7" s="787">
        <f>SUM(J7:M7)</f>
        <v>545511</v>
      </c>
      <c r="O7" s="792"/>
      <c r="P7" s="791"/>
      <c r="Q7" s="789">
        <f>+I7+N7+P7</f>
        <v>86906649</v>
      </c>
      <c r="R7" s="488">
        <f>+Q7/$Q$23</f>
        <v>0.18231570885856721</v>
      </c>
    </row>
    <row r="8" spans="1:22" s="111" customFormat="1" ht="18" customHeight="1" x14ac:dyDescent="0.2">
      <c r="A8" s="105"/>
      <c r="B8" s="492">
        <v>2022</v>
      </c>
      <c r="C8" s="790"/>
      <c r="D8" s="778">
        <v>13782531</v>
      </c>
      <c r="E8" s="778">
        <v>1914893</v>
      </c>
      <c r="F8" s="778">
        <v>103532539</v>
      </c>
      <c r="G8" s="778">
        <v>22238907</v>
      </c>
      <c r="H8" s="778">
        <v>97485</v>
      </c>
      <c r="I8" s="785">
        <f>SUM(D8:H8)</f>
        <v>141566355</v>
      </c>
      <c r="J8" s="790"/>
      <c r="K8" s="791"/>
      <c r="L8" s="778"/>
      <c r="M8" s="791"/>
      <c r="N8" s="787">
        <f>SUM(J8:M8)</f>
        <v>0</v>
      </c>
      <c r="O8" s="792"/>
      <c r="P8" s="791"/>
      <c r="Q8" s="789">
        <f>+I8+N8+P8</f>
        <v>141566355</v>
      </c>
      <c r="R8" s="490">
        <f>+Q8/$Q$24</f>
        <v>0.26041469837605652</v>
      </c>
    </row>
    <row r="9" spans="1:22" s="111" customFormat="1" ht="18" customHeight="1" thickBot="1" x14ac:dyDescent="0.25">
      <c r="A9" s="106"/>
      <c r="B9" s="107" t="s">
        <v>401</v>
      </c>
      <c r="C9" s="793"/>
      <c r="D9" s="485">
        <f t="shared" ref="D9:I9" si="0">+D8/D7-1</f>
        <v>0.1199435060568228</v>
      </c>
      <c r="E9" s="485">
        <f t="shared" si="0"/>
        <v>0</v>
      </c>
      <c r="F9" s="485">
        <f t="shared" si="0"/>
        <v>0.6455359475145237</v>
      </c>
      <c r="G9" s="485">
        <f t="shared" si="0"/>
        <v>1.4589473816894065</v>
      </c>
      <c r="H9" s="485">
        <f t="shared" si="0"/>
        <v>-0.45387166530347001</v>
      </c>
      <c r="I9" s="485">
        <f t="shared" si="0"/>
        <v>0.63923679421639856</v>
      </c>
      <c r="J9" s="793"/>
      <c r="K9" s="794"/>
      <c r="L9" s="485">
        <f>+L8/L7-1</f>
        <v>-1</v>
      </c>
      <c r="M9" s="485"/>
      <c r="N9" s="485">
        <f>+N8/N7-1</f>
        <v>-1</v>
      </c>
      <c r="O9" s="795"/>
      <c r="P9" s="794"/>
      <c r="Q9" s="485">
        <f>+Q8/Q7-1</f>
        <v>0.62894734325793644</v>
      </c>
      <c r="R9" s="796"/>
    </row>
    <row r="10" spans="1:22" s="111" customFormat="1" ht="18" customHeight="1" x14ac:dyDescent="0.2">
      <c r="A10" s="103" t="s">
        <v>250</v>
      </c>
      <c r="B10" s="104">
        <v>2020</v>
      </c>
      <c r="C10" s="784"/>
      <c r="D10" s="778">
        <v>24195096</v>
      </c>
      <c r="E10" s="778">
        <v>486255</v>
      </c>
      <c r="F10" s="778">
        <v>61648931</v>
      </c>
      <c r="G10" s="778">
        <v>12200000</v>
      </c>
      <c r="H10" s="778">
        <v>326000</v>
      </c>
      <c r="I10" s="785">
        <f>SUM(D10:H10)</f>
        <v>98856282</v>
      </c>
      <c r="J10" s="780">
        <v>50000000</v>
      </c>
      <c r="K10" s="778"/>
      <c r="L10" s="778">
        <v>350834253</v>
      </c>
      <c r="M10" s="786"/>
      <c r="N10" s="787">
        <f>SUM(J10:M10)</f>
        <v>400834253</v>
      </c>
      <c r="O10" s="788"/>
      <c r="P10" s="786"/>
      <c r="Q10" s="789">
        <f>+I10+N10+P10</f>
        <v>499690535</v>
      </c>
      <c r="R10" s="489">
        <f>+Q10/$Q$22</f>
        <v>0.67739236506919831</v>
      </c>
    </row>
    <row r="11" spans="1:22" s="111" customFormat="1" ht="18" customHeight="1" x14ac:dyDescent="0.25">
      <c r="A11" s="105"/>
      <c r="B11" s="492">
        <v>2021</v>
      </c>
      <c r="C11" s="790"/>
      <c r="D11" s="778">
        <v>23953895</v>
      </c>
      <c r="E11" s="89">
        <v>486255</v>
      </c>
      <c r="F11" s="778">
        <v>43374453</v>
      </c>
      <c r="G11" s="778"/>
      <c r="H11" s="778">
        <v>129994</v>
      </c>
      <c r="I11" s="785">
        <f>SUM(D11:H11)</f>
        <v>67944597</v>
      </c>
      <c r="J11" s="780"/>
      <c r="K11" s="778"/>
      <c r="L11" s="778">
        <v>217450101</v>
      </c>
      <c r="M11" s="791"/>
      <c r="N11" s="787">
        <f>SUM(J11:M11)</f>
        <v>217450101</v>
      </c>
      <c r="O11" s="792"/>
      <c r="P11" s="791"/>
      <c r="Q11" s="789">
        <f>+I11+N11+P11</f>
        <v>285394698</v>
      </c>
      <c r="R11" s="488">
        <f>+Q11/$Q$23</f>
        <v>0.59871065412206503</v>
      </c>
    </row>
    <row r="12" spans="1:22" s="111" customFormat="1" ht="18" customHeight="1" x14ac:dyDescent="0.2">
      <c r="A12" s="105"/>
      <c r="B12" s="492">
        <v>2022</v>
      </c>
      <c r="C12" s="790"/>
      <c r="D12" s="778">
        <v>23717732</v>
      </c>
      <c r="E12" s="778">
        <v>486255</v>
      </c>
      <c r="F12" s="778">
        <v>37566432</v>
      </c>
      <c r="G12" s="778"/>
      <c r="H12" s="778">
        <v>90772</v>
      </c>
      <c r="I12" s="787">
        <f>SUM(C12:H12)</f>
        <v>61861191</v>
      </c>
      <c r="J12" s="790"/>
      <c r="K12" s="791"/>
      <c r="L12" s="778">
        <v>242625396</v>
      </c>
      <c r="M12" s="791"/>
      <c r="N12" s="787">
        <f>SUM(J12:M12)</f>
        <v>242625396</v>
      </c>
      <c r="O12" s="792"/>
      <c r="P12" s="791"/>
      <c r="Q12" s="789">
        <f>+I12+N12+P12</f>
        <v>304486587</v>
      </c>
      <c r="R12" s="490">
        <f>+Q12/$Q$24</f>
        <v>0.56011036459305519</v>
      </c>
    </row>
    <row r="13" spans="1:22" s="111" customFormat="1" ht="18" customHeight="1" thickBot="1" x14ac:dyDescent="0.25">
      <c r="A13" s="106"/>
      <c r="B13" s="107" t="s">
        <v>401</v>
      </c>
      <c r="C13" s="793"/>
      <c r="D13" s="485">
        <f t="shared" ref="D13:N13" si="1">+D12/D11-1</f>
        <v>-9.8590646740331911E-3</v>
      </c>
      <c r="E13" s="485">
        <f t="shared" si="1"/>
        <v>0</v>
      </c>
      <c r="F13" s="485">
        <f t="shared" si="1"/>
        <v>-0.13390419010010335</v>
      </c>
      <c r="G13" s="485"/>
      <c r="H13" s="485">
        <f t="shared" si="1"/>
        <v>-0.30172161792082708</v>
      </c>
      <c r="I13" s="487">
        <f t="shared" si="1"/>
        <v>-8.9534801420633969E-2</v>
      </c>
      <c r="J13" s="486"/>
      <c r="K13" s="794"/>
      <c r="L13" s="485">
        <f t="shared" si="1"/>
        <v>0.11577504394904836</v>
      </c>
      <c r="M13" s="794"/>
      <c r="N13" s="487">
        <f t="shared" si="1"/>
        <v>0.11577504394904836</v>
      </c>
      <c r="O13" s="795"/>
      <c r="P13" s="794"/>
      <c r="Q13" s="485">
        <f>+Q12/Q11-1</f>
        <v>6.689643898009634E-2</v>
      </c>
      <c r="R13" s="796"/>
    </row>
    <row r="14" spans="1:22" s="111" customFormat="1" ht="18" customHeight="1" x14ac:dyDescent="0.2">
      <c r="A14" s="103" t="s">
        <v>251</v>
      </c>
      <c r="B14" s="104">
        <v>2020</v>
      </c>
      <c r="C14" s="784"/>
      <c r="D14" s="778">
        <v>15843615</v>
      </c>
      <c r="E14" s="778">
        <v>785468</v>
      </c>
      <c r="F14" s="778">
        <v>73744979</v>
      </c>
      <c r="G14" s="778">
        <v>7500000</v>
      </c>
      <c r="H14" s="778">
        <v>31000</v>
      </c>
      <c r="I14" s="787">
        <f>SUM(C14:H14)</f>
        <v>97905062</v>
      </c>
      <c r="J14" s="784"/>
      <c r="K14" s="786"/>
      <c r="L14" s="778">
        <v>8302887</v>
      </c>
      <c r="M14" s="786"/>
      <c r="N14" s="787">
        <f>SUM(J14:M14)</f>
        <v>8302887</v>
      </c>
      <c r="O14" s="788"/>
      <c r="P14" s="786"/>
      <c r="Q14" s="789">
        <f>+I14+N14+P14</f>
        <v>106207949</v>
      </c>
      <c r="R14" s="489">
        <f>+Q14/$Q$22</f>
        <v>0.14397801984033737</v>
      </c>
    </row>
    <row r="15" spans="1:22" s="111" customFormat="1" ht="18" customHeight="1" x14ac:dyDescent="0.2">
      <c r="A15" s="105"/>
      <c r="B15" s="492">
        <v>2021</v>
      </c>
      <c r="C15" s="790"/>
      <c r="D15" s="778">
        <v>15600672</v>
      </c>
      <c r="E15" s="778">
        <v>808841</v>
      </c>
      <c r="F15" s="778">
        <v>64240120</v>
      </c>
      <c r="G15" s="778">
        <v>7500000</v>
      </c>
      <c r="H15" s="778">
        <v>31000</v>
      </c>
      <c r="I15" s="787">
        <f>SUM(C15:H15)</f>
        <v>88180633</v>
      </c>
      <c r="J15" s="790"/>
      <c r="K15" s="791"/>
      <c r="L15" s="778">
        <v>6175400</v>
      </c>
      <c r="M15" s="791"/>
      <c r="N15" s="787">
        <f>SUM(J15:M15)</f>
        <v>6175400</v>
      </c>
      <c r="O15" s="792"/>
      <c r="P15" s="791"/>
      <c r="Q15" s="789">
        <f>+I15+N15+P15</f>
        <v>94356033</v>
      </c>
      <c r="R15" s="488">
        <f>+Q15/$Q$23</f>
        <v>0.19794327867223782</v>
      </c>
    </row>
    <row r="16" spans="1:22" s="111" customFormat="1" ht="18" customHeight="1" x14ac:dyDescent="0.2">
      <c r="A16" s="105"/>
      <c r="B16" s="492">
        <v>2022</v>
      </c>
      <c r="C16" s="790"/>
      <c r="D16" s="778">
        <v>13706113</v>
      </c>
      <c r="E16" s="778">
        <v>1220841</v>
      </c>
      <c r="F16" s="778">
        <v>61717279</v>
      </c>
      <c r="G16" s="778">
        <v>7500000</v>
      </c>
      <c r="H16" s="778">
        <v>36000</v>
      </c>
      <c r="I16" s="787">
        <f>SUM(C16:H16)</f>
        <v>84180233</v>
      </c>
      <c r="J16" s="790"/>
      <c r="K16" s="791"/>
      <c r="L16" s="797">
        <v>3798902</v>
      </c>
      <c r="M16" s="791"/>
      <c r="N16" s="787">
        <f>SUM(J16:M16)</f>
        <v>3798902</v>
      </c>
      <c r="O16" s="792"/>
      <c r="P16" s="791"/>
      <c r="Q16" s="789">
        <f>+I16+N16+P16</f>
        <v>87979135</v>
      </c>
      <c r="R16" s="490">
        <f>+Q16/$Q$24</f>
        <v>0.16183972459000837</v>
      </c>
    </row>
    <row r="17" spans="1:18" s="111" customFormat="1" ht="18" customHeight="1" thickBot="1" x14ac:dyDescent="0.25">
      <c r="A17" s="106"/>
      <c r="B17" s="107" t="s">
        <v>401</v>
      </c>
      <c r="C17" s="793"/>
      <c r="D17" s="485">
        <f t="shared" ref="D17:I17" si="2">+D16/D15-1</f>
        <v>-0.12144085844507213</v>
      </c>
      <c r="E17" s="485">
        <f t="shared" si="2"/>
        <v>0.50937081577219745</v>
      </c>
      <c r="F17" s="485">
        <f t="shared" si="2"/>
        <v>-3.9272046814358363E-2</v>
      </c>
      <c r="G17" s="485">
        <f t="shared" si="2"/>
        <v>0</v>
      </c>
      <c r="H17" s="485">
        <f t="shared" si="2"/>
        <v>0.16129032258064524</v>
      </c>
      <c r="I17" s="485">
        <f t="shared" si="2"/>
        <v>-4.5365970552740276E-2</v>
      </c>
      <c r="J17" s="793"/>
      <c r="K17" s="794"/>
      <c r="L17" s="485">
        <f>+L16/L15-1</f>
        <v>-0.38483304725199985</v>
      </c>
      <c r="M17" s="794"/>
      <c r="N17" s="485">
        <f>+N16/N15-1</f>
        <v>-0.38483304725199985</v>
      </c>
      <c r="O17" s="795"/>
      <c r="P17" s="794"/>
      <c r="Q17" s="485">
        <f>+Q16/Q15-1</f>
        <v>-6.7583362687577142E-2</v>
      </c>
      <c r="R17" s="796"/>
    </row>
    <row r="18" spans="1:18" s="111" customFormat="1" ht="18" customHeight="1" x14ac:dyDescent="0.2">
      <c r="A18" s="103" t="s">
        <v>252</v>
      </c>
      <c r="B18" s="104">
        <v>2020</v>
      </c>
      <c r="C18" s="784"/>
      <c r="D18" s="786"/>
      <c r="E18" s="778">
        <v>10886876</v>
      </c>
      <c r="F18" s="778"/>
      <c r="G18" s="778"/>
      <c r="H18" s="778">
        <v>0</v>
      </c>
      <c r="I18" s="787">
        <f>SUM(C18:H18)</f>
        <v>10886876</v>
      </c>
      <c r="J18" s="784"/>
      <c r="K18" s="786"/>
      <c r="L18" s="786"/>
      <c r="M18" s="786"/>
      <c r="N18" s="787">
        <f>SUM(J18:M18)</f>
        <v>0</v>
      </c>
      <c r="O18" s="788"/>
      <c r="P18" s="786"/>
      <c r="Q18" s="789">
        <f>+I18+N18+P18</f>
        <v>10886876</v>
      </c>
      <c r="R18" s="489">
        <f>+Q18/$Q$22</f>
        <v>1.4758507846971913E-2</v>
      </c>
    </row>
    <row r="19" spans="1:18" s="111" customFormat="1" ht="18" customHeight="1" x14ac:dyDescent="0.2">
      <c r="A19" s="105"/>
      <c r="B19" s="492">
        <v>2021</v>
      </c>
      <c r="C19" s="790"/>
      <c r="D19" s="791"/>
      <c r="E19" s="778">
        <v>10024797</v>
      </c>
      <c r="F19" s="778"/>
      <c r="G19" s="778"/>
      <c r="H19" s="778">
        <v>0</v>
      </c>
      <c r="I19" s="787">
        <f>SUM(C19:H19)</f>
        <v>10024797</v>
      </c>
      <c r="J19" s="790"/>
      <c r="K19" s="791"/>
      <c r="L19" s="791"/>
      <c r="M19" s="791"/>
      <c r="N19" s="787">
        <f>SUM(J19:M19)</f>
        <v>0</v>
      </c>
      <c r="O19" s="792"/>
      <c r="P19" s="791"/>
      <c r="Q19" s="789">
        <f>+I19+N19+P19</f>
        <v>10024797</v>
      </c>
      <c r="R19" s="488">
        <f>+Q19/$Q$23</f>
        <v>2.1030358347129893E-2</v>
      </c>
    </row>
    <row r="20" spans="1:18" s="111" customFormat="1" ht="18" customHeight="1" x14ac:dyDescent="0.2">
      <c r="A20" s="105"/>
      <c r="B20" s="492">
        <v>2022</v>
      </c>
      <c r="C20" s="790"/>
      <c r="D20" s="797"/>
      <c r="E20" s="798">
        <v>9359582</v>
      </c>
      <c r="F20" s="798"/>
      <c r="G20" s="798"/>
      <c r="H20" s="797">
        <v>227253</v>
      </c>
      <c r="I20" s="787">
        <f>SUM(C20:H20)</f>
        <v>9586835</v>
      </c>
      <c r="J20" s="790"/>
      <c r="K20" s="791"/>
      <c r="L20" s="791"/>
      <c r="M20" s="791"/>
      <c r="N20" s="787">
        <f>SUM(J20:M20)</f>
        <v>0</v>
      </c>
      <c r="O20" s="792"/>
      <c r="P20" s="791"/>
      <c r="Q20" s="789">
        <f>+I20+N20+P20</f>
        <v>9586835</v>
      </c>
      <c r="R20" s="490">
        <f>+Q20/$Q$24</f>
        <v>1.763521244087991E-2</v>
      </c>
    </row>
    <row r="21" spans="1:18" s="111" customFormat="1" ht="18" customHeight="1" thickBot="1" x14ac:dyDescent="0.25">
      <c r="A21" s="106"/>
      <c r="B21" s="107" t="s">
        <v>401</v>
      </c>
      <c r="C21" s="793"/>
      <c r="D21" s="794"/>
      <c r="E21" s="485">
        <f>+E20/E19-1</f>
        <v>-6.6356954659530731E-2</v>
      </c>
      <c r="F21" s="794"/>
      <c r="G21" s="794"/>
      <c r="H21" s="485">
        <v>1</v>
      </c>
      <c r="I21" s="485">
        <f>+I20/I19-1</f>
        <v>-4.3687867195714825E-2</v>
      </c>
      <c r="J21" s="793"/>
      <c r="K21" s="794"/>
      <c r="L21" s="794"/>
      <c r="M21" s="794"/>
      <c r="N21" s="796"/>
      <c r="O21" s="795"/>
      <c r="P21" s="794"/>
      <c r="Q21" s="485">
        <f>+Q20/Q19-1</f>
        <v>-4.3687867195714825E-2</v>
      </c>
      <c r="R21" s="796"/>
    </row>
    <row r="22" spans="1:18" s="111" customFormat="1" ht="18" customHeight="1" x14ac:dyDescent="0.2">
      <c r="A22" s="110" t="s">
        <v>0</v>
      </c>
      <c r="B22" s="799">
        <v>2020</v>
      </c>
      <c r="C22" s="800"/>
      <c r="D22" s="789">
        <f t="shared" ref="D22:O24" si="3">+D6+D10+D14+D18</f>
        <v>51767958</v>
      </c>
      <c r="E22" s="789">
        <f t="shared" si="3"/>
        <v>13883524</v>
      </c>
      <c r="F22" s="789">
        <f t="shared" si="3"/>
        <v>235482312</v>
      </c>
      <c r="G22" s="789">
        <f t="shared" si="3"/>
        <v>26435000</v>
      </c>
      <c r="H22" s="789">
        <f t="shared" si="3"/>
        <v>639496</v>
      </c>
      <c r="I22" s="801">
        <f t="shared" si="3"/>
        <v>328208290</v>
      </c>
      <c r="J22" s="802">
        <f t="shared" si="3"/>
        <v>50000000</v>
      </c>
      <c r="K22" s="803">
        <f t="shared" si="3"/>
        <v>0</v>
      </c>
      <c r="L22" s="803">
        <f t="shared" si="3"/>
        <v>359459509</v>
      </c>
      <c r="M22" s="803">
        <f t="shared" si="3"/>
        <v>0</v>
      </c>
      <c r="N22" s="804">
        <f t="shared" si="3"/>
        <v>409459509</v>
      </c>
      <c r="O22" s="805">
        <f t="shared" si="3"/>
        <v>0</v>
      </c>
      <c r="P22" s="806"/>
      <c r="Q22" s="789">
        <f>+Q6+Q10+Q14+Q18</f>
        <v>737667799</v>
      </c>
      <c r="R22" s="781">
        <f>+Q22/$Q$22</f>
        <v>1</v>
      </c>
    </row>
    <row r="23" spans="1:18" s="111" customFormat="1" ht="18" customHeight="1" x14ac:dyDescent="0.2">
      <c r="A23" s="807"/>
      <c r="B23" s="808">
        <v>2021</v>
      </c>
      <c r="C23" s="809"/>
      <c r="D23" s="789">
        <f t="shared" si="3"/>
        <v>51861019</v>
      </c>
      <c r="E23" s="789">
        <f t="shared" si="3"/>
        <v>13234786</v>
      </c>
      <c r="F23" s="789">
        <f t="shared" si="3"/>
        <v>170531788</v>
      </c>
      <c r="G23" s="789">
        <f t="shared" si="3"/>
        <v>16544076</v>
      </c>
      <c r="H23" s="789">
        <f t="shared" si="3"/>
        <v>339496</v>
      </c>
      <c r="I23" s="801">
        <f t="shared" si="3"/>
        <v>252511165</v>
      </c>
      <c r="J23" s="810">
        <f t="shared" si="3"/>
        <v>0</v>
      </c>
      <c r="K23" s="789">
        <f t="shared" si="3"/>
        <v>0</v>
      </c>
      <c r="L23" s="789">
        <f t="shared" si="3"/>
        <v>224171012</v>
      </c>
      <c r="M23" s="789">
        <f t="shared" si="3"/>
        <v>0</v>
      </c>
      <c r="N23" s="785">
        <f t="shared" si="3"/>
        <v>224171012</v>
      </c>
      <c r="O23" s="805">
        <f t="shared" si="3"/>
        <v>0</v>
      </c>
      <c r="P23" s="811"/>
      <c r="Q23" s="789">
        <f>+Q7+Q11+Q15+Q19</f>
        <v>476682177</v>
      </c>
      <c r="R23" s="782">
        <f>+Q23/$Q$23</f>
        <v>1</v>
      </c>
    </row>
    <row r="24" spans="1:18" s="111" customFormat="1" ht="18" customHeight="1" x14ac:dyDescent="0.2">
      <c r="A24" s="807"/>
      <c r="B24" s="808">
        <v>2022</v>
      </c>
      <c r="C24" s="809"/>
      <c r="D24" s="789">
        <f t="shared" si="3"/>
        <v>51206376</v>
      </c>
      <c r="E24" s="789">
        <f t="shared" si="3"/>
        <v>12981571</v>
      </c>
      <c r="F24" s="789">
        <f t="shared" si="3"/>
        <v>202816250</v>
      </c>
      <c r="G24" s="789">
        <f t="shared" si="3"/>
        <v>29738907</v>
      </c>
      <c r="H24" s="789">
        <f t="shared" si="3"/>
        <v>451510</v>
      </c>
      <c r="I24" s="789">
        <f t="shared" si="3"/>
        <v>297194614</v>
      </c>
      <c r="J24" s="809"/>
      <c r="K24" s="811"/>
      <c r="L24" s="789">
        <f>+L8+L12+L16+L20</f>
        <v>246424298</v>
      </c>
      <c r="M24" s="811"/>
      <c r="N24" s="785">
        <f>+N8+N12+N16+N20</f>
        <v>246424298</v>
      </c>
      <c r="O24" s="812"/>
      <c r="P24" s="811"/>
      <c r="Q24" s="789">
        <f>+Q8+Q12+Q16+Q20</f>
        <v>543618912</v>
      </c>
      <c r="R24" s="783">
        <f>+Q24/$Q$24</f>
        <v>1</v>
      </c>
    </row>
    <row r="25" spans="1:18" s="111" customFormat="1" ht="18" customHeight="1" thickBot="1" x14ac:dyDescent="0.25">
      <c r="A25" s="813"/>
      <c r="B25" s="108" t="s">
        <v>401</v>
      </c>
      <c r="C25" s="814"/>
      <c r="D25" s="485">
        <f t="shared" ref="D25:I25" si="4">+D24/D23-1</f>
        <v>-1.2623026169231277E-2</v>
      </c>
      <c r="E25" s="485">
        <f t="shared" si="4"/>
        <v>-1.9132534519258559E-2</v>
      </c>
      <c r="F25" s="485">
        <f t="shared" si="4"/>
        <v>0.18931638715944277</v>
      </c>
      <c r="G25" s="485">
        <f t="shared" si="4"/>
        <v>0.79755623704823408</v>
      </c>
      <c r="H25" s="485">
        <f t="shared" si="4"/>
        <v>0.32994203171760494</v>
      </c>
      <c r="I25" s="485">
        <f t="shared" si="4"/>
        <v>0.17695632983198983</v>
      </c>
      <c r="J25" s="485">
        <v>0</v>
      </c>
      <c r="K25" s="815"/>
      <c r="L25" s="485">
        <f>+L24/L23-1</f>
        <v>9.9269240038939666E-2</v>
      </c>
      <c r="M25" s="815"/>
      <c r="N25" s="487">
        <f>+N24/N23-1</f>
        <v>9.9269240038939666E-2</v>
      </c>
      <c r="O25" s="816"/>
      <c r="P25" s="815"/>
      <c r="Q25" s="485">
        <f>+Q24/Q23-1</f>
        <v>0.14042214756437188</v>
      </c>
      <c r="R25" s="109"/>
    </row>
    <row r="26" spans="1:18" ht="14.25" customHeight="1" x14ac:dyDescent="0.2"/>
    <row r="27" spans="1:18" ht="14.25" customHeight="1" x14ac:dyDescent="0.2"/>
    <row r="28" spans="1:18" ht="14.25" customHeight="1" x14ac:dyDescent="0.2"/>
    <row r="29" spans="1:18" ht="14.25" customHeight="1" x14ac:dyDescent="0.2"/>
    <row r="30" spans="1:18" ht="14.25" customHeight="1" x14ac:dyDescent="0.2"/>
    <row r="31" spans="1:18" ht="14.25" customHeight="1" x14ac:dyDescent="0.2"/>
    <row r="32" spans="1:18"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sheetData>
  <mergeCells count="6">
    <mergeCell ref="Q4:R4"/>
    <mergeCell ref="A4:A5"/>
    <mergeCell ref="B4:B5"/>
    <mergeCell ref="C4:I4"/>
    <mergeCell ref="J4:N4"/>
    <mergeCell ref="O4:P4"/>
  </mergeCells>
  <printOptions horizontalCentered="1"/>
  <pageMargins left="0.25" right="0.25" top="0.75" bottom="0.75" header="0.3" footer="0.3"/>
  <pageSetup paperSize="9" scale="66" orientation="landscape" r:id="rId1"/>
  <headerFooter alignWithMargins="0">
    <oddHeader xml:space="preserve">&amp;C&amp;"Arial,Negrita"&amp;18PROYECTO DE PRESUPUESTO 2022
</oddHeader>
    <oddFooter>&amp;L&amp;"Arial,Negrita"&amp;8PROYECTO DE PRESUPUESTO PARA EL AÑO FISCAL 2021
INFORMACIÓN PARA LA COMISIÓN DE PRESUPUESTO Y CUENTA GENERAL DE LA REPÚBLICA DEL CONGRESO DE LA REPÚBLICA</oddFooter>
  </headerFooter>
  <ignoredErrors>
    <ignoredError sqref="I9:I11 I17 Q13:Q17 N13:N17" formula="1"/>
    <ignoredError sqref="I12:I16 I18:I20"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29</vt:i4>
      </vt:variant>
    </vt:vector>
  </HeadingPairs>
  <TitlesOfParts>
    <vt:vector size="49" baseType="lpstr">
      <vt:lpstr>Índice</vt:lpstr>
      <vt:lpstr>F-01</vt:lpstr>
      <vt:lpstr>F-02</vt:lpstr>
      <vt:lpstr>F-03</vt:lpstr>
      <vt:lpstr>F-04</vt:lpstr>
      <vt:lpstr>F-05</vt:lpstr>
      <vt:lpstr>F-06</vt:lpstr>
      <vt:lpstr>F-07</vt:lpstr>
      <vt:lpstr>F-08</vt:lpstr>
      <vt:lpstr>F-09</vt:lpstr>
      <vt:lpstr>F-10</vt:lpstr>
      <vt:lpstr>F-11</vt:lpstr>
      <vt:lpstr>F-12 </vt:lpstr>
      <vt:lpstr>F-13</vt:lpstr>
      <vt:lpstr>F-14</vt:lpstr>
      <vt:lpstr>F-15</vt:lpstr>
      <vt:lpstr>F-16</vt:lpstr>
      <vt:lpstr>F-17</vt:lpstr>
      <vt:lpstr>F-18 </vt:lpstr>
      <vt:lpstr>Hoja1</vt:lpstr>
      <vt:lpstr>'F-01'!Área_de_impresión</vt:lpstr>
      <vt:lpstr>'F-06'!Área_de_impresión</vt:lpstr>
      <vt:lpstr>'F-07'!Área_de_impresión</vt:lpstr>
      <vt:lpstr>'F-08'!Área_de_impresión</vt:lpstr>
      <vt:lpstr>'F-09'!Área_de_impresión</vt:lpstr>
      <vt:lpstr>'F-10'!Área_de_impresión</vt:lpstr>
      <vt:lpstr>'F-11'!Área_de_impresión</vt:lpstr>
      <vt:lpstr>'F-12 '!Área_de_impresión</vt:lpstr>
      <vt:lpstr>'F-13'!Área_de_impresión</vt:lpstr>
      <vt:lpstr>'F-14'!Área_de_impresión</vt:lpstr>
      <vt:lpstr>'F-15'!Área_de_impresión</vt:lpstr>
      <vt:lpstr>'F-16'!Área_de_impresión</vt:lpstr>
      <vt:lpstr>'F-17'!Área_de_impresión</vt:lpstr>
      <vt:lpstr>'F-18 '!Área_de_impresión</vt:lpstr>
      <vt:lpstr>Índice!Área_de_impresión</vt:lpstr>
      <vt:lpstr>'F-01'!Títulos_a_imprimir</vt:lpstr>
      <vt:lpstr>'F-03'!Títulos_a_imprimir</vt:lpstr>
      <vt:lpstr>'F-04'!Títulos_a_imprimir</vt:lpstr>
      <vt:lpstr>'F-09'!Títulos_a_imprimir</vt:lpstr>
      <vt:lpstr>'F-10'!Títulos_a_imprimir</vt:lpstr>
      <vt:lpstr>'F-11'!Títulos_a_imprimir</vt:lpstr>
      <vt:lpstr>'F-12 '!Títulos_a_imprimir</vt:lpstr>
      <vt:lpstr>'F-13'!Títulos_a_imprimir</vt:lpstr>
      <vt:lpstr>'F-14'!Títulos_a_imprimir</vt:lpstr>
      <vt:lpstr>'F-15'!Títulos_a_imprimir</vt:lpstr>
      <vt:lpstr>'F-16'!Títulos_a_imprimir</vt:lpstr>
      <vt:lpstr>'F-17'!Títulos_a_imprimir</vt:lpstr>
      <vt:lpstr>'F-18 '!Títulos_a_imprimir</vt:lpstr>
      <vt:lpstr>Índice!Títulos_a_imprimir</vt:lpstr>
    </vt:vector>
  </TitlesOfParts>
  <Company>Congreso de la República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Directiva Formulaicón de Presupuesto (V 2008)</dc:title>
  <dc:creator>Asesoria de Presupuesto</dc:creator>
  <cp:lastModifiedBy>pined</cp:lastModifiedBy>
  <cp:lastPrinted>2021-09-23T19:49:41Z</cp:lastPrinted>
  <dcterms:created xsi:type="dcterms:W3CDTF">1998-08-20T20:27:58Z</dcterms:created>
  <dcterms:modified xsi:type="dcterms:W3CDTF">2021-09-25T03:20:31Z</dcterms:modified>
</cp:coreProperties>
</file>