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825" activeTab="1"/>
  </bookViews>
  <sheets>
    <sheet name="Índice" sheetId="1" r:id="rId1"/>
    <sheet name="F-01" sheetId="2" r:id="rId2"/>
    <sheet name="F-02" sheetId="3" r:id="rId3"/>
    <sheet name="F-03" sheetId="4" r:id="rId4"/>
    <sheet name="F-04" sheetId="5" r:id="rId5"/>
    <sheet name="F-05" sheetId="6" r:id="rId6"/>
    <sheet name="F-06" sheetId="7" r:id="rId7"/>
    <sheet name="F-07" sheetId="8" r:id="rId8"/>
    <sheet name="F-08" sheetId="9" r:id="rId9"/>
    <sheet name="F-09" sheetId="10" r:id="rId10"/>
    <sheet name="F-10" sheetId="11" r:id="rId11"/>
    <sheet name="F-11" sheetId="12" r:id="rId12"/>
    <sheet name="F-12" sheetId="13" r:id="rId13"/>
    <sheet name="F-13" sheetId="14" r:id="rId14"/>
    <sheet name="F-14" sheetId="15" r:id="rId15"/>
    <sheet name="F-15" sheetId="16" r:id="rId16"/>
    <sheet name="F-16" sheetId="17" r:id="rId17"/>
    <sheet name="F-17" sheetId="18" r:id="rId18"/>
    <sheet name="F-18" sheetId="19" r:id="rId19"/>
    <sheet name="Hoja1" sheetId="20" state="hidden" r:id="rId20"/>
  </sheets>
  <definedNames>
    <definedName name="_xlnm.Print_Area" localSheetId="1">'F-01'!$A$1:$N$18</definedName>
    <definedName name="_xlnm.Print_Area" localSheetId="6">'F-06'!$A$1:$N$51</definedName>
    <definedName name="_xlnm.Print_Area" localSheetId="7">'F-07'!$A$1:$Q$25</definedName>
    <definedName name="_xlnm.Print_Area" localSheetId="8">'F-08'!$A$1:$R$109</definedName>
    <definedName name="_xlnm.Print_Area" localSheetId="9">'F-09'!$A$1:$X$41</definedName>
    <definedName name="_xlnm.Print_Area" localSheetId="10">'F-10'!$A$1:$I$26</definedName>
    <definedName name="_xlnm.Print_Area" localSheetId="11">'F-11'!$A$1:$AI$70</definedName>
    <definedName name="_xlnm.Print_Area" localSheetId="12">'F-12'!$A$1:$J$30</definedName>
    <definedName name="_xlnm.Print_Area" localSheetId="13">'F-13'!$A$1:$N$51</definedName>
    <definedName name="_xlnm.Print_Area" localSheetId="14">'F-14'!$A$1:$J$28</definedName>
    <definedName name="_xlnm.Print_Area" localSheetId="15">'F-15'!$A$1:$H$21</definedName>
    <definedName name="_xlnm.Print_Area" localSheetId="16">'F-16'!$A$1:$H$26</definedName>
    <definedName name="_xlnm.Print_Area" localSheetId="17">'F-17'!$A$1:$P$19</definedName>
    <definedName name="_xlnm.Print_Area" localSheetId="18">'F-18'!$A$1:$L$16</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fullCalcOnLoad="1"/>
</workbook>
</file>

<file path=xl/comments2.xml><?xml version="1.0" encoding="utf-8"?>
<comments xmlns="http://schemas.openxmlformats.org/spreadsheetml/2006/main">
  <authors>
    <author>pcuba</author>
  </authors>
  <commentList>
    <comment ref="D3" authorId="0">
      <text>
        <r>
          <rPr>
            <sz val="8"/>
            <rFont val="Tahoma"/>
            <family val="2"/>
          </rPr>
          <t xml:space="preserve">
Nombre del Indicador</t>
        </r>
      </text>
    </comment>
  </commentList>
</comments>
</file>

<file path=xl/sharedStrings.xml><?xml version="1.0" encoding="utf-8"?>
<sst xmlns="http://schemas.openxmlformats.org/spreadsheetml/2006/main" count="10280" uniqueCount="2949">
  <si>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</si>
  <si>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</si>
  <si>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</si>
  <si>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</si>
  <si>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</si>
  <si>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</si>
  <si>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</si>
  <si>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</si>
  <si>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</si>
  <si>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</si>
  <si>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</si>
  <si>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</si>
  <si>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</si>
  <si>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</si>
  <si>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t>
  </si>
  <si>
    <t>SPE</t>
  </si>
  <si>
    <t>STA</t>
  </si>
  <si>
    <t>STE</t>
  </si>
  <si>
    <t>SAA</t>
  </si>
  <si>
    <t>SAE</t>
  </si>
  <si>
    <t>S/.</t>
  </si>
  <si>
    <t>Est. %</t>
  </si>
  <si>
    <t>EST. %</t>
  </si>
  <si>
    <t>GASTOS CORRIENTES */</t>
  </si>
  <si>
    <t>TOTAL (A)</t>
  </si>
  <si>
    <t>OTROS</t>
  </si>
  <si>
    <t>COSTO ANUAL</t>
  </si>
  <si>
    <t>OBLIGACIONES DEL EMPLEADOR (CARGAS SOCIALES)</t>
  </si>
  <si>
    <t>GASTOS VARIABLES Y OCASIONALES</t>
  </si>
  <si>
    <t>TRANSFERENCIAS CAFAE</t>
  </si>
  <si>
    <t>RUBROS</t>
  </si>
  <si>
    <t>NUEVOS SOLES</t>
  </si>
  <si>
    <t>CONSULTORIAS</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</si>
  <si>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</si>
  <si>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</si>
  <si>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</si>
  <si>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</si>
  <si>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</si>
  <si>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</si>
  <si>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</si>
  <si>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</si>
  <si>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</si>
  <si>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</si>
  <si>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</si>
  <si>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</si>
  <si>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</si>
  <si>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</si>
  <si>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NIVELES REMUNERATIVOS</t>
  </si>
  <si>
    <t>(1)</t>
  </si>
  <si>
    <t>(2)</t>
  </si>
  <si>
    <t>(3)</t>
  </si>
  <si>
    <t>(4)</t>
  </si>
  <si>
    <t>(5)</t>
  </si>
  <si>
    <t>(6)</t>
  </si>
  <si>
    <t>CARRERA ADMINISTRATIVA</t>
  </si>
  <si>
    <t>……</t>
  </si>
  <si>
    <t>ASISTENCIALES NO PROFESIONALES DE LA SALUD</t>
  </si>
  <si>
    <t>LEY DEL PROFESORADO</t>
  </si>
  <si>
    <t>PERSONAL MILITAR Y POLICIAL</t>
  </si>
  <si>
    <t xml:space="preserve">OBREROS </t>
  </si>
  <si>
    <t>SERUMISTAS</t>
  </si>
  <si>
    <t xml:space="preserve">     ANIMADORES</t>
  </si>
  <si>
    <t xml:space="preserve">     ………….</t>
  </si>
  <si>
    <t xml:space="preserve">    INTERNOS DE MEDICINA HUMANA Y ODONTOLOGIA</t>
  </si>
  <si>
    <t xml:space="preserve">    SERVICIOS NO PERSONAL </t>
  </si>
  <si>
    <t xml:space="preserve">    PROYECTOS DE INVERSION</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</si>
  <si>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</si>
  <si>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</si>
  <si>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</si>
  <si>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</si>
  <si>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</si>
  <si>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</si>
  <si>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</si>
  <si>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</si>
  <si>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</si>
  <si>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</si>
  <si>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</si>
  <si>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</si>
  <si>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</si>
  <si>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</si>
  <si>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</si>
  <si>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</si>
  <si>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</si>
  <si>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</si>
  <si>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</si>
  <si>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</si>
  <si>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</si>
  <si>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</si>
  <si>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</si>
  <si>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</si>
  <si>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</si>
  <si>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</si>
  <si>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</si>
  <si>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</si>
  <si>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</si>
  <si>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TIPO DE CONTRATO</t>
  </si>
  <si>
    <t>CAS</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</si>
  <si>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</si>
  <si>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</si>
  <si>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</si>
  <si>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</si>
  <si>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</si>
  <si>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</si>
  <si>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</si>
  <si>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</si>
  <si>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</si>
  <si>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</si>
  <si>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</si>
  <si>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</si>
  <si>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</si>
  <si>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</si>
  <si>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</si>
  <si>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</si>
  <si>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</si>
  <si>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</si>
  <si>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</si>
  <si>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</si>
  <si>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</si>
  <si>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</si>
  <si>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</si>
  <si>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</si>
  <si>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</si>
  <si>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</si>
  <si>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</si>
  <si>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</si>
  <si>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</si>
  <si>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</si>
  <si>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</si>
  <si>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</si>
  <si>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</si>
  <si>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</si>
  <si>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</si>
  <si>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</si>
  <si>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</si>
  <si>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</si>
  <si>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</si>
  <si>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</si>
  <si>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</si>
  <si>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</si>
  <si>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</si>
  <si>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</si>
  <si>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</si>
  <si>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</si>
  <si>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</si>
  <si>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</si>
  <si>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</si>
  <si>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</si>
  <si>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</si>
  <si>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</si>
  <si>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</si>
  <si>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</si>
  <si>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</si>
  <si>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</si>
  <si>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</si>
  <si>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</si>
  <si>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</si>
  <si>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</si>
  <si>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</si>
  <si>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</si>
  <si>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</si>
  <si>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</si>
  <si>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</si>
  <si>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</si>
  <si>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</si>
  <si>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</si>
  <si>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</si>
  <si>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</si>
  <si>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</si>
  <si>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</si>
  <si>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</si>
  <si>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</si>
  <si>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</si>
  <si>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</si>
  <si>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</si>
  <si>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</si>
  <si>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</si>
  <si>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</si>
  <si>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</si>
  <si>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</si>
  <si>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</si>
  <si>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</si>
  <si>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</si>
  <si>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</si>
  <si>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</si>
  <si>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</si>
  <si>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</si>
  <si>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</si>
  <si>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</si>
  <si>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</si>
  <si>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</si>
  <si>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</si>
  <si>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</si>
  <si>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</si>
  <si>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</si>
  <si>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</si>
  <si>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</si>
  <si>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</si>
  <si>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</si>
  <si>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</si>
  <si>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</si>
  <si>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</si>
  <si>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</si>
  <si>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</si>
  <si>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</si>
  <si>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</si>
  <si>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</si>
  <si>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</si>
  <si>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</si>
  <si>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</si>
  <si>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</si>
  <si>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</si>
  <si>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</si>
  <si>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</si>
  <si>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</si>
  <si>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</si>
  <si>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</si>
  <si>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</si>
  <si>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</si>
  <si>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</si>
  <si>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</si>
  <si>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</si>
  <si>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</si>
  <si>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</si>
  <si>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</si>
  <si>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</si>
  <si>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</si>
  <si>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</si>
  <si>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</si>
  <si>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</si>
  <si>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</si>
  <si>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</si>
  <si>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</si>
  <si>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</si>
  <si>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</si>
  <si>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</si>
  <si>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</si>
  <si>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</si>
  <si>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</si>
  <si>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</si>
  <si>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</si>
  <si>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</si>
  <si>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</si>
  <si>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</si>
  <si>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</si>
  <si>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</si>
  <si>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</si>
  <si>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</si>
  <si>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</si>
  <si>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</si>
  <si>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</si>
  <si>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</si>
  <si>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</si>
  <si>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</si>
  <si>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</si>
  <si>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</si>
  <si>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</si>
  <si>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</si>
  <si>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</si>
  <si>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</si>
  <si>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</si>
  <si>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</si>
  <si>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</si>
  <si>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</si>
  <si>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</si>
  <si>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</si>
  <si>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</si>
  <si>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</si>
  <si>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</si>
  <si>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</si>
  <si>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</si>
  <si>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</si>
  <si>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</si>
  <si>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</si>
  <si>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</si>
  <si>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</si>
  <si>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</si>
  <si>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</si>
  <si>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</si>
  <si>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</si>
  <si>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</si>
  <si>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</si>
  <si>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</si>
  <si>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</si>
  <si>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</si>
  <si>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</si>
  <si>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</si>
  <si>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</si>
  <si>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</si>
  <si>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</si>
  <si>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</si>
  <si>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</si>
  <si>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</si>
  <si>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</si>
  <si>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</si>
  <si>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</si>
  <si>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</si>
  <si>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</si>
  <si>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</si>
  <si>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</si>
  <si>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</si>
  <si>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</si>
  <si>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</si>
  <si>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</si>
  <si>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</si>
  <si>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</si>
  <si>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</si>
  <si>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</si>
  <si>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</si>
  <si>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</si>
  <si>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</si>
  <si>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</si>
  <si>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</si>
  <si>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</si>
  <si>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</si>
  <si>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</si>
  <si>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</si>
  <si>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</si>
  <si>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</si>
  <si>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</si>
  <si>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</si>
  <si>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</si>
  <si>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</si>
  <si>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</si>
  <si>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</si>
  <si>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</si>
  <si>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</si>
  <si>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</si>
  <si>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</si>
  <si>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</si>
  <si>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</si>
  <si>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</si>
  <si>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</si>
  <si>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</si>
  <si>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</si>
  <si>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FORMATO 01: INDICADORES DE GESTIÓN SEGÚN OBJETIVOS ESTRATÉGICOS INSTITUCIONALES AL 2021</t>
  </si>
  <si>
    <t>Decreto Legislativo 276 (Regimen Público)</t>
  </si>
  <si>
    <t>VARIACION 2019-2020</t>
  </si>
  <si>
    <t>2019 (PIA)</t>
  </si>
  <si>
    <t>(*) DEBE COINCIDIR CON LOS MONTOS ASIGNADOS EN LA GENERICA 1. PERSONAL Y OBLIGACIONES SOCIALES CONSIDERADAS EN EL PRESUPUESTO</t>
  </si>
  <si>
    <t>INGRESOS PERSONAL PRESUPUESTO 2019</t>
  </si>
  <si>
    <t>TOTAL INGRESO ANUAL PEA (Proyección al 31 de diciembre de  2019)</t>
  </si>
  <si>
    <t>TOTAL INGRESO ANUAL PEA (Proyección al 31 de diciembre de 2020)</t>
  </si>
  <si>
    <t>PPTO 2019 
(PIA)</t>
  </si>
  <si>
    <t>Diferencia PIA (2019-2020)</t>
  </si>
  <si>
    <t>Variación % (2019-2020)</t>
  </si>
  <si>
    <t>(*) DEBE COINCIDIR CON LOS MONTOS ASIGNADOS EN LA GENERICA 3. BIENES Y SERVICIOS CONSIDERADAS EN EL PRESUPUESTO 2018 - 2019 - 2020</t>
  </si>
  <si>
    <t>EJECUCIÓN S/</t>
  </si>
  <si>
    <t>PPTO 2019 (AL 30/06)</t>
  </si>
  <si>
    <t>PPTO 2019 (PROYECCI{ON 31/12)</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</si>
  <si>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</si>
  <si>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</si>
  <si>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</si>
  <si>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</si>
  <si>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</si>
  <si>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</si>
  <si>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</si>
  <si>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</si>
  <si>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</si>
  <si>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</si>
  <si>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</si>
  <si>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SALDO 2018 (*)</t>
  </si>
  <si>
    <t>SALDO 2019 (**)</t>
  </si>
  <si>
    <t>AÑO FISCAL 2018</t>
  </si>
  <si>
    <t>AÑO FISCAL 2019 (*)</t>
  </si>
  <si>
    <t>EJECUCIÓN 2018</t>
  </si>
  <si>
    <t>EJECUCIÓN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</si>
  <si>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</si>
  <si>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</si>
  <si>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</si>
  <si>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</si>
  <si>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</si>
  <si>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</si>
  <si>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</si>
  <si>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</si>
  <si>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</si>
  <si>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</si>
  <si>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</si>
  <si>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</si>
  <si>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</si>
  <si>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</si>
  <si>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</si>
  <si>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</si>
  <si>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</si>
  <si>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</si>
  <si>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</si>
  <si>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</si>
  <si>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</si>
  <si>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</si>
  <si>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</si>
  <si>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</si>
  <si>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PPTO 2018 (AL 31/12)</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</si>
  <si>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</si>
  <si>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</si>
  <si>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</si>
  <si>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</si>
  <si>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</si>
  <si>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</si>
  <si>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</si>
  <si>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</si>
  <si>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</si>
  <si>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</si>
  <si>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</si>
  <si>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</si>
  <si>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</si>
  <si>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</si>
  <si>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</si>
  <si>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</si>
  <si>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</si>
  <si>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</si>
  <si>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</si>
  <si>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</si>
  <si>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</si>
  <si>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</si>
  <si>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</si>
  <si>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</si>
  <si>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</si>
  <si>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</si>
  <si>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</si>
  <si>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</si>
  <si>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</si>
  <si>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</si>
  <si>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</si>
  <si>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</si>
  <si>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</si>
  <si>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</si>
  <si>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</si>
  <si>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</si>
  <si>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</si>
  <si>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</si>
  <si>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</si>
  <si>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17: NOMBRES E INGRESOS MENSUALES DEL PERSONAL CONTRATADO FUERA DEL PAP EN LOS AÑOS FISCALES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</si>
  <si>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</si>
  <si>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</si>
  <si>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</si>
  <si>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</si>
  <si>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</si>
  <si>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</si>
  <si>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</si>
  <si>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</si>
  <si>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</si>
  <si>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</si>
  <si>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</si>
  <si>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</si>
  <si>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</si>
  <si>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</si>
  <si>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</si>
  <si>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</si>
  <si>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</si>
  <si>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</si>
  <si>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</si>
  <si>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</si>
  <si>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</si>
  <si>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</si>
  <si>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</si>
  <si>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 xml:space="preserve">SECTOR o GOB. REGIONAL: 456. GOBIERNO REGIONAL DE PASCO </t>
  </si>
  <si>
    <t xml:space="preserve">SECTOR o GOB. REGIONAL: 456. GOBIERNO REGIOANAL DE PASCO </t>
  </si>
  <si>
    <t xml:space="preserve">PIA 
POR FUENTE DE FINANCIAMIENTO: RECURSOS ORDINARIOS </t>
  </si>
  <si>
    <t xml:space="preserve">PIM 
POR FUENTE DE FINANCIAMIENTO: RECURSOS ORDINARIOS </t>
  </si>
  <si>
    <t>EJECUCIÓN 
POR FUENTE DE FINANCIAMIENTO: RECURSOS ORDINARIOS</t>
  </si>
  <si>
    <t>PIA 
POR FUENTE DE FINANCIAMIENTO: RECURSOS DIRECTAMENTE RECAUDADOS</t>
  </si>
  <si>
    <t>EJECUCIÓN 
POR FUENTE DE FINANCIAMIENTO: RECURSOS DIRECTAMENTE RECAUDADOS</t>
  </si>
  <si>
    <t>PIA 
POR FUENTE DE FINANCIAMIENTO: RECURSOS POR OPERACIONES OFICIALES DE CRÉDITO</t>
  </si>
  <si>
    <t>PIM 
POR FUENTE DE FINANCIAMIENTO: RECURSOS POR OPERACIONES OFICIALES DE CRÉDITO</t>
  </si>
  <si>
    <t>EJECUCIÓN 
POR FUENTE DE FINANCIAMIENTO: RECURSOS POR OPERACIONES OFICIALES DE CRÉDITO</t>
  </si>
  <si>
    <t>PIA 
POR FUENTE DE FINANCIAMIENTO: DONACIONES Y TRANSFERENCIAS</t>
  </si>
  <si>
    <t>PIM 
POR FUENTE DE FINANCIAMIENTO: DONACIONES Y TRANSFERENCIAS</t>
  </si>
  <si>
    <t>EJECUCIÓN 
POR FUENTE DE FINANCIAMIENTO: DONACIONES Y TRANSFERENCIAS</t>
  </si>
  <si>
    <t>PIA 
POR FUENTE DE FINANCIAMIENTO: RECURSOS DETERMINADOS</t>
  </si>
  <si>
    <t>PIM 
POR FUENTE DE FINANCIAMIENTO: RECURSOS DETERMINADOS</t>
  </si>
  <si>
    <t>EJECUCIÓN 
POR FUENTE DE FINANCIAMIENTO: RECURSOS DETERMINADOS</t>
  </si>
  <si>
    <t>001. SEDE CENTRAL</t>
  </si>
  <si>
    <t>002. PASCO SELVA CENTRAL</t>
  </si>
  <si>
    <t>100. AGRICULTURA</t>
  </si>
  <si>
    <t xml:space="preserve">200. TRANSPORTES </t>
  </si>
  <si>
    <t xml:space="preserve">300. EDUCACIÓN PASCO </t>
  </si>
  <si>
    <t xml:space="preserve">301. EDUCACIÓN OXAPAMPA </t>
  </si>
  <si>
    <t>302. EDUCACIÓN DANIEL A. CARRIÓN</t>
  </si>
  <si>
    <t xml:space="preserve">303. UGEL PASCO </t>
  </si>
  <si>
    <t>400. SALUD PASCO</t>
  </si>
  <si>
    <t xml:space="preserve">401. HOSPITAL DANIEL A. CARRIÓN </t>
  </si>
  <si>
    <t xml:space="preserve">402. SALUD UTES OXAPAMP </t>
  </si>
  <si>
    <t>FUENTE DE FINACIAMIENTO</t>
  </si>
  <si>
    <t xml:space="preserve">1. RECURSOS ORDINARIOS </t>
  </si>
  <si>
    <t>2. RECURSOS DIRECTAMENTE RECAUDADOS</t>
  </si>
  <si>
    <t xml:space="preserve">3. RECURSOS POR OPERACIONES OFICIALES DE CRÉDITO </t>
  </si>
  <si>
    <t xml:space="preserve">4. DONACIONES Y TRANSFERENCIAS </t>
  </si>
  <si>
    <t>003. SUB REG. DANIEL A. CARRIÓN</t>
  </si>
  <si>
    <t xml:space="preserve">402. SALUD UTES OXAPAMPA </t>
  </si>
  <si>
    <t>SECTOR O GOB. REGIONAL: 456. GOBIERNO REGIONAL DE PASCO</t>
  </si>
  <si>
    <t>SECTOR  o GOB. REGIONAL: 456. GOBIERNO REGIONAL PASCO</t>
  </si>
  <si>
    <t>SECTOR o GOB. REGIONAL: 456. GOBIERNO REGIONAL DE PASCO</t>
  </si>
  <si>
    <t>18 Saneamiento</t>
  </si>
  <si>
    <t>0001: PROGRAMA ARTICULADO NUTRICIONAL</t>
  </si>
  <si>
    <t>0002: SALUD MATERNO NEONATAL</t>
  </si>
  <si>
    <t>0016: TBC-VIH/SIDA</t>
  </si>
  <si>
    <t>0017: ENFERMEDADES METAXENICAS Y ZOONOSIS</t>
  </si>
  <si>
    <t>0018: ENFERMEDADES NO TRANSMISIBLES</t>
  </si>
  <si>
    <t>0024: PREVENCION Y CONTROL DEL CANCER</t>
  </si>
  <si>
    <t>0039: MEJORA DE LA SANIDAD ANIMAL</t>
  </si>
  <si>
    <t>0042: APROVECHAMIENTO DE LOS RECURSOS HIDRICOS PARA USO AGRARIO</t>
  </si>
  <si>
    <t>0046: ACCESO Y USO DE LA ELECTRIFICACION RURAL</t>
  </si>
  <si>
    <t>0047: ACCESO Y USO ADECUADO DE LOS SERVICIOS PUBLICOS DE TELECOMUNICACIONES E INFORMACION ASOCIADOS</t>
  </si>
  <si>
    <t>0051: PREVENCION Y TRATAMIENTO DEL CONSUMO DE DROGAS</t>
  </si>
  <si>
    <t>0068: REDUCCION DE VULNERABILIDAD Y ATENCION DE EMERGENCIAS POR DESASTRES</t>
  </si>
  <si>
    <t>0072: PROGRAMA DE DESARROLLO ALTERNATIVO INTEGRAL Y SOSTENIBLE - PIRDAIS</t>
  </si>
  <si>
    <t>0073: PROGRAMA PARA LA GENERACION DEL EMPLEO SOCIAL INCLUSIVO - TRABAJA PERU</t>
  </si>
  <si>
    <t>0080: LUCHA CONTRA LA VIOLENCIA FAMILIAR</t>
  </si>
  <si>
    <t>0082: PROGRAMA NACIONAL DE SANEAMIENTO URBANO</t>
  </si>
  <si>
    <t>0083: PROGRAMA NACIONAL DE SANEAMIENTO RURAL</t>
  </si>
  <si>
    <t>0089: REDUCCION DE LA DEGRADACION DE LOS SUELOS AGRARIOS</t>
  </si>
  <si>
    <t>0090: LOGROS DE APRENDIZAJE DE ESTUDIANTES DE LA EDUCACION BASICA REGULAR</t>
  </si>
  <si>
    <t>0091: INCREMENTO EN EL ACCESO DE LA POBLACION DE 3 A 16 AÑOS A LOS SERVICIOS EDUCATIVOS PUBLICOS DE LA EDUCACION BASICA REGULAR</t>
  </si>
  <si>
    <t>0103: FORTALECIMIENTO DE LAS CONDICIONES LABORALES</t>
  </si>
  <si>
    <t>0104: REDUCCION DE LA MORTALIDAD POR EMERGENCIAS Y URGENCIAS MEDICAS</t>
  </si>
  <si>
    <t>0106: INCLUSION DE NIÑOS, NIÑAS Y JOVENES CON DISCAPACIDAD EN LA EDUCACION BASICA Y TECNICO PRODUCTIVA</t>
  </si>
  <si>
    <t>0107: MEJORA DE LA FORMACION EN CARRERAS DOCENTES EN INSTITUTOS DE EDUCACION SUPERIOR NO UNIVERSITARIA</t>
  </si>
  <si>
    <t>0121: MEJORA DE LA ARTICULACION DE PEQUEÑOS PRODUCTORES AL MERCADO</t>
  </si>
  <si>
    <t>0126: FORMALIZACION MINERA DE LA PEQUEÑA MINERIA Y MINERIA ARTESANAL</t>
  </si>
  <si>
    <t>0129: PREVENCION Y MANEJO DE CONDICIONES SECUNDARIAS DE SALUD EN PERSONAS CON DISCAPACIDAD</t>
  </si>
  <si>
    <t>0130: COMPETITIVIDAD Y APROVECHAMIENTO SOSTENIBLE DE LOS RECURSOS FORESTALES Y DE LA FAUNA SILVESTRE</t>
  </si>
  <si>
    <t>0131: CONTROL Y PREVENCION EN SALUD MENTAL</t>
  </si>
  <si>
    <t>0138: REDUCCION DEL COSTO, TIEMPO E INSEGURIDAD EN EL SISTEMA DE TRANSPORTE</t>
  </si>
  <si>
    <t>0144: CONSERVACION Y USO SOSTENIBLE DE ECOSISTEMAS PARA LA PROVISION DE SERVICIOS ECOSISTEMICOS</t>
  </si>
  <si>
    <t>0147: FORTALECIMIENTO DE LA EDUCACION SUPERIOR TECNOLOGICA</t>
  </si>
  <si>
    <t>0150: INCREMENTO EN EL ACCESO DE LA POBLACION A LOS SERVICIOS EDUCATIVOS PUBLICOS DE LA EDUCACION BASICA</t>
  </si>
  <si>
    <t>1002 PRODUCTOS ESPECIFICOS PARA REDUCCION DE LA VIOLENCIA CONTRA LA MUJER</t>
  </si>
  <si>
    <t>9001: ACCIONES CENTRALES</t>
  </si>
  <si>
    <t>9002: ASIGNACIONES PRESUPUESTARIAS QUE NO RESULTAN EN PRODUCTOS</t>
  </si>
  <si>
    <t>UE: 001 - SEDE CENTRAL</t>
  </si>
  <si>
    <t xml:space="preserve">UE: 001 - SEDE CENTRAL </t>
  </si>
  <si>
    <t xml:space="preserve">SECTOR o GOB. REGIONAL: 456. GOBIERNO REGIONAL DE PASCO  </t>
  </si>
  <si>
    <t>1: ALIMENTOS Y BEBIDAS</t>
  </si>
  <si>
    <t>2: VESTUARIOS Y TEXTILES</t>
  </si>
  <si>
    <t>3: COMBUSTIBLES, CARBURANTES, LUBRICANTES Y AFINES</t>
  </si>
  <si>
    <t>4: MUNICIONES, EXPLOSIVOS Y SIMILARES</t>
  </si>
  <si>
    <t>5: MATERIALES Y UTILES</t>
  </si>
  <si>
    <t>6: REPUESTOS Y ACCESORIOS</t>
  </si>
  <si>
    <t>7: ENSERES</t>
  </si>
  <si>
    <t>8: SUMINISTROS MEDICOS</t>
  </si>
  <si>
    <t>9: MATERIALES Y UTILES DE ENSEÑANZA</t>
  </si>
  <si>
    <t>10: SUMINISTROS PARA USO AGROPECUARIO, FORESTAL Y VETERINARIO</t>
  </si>
  <si>
    <t>11: SUMINISTROS PARA MANTENIMIENTO Y REPARACION</t>
  </si>
  <si>
    <t xml:space="preserve">99: COMPRA DE OTROS BIENES </t>
  </si>
  <si>
    <t>1: VIAJES</t>
  </si>
  <si>
    <t>2: SERVICIOS BASICOS, COMUNICACIONES, PUBLICIDAD Y DIFUSION</t>
  </si>
  <si>
    <t>3: SERVICIOS DE LIMPIEZA, SEGURIDAD Y VIGILANCIA</t>
  </si>
  <si>
    <t xml:space="preserve">4: SERVICIO DE MANTENIMIENTO, ACONDICIONAMIENTO Y REPARACIONES </t>
  </si>
  <si>
    <t>5: ALQUILERES DE MUEBLES E INMUEBLES</t>
  </si>
  <si>
    <t>6: SERVICIOS ADMINISTRATIVOS, FINANCIEROS Y DE SEGUROS</t>
  </si>
  <si>
    <t xml:space="preserve">7: SERVICIOS PROFESIONALES Y TECNICOS </t>
  </si>
  <si>
    <t>8: CONTRATO ADMINISTRATIVO DE SERVICIOS</t>
  </si>
  <si>
    <t>9: LOCACIÓN DE SERVICIOS RELACIONADAS AL ROL DE LA ENTIDAD</t>
  </si>
  <si>
    <t xml:space="preserve">UE: 300 - EDUCACIÓN PASCO </t>
  </si>
  <si>
    <t>UE: 400  SALUD - HOSPITAL DANIEL ALCIDES CARRION</t>
  </si>
  <si>
    <t>III. De 0 a 2 AÑOS</t>
  </si>
  <si>
    <t>UE: 402 SALUD- UTES OXAPAMPA</t>
  </si>
  <si>
    <t>UE: 301 - EDUCACIÓN OXAPAMPA</t>
  </si>
  <si>
    <t>UE: 302. EDUCACION DANIEL ALCIDES CARRIÓN</t>
  </si>
  <si>
    <t>UE: 303. EDUCACION UGEL PASCO</t>
  </si>
  <si>
    <t>UE: 400. SALUD- SALUD PASCO</t>
  </si>
  <si>
    <t>F-2</t>
  </si>
  <si>
    <t>F-3</t>
  </si>
  <si>
    <t>F-4</t>
  </si>
  <si>
    <t>F-5</t>
  </si>
  <si>
    <t>F-6</t>
  </si>
  <si>
    <t>F-7</t>
  </si>
  <si>
    <t>SPB</t>
  </si>
  <si>
    <t>SPC</t>
  </si>
  <si>
    <t>SPD</t>
  </si>
  <si>
    <t>STB</t>
  </si>
  <si>
    <t>STC</t>
  </si>
  <si>
    <t>STD</t>
  </si>
  <si>
    <t>SAB</t>
  </si>
  <si>
    <t>SAC</t>
  </si>
  <si>
    <t>SAD</t>
  </si>
  <si>
    <t>SIN NIVEL REMUNERATIVO</t>
  </si>
  <si>
    <t>SNR</t>
  </si>
  <si>
    <t>PRACTICANTES</t>
  </si>
  <si>
    <t>….</t>
  </si>
  <si>
    <t>CAS AUXILIAR</t>
  </si>
  <si>
    <t>SPF</t>
  </si>
  <si>
    <t>STF</t>
  </si>
  <si>
    <t>SECTOR o GOB. REGIONAL: PLIEGO 456 GOBIERNO REGIONAL PASCO EJECUTORA: 300 EDUCACIÓN PASCO (000888)</t>
  </si>
  <si>
    <t>SAF</t>
  </si>
  <si>
    <t>...</t>
  </si>
  <si>
    <t>UNIDAD  EJECUTORA: 303 GOB.REG. DE PASCO . UGEL PASCO (001461)</t>
  </si>
  <si>
    <t>PERSONAL MAGISTERIO 29944</t>
  </si>
  <si>
    <t>ESCALA I</t>
  </si>
  <si>
    <t>ESCALA II</t>
  </si>
  <si>
    <t>ESCALA III</t>
  </si>
  <si>
    <t>ESCALA IV</t>
  </si>
  <si>
    <t>ESCALA V</t>
  </si>
  <si>
    <t>ESCALA VI</t>
  </si>
  <si>
    <t>ESCALA VII</t>
  </si>
  <si>
    <t>Docentes Contratados 30324</t>
  </si>
  <si>
    <t>Auxiliares de Educación 30493</t>
  </si>
  <si>
    <t>PERSONAL CAS</t>
  </si>
  <si>
    <t>UNIDAD EJECUTORA: 001 SEDE CENTRAL (885)</t>
  </si>
  <si>
    <t>UNIDAD EJECUTORA : 002 SELVA CENTRAL (1460)</t>
  </si>
  <si>
    <t>UNIDAD EJECUTORA : 003 SUB REGION DANIEL ALCIDES CARRION (1620)</t>
  </si>
  <si>
    <t>U.E.: 200 TRANSPORTES PASCO (887)</t>
  </si>
  <si>
    <t>UNIDAD EJECUTORA: 100  REGION PASCO AGRICULTURA (886)</t>
  </si>
  <si>
    <t>UNIDAD EJECUTORA: 300 EDUCACIÓN PASCO (000888)</t>
  </si>
  <si>
    <t>UNIDAD EJECUTORA: 301 EDUCACION OXAPAMAPA (1113)</t>
  </si>
  <si>
    <t>SECTOR o GOB. REGIONAL: 302. EDUCACIÓN DANIEL ALCIDES CARRIÓN (1227)</t>
  </si>
  <si>
    <t>UNIDAD EJECUTORA:   303 UGEL PASCO (1461)</t>
  </si>
  <si>
    <t>UNIDAD EJECUTORA : 001 SEDE CENTRAL (885)</t>
  </si>
  <si>
    <t xml:space="preserve"> GOBIERNO . REGIONAL: 456. GOBIERNO REGIONAL DE PASCO </t>
  </si>
  <si>
    <t xml:space="preserve"> UNIDAD EJECUTORA:  002 PASCO SELVA CENTRAL (1460)</t>
  </si>
  <si>
    <t>GOBIERNO REGIONAL DE PASCO</t>
  </si>
  <si>
    <t>OER.01</t>
  </si>
  <si>
    <t xml:space="preserve">OER. 01 Mejorar la productividad agropecuaria y forestal en forma sostenida </t>
  </si>
  <si>
    <t>Valor bruto de la producción agrícola (miles de soles)</t>
  </si>
  <si>
    <t>254 (miles de soles)</t>
  </si>
  <si>
    <t>457.67 (miles de soles)</t>
  </si>
  <si>
    <t xml:space="preserve">DRA </t>
  </si>
  <si>
    <t>DRA</t>
  </si>
  <si>
    <t>Producción promedio por hectárea de cultivo del café ( Kg Café /Has)</t>
  </si>
  <si>
    <t>505 ( Kg Café /Has)</t>
  </si>
  <si>
    <t>803.33 ( Kg Café /Has)</t>
  </si>
  <si>
    <t>Valor bruto de la producción pecuaria (miles de soles)</t>
  </si>
  <si>
    <t>120  (miles de soles)</t>
  </si>
  <si>
    <t>154.5  (miles de soles)</t>
  </si>
  <si>
    <t>% Área reforestada en hectáreas)</t>
  </si>
  <si>
    <t>415 (en hectareas)</t>
  </si>
  <si>
    <t>8.54 (en hectareas)</t>
  </si>
  <si>
    <t>GRRNGMA, DRA</t>
  </si>
  <si>
    <t>GRRNGMA</t>
  </si>
  <si>
    <t>OER.02</t>
  </si>
  <si>
    <t>OER.02 Promover la actividad turística y artesanal</t>
  </si>
  <si>
    <t>% de visitantes nacionales a museos y centros arqueológico que arriban a Pasco</t>
  </si>
  <si>
    <t>DRCET</t>
  </si>
  <si>
    <t>% de visitantes extranjeros a museos y centros arqueológicos que arriban a Pasco</t>
  </si>
  <si>
    <t>OER.03</t>
  </si>
  <si>
    <t>Ampliar y mejorar el acceso al recurso hídrico en calidad y cantidad, saneamiento, energía eléctrica y comunicaciones</t>
  </si>
  <si>
    <t>Cobertura de agua a nivel urbana y rural Departamento de Pasco</t>
  </si>
  <si>
    <t>55.4 (% de viviendas)</t>
  </si>
  <si>
    <t>72.22 (% de viviendas)</t>
  </si>
  <si>
    <t>INCORE, INEI, FOHO</t>
  </si>
  <si>
    <t>SGPEDT</t>
  </si>
  <si>
    <t>% de superficie agrícola bajo riego</t>
  </si>
  <si>
    <t>% de Infraestructura vial departamental con mantenimiento vial</t>
  </si>
  <si>
    <t>DRTC</t>
  </si>
  <si>
    <t>OER.04</t>
  </si>
  <si>
    <t>OER.04 Garantizar la calidad de los Servicios de Salud de la Población</t>
  </si>
  <si>
    <t>% de desnutrición crónica en menores de 5 años</t>
  </si>
  <si>
    <t>DIRESA</t>
  </si>
  <si>
    <t>% de hogares con red pública de alcantarillado y otras formas de disposición de excretas urbano - rural</t>
  </si>
  <si>
    <t>INCORE, INEI,SISFOHO</t>
  </si>
  <si>
    <t>OER.05</t>
  </si>
  <si>
    <t>OER.05 Mejorar la calidad de la educación en los tres niveles</t>
  </si>
  <si>
    <t>% de estudiantes del 2° grado de primaria, que se encuentran en el nivel suficiente de compresión lectora</t>
  </si>
  <si>
    <t>DRE</t>
  </si>
  <si>
    <t>% de estudiantes del 2° grado de primaria, que se encuentran en el nivel suficiente en matemática</t>
  </si>
  <si>
    <t>OER.06</t>
  </si>
  <si>
    <t>OER.06 talecer la gobernabilidad mediante la participación política y ciudadana de la sociedad civil organizada</t>
  </si>
  <si>
    <t>% de representantes de la sociedad civil organizada que asisten a audiencias públicas de rendición de cuentas</t>
  </si>
  <si>
    <t>% de representantes de la sociedad civil organizada que asisten a presupuesto Participativo</t>
  </si>
  <si>
    <t>OER.07</t>
  </si>
  <si>
    <t xml:space="preserve">OER.07 Contribuir al uso sostenible de los recursos naturales </t>
  </si>
  <si>
    <t>% de superficie de bosque en Oxapampa en hectáreas</t>
  </si>
  <si>
    <t>OER.08</t>
  </si>
  <si>
    <t>OER.08 Mejorar la Gestión ambiental en el departamento</t>
  </si>
  <si>
    <t>Parámetros límites máximos permisibles: bacterias doliformes totales UFC/100ml=0</t>
  </si>
  <si>
    <t>U.E.: 0887 TRANSPORTES PASCO - 200</t>
  </si>
  <si>
    <t>300 EDUCACIÓN PASCO (000888)</t>
  </si>
  <si>
    <t>UE: 301 EDUCACION OXAPAMAPA (1113)</t>
  </si>
  <si>
    <t>SECTOR o GOB. REGIONAL: 32. EDUCACIÓN DANIEL ALCIDES CARRIÓN</t>
  </si>
  <si>
    <t>DIRECTIVOS</t>
  </si>
  <si>
    <t>PROFESIONAL  SPC</t>
  </si>
  <si>
    <t>PROFESIONAL  SPD</t>
  </si>
  <si>
    <t>PROFESIONAL  SPE</t>
  </si>
  <si>
    <t>TECNICO  STA</t>
  </si>
  <si>
    <t>TECNICO  STB</t>
  </si>
  <si>
    <t xml:space="preserve">UE: 002 - SELVA CENTRAL </t>
  </si>
  <si>
    <t>F.1</t>
  </si>
  <si>
    <t>TECNICO  STC</t>
  </si>
  <si>
    <t>TECNICO  STD</t>
  </si>
  <si>
    <t>TECNICO  STE</t>
  </si>
  <si>
    <t>AUXILIAR  SAB</t>
  </si>
  <si>
    <t xml:space="preserve">UE: 003 - SUB REGIÓN DANIEL ALCIDES CARRIÓN </t>
  </si>
  <si>
    <t>PROFESIONAL  SPA</t>
  </si>
  <si>
    <t>AUXILIAR  SAE</t>
  </si>
  <si>
    <t>SUPERIOR NO UNIVERSITARIO IESP-IEST</t>
  </si>
  <si>
    <t>PROFESIONAL  SPF</t>
  </si>
  <si>
    <t>AUXILIAR  SAA</t>
  </si>
  <si>
    <t>AUXILIAR  SAD</t>
  </si>
  <si>
    <t>LEY 29944, LEY DE LA CARRERA PUBLICA MAGISTERIAL</t>
  </si>
  <si>
    <t>QUINTA</t>
  </si>
  <si>
    <t>CUARTA</t>
  </si>
  <si>
    <t>TERCERA</t>
  </si>
  <si>
    <t>SEGUNDA</t>
  </si>
  <si>
    <t>LEY 30512</t>
  </si>
  <si>
    <t>C3</t>
  </si>
  <si>
    <t>C2</t>
  </si>
  <si>
    <t>C1</t>
  </si>
  <si>
    <t>DOCENTE CONTRATADO</t>
  </si>
  <si>
    <t>AUXILIAR DE EDUCACIÓN</t>
  </si>
  <si>
    <t xml:space="preserve">UE:  888 - EDUCACIÓN PASCO </t>
  </si>
  <si>
    <t>F4</t>
  </si>
  <si>
    <t xml:space="preserve">PROFECIONALES </t>
  </si>
  <si>
    <t>AXULIARES</t>
  </si>
  <si>
    <t xml:space="preserve">LEY 30328, LEY DE DOCENTES CONTRTADOS </t>
  </si>
  <si>
    <t xml:space="preserve">AUXILIARES DE EDUCACION </t>
  </si>
  <si>
    <t>TOTAL INGRESO ANUAL PEA (Proyección al 31 de diciembre de 2021)</t>
  </si>
  <si>
    <t>F5</t>
  </si>
  <si>
    <t xml:space="preserve">UE: 301 - EDUCACIÓN DANIEL ALCIDES CARRIÓN </t>
  </si>
  <si>
    <t>PROFESIONAL  SPB</t>
  </si>
  <si>
    <t>TECNICO  STF</t>
  </si>
  <si>
    <t>AUXILIAR  SAC</t>
  </si>
  <si>
    <t>AUXILIAR  SAF</t>
  </si>
  <si>
    <t>UE: 0890 HOSPITAL DANIEL A. CARRION</t>
  </si>
  <si>
    <t>GOB. REGIONAL: 456 GOBIERNO REGIONAL PASCO</t>
  </si>
  <si>
    <t>ASISTENCIALES</t>
  </si>
  <si>
    <t xml:space="preserve">  MEDICOS</t>
  </si>
  <si>
    <t>NIVEL 5</t>
  </si>
  <si>
    <t>NIVEL 4</t>
  </si>
  <si>
    <t>NIVEL 3</t>
  </si>
  <si>
    <t>NIVEL 2</t>
  </si>
  <si>
    <t>NIVEL 1</t>
  </si>
  <si>
    <t>PROFESIONALES DE LA SALUD</t>
  </si>
  <si>
    <t xml:space="preserve">  ENFERMERAS</t>
  </si>
  <si>
    <t>NIVEL 14</t>
  </si>
  <si>
    <t>NIVEL 13</t>
  </si>
  <si>
    <t>NIVEL 12</t>
  </si>
  <si>
    <t>NIVEL 11</t>
  </si>
  <si>
    <t>NIVEL 10</t>
  </si>
  <si>
    <t xml:space="preserve">  OBSTETRICES</t>
  </si>
  <si>
    <t>NIVEL V</t>
  </si>
  <si>
    <t>NIVEL IV</t>
  </si>
  <si>
    <t>NIVEL III</t>
  </si>
  <si>
    <t>NIVEL II</t>
  </si>
  <si>
    <t>NIVEL I</t>
  </si>
  <si>
    <t xml:space="preserve">  CIRUJANO DENTISTA</t>
  </si>
  <si>
    <t>PSICOLOGOS</t>
  </si>
  <si>
    <t xml:space="preserve">  TECNOLOGOS MEDICOS</t>
  </si>
  <si>
    <t>OTROS PROF. DE LA SALUD</t>
  </si>
  <si>
    <t>VIII</t>
  </si>
  <si>
    <t>VII</t>
  </si>
  <si>
    <t>VI</t>
  </si>
  <si>
    <t>V</t>
  </si>
  <si>
    <t>IV</t>
  </si>
  <si>
    <t>III</t>
  </si>
  <si>
    <t>II</t>
  </si>
  <si>
    <t>I</t>
  </si>
  <si>
    <t>ENF-14</t>
  </si>
  <si>
    <t>ENF-13</t>
  </si>
  <si>
    <t>ENF-12</t>
  </si>
  <si>
    <t>ENF-11</t>
  </si>
  <si>
    <t>ENF-10</t>
  </si>
  <si>
    <t>OPS-VIII</t>
  </si>
  <si>
    <t>OPS-VI</t>
  </si>
  <si>
    <t>OPS-V</t>
  </si>
  <si>
    <t>OPS-IV</t>
  </si>
  <si>
    <t>OPS-III</t>
  </si>
  <si>
    <t>OPS-I</t>
  </si>
  <si>
    <t>MC-5</t>
  </si>
  <si>
    <t>MC-3</t>
  </si>
  <si>
    <t>MC-2</t>
  </si>
  <si>
    <t>MC-1</t>
  </si>
  <si>
    <t>OBS-V</t>
  </si>
  <si>
    <t>OBS-IV</t>
  </si>
  <si>
    <t>OBS-III</t>
  </si>
  <si>
    <t>OBS-II</t>
  </si>
  <si>
    <t>OBS-I</t>
  </si>
  <si>
    <t>CD-V</t>
  </si>
  <si>
    <t>CD-IV</t>
  </si>
  <si>
    <t>CD-III</t>
  </si>
  <si>
    <t>CD-II</t>
  </si>
  <si>
    <t>CD-I</t>
  </si>
  <si>
    <t>PS-VIII</t>
  </si>
  <si>
    <t>PS-VI</t>
  </si>
  <si>
    <t>PS-IV</t>
  </si>
  <si>
    <t>TM-2</t>
  </si>
  <si>
    <t>TM-1</t>
  </si>
  <si>
    <t>NO APLICA</t>
  </si>
  <si>
    <t>ADQUISICIÓN DE SUMINISTROS Y ACCESORIOS PARA LA PLANTA DE TRATAMIENTO DE ULIACHIN PARA EL PROYECTO DENOMINADO  COMPONENTE I AMPLIACIÓN DE LOS SERVICIOS SANEMAIENTO Y FORTALECIMIENTO INSTITUCIONAL INTEGRAL DE EMAPA PASCO PROVINCIA DE PASCO REGIÓN PASCO</t>
  </si>
  <si>
    <t>LICITACION PUBLICA</t>
  </si>
  <si>
    <t xml:space="preserve">PROCESO DE SELECCIÓN </t>
  </si>
  <si>
    <t>LP-SM-1-2019-G.R.P/BIENES-1</t>
  </si>
  <si>
    <t>2,550,196.00</t>
  </si>
  <si>
    <t>NULO</t>
  </si>
  <si>
    <t>ADQUISICIÓN DE ESTERILIZADOR (DOS UNIDADES)</t>
  </si>
  <si>
    <t>COMPARACION DE PRECIOS</t>
  </si>
  <si>
    <t>COMPRE-SM-4-2019-G.R.P/BIENES-1</t>
  </si>
  <si>
    <t>45,850.00</t>
  </si>
  <si>
    <t>ADQUISICIÓN DE INCUBADORA  (01 UNIDAD)</t>
  </si>
  <si>
    <t>COMPRE-SM-3-2019-G.R.P/BIENES-1</t>
  </si>
  <si>
    <t>40,000.00</t>
  </si>
  <si>
    <t>ADQUISICIÓN DE REFRIGERADORA CONSERVADORA  (03 UNIDADES)</t>
  </si>
  <si>
    <t>COMPRE-SM-2-2019-G.R.P/BIENES-1</t>
  </si>
  <si>
    <t>62.850.00</t>
  </si>
  <si>
    <t>ADQUISICIÓN DE MATERIALES DE CONSTRUCCIÓN PARA LA PROYECTO ¿REFORESTACIÓN CON FINES DE PROTECCIÓN DE SUELO EN 42 COMUNIDADES CAMPESINAS DE LA PROVINCIA DE PASCO REGIÓN PASCO¿</t>
  </si>
  <si>
    <t>COMPRE-SM-1-2019-G.R.P/BIENES-1</t>
  </si>
  <si>
    <t>62,998.11</t>
  </si>
  <si>
    <t>ADQUISICION DE MADERA PARA LA OBRA SINCERADO DE SALDO PARCIAL COMPONENTE 01 SNIP N 74176 LINEA DE CONDUCCIÓN DE LA OBRA MEJORAMIENTO Y AMPLIACION DE LOS SERVICIOS DE SANEAMIENTO Y FORTALECIMIENTO INSTITUCIONAL INTEGRAL DE LA EMAPA PASCO PROVINCIA DE PASCO-PASCO.</t>
  </si>
  <si>
    <t>ADJUDICACION SIMPLIFICADA</t>
  </si>
  <si>
    <t>AS-SM-2-2019-G.R.P/BIENES-2</t>
  </si>
  <si>
    <t>199,999.00</t>
  </si>
  <si>
    <t>DESIERTO</t>
  </si>
  <si>
    <t>Adquisición de postes de Eucalipto para el Proyecto: Reforestación con fines de protección del suelo en 42 comunidades campesinas de la Provincia Pasco- Región Pasco</t>
  </si>
  <si>
    <t>AS-SM-4-2019-G.R.P/BIENES-1</t>
  </si>
  <si>
    <t>111,618.00</t>
  </si>
  <si>
    <t>ADQUISICION DE BIENES PARA LA OBRA INSTALACION DEL SERVICIO DE AGUA PARA RIEGO EN LA QUEBRADA DE YANACHACAN (ULULUN SHAOGAL Y CAJON PATA) QUIPARACRA DISTRITO DE HUACHON PROVINCIA Y DEPARTAMENTO DE PASCO</t>
  </si>
  <si>
    <t>AS-SM-1-2019-G.R.P/BIENES-2</t>
  </si>
  <si>
    <t>136,573.00</t>
  </si>
  <si>
    <t>ADQUISICIÓN DE COMBUSTIBLE PARA LA OBRA SINCERADA DEL SALDO PARCIAL DEL COMPONENTE 01-SNIP, LINEA DE CONDUCCIÓN DE LA OBRA: "MEJORAMIENTO Y AMPLIACIÓN DE LOS SERVICIOS DE SANEAMIENTO Y FORTALECIMIENTO INSTITUCIONAL INTEGRAL DE LA EMAPA PASCO, PROVINCIA DE PASCO-PASCO</t>
  </si>
  <si>
    <t>SUBASTA INVERSA ELECTRONICA</t>
  </si>
  <si>
    <t>SIE-SIE-4-2019-G.R.P/BIENES-1</t>
  </si>
  <si>
    <t>94,500.00</t>
  </si>
  <si>
    <t>ADQUISICION DE MADERA PARA EJECUCION DEL PROYECTO EXPEDIENTE SINCERADO SALDO PARCIAL COMPONENTE 01 SNIP N 74176 LINEA DE CONDUCCIÓN EN LA OBRA MEJORAMIENTO Y AMPLIACION DE LOS SERVICIOS DE SANEAMIENTO Y FORTALECIMIENTO INSTITUCIONAL INTEGRAL DE LA EMAPA PASCO PROVINCIA DE PASCO PASCO</t>
  </si>
  <si>
    <t>AS-SM-2-2019-G.R.P/BIENES-1</t>
  </si>
  <si>
    <t>CONCRETO PREMEZCLADO FC=280KG/CM2 + ADITIVOS INCLUIDO TRANSPORTE Y BOMBEO PARA LA OBRA SINCERADA DEL SALDO PARCIAL DEL COMPONENTE 01-SNIP 74176 LINEA DE CONDUCCION DE LA OBRA MEJORAMIENTO Y AMPLIACION DE LOS SERVICIOS DE SANEAMIENTO Y FORTALECIMIENTO INSTITUCIONAL INTEGRAL DE LA EMAPA PASCO PROVINCIA PASCO PASCO</t>
  </si>
  <si>
    <t>SIE-SIE-3-2019-G.R.P/BIENES-2</t>
  </si>
  <si>
    <t>423,614.50</t>
  </si>
  <si>
    <t>AS-SM-1-2019-G.R.P/BIENES-1</t>
  </si>
  <si>
    <t>SIE-SIE-3-2019-G.R.P/BIENES-1</t>
  </si>
  <si>
    <t>313,967.56</t>
  </si>
  <si>
    <t>ADQUISICIÓN DE COMBUSTIBLE PARA ATENCIÓN DE EMERGENCIAS DENTRO DE LA REGIÓN PASCO</t>
  </si>
  <si>
    <t>SIE-SIE-2-2019-G.R.P/BIENES-2</t>
  </si>
  <si>
    <t>193.750.00</t>
  </si>
  <si>
    <t>SIE-SIE-2-2019-G.R.P/BIENES-1</t>
  </si>
  <si>
    <t>209,986.00</t>
  </si>
  <si>
    <t>Adquisición de combustible para la unidades móviles para la atención de diferentes oficinas del Gobierno Regional Pasco para el periodo 2019, Distrito Yanacancha, Provincia y Región Pasco</t>
  </si>
  <si>
    <t>SIE-SIE-1-2019-G.R.P/BIENES-2</t>
  </si>
  <si>
    <t>557,784.48</t>
  </si>
  <si>
    <t>Servicio de consultoria para el desarrollo de Estudio de Pre Inversion del Proyecto de Inversion: Creacion de represamiento de la laguna de Alcacocha para sistema de riego en las Provincias de Daniel Alcides Carrion y Pasco-Departamento de Pasco</t>
  </si>
  <si>
    <t>AS-SM-3-2019-GRP/SERV CONSUL-1</t>
  </si>
  <si>
    <t>290,000.00</t>
  </si>
  <si>
    <t>ELABORACIÓN DE ESTUDIO DE PRE INVERSIÓN: ¿CREACIÓN DEL SERVICIO  DE TRANSITABILIDAD VEHICULAR EN EL CAMINO VECINAL TRAMO: TINGO MAL PASO, COCATAMBO, QUITASOL, CUSHI; DISTRITO DE POZUZO, PROVINCIA DE OXPAMPA, DEPARTAMENTO PASCO¿.</t>
  </si>
  <si>
    <t>AS-SM-2-2019-GRP/SERV CONSUL-1</t>
  </si>
  <si>
    <t>98,610.20</t>
  </si>
  <si>
    <t>ELAB. DEL ESTUDIO DE TRÁFICO PARA DETERM. DE SUPERFICIE DE RODADURA DEL PYTO: MEJORAM. DE LA CARRET. DEPARTAM.: EMP.PE-18 (DV.UCHUMARCA)-GOLAC MAJADA-POCCO-UCHUMARCA-GORINA ALTA-HUANGUR-YURAC HUANCA-QUIULACOCHA-CERRO DE PASCO-EMP. PE 3N-(DV.CERRO DE PASCO), PROV. DANIEL CARRIÓN Y PASCO, REGIÓN PASCO</t>
  </si>
  <si>
    <t>AS-SM-4-2019-G.R.P/SERVICIOS-1</t>
  </si>
  <si>
    <t>70,800.00</t>
  </si>
  <si>
    <t>Contratación por Servicio el Mantenimiento de Puentes de la vía Dptal PA 109 EMP PE 5N (Div. Iscozacín) Iscozacín - Puente Alvariño - Chuchurras - PCD Región Pasco, Ponton Huancaramay L = 20.50 ml, progresiva 24+570</t>
  </si>
  <si>
    <t>AS-SM-2-2019-G.R.P/SERVICIOS-3</t>
  </si>
  <si>
    <t>108,733.90</t>
  </si>
  <si>
    <t>AS-SM-2-2019-G.R.P/SERVICIOS-2</t>
  </si>
  <si>
    <t>Contratación por servicio el Mantenimiento de Puentes de la vía Dptal PA 109 EMP PE 5N (Div. Iscozacín) Iscozacín - Puente Alvariño - Chuchurras - PCD Región Pasco, Ponton Carachama L = 25.53 ml, progresiva 30+600</t>
  </si>
  <si>
    <t>AS-SM-3-2019-G.R.P/SERVICIOS-1</t>
  </si>
  <si>
    <t>121,198.47</t>
  </si>
  <si>
    <t>71667033</t>
  </si>
  <si>
    <t>AS-SM-2-2019-G.R.P/SERVICIOS-1</t>
  </si>
  <si>
    <t>Servicios de Consultoría para la Elaboración del Informe Pericial Técnico Financiero de la Obra: "Mejoramiento y Ampliación de los Servicios de Saneamiento y Fortalecimiento Institucional Integral de Emapa Pasco, Provincia de Pasco-Pasco"-Componente 1 y Saldo de Obra del Componente 1, Cod.SNIP 74176</t>
  </si>
  <si>
    <t>AS-SM-1-2019-GRP/SERV CONSUL-1</t>
  </si>
  <si>
    <t>392,733.50</t>
  </si>
  <si>
    <t>Contratación por Servicios el Internet de banda ancha para el Gobierno Regional Pasco, Distritos Yanacancha, Provincia y Región Pasco</t>
  </si>
  <si>
    <t>AS-SM-1-2019-G.R.P/SERVICIOS-1</t>
  </si>
  <si>
    <t>112,922.40</t>
  </si>
  <si>
    <t>ADQUISICIÓN ARENA GRUESA, OBRA ETAPA I COMP. RED DE EMISOR PYTO:"INSTALACIÓN DE LA PLANTA DE TRATAMIENTO DE AGUAS RESIDUALES PUCAYACU PARA EL AA.HH. HAYA DE LA TORRE, TECHO PROPIO, COLUMNA PASCO, ASOCIACIONES DE JARDINES DE PUCAYACU Y LOS PRÓCERES, DISTRITO DE YANACANCHA, PROVINCIA DE PASCO-PASCO"</t>
  </si>
  <si>
    <t>SIE-SIE-15-2020-G.R.P/BIENES-1</t>
  </si>
  <si>
    <t>---</t>
  </si>
  <si>
    <t>REGISTRO DE PARTICIPANTES- CONVOCADO</t>
  </si>
  <si>
    <t>ADQUISICIÓN DE COMBUSTIBLE PARA LA OBRA "MEJORAMIENTO DEL ORNATO PUBLICO EN EL JR. 28 DE JULIO DEL AA HH ULIACHIN DEL SECTOR 02 AL SECTOR 06 DISTRITO DE CHAUPIMARCA PROVINCIA Y DEPARTAMENTO DE PASCO</t>
  </si>
  <si>
    <t>SIE-SIE-8-2020-G.R.P/BIENES-2</t>
  </si>
  <si>
    <t>ADQUISICIÓN DE 09 VACUNOS REPRODUCTORAS HEMBRAS DE LA RAZA BROW SWISS PARA EL PLAN DE NEGOCIO MEJORAMIENTO E INCREMENTO DE LA PRODUCCIÓN Y COMERCILIZACION DE LECHE EN LA ASOCIACIÓN DE PRODUCTORES AGROPECUARIOS VIDA NUEVA DE SAN JUAN DE YANACOCHA, DISTRITIO DE YANAHUANCA PROVINCIA DE DANIEL ALCIDES</t>
  </si>
  <si>
    <t>AS-SM-5-2020-G.R.P/BIENES-1</t>
  </si>
  <si>
    <t>PRESENTACION DE OFERTAS</t>
  </si>
  <si>
    <t>ADQUISICIÓN DE 07 VACUNOS REPRODUCTORAS HEMBRAS DE LA RAZA BROW SWISS PARA EL PLAN DE NEGOCIO "FORTALECIMIENTO DEL PROCESO REPRODUCTIVO Y COMERCIALIZACIÓN DE LECHE DE LA ASOCIACIÓN AGROPECUARIA HUARI, DISTRITO DE SANTA ANA DE TUSI, PROVINCIA DANIEL CARRIÓN, REGIÓN PASCO".</t>
  </si>
  <si>
    <t>AS-SM-3-2020-G.R.P/BIENES-1</t>
  </si>
  <si>
    <t>CONTRATACION DE BIENES PARA LA ADQUISICION DE CEMENTO PORTLAND TIPO I (42.5 KG) PARA EL PROYECTO ETAPA I DE COMPONENTE RED EMISOR DEL PROYECTO "INSTALACION DE LA PLANTA DE TRATAMIENTO DE AGUAS RESIDUALES PUCAYACU PARA EL AA.HH. HAYA DE LA TORRE, TECHO PROPIO, COLUMNA PASCO, ASOCIACIONES DE VIVIENDA</t>
  </si>
  <si>
    <t>SIE-SIE-14-2020-G.R.P/BIENES-1</t>
  </si>
  <si>
    <t>BUENA PRO</t>
  </si>
  <si>
    <t>ADQUISICION DE MONITOR DE FUNCIONES VITALES, MONITOR DE FUNCIONES VITALES, MONITOR DE FUNCIONES VITALES; ADEMAS DE OTROS ACTIVOS EN (LA) EESS DR. DANIEL ALCIDES CARRION GARCIA - YANACANCHA, DISTRITO DE YANACANCHA, PROVINCIA PASCO, DEPARTAMENTO APSCO</t>
  </si>
  <si>
    <t>DIRECTA-PROC-1-2020-G.R.P/BIENES-1</t>
  </si>
  <si>
    <t>934,700.00</t>
  </si>
  <si>
    <t>CONTRATACIÓN DE BIENES PARA ADQUISICIÓN DE SUMINISTROS Y ACCESORIOS PARA LA PLANTA DE TRATAMIENTO DE ULIACHIN PARA EL PROYECTO DENOMINADO: ¿COMPONENTE I, AMPLIACIÓN DE LOS SERVICIOS DE SANEAMIENTO Y FORTALECIMIENTO INSTITUCIONAL INTEGRAL DE EMPAPA PASCO, PROVINCIA DE PASCO-REGIÓN-PASCO.</t>
  </si>
  <si>
    <t>AS-SM-1-2020-G.R.P/BIENES-1</t>
  </si>
  <si>
    <t>3,324,998.50</t>
  </si>
  <si>
    <t>CONSENTIDO</t>
  </si>
  <si>
    <t>ADQUISICION DE BOLSAS DE CEMENTO PORTALAND TIPO I (42.50 KG) PARA LA EJECUCION DE LA OBRA "CREACION DE PISTAS Y VEREDAS DEL BARRIO YANACOCHA BAJA (AA.HH CELSO CURI), DISTRITO DE HUARIACA PASCO-PASCO"</t>
  </si>
  <si>
    <t>SIE-SIE-13-2020-G.R.P/BIENES-1</t>
  </si>
  <si>
    <t>127,400.00</t>
  </si>
  <si>
    <t>ADQUISICIÓN DE LADRILLOS KING KONG PARA EL PROYECTO: COMPONENTE 1 AMPLIACIÓN DE LOS SERVICIOS DE SANEAMIENTO Y FORTALECIMIENTO INSTITUCIONAL INTEGRAL DE EMAPA PASCO, PROVINCIA DE PASCO, REGIÓN PASCO</t>
  </si>
  <si>
    <t>COMPRE-SM-4-2020-G.R.P/BIENES-1</t>
  </si>
  <si>
    <t>52,965.00</t>
  </si>
  <si>
    <t>ADQUISICIÓN DE MATERIAL DE PRÉSTAMO PARA RELLENO EN PTAP ULIACHIN PARA EL PROYECTO "COMPONENTE 01 AMPLIACIÓN DE LOS SERVICIOS DE SANEAMIENTO Y FORTALECIMIENTO INSTITUCIONAL INTEGRAL EMAPA PASCO, PROVINCIA DE PASCO, REGIÓN PASCO."</t>
  </si>
  <si>
    <t>COMPRE-SM-2-2020-G.R.P/BIENES-1</t>
  </si>
  <si>
    <t>62,525.00</t>
  </si>
  <si>
    <t>ADQUISICIÓN DE ADITIVOS IMPERMEABILIZANTE SUPERFICIAL PARA ACABAOS PARA LA OBRA "COMPONENTE 01 AMPLIACIÓN DE LOS SERVICIOS DE SANEAMIENTO Y FORTALECIMIENTO INSTITUCIONAL INTEGRAL DE EMAPA PASCO, PROVINCIA Y REGIÓN PASCO"</t>
  </si>
  <si>
    <t>COMPRE-SM-3-2020-G.R.P/BIENES-1</t>
  </si>
  <si>
    <t>64,002.60</t>
  </si>
  <si>
    <t>ADQUISICION DE ACERO  CORRUGRADO PARA EL PROYECTO MEJORAMIENTO DEL ORENATO PUBLICO EN EL JR. 28 DE JULIO DEL AA HH ULIACHIN DEL SECTOR 02 AL SECTOR 06 DISTRITO DE CHAUPIMARCA PROV Y DEPARTAMENTO DE PASCO</t>
  </si>
  <si>
    <t>SIE-SIE-12-2020-G.R.P/BIENES-1</t>
  </si>
  <si>
    <t xml:space="preserve">EVALUCION </t>
  </si>
  <si>
    <t>ADQUISICION DE MATERIAL CLASIFICADO PARA BASE, PARA LA EJECUCION DE LA OBRA CREACION DE PISTAS Y VEREDAS DEL BARRIO YANACOCHA BAJA (AA.HH CELSO CURI), DISTRITO DE HUARIACA -PASCO PASCO</t>
  </si>
  <si>
    <t>SIE-SIE-11-2020-G.R.P/BIENES-1</t>
  </si>
  <si>
    <t>148,732.00</t>
  </si>
  <si>
    <t>ADQUISICIÓN DE PIEDRA CHANCADA DE 1/2" - 3/4" PARA LA EJECUCION DE LA OBRA "CREACION DE PISTAS Y VEREDAS DEL BARRIO YANACOCHA BAJA (AA.HH CELSO CURI), DISTRITO DE HUARIACA - PASCO-PASCO"</t>
  </si>
  <si>
    <t>SIE-SIE-6-2020-G.R.P/BIENES-1</t>
  </si>
  <si>
    <t>40,500.00</t>
  </si>
  <si>
    <t>ADQUISICIÓN DE ACERO CORRUGADO 5/8 - 1/2 PARA LA OBRA "CREACIÓN DE PISTAS Y VEREDAS DEL ABRRIO YANACOCHA BAJA AA.HH, CELSO CURI, DISTRITO DE HUARIACA - PASCO-PASCO"</t>
  </si>
  <si>
    <t>SIE-SIE-10-2020-G.R.P/BIENES-1</t>
  </si>
  <si>
    <t>129,461.00</t>
  </si>
  <si>
    <t>SIE-SIE-8-2020-G.R.P/BIENES-1</t>
  </si>
  <si>
    <t>169,000.00</t>
  </si>
  <si>
    <t>ADQUISICIÓN DE 13 VACUNOS REPRODUCTORAS HEMBRAS DE LA RAZA BROW SWISS Y 01 VACUNO BROW SWISS MACHO PARA EL PLAN DE NEGOCIO ¿MEJORAMIENTO DE LA PRODUCCIÓN DEL GANADO VACUNO DE LECHE DE LA ASOCIACIÓN AGROPECUARIA MAMAQUILLA DE CARHUACOCHA PARIAMARCA, EN EL DISTRITO DE YANACANCHA, PROVINCIA Y REGIÓN DE</t>
  </si>
  <si>
    <t>AS-SM-4-2020-G.R.P/BIENES-1</t>
  </si>
  <si>
    <t>45,500.00</t>
  </si>
  <si>
    <t>58,500.00</t>
  </si>
  <si>
    <t>ADQUISICIÓN DE CONCRETO PREMEZCLADO FC 210 KG/CM2 PARA LA OBRA: ¿AMPLIACIÓN DE LA CAPACIDAD DE LOS SERVICIOS EDUCATIVOS DE LOS LABORATORIOS Y TALLERES DE PRÁCTICA DE LAS CARRERAS DE ENFERMERÍA TÉCNICA, TÉCNICA EN FARMACIA Y GUÍA OFICIAL DE TURISMO DEL INSTITUTO DE EDUCACIÓN SUPERIOR TECNOLÓGICO PÚBL</t>
  </si>
  <si>
    <t>SIE-SIE-7-2020-G.R.P/BIENES-1</t>
  </si>
  <si>
    <t>54,375.00</t>
  </si>
  <si>
    <t>ADQUISICIÓN DE CEMENTO PORTLAND TIPO I PARA LA OBRA "MEJORAMIENTO DEL ORNATO PUBLICO EN EL JR. 28 DE JULIO DEL AA HH ULIACHIN DEL SECTOR 02 AL SECTOR 06 DISTRITO DE CHAUPIMARCA PROVINCIA Y DEPARTAMENTO DE PASCO".</t>
  </si>
  <si>
    <t>SIE-SIE-9-2020-G.R.P/BIENES-1</t>
  </si>
  <si>
    <t>524,050.00</t>
  </si>
  <si>
    <t>ADQUISICION DE BIENES DE AYUDA HUMANITARIA DE CONFORMIDAD AL PLAN OPERATIVO INSTITUCIONAL 2020 LA CUAL ESTA PROGRAMADO ABRIGOS CASACAS PARA TERCER EDAD TALLA M,L,XL CONJUNTO DE POLAR PARA NIÑOS DE 0 A 12 AÑOS TALLAS 2 4 6 8 10 12</t>
  </si>
  <si>
    <t>AS-SM-2-2020-G.R.P/BIENES-1</t>
  </si>
  <si>
    <t>229,500.00</t>
  </si>
  <si>
    <t>ADQUISICIÓN DE BLOQUE DE CONCRETO (ADOQUINES DE CONCRETO) 20X10X06 PARA LA OBRA AMPLIACIÓN DE LA CAPACIDAD DE LOS SERVICIOS EDUCATIVOS DE LOS LABORATORIOS Y TALLERES DE PRACTICA DE LAS CARRERAS DE ENFERMERÍA TÉCNICA, TÉCNICA EN FARMACIA Y GUÍA OFICIAL DE TURISMO DEL INSTITUTO DE EDUCACIÓN SUPERIOR</t>
  </si>
  <si>
    <t>SIE-SIE-5-2020-G.R.P/BIENES-1</t>
  </si>
  <si>
    <t>75,000.00</t>
  </si>
  <si>
    <t>ADQUISICIÓN DE COMBUSTIBLE DIÉSEL B5 S-50 PARA LA "ACTIVIDAD DE EMERGENCIA EN LA  PROVINCIAS DE PASCO Y DANIEL ALCIDES CARRIÓN DE LA OFICINA DE GESTIÓN DE RIESGO Y SEGURIDAD CIUDADANA"</t>
  </si>
  <si>
    <t>SIE-SIE-4-2020-G.R.P/BIENES-1</t>
  </si>
  <si>
    <t>134,000.00</t>
  </si>
  <si>
    <t>ADQUISICIÓN DE COMBUSTIBLE  DIESEL B5-S50 PARA EL PROYECTO  COMPONENTE 01 AMPLIACIÓN DE LOS SERVICIOS DE SANEAMIENTO Y FORTALECIMIENTO INSTITUCIONAL INTEGRAL DE LA EMAPA PASCO PROVINCIA Y REGION DE PASCO</t>
  </si>
  <si>
    <t>SIE-SIE-3-2020-G.R.P/BIENES-1</t>
  </si>
  <si>
    <t>208,500.00</t>
  </si>
  <si>
    <t>ADQUISICION DE COMBUSTIBLE DIESEL  B5 -S50 PARA LA ACTIVIDAD DE EMERGENCIA EN OPERACIÓN DE APOYO LOGISTICO A LA EMERGENCIA</t>
  </si>
  <si>
    <t>SIE-SIE-2-2020-G.R.P/BIENES-1</t>
  </si>
  <si>
    <t>579,600.00</t>
  </si>
  <si>
    <t>ADQUISICIÓN DE COMBUSTIBLE PARA ATENCIÓN A LAS DIFERENTES ÁREAS USUARIAS DE LA SEDE CENTRAL DE LA INSTITUCION A SOLICITUD DE LA UNIDAD DE SERVICIOS AUXILIARES DEL GOBIERNO REGIONAL PASCO</t>
  </si>
  <si>
    <t>SIE-SIE-1-2020-G.R.P/BIENES-1</t>
  </si>
  <si>
    <t>558,316.10</t>
  </si>
  <si>
    <t>SERVICIO DE CARPINTERÍA DE MADERA PARA LA EJECUCIÓN DEL SALDO DE LA OBRA "AMPLIACIÓN DE LA CAPACIDAD DE LOS SERVICIOS EDUCATIVOS DE LOS LABORATORIOS Y TALLERES DE PRACTICAS PROFESIONALES DE LAS CARRERAS PROFESIONALES DE ENFERMERÍA TÉCNICA, TÉCNICA EN FARMACIA Y GUÍA OFICIAL DE TURISMO DEL INSTITUTO</t>
  </si>
  <si>
    <t>AS-SM-6-2020-G.R.P/SERVICIOS-1</t>
  </si>
  <si>
    <t>FORMULACION DE CONSULTAS Y OBSERVACIONES</t>
  </si>
  <si>
    <t>CONTRATACION DE SERVICIO DE SUMINISTRO E INSTALACION DE PANELES FENOLICOS PARA ENCOFRADO DE MUROS DE CONTENCION PARA LA OBRA: "CREACION DE PISTAS Y VEREDAS DEL BARRIO YANACOCHA BAJA (A.S.H.H. CELSO CURI), DISTRITO DE HUARIACA-PASCO-PASCO"</t>
  </si>
  <si>
    <t>AS-SM-7-2020-G.R.P/SERVICIOS-1</t>
  </si>
  <si>
    <t xml:space="preserve">EVALUACION Y CALIFICACION </t>
  </si>
  <si>
    <t>CONTRATACIÓN DE SERVICIO DE CARGA, TRASLADO, DESCARGUE DE MÓDULOS TEMPORALES DE VIVIENDA PARA DISTS DE HUAYLLAY, TICLACAYAN, PALLANCHACRA PROV. DE PASCO, EN LOS DISTS. DE CHACAYAN, VILCABAMBA, GOLLARISQUIZGA Y PAUCAR PROV. DE DANIEL ALCIDES CARRION, EN LOS DISTS  POZUZO, CHONTABAMBA, PROV. OXAPAMPA</t>
  </si>
  <si>
    <t>AS-SM-2-2020-G.R.P/SERVICIOS-2</t>
  </si>
  <si>
    <t>CONTRATACIÓN DE SERVICIO DE CONSULTORÍA PARA LA ELABORACIÓN DE ESTUDIO DE PRE INVERSIÓN ¿CREACIÓN DE PISTAS Y VEREDAS PARA EL SERVICIO DE TRANSITABILIDAD VEHICULAR Y PEATONAL EN LA ZONA URBANA DEL DISTRITO DE PUERTO BERMÚDEZ, PROVINCIA DE OXAPAMPA, DEPARTAMENTO DE PASCO</t>
  </si>
  <si>
    <t>AS-SM-5-2020-GRP/SERV CONSUL-2</t>
  </si>
  <si>
    <t>120,000.00</t>
  </si>
  <si>
    <t>CONTRTADO</t>
  </si>
  <si>
    <t>SERVICIO DE CONSULTORIA PARA LA ELABORACIÓN EL ESTUDIO DE PRE INVERSIÓN CREACIÓN DEL SERVICIO DE AGUA PARA RIEGO EN LA LOCALIDAD DE TAYAPAMPA DEL DISTRITO DE PAUCARTAMBO PROVINCIA DE PASCO DEPATAMENTO DE PASCO</t>
  </si>
  <si>
    <t>AS-SM-8-2020-GRP/SERV CONSUL-1</t>
  </si>
  <si>
    <t>98,000.00</t>
  </si>
  <si>
    <t>CONTRATACIÓN DE SERVICIO DE ESTABILIZACIÓN DE TALUDES CON CONCRETO LANZANDO (SHOTCRETE) DE LA OBRA COMPONENTE 01 AMPLIACIÓN DE LOS SERVICIOS DE SANEAMIENTO Y FORTALECIMIENTO INSTITUCIONAL INTEGRAL DE LA EMAPA PASCO-PROVINCIA DE PASCO-PASCO</t>
  </si>
  <si>
    <t>AS-SM-8-2020-G.R.P/SERVICIOS-1</t>
  </si>
  <si>
    <t>212,796.99</t>
  </si>
  <si>
    <t>CONTRATACION DE  SERVICIO DE CONSULTORIA PARA ESTUDIO DE PRE  INVERSION CREACION DE REPRESAMIENTO DE LA LAGUNA DE LACSACOCHA PARA SISTEMA DE RIEGO POR LAS LOCALIDADES DE RIO COLORADO DISTRITO DE YANAHUANCA  PROVINCIA DE DANIEL ALCIDES CARRION DEPARTAMENTO DE PASCO</t>
  </si>
  <si>
    <t>AS-SM-7-2020-GRP/SERV CONSUL-1</t>
  </si>
  <si>
    <t>CONTRAT. DEL SERVICIO DE CONSUL. PARA LA ELAB. DE ESTUDIO DE PRE INVERSION:"MEJORAMIENTO Y  AMPLIACIÓN DEL SERVICIO DE TRANSITABILIDAD VEHICULAR EN EL CAMINO VECINAL TRAMO CASCAJO RÍO TIGRE CUMBRE SANTILLÁN, DIST. POZUZO-PROV.OXAPAMPAMPA-DPTO PASCO"</t>
  </si>
  <si>
    <t>AS-SM-1-2020-GRP/SERV CONSUL-3</t>
  </si>
  <si>
    <t>74,084.96</t>
  </si>
  <si>
    <t>CONTRATACIÓN DE SERVICIO DE ALQUILER DE MAQUINAS (EXCAVADORA, CARGADOR FRONTAL, VOLQUETES, MOTONIVELADORA) PARA ATENCIÓN DE LA TRANSITABILIDAD DE LA VIA CHAUPILLOCLLA DEL CENTRO POBLADO DE LUCMA TRAMO LA DIECINUEVE KM 01+200 AL 1+700 KM DISTRITO DE HUACHON PROVINCIA PASCO REGIÓN PASCO</t>
  </si>
  <si>
    <t>AS-SM-4-2020-G.R.P/SERVICIOS-1</t>
  </si>
  <si>
    <t>145,460.00</t>
  </si>
  <si>
    <t>SERVICIO DE INSTALACIÓN Y ENTREGA DE DOSCIENTOS VEINTISIETE (227) MÓDULOS TEMPORALES DE VIVIENDA DISTS DE HUAYLLAY, TICLACAYÁN, PALLANCHACRA PROV. DE PASCO, EN LOS DISTS DE CHACAYÁN, VILCABAMBA, GOLLARISQUIZGA Y PAUCAR PROV. DANIEL ALCIDES CARRIÓN, DISTS. DE POZUZO, CHONTABAMBA, PROV. DE OXAPAMPA.</t>
  </si>
  <si>
    <t>AS-SM-3-2020-G.R.P/SERVICIOS-1</t>
  </si>
  <si>
    <t>ELABORACIÓN DE LA DECLARACIÓN DE IMPACTO AMBIENTAL (DIA): ¿MEJORAMIENTO DE LA CARRETERA DPTAL: EMP. PE-18 (DV. UCHUMARCA)-GOLAC MAJADA-POCCO-UCHUMARCA-GORINA ALTA-HUANGUR-YURAC HUANCA-QUIULACOCHA-CERRO DE PASCO-EMP. PE 3N-(DV. CERRO DE PASCO), PROVINCIAS DANIEL ALCIDES CARRION Y PASCO, DPTO PASCO¿.</t>
  </si>
  <si>
    <t>AS-SM-6-2020-GRP/SERV CONSUL-1</t>
  </si>
  <si>
    <t>243,202.32</t>
  </si>
  <si>
    <t>AS-SM-1-2020-GRP/SERV CONSUL-2</t>
  </si>
  <si>
    <t>CONTRATACIÓN DE  SERVICIO DE CONSULTORÍA PARA LA ELABORACIÓN DEL ESTUDIO DE PRE  INVERSIÓN. "MEJORAMIENTO DEL SISTEMA DE AGUA POTABLE ALCANTARILLADO Y TRATAMIENTO DE AGUAS RESIDUALES EN EL DISTRITO DE VILCABAMBA-PROVINCIA DE DANIEL ALCIDES CARRION-DEPARTAMENTO DE PASCO</t>
  </si>
  <si>
    <t>AS-SM-2-2020-GRP/SERV CONSUL-2</t>
  </si>
  <si>
    <t>60,000.00</t>
  </si>
  <si>
    <t>CONTRATACION DE  SERVICIO DE CONSULTORIA PARA ESTUDIO DE PRE  INVERSION MEJORAMIENTO Y AMPLIACION DEL SERVICIO DE FORMACION POLICIAL SFP EN LA ESCUELA TECNICO SUPERIOR DE PASCO DISTRITO DE PAUCARTAMBO PROVINCIA DE PASCO DEPARTAMENTO PASCO</t>
  </si>
  <si>
    <t>AS-SM-4-2020-GRP/SERV CONSUL-1</t>
  </si>
  <si>
    <t>80,000.00</t>
  </si>
  <si>
    <t>CONTRATACION DE  SERVICIO DE CONSULTORIA PARA ESTUDIO DE PRE  INVERSION CREACION DE PISTAS Y VEREDAS PARA EL SERVICIO DE TRANSITABILIDAD VEHICULAR Y PEATONAL EN LA ZONA URBANA DEL DISTRITO DE PUERTO BERMUDEZ  PROVINCIA DE OXAPAMPA DEPARTAMENTO DE PASCO</t>
  </si>
  <si>
    <t>AS-SM-5-2020-GRP/SERV CONSUL-1</t>
  </si>
  <si>
    <t>AS-SM-2-2020-G.R.P/SERVICIOS-1</t>
  </si>
  <si>
    <t>321,400.00</t>
  </si>
  <si>
    <t>SERVICIO DE INTERNET DEDICADO POR FIBRA ÓPTICA PARA LA SEDE CENTRAL DEL GOBIERNO REGIONAL PASCO</t>
  </si>
  <si>
    <t>AS-SM-1-2020-G.R.P/SERVICIOS-1</t>
  </si>
  <si>
    <t>132,000.00</t>
  </si>
  <si>
    <t>CONTRATACIÓN DE  SERVICIO DE CONSULTORÍA PARA ESTUDIO DE PRE  INVERSION MEJORAMIENTO DEL SISTEMA DE AGUA POTABLE ALCANTARILLADO Y TRATAMIENTO DE AGUAS RESIDUALES EN EL DISTRITO DE VILCABAMBA-PROVINCIA DE DANIEL ALCIDES CARRION-DEPARTAMENTO DE PASCO</t>
  </si>
  <si>
    <t>AS-SM-2-2020-GRP/SERV CONSUL-1</t>
  </si>
  <si>
    <t>CONTRAT. DEL SERVICIO DE CONSUL. PARA LA ELAB. DE ESTUDIO DE PRE INVERSION:"MEJORAMIENTO Y  AMPLIACIÓN DEL SERVICIO DE TRANSITABILIDAD VEHICULAR EN EL CAMINO VECINAL TRAMO CASCAJO RÍO TIGRE CUMBRE SANTILLÁN, DIST. POZUZO-PROV. OXAPAMPAMPA-DPTO PASCO</t>
  </si>
  <si>
    <t>AS-SM-1-2020-GRP/SERV CONSUL-1</t>
  </si>
  <si>
    <t>ELABORACIÓN DE ESTUDIO DE PRE INVERSION CREACION DEL SERVICIO DE TRANSITABILIDAD VEHICULAR EN EL CAMINO VECINAL TRAMOTINGO MAL PASO COCATAMBO QUITASOL CUSHI DISTRITO DE POZUZO PROVINCIA DE OXPAMPA DEPARTAMENTO PASCO</t>
  </si>
  <si>
    <t>AS-SM-2-2019-GRP/SERV CONSUL-3</t>
  </si>
  <si>
    <t>CONTRATACIÓN DEL SERVICIO DE CONSULTORÍA PARA LA ELABORACIÓN DEL ESTUDIO DE PRE INVERSIÓN DEL PROYECTO: ¿CREACIÓN DE REPRESAMIENTO DE LA LAGUNA TUCCAPA PARA SISTEMA DE RIEGO DEL CENTRO POBLADO DE UCHUMARCA DEL DISTRITO DE YANAHUANCA-PROVINCIA DE DANIEL ALCIDES CARRION-DEPARTAMENTO DE PASCO¿.</t>
  </si>
  <si>
    <t>AS-SM-3-2020-GRP/SERV CONSUL-1</t>
  </si>
  <si>
    <t>110,000.00</t>
  </si>
  <si>
    <t>DECSIETO</t>
  </si>
  <si>
    <t>AS-SM-2-2019-GRP/SERV CONSUL-2</t>
  </si>
  <si>
    <t>DECIERTO</t>
  </si>
  <si>
    <t>Supervisión de la Obra: ¿MEJORAMIENTO DE LA COBERTURA DE LOS SERVICIOS DE SALUD DEL HOSPITAL ERNESTO GERMAN GUZMAN GONZALES PROVINCIA DE OXAPAMPA, DEPARTAMENTO DE PASCO, REGION PASCO-- SNIP 268625</t>
  </si>
  <si>
    <t xml:space="preserve">SUPERVISION DE OBRA </t>
  </si>
  <si>
    <t>Supervision de Obra: Construcción y Mejoramiento de la carretera con asfalto, tramo Cerro de Pasco - la Quinua, Distrito de Yanacancha, Provincia de Pasco  Región Pasco</t>
  </si>
  <si>
    <t>Supervisión de Obra: Construcción del sistema de riego en la comunidad de chinche Yanahuanca, distrito de Yanahuanca - Provincia Daniel Carrión - Región Pasco</t>
  </si>
  <si>
    <t>107,508.00</t>
  </si>
  <si>
    <t>Supervisión de la Obra: ¿MEJORAMIENTO DEL ACCESO DE LA POBLACION A LOS SERVICIOS DEL CENTRO DE SALUD FREDY VALLEJO ORE DEL DISTRITO DE YANAHUANCA, PROVINCIA DANIEL ALCIDES CARRION, REGION PASCO¿. REGISTRADO CON CODIGO SNIP 268596</t>
  </si>
  <si>
    <t>3,729,252.00</t>
  </si>
  <si>
    <t>Elaboración de Expediente Técnico de la obra:Instalación del servicio de almacenamiento de agua en las lagunas Huirococha, y Gochuchupan con fines de riego tecnificado de los lugares de sembrío de Seccepata, Antucuy, Yarhuay, Ishac y Santa Cruz, Distrito Paucartambo, Provincia Pasco</t>
  </si>
  <si>
    <t>473,642.00</t>
  </si>
  <si>
    <t>ELABOPRACION DE EXPEDIENTE TECNICO</t>
  </si>
  <si>
    <t>Supervisión de Obra: Mejoramiento y ampliación del servicio de Educación Secundaria de la Insitución Educativa Manuel Gonzales Prada del C. P. Chinche Tingo, Distrito Yanahuanca, Provincia Daniel Alcides Carrión, Región Pasco</t>
  </si>
  <si>
    <t>217,120.00</t>
  </si>
  <si>
    <t>SUPERVISON DE OBRAS</t>
  </si>
  <si>
    <t>Elaboración de expediente técnico del proyecto: Mejoramiento y ampliación del servicio del Instituto de Educación Superior Pedagógico Público Gamaniel Blanco Murillo, Distrito Yanacancha, Provincia y Región Pasco</t>
  </si>
  <si>
    <t>67,894.25</t>
  </si>
  <si>
    <t>ELABORACION DE EXPEDIENTE TECNICO</t>
  </si>
  <si>
    <t>Elaboración de Expediente Técnico del Proyecto: Mejoramiento y ampliación de la presentación del servicio educativo de la Insitución Educativa 31 Nuestra Señora del Cármen con diseño arquitectónico, bioclimáticoen la Urb. San Juan, Distrito Yanacancha, Provincia y Región Pasco</t>
  </si>
  <si>
    <t>383,352.50</t>
  </si>
  <si>
    <t>Supervisión de la Obra: ¿MEJORAMIENTO DE LA CAPACIDAD RESOLUTIVA Y OPERATIVA DEL HOSPITAL ROMÁN EGOAVIL PANDO DEL DISTRITO DE VILLA RICA, PROVINCIA OXAPAMPA¿ CÓDIGO SNIP 95555,</t>
  </si>
  <si>
    <t>4,418,838.88</t>
  </si>
  <si>
    <t>3,738,506.38</t>
  </si>
  <si>
    <t>Elaboración del expediente técnico de proyecto: Instalación y mejoramiento del sistema de agua potable y desague en las juntas vecinales de Nueva Esperanza, San Pedro, Fátima, Vista Alegre, Buenos Aires, Carrión, distrito Yanahuanca, Provincia Daniel Alcides Carrión, Región Pasco.</t>
  </si>
  <si>
    <t>77,000.00</t>
  </si>
  <si>
    <t>Elaboración de Expediente Técnico del proyecto: Construcción e instalación de represa y canal de derivación del sistema de riego en las localidades de Quishuarcancha, Pichuycancha y Naupamarca, Distrito Vilcabamba, Provincia Daniel Alcides Carrión, Región Pasco</t>
  </si>
  <si>
    <t>184,636.00</t>
  </si>
  <si>
    <t>ELABORACION DE XPEDIENTE TECNICO</t>
  </si>
  <si>
    <t>Supervisión Saldo de Obra: Construcción, Instalación y equipamiento a ls I. E. focalizadas del nivel Inicial en el Marco del PELA en EBR ampliación de cobertura de la Red No 2 , Multidistrital,  Region Pasco</t>
  </si>
  <si>
    <t>258,442.04</t>
  </si>
  <si>
    <t>SUPERVISION DE OBRA</t>
  </si>
  <si>
    <t>Supervision de Obra: Construcción y Mejoramiento de puente vehicular Ushun del Centro Poblado Lucma, Distrito de Huachon Provincia Pasco Region Pasco</t>
  </si>
  <si>
    <t>230,701.43</t>
  </si>
  <si>
    <t>Elaboración del expediente técnico de proyecto: Mejora de la calidad de los servicios de atención de los establecimientos de Salud de la Micro Red Ciudad Constitución, Provincia Oxapampa, Región Pasco.</t>
  </si>
  <si>
    <t>132,288.23</t>
  </si>
  <si>
    <t>Supervisión de Obra: Mejoramiento y ampliación del servicio de Educación mediante Módulos de Juegos recreativos y de desarrollo psicomotriz en las I. E. Inicial en la Provincia Pasco y Región Pasco</t>
  </si>
  <si>
    <t>42,049.61</t>
  </si>
  <si>
    <t>Supervisión de Obra: Construcción Camino Vecinal Tomaconga - Sunec, Distrito Ninacaca, Provincia y Región Pasco</t>
  </si>
  <si>
    <t>398,000.00</t>
  </si>
  <si>
    <t>Supervisión de Obra: Ampliación del sistema de riego Algapa - Clusman, Distrito Vilcabamba, Provincia Daniel Alcides Carrión, Región Pasco</t>
  </si>
  <si>
    <t>70,000.00</t>
  </si>
  <si>
    <t>Supervisión de Obra: Ampliación y mejoramiento de los servicios de agua potable y alcantarillado de las zonas urbanas de Churumazu, Distrito Chontabamba, Provincia Oxapampa, Región Pasco</t>
  </si>
  <si>
    <t>123,328.34</t>
  </si>
  <si>
    <t>Elaboración de Expediente Técnico del Proyecto: Mejoramiento y ampliación del servicio educativo de Educación Primaria en la Red Tawarmayo I, Distrito Santa Ana de Tusi, Provincia Daniel Alcides Carrión, Región Pasco</t>
  </si>
  <si>
    <t>255,399.20</t>
  </si>
  <si>
    <t>EXPEDIENTE TECNICO DE OBRA</t>
  </si>
  <si>
    <t>Supervisión de Obra: Mejoramiento y ampliación de los servicios de los CETPROS en distritos Chacayán, Paucar, San Pedro de Pillao, Santa Ana de Tusi, Vilcabamba, Yanahuanca, Provincia Daniel Alcides Carrión, Región Pasco</t>
  </si>
  <si>
    <t>305,894.42</t>
  </si>
  <si>
    <t>Supervisión de Obra: Mejoramiento y ampliación de la capacidad técnica operativa acuícola de la Dirección Regional de Producción Pasco, Provincia y Región Pasco</t>
  </si>
  <si>
    <t>72,465.34</t>
  </si>
  <si>
    <t>Supervisión de Obra: Ampliación de la capacidad de los servicios Educativos de los Laboratorios y Talleres de práctica de las carreras de Enfermeria Tecnica tecnica en Farmacia y Guía oficial de Turismo del Instituto de Educación Superior tecnológico Público Pasco, Distrito Yanacancha, Provincia Región Pasco</t>
  </si>
  <si>
    <t>100,000.00</t>
  </si>
  <si>
    <t>Elaboración de Expediente Técnico del Proyecto: Mejoramiento y ampliación de los servicios de los CETPROs no atendidos en los distritos de Simón Bolívar, Ticlacayán, Ninacaca, Tinyahuarco, Huachón, Huariaca, Yanacancha y Huayllay, Provincia y Región Pasco.</t>
  </si>
  <si>
    <t>249,632.00</t>
  </si>
  <si>
    <t>Elaboración de Expediente Técnico del Proyecto: Mejoramiento y ampliación del sistema de agua y desague de los 5 barrios de la localidad de Cajamarquilla, Distrito Yanacancha, Provincia y Región Pasco</t>
  </si>
  <si>
    <t>296,014.80</t>
  </si>
  <si>
    <t>895,078.34</t>
  </si>
  <si>
    <t>la contratación de consultoría de obra para la REDISEÑO Y ADECUACIÓN A LA NORMA TECNICA DE SALUD  NTS 110  del expediente técnico del proyecto: ¿MEJORA DE LA CAPACIDAD RESOLUTIVA Y OPERATIVA DEL HOSPITAL ROMÁN EGOAVIL PANDO DEL DISTRITO DE VILLA RICA, PROVINCIA OXAPAMPA¿, código PI 95555</t>
  </si>
  <si>
    <t>1,400,000.00</t>
  </si>
  <si>
    <t>EXPEDIENTE TECNICO</t>
  </si>
  <si>
    <t>Elaboración de Expediente Técnico del Proyecto: Mejoramiento y ampliación del servicio de educación secundaria en la I. E. Bernardo Chacón Tello de Astobamba, Distrito Yanahuanca, Provincia Daniel Alcides Carrión, Región Pasco</t>
  </si>
  <si>
    <t>216,913.50</t>
  </si>
  <si>
    <t>Supervisión de Obra:  Construccion del camino rural puente san antonio - san miguel osomayo, Distrito de Pozuso, Provincia Oxapampa, Región Pasco</t>
  </si>
  <si>
    <t>200,000.00</t>
  </si>
  <si>
    <t>Supervision de Obra Mejoramiento de las capacidades resolutivas de los establecimientos de salud de la micro RED huariaca, Distrito de huariaca, Provincia Pasco, Región Pasco</t>
  </si>
  <si>
    <t>139,985.47</t>
  </si>
  <si>
    <t>Supervision de Obra Mejoramiento del servicio administrativo de la sede central del gobierno regional de pasco, Distrito de Yanacancha, Provincia Pasco, Región Pasco</t>
  </si>
  <si>
    <t>175,500.00</t>
  </si>
  <si>
    <t>Supervision de Obra: Contratación por servicio de Mejoramiento de los servicios educativos de la Institucion Educativa Integrada Cesar Vallejo del Distrito de Yanacancha, Provincia de Pasco, Region Pasco.</t>
  </si>
  <si>
    <t>246,417.64</t>
  </si>
  <si>
    <t>Supervisión de Obra: Construcción e Instalación del Servicio de protección contra inundaciones en la localidad de Paucartambo en ambas márgenes del Río Atapallpan tramo local UNDAC y puente La Amistad, Distrito Paucartambo, Provincia y Región Pasco</t>
  </si>
  <si>
    <t>205,560.00</t>
  </si>
  <si>
    <t>ELABORACIÓN DE EXPEDIENTE TÉCNICO DEFINITIVO DEL PROYECTO: "MEJORAMIENTO DEL SERVICIO EDUCATIVO DEL CEBA LIBERTADOR MARISCAL CASTILLA DISTRITO DE OXAPAMPA, PROVINCIA DE OXAPAMPA-REGIÓN PASCO"</t>
  </si>
  <si>
    <t>71,453.72</t>
  </si>
  <si>
    <t>SERVICIO DE CONSULTORÍA DE OBRA PARA OBRA ¿ SUPERVISION DE LA OBRA: ¿MEJORAMIENTO DE LA AVENIDA DE SALIDA DESDE SANTA ISABEL DE PELMAZ ¿PUENTE TUNCHI DISTRITO DE PUERTO BERMUDEZ PROVINCIA DE OXAPAMPA REGIÓN PASCO¿</t>
  </si>
  <si>
    <t>335,433.00</t>
  </si>
  <si>
    <t>ELABORACIÓN DEL EXPEDIENTE TÉCNICO DEFINITIVO DEL PROYECTO: ¿MEJORAMIENTO DEL SERVICIO DE DRENAJE PLUVIAL EN LA ZONA URBANA DEL DISTRITO DE CHAUPIMARCA - PROVINCIA DE PASCO - DEPARTAMENTO DE PASCO¿.</t>
  </si>
  <si>
    <t>MEJORAMIENTO DE SERVICIOS EDUCATIVOS DEL INSTITUTO DE EDUCACIÓN SUPERIOR TECNOLÓGICO PÚBLICO PAUCARTAMBO, DISTRITO PAUCARTAMBO, PROVINCIA Y REGIÓN PASCO</t>
  </si>
  <si>
    <t>76,269.00</t>
  </si>
  <si>
    <t>Supervisión de Obra: Mejoramiento y Ampliación del Servicio Educativo en el Colegio Nacional Agropecuario Integrado 53 San Francisco de Asis, Distrito Oxapampa, Provincia Oxapampa-Pasco" Código SNIP 2234723</t>
  </si>
  <si>
    <t>828,974.82</t>
  </si>
  <si>
    <t>CONSULTORIA DE OBRA PARA LA ELABORACION DE EXPEDIENTE TECNICO DE LA OBRA MEJORAMIENTO DE LA TRANSITABILIDAD VEHICULAR DE LA CARRETERA DEPARTAMENTAL RUTA N PA - 104 DE LA PROGRESIVA 0+000 KM Y LA PROGRESIVA 41+736.77 KM DISTRITOS DE YANACANCHA, SANTA ANA DE TUSI, YARUSYACAN, PALLANCHACRA, PROVINCIA</t>
  </si>
  <si>
    <t>CONSULTORIA DE OBRA PARA LA SUPERVISIÓN DEL PROYECTO MEJORAMIENTO Y AMPLIACION DE LA CAPACIDAD RESOLUTIVA DEL LOS SERVICIOS DE SALUD DEL HOSPITAL REGIONAL DANIEL A. CARRION , DISTRITO DE YANACANCHA, PROVINCIA DE PASCO, REGION PASCO</t>
  </si>
  <si>
    <t>90,000.00</t>
  </si>
  <si>
    <t>Supervisión de la obra Mejoramiento de las capacidades resolutivas de los establecimientos de salud de la Microred Huariaca - Pasco - Pasco</t>
  </si>
  <si>
    <t>Supervisión de la obra Mejoramiento de la carretera Yanahuanca - Cerro de Pasco</t>
  </si>
  <si>
    <t>398,180.16</t>
  </si>
  <si>
    <t xml:space="preserve">PLIEGO: 456 - GOBIERNO REGIONAL DE PASCO </t>
  </si>
  <si>
    <t>SALDO 2019 (*)</t>
  </si>
  <si>
    <t>SALDO 2020 (**)</t>
  </si>
  <si>
    <t>BANCO DE LA NACION</t>
  </si>
  <si>
    <t>00-501-019585</t>
  </si>
  <si>
    <t>SOLES S/.</t>
  </si>
  <si>
    <t xml:space="preserve">       - SUB CUENTA - FONDO PARA LA CONTINUIDAD DE LAS   INVERSIONES (RO)</t>
  </si>
  <si>
    <t xml:space="preserve">     -SUB CUENTA - FIDEICOMISO REGIONAL</t>
  </si>
  <si>
    <t xml:space="preserve">       -SUB CUENTA - DU. 051-2020-MEDIDAS EXTRAORDINARIAS Y TEMPORALES-COVID-19-RO</t>
  </si>
  <si>
    <t xml:space="preserve">       -CONTINUIDAD DE INVERSIONES GOB. LOCALES Y OTROS</t>
  </si>
  <si>
    <t xml:space="preserve">      OFICIALES DE CRED. EXTERNO</t>
  </si>
  <si>
    <t xml:space="preserve">       -SUB CUENTA - FONDO PARA PIP EN MATERIA DE AGUA, SANEAMIENTO Y SALUD</t>
  </si>
  <si>
    <t xml:space="preserve">      -SUB CUENTA - FDO. INTERV. ANTE LA OCURRENCIA DE DESASTRES NATURALES (ROOC)</t>
  </si>
  <si>
    <t xml:space="preserve">      -SUBCUENTA - CONTINUIDAD DE INVERSIONES (ROOC)</t>
  </si>
  <si>
    <t xml:space="preserve">      -SUB CUENTA -BONOS-TRASPASO DE RECURSOS</t>
  </si>
  <si>
    <t xml:space="preserve">      -SUB CUENTA - ENDEUDAMIENTO- BONOS</t>
  </si>
  <si>
    <t xml:space="preserve">      -SUB CUENTA - DESEMBOLSOS BID (PARA PROYECTOS)</t>
  </si>
  <si>
    <t xml:space="preserve">BANCO DE LA NACION </t>
  </si>
  <si>
    <t xml:space="preserve">       -SUBCUENTA - DONACIONES - DE PERSONAS Y EMPRESAS NACIONALES</t>
  </si>
  <si>
    <t xml:space="preserve">       -SUBCUENTA - TRANSFERENCIAS FINANCIERAS</t>
  </si>
  <si>
    <t xml:space="preserve">      -SUBCUENTA- TRANSFERENCIAS DE ENTIDADES DE GN A GR</t>
  </si>
  <si>
    <t xml:space="preserve">      -SUB CUENTA - PARTICIPACIONES - BOI</t>
  </si>
  <si>
    <t xml:space="preserve">     -SUB CUENTA - PARTICIPACIONES FONDO 'MI RIEGO'</t>
  </si>
  <si>
    <t xml:space="preserve">     -SUB CUENTA - PARTICIPACIONES FED</t>
  </si>
  <si>
    <t xml:space="preserve">     -SUB CUENTA - PARTICIPACIONES - FIDT</t>
  </si>
  <si>
    <t xml:space="preserve">     -SUB CUENTA - CANON MINERO</t>
  </si>
  <si>
    <t xml:space="preserve">     -SUB CUENTA - CANON HIDROENERGETICO</t>
  </si>
  <si>
    <t xml:space="preserve">     -SUB CUENTA - CANON FORESTAL</t>
  </si>
  <si>
    <t xml:space="preserve">     -SUB CUENTA - REGALIAS MINERAS</t>
  </si>
  <si>
    <t>002-1460</t>
  </si>
  <si>
    <t>SOLES</t>
  </si>
  <si>
    <t>-</t>
  </si>
  <si>
    <t>1. CANON MINERO "H"</t>
  </si>
  <si>
    <t>2. CANON PESQUERO "I"</t>
  </si>
  <si>
    <t>GOB. REGIONAL DE PASCO: UE 887 TRANSPORTES PASCO</t>
  </si>
  <si>
    <t>00501019577</t>
  </si>
  <si>
    <t>a) D.S. 195-2001-EF</t>
  </si>
  <si>
    <t>00501012920</t>
  </si>
  <si>
    <t>00501023590</t>
  </si>
  <si>
    <t>00-471-002798</t>
  </si>
  <si>
    <t>RDS  D.S. 195-2001-EF</t>
  </si>
  <si>
    <t>00-471-001759</t>
  </si>
  <si>
    <t>00-471-001856</t>
  </si>
  <si>
    <t>3. DONACIONES Y TRANSFERENCIAS</t>
  </si>
  <si>
    <t>a) TRANSFERENCIA</t>
  </si>
  <si>
    <t>00-471-001821</t>
  </si>
  <si>
    <t>4. RECURSOS DETERMINADOS</t>
  </si>
  <si>
    <t xml:space="preserve">      CANON MINERO  18 "2"</t>
  </si>
  <si>
    <t>00-471-003808</t>
  </si>
  <si>
    <t xml:space="preserve">       CANON - FONDO DE GARANTIA</t>
  </si>
  <si>
    <t>00-471-009768</t>
  </si>
  <si>
    <t xml:space="preserve">UE: 300 EDUCACIÓN OXAPAMPA </t>
  </si>
  <si>
    <t>SECTOR o GOB. REGIONAL: 302 EDUCACIÓN DANIEL ALCIDES CARRIÓN</t>
  </si>
  <si>
    <t>501020044</t>
  </si>
  <si>
    <t>CUT</t>
  </si>
  <si>
    <t>SECTOR o GOB. REGIONAL: REGION PASCO SALUD UTES OXAPAMPA</t>
  </si>
  <si>
    <t>REGION PASCO-SALUD UTES OXAPAMPA</t>
  </si>
  <si>
    <t>0470012749</t>
  </si>
  <si>
    <t>SOL</t>
  </si>
  <si>
    <t>2013</t>
  </si>
  <si>
    <t>2020</t>
  </si>
  <si>
    <t>2017</t>
  </si>
  <si>
    <t>2015</t>
  </si>
  <si>
    <t>00889</t>
  </si>
  <si>
    <t>00-0501-019534</t>
  </si>
  <si>
    <t>00-0501-012882</t>
  </si>
  <si>
    <t>ENERO - 2013</t>
  </si>
  <si>
    <t>1,186,494.81</t>
  </si>
  <si>
    <t>378,684.10</t>
  </si>
  <si>
    <t>00-0501-012955</t>
  </si>
  <si>
    <t>JUNIO  - 2020</t>
  </si>
  <si>
    <t>0</t>
  </si>
  <si>
    <t>194,401.20</t>
  </si>
  <si>
    <t>2,343,987.07</t>
  </si>
  <si>
    <t>3,537,533.87</t>
  </si>
  <si>
    <t>ENERO - 2015</t>
  </si>
  <si>
    <t>562,061.34</t>
  </si>
  <si>
    <t>236.825.11</t>
  </si>
  <si>
    <t xml:space="preserve">UE: 400 - SALUD PASCO </t>
  </si>
  <si>
    <t>0885</t>
  </si>
  <si>
    <t>RECURSOS ORDINARIOS</t>
  </si>
  <si>
    <t>ASISTENTE EN SERVICIOS DE COMIUNICACION II</t>
  </si>
  <si>
    <t>45617171</t>
  </si>
  <si>
    <t>ACUÑA AGUILAR, GRIMALDO RAUL</t>
  </si>
  <si>
    <t>COORDINADOR DEL MODULO DE OPERACIONES</t>
  </si>
  <si>
    <t>72870814</t>
  </si>
  <si>
    <t>AGUILAR QUINTO ATENAS YAJAYRA</t>
  </si>
  <si>
    <t>ASISTENTE ADMINISTRATIVO III</t>
  </si>
  <si>
    <t>41304711</t>
  </si>
  <si>
    <t>ALCANTARA DAGA, MARLENE</t>
  </si>
  <si>
    <t>OPERADOR PAD II</t>
  </si>
  <si>
    <t>44938990</t>
  </si>
  <si>
    <t>ALEJANDRO CHAVEZ, GERSON FRAY</t>
  </si>
  <si>
    <t>SUB GERENTE DE ASUNTOS ANDINOS Y AMAZONICOS</t>
  </si>
  <si>
    <t>22530044</t>
  </si>
  <si>
    <t>ALVA LEANDRO, JUAN JOSE</t>
  </si>
  <si>
    <t>EVALUADOR DEL COER</t>
  </si>
  <si>
    <t>47549983</t>
  </si>
  <si>
    <t>ALVINO GRADOS JESUS ALBERTO</t>
  </si>
  <si>
    <t>JEFE DE ALMACEN</t>
  </si>
  <si>
    <t>10670083</t>
  </si>
  <si>
    <t>AMARO PEÑA, OLIVER MARCIAL</t>
  </si>
  <si>
    <t>SECRETARIA IV</t>
  </si>
  <si>
    <t>71431390</t>
  </si>
  <si>
    <t>ANDRADE CRISTOBAL, YOSELINN MYLENA</t>
  </si>
  <si>
    <t>DIRECTOR DE PROGRAMA SECTORIAL I</t>
  </si>
  <si>
    <t>41807624</t>
  </si>
  <si>
    <t>ANGEL NIÑO, LINDER PERCY</t>
  </si>
  <si>
    <t>MONITOR MODULO DE OPERACIONES</t>
  </si>
  <si>
    <t>41220616</t>
  </si>
  <si>
    <t>APAZA PEÑA TANIA KETTY</t>
  </si>
  <si>
    <t>ESPECIALISTA ADMINISTRATIVO I (PSICOLOGIA EDUCATIVA)</t>
  </si>
  <si>
    <t>71464634</t>
  </si>
  <si>
    <t>AQUINO DE LA CRUZ, JHOSELINE MILAGROS</t>
  </si>
  <si>
    <t>ECONOMISTA IV</t>
  </si>
  <si>
    <t>40355964</t>
  </si>
  <si>
    <t>ASCANOA TORRES, ELIZABETH SILVIA</t>
  </si>
  <si>
    <t>PSICOLOGO</t>
  </si>
  <si>
    <t>45333117</t>
  </si>
  <si>
    <t>ASTUVILCA MATEO, ROSA VERONICA</t>
  </si>
  <si>
    <t>ESPECIALISTA EN CAPACITACION IV</t>
  </si>
  <si>
    <t>80660569</t>
  </si>
  <si>
    <t>ATENCIO CALZADA LEONARDO SALVATORY</t>
  </si>
  <si>
    <t>INSTRUCTOR DE TRABAJO II</t>
  </si>
  <si>
    <t>42625593</t>
  </si>
  <si>
    <t>ATENCIO CONDOR, WALTER FREDY</t>
  </si>
  <si>
    <t>SECRETARIA II</t>
  </si>
  <si>
    <t>47804024</t>
  </si>
  <si>
    <t>AVELINO CHAMORRO, SUSAN ABIGAIL</t>
  </si>
  <si>
    <t>AUDITOR III</t>
  </si>
  <si>
    <t>71605402</t>
  </si>
  <si>
    <t>AYALA CRISTOBAL, PATRICIA MELODY</t>
  </si>
  <si>
    <t>ASISTENTE ADMINISTRATIVO</t>
  </si>
  <si>
    <t>71469917</t>
  </si>
  <si>
    <t>BARRETO RAMOS, ISABEL DAYSI</t>
  </si>
  <si>
    <t>42722564</t>
  </si>
  <si>
    <t>BRAVO PONCE, ZENITH GIOVANNA</t>
  </si>
  <si>
    <t>AUXILIAR DE FORMACION DEL NIÑO III</t>
  </si>
  <si>
    <t>15580564</t>
  </si>
  <si>
    <t>BUSTAMANTE TIBURCIO, EMILIANA MALY</t>
  </si>
  <si>
    <t>42738925</t>
  </si>
  <si>
    <t>CABELLO PEREZ, EVELYN WENDY</t>
  </si>
  <si>
    <t>MECANICO I</t>
  </si>
  <si>
    <t>40611710</t>
  </si>
  <si>
    <t>CABELLO ROBLES, HOOVER ANIBAL</t>
  </si>
  <si>
    <t>46270279</t>
  </si>
  <si>
    <t>CABELLO VICENTE, YUDY NELVA</t>
  </si>
  <si>
    <t>43312974</t>
  </si>
  <si>
    <t>CAMPOS MARCOS DEBURA</t>
  </si>
  <si>
    <t>73698174</t>
  </si>
  <si>
    <t>CARHUACHIN LUIS, NANCY</t>
  </si>
  <si>
    <t>TECNICO ADMINISTRATIVO III</t>
  </si>
  <si>
    <t>40641525</t>
  </si>
  <si>
    <t>CARHUAMACA TOLENTINO, ELENA</t>
  </si>
  <si>
    <t>AUXILIAR EN SISTEMA BRAILE / OREDIS</t>
  </si>
  <si>
    <t>41516355</t>
  </si>
  <si>
    <t>CARLOS PRUDENCIO, REY JUAN</t>
  </si>
  <si>
    <t>71796435</t>
  </si>
  <si>
    <t>CASAS MUCHA, GLORIA PASCUALA</t>
  </si>
  <si>
    <t>04078967</t>
  </si>
  <si>
    <t>CHACON HUAMAN, VILMA</t>
  </si>
  <si>
    <t>AUXILIAR DE SISTEMA ADMINISTRATIVO II - MASOTERAPIA</t>
  </si>
  <si>
    <t>41476622</t>
  </si>
  <si>
    <t>CHAMORRO JORGE, ZILA RUT</t>
  </si>
  <si>
    <t>TECNICO ADMINISTRATIVO II</t>
  </si>
  <si>
    <t>47086296</t>
  </si>
  <si>
    <t>CHAMORRO ROQUE, MIRIAM LILIANA</t>
  </si>
  <si>
    <t>INGENIERO I</t>
  </si>
  <si>
    <t>72076085</t>
  </si>
  <si>
    <t>CHAVEZ MOLINA, JHANN WILLIAM</t>
  </si>
  <si>
    <t>10684871</t>
  </si>
  <si>
    <t>COLQUI CABELLO NEON CESAR</t>
  </si>
  <si>
    <t>RELACIONISTA PUBLICO III</t>
  </si>
  <si>
    <t>41427300</t>
  </si>
  <si>
    <t>COLQUI QUIROZ, ZOILA LUZ</t>
  </si>
  <si>
    <t>TRABAJADOR DE SERVICIOS III - VIGILANCIA</t>
  </si>
  <si>
    <t>19830372</t>
  </si>
  <si>
    <t>CONDOR MATIAS MOISES ADRIAN</t>
  </si>
  <si>
    <t>AUDITOR I</t>
  </si>
  <si>
    <t>70890921</t>
  </si>
  <si>
    <t>CORDERO TOMAS, ANDREA</t>
  </si>
  <si>
    <t>CHOFER II</t>
  </si>
  <si>
    <t>04021838</t>
  </si>
  <si>
    <t>CRUZ CURI, JESUS GLICERIO</t>
  </si>
  <si>
    <t>80489531</t>
  </si>
  <si>
    <t>CUENCA CRISTOBAL, JEANET</t>
  </si>
  <si>
    <t>AUXILIAR COACTIVO I</t>
  </si>
  <si>
    <t>71213110</t>
  </si>
  <si>
    <t>DAGA TORRES, RUDYTH KARINA</t>
  </si>
  <si>
    <t>04020974</t>
  </si>
  <si>
    <t>DE LA CRUZ DE GUTIERREZ, MARIA ELENA</t>
  </si>
  <si>
    <t>70248347</t>
  </si>
  <si>
    <t>DELGADO ESPINOZA, GLADYS MIRIAM</t>
  </si>
  <si>
    <t>TECNICO CONTABLE</t>
  </si>
  <si>
    <t>42550186</t>
  </si>
  <si>
    <t>DIAZ LLIHUA, ANGEL JHON</t>
  </si>
  <si>
    <t>ASISTENTE ADMINISTRATIVO / OREDIS</t>
  </si>
  <si>
    <t>04005821</t>
  </si>
  <si>
    <t>DIEGO RAMOS, PABLO</t>
  </si>
  <si>
    <t>CHOFER IV / SEGURIDAD</t>
  </si>
  <si>
    <t>44778833</t>
  </si>
  <si>
    <t>DURAND LOPEZ, MOISES</t>
  </si>
  <si>
    <t>SECRETARIO TECNICO</t>
  </si>
  <si>
    <t>04054205</t>
  </si>
  <si>
    <t>ENCARNACION MORI, JAIME GROVER</t>
  </si>
  <si>
    <t>SUB DIRECTOR DE PROGRAMA SECTORIAL II - OXAPAMPA</t>
  </si>
  <si>
    <t>41205298</t>
  </si>
  <si>
    <t>ESCOBAR SARMIENTO, ERIK</t>
  </si>
  <si>
    <t>70976835</t>
  </si>
  <si>
    <t>ESPAÑA CHAMORRO JUDITH KARINA</t>
  </si>
  <si>
    <t>44112943</t>
  </si>
  <si>
    <t>ESPINOZA CRISOSTOMO, DELINDA YOLANDA</t>
  </si>
  <si>
    <t>JEFE DE SERVICIOS AUXILIARES</t>
  </si>
  <si>
    <t>43859433</t>
  </si>
  <si>
    <t>ESTRELLA COTRINA, JACQUELIN KENNEDY</t>
  </si>
  <si>
    <t>AUXILIAR DE SISTEMA ADMINISTRATIVO II</t>
  </si>
  <si>
    <t>42759938</t>
  </si>
  <si>
    <t>GONZALES BONIFACIO, JUAN ANTONIO</t>
  </si>
  <si>
    <t>INGENIERO IV</t>
  </si>
  <si>
    <t>41064824</t>
  </si>
  <si>
    <t>GUERE RIVERA, MAX PETER</t>
  </si>
  <si>
    <t>04080680</t>
  </si>
  <si>
    <t>GUTARRA VACAS, ANGEL ROSENDO</t>
  </si>
  <si>
    <t>ABOGADO III</t>
  </si>
  <si>
    <t>42993937</t>
  </si>
  <si>
    <t>GUZMAN TORIBIO, EDITH</t>
  </si>
  <si>
    <t>COORDINADOR DEL MODULO DE MONITOREO Y ANALISIS</t>
  </si>
  <si>
    <t>04086089</t>
  </si>
  <si>
    <t>HUAMAN ANTICONA ANTONIO</t>
  </si>
  <si>
    <t>TECNICO EN TURISMO IV</t>
  </si>
  <si>
    <t>47305374</t>
  </si>
  <si>
    <t>HUAMAN DE LA MATTA, TESSY LOREN</t>
  </si>
  <si>
    <t>DIRECTOR DE PROMOCION DEL EMPLEO Y CAPACITACION LABORAL</t>
  </si>
  <si>
    <t>41253763</t>
  </si>
  <si>
    <t>HUAMAN GAVINO, PERCY RICHARD</t>
  </si>
  <si>
    <t>TECNICO ADMINISTRATIVO IV</t>
  </si>
  <si>
    <t>45482002</t>
  </si>
  <si>
    <t>HUARICAPCHA HUAMALI, SILVIA GABY</t>
  </si>
  <si>
    <t>DIRECTOR DE SISTEMA ADMINISTRATIVO I</t>
  </si>
  <si>
    <t>43595626</t>
  </si>
  <si>
    <t>HUAYLLACAYAN SALAZAR, SILVIA</t>
  </si>
  <si>
    <t>ESPECIALISTA EN TURISMO II</t>
  </si>
  <si>
    <t>43793177</t>
  </si>
  <si>
    <t>HUAYNATE DELGADO, PRISS EMA</t>
  </si>
  <si>
    <t>MADRE SUSTITUTA</t>
  </si>
  <si>
    <t>04065621</t>
  </si>
  <si>
    <t>INCHE AQUINO, MARISOL DORIS</t>
  </si>
  <si>
    <t>JEFE DE ADQUISICIONES</t>
  </si>
  <si>
    <t>04067997</t>
  </si>
  <si>
    <t>INCHE USCUCHAGUA, JOEL WALTER</t>
  </si>
  <si>
    <t>43753184</t>
  </si>
  <si>
    <t>INOCENTE AYALA, JOSE RAMIRO</t>
  </si>
  <si>
    <t>AUXILIAR ADMINISTRATIVO</t>
  </si>
  <si>
    <t>71208165</t>
  </si>
  <si>
    <t>JACAY VICENTE, JESSICA PAOLA</t>
  </si>
  <si>
    <t>ESPECIALISTA EN FINANZAS IV</t>
  </si>
  <si>
    <t>44206102</t>
  </si>
  <si>
    <t>JANAMPA CANCHARI, JOEL ENRIQUE</t>
  </si>
  <si>
    <t>ASESOR II</t>
  </si>
  <si>
    <t>20430888</t>
  </si>
  <si>
    <t>JULCAPOMA GALARZA, VICTOR IRINEO</t>
  </si>
  <si>
    <t>46947943</t>
  </si>
  <si>
    <t>LAZARO MENDOZA, MARCELINA INES</t>
  </si>
  <si>
    <t>77379973</t>
  </si>
  <si>
    <t>LEON HUAMALI, JOSE DANIEL</t>
  </si>
  <si>
    <t>INGENIERO III</t>
  </si>
  <si>
    <t>20724083</t>
  </si>
  <si>
    <t>LIMA TORRES, MARINO</t>
  </si>
  <si>
    <t>46511801</t>
  </si>
  <si>
    <t>LOPEZ HUAYLLACAYAN, DAVID DALI</t>
  </si>
  <si>
    <t>AUXILIAR DE SISTEMA ADMINISTRATIVO II - SISTEMA BRAILE</t>
  </si>
  <si>
    <t>20646287</t>
  </si>
  <si>
    <t>LOPEZ MONTALVO, ISAAC MARINO</t>
  </si>
  <si>
    <t>41822786</t>
  </si>
  <si>
    <t>LOPEZ PEÑALOZA, AMY DAYSI</t>
  </si>
  <si>
    <t>43909223</t>
  </si>
  <si>
    <t>LOPEZ RODRIGUEZ, KANDIDA MILAGROS</t>
  </si>
  <si>
    <t>04084578</t>
  </si>
  <si>
    <t>LUIS SANCHEZ, ABEL NICOLAS</t>
  </si>
  <si>
    <t>TECNICO ADMINISTRATIVO I</t>
  </si>
  <si>
    <t>41074688</t>
  </si>
  <si>
    <t>MALPARTIDA CHAVEZ, ALFIO GODOFREDO</t>
  </si>
  <si>
    <t>ESPECIALISTA ADMINISTRATIVO II</t>
  </si>
  <si>
    <t>70339979</t>
  </si>
  <si>
    <t>MALPARTIDA PALOMINO, JHANDIRY ISABETH</t>
  </si>
  <si>
    <t>41490988</t>
  </si>
  <si>
    <t>MALQUI ORTEGA, JANETH KARINA</t>
  </si>
  <si>
    <t>41120780</t>
  </si>
  <si>
    <t>MANDUJANO VILLANUEVA, MARITZA</t>
  </si>
  <si>
    <t>46984346</t>
  </si>
  <si>
    <t>MARCELO LOPEZ, JHENNY</t>
  </si>
  <si>
    <t>TRABAJADOR DE SERVICIOS III  - VILLA DE PASCO</t>
  </si>
  <si>
    <t>04030806</t>
  </si>
  <si>
    <t>MARCELO VARGAS WALTER JAIME</t>
  </si>
  <si>
    <t>ASISTENTE EN AUDITORIA</t>
  </si>
  <si>
    <t>70754309</t>
  </si>
  <si>
    <t>MARCELO VILLANUEVA, ANTHONNY JESUS</t>
  </si>
  <si>
    <t>SECRETAIRIA IV</t>
  </si>
  <si>
    <t>04086609</t>
  </si>
  <si>
    <t>MARIÑO GUILLERMO, MARIA SALOME</t>
  </si>
  <si>
    <t>OPERADOR CENTRAL TELEFONICA / OREDIS</t>
  </si>
  <si>
    <t>04066639</t>
  </si>
  <si>
    <t>MASGO TORRES, GILBERT ANTONIO</t>
  </si>
  <si>
    <t>EJECUTOR COACTIVO</t>
  </si>
  <si>
    <t>04221972</t>
  </si>
  <si>
    <t>MATEO MORALES, MIGUEL MEJIA</t>
  </si>
  <si>
    <t>70424808</t>
  </si>
  <si>
    <t>MAURICIO CRISTOBAL, SHEYLLA MARIA</t>
  </si>
  <si>
    <t>41977263</t>
  </si>
  <si>
    <t>MAYTA ROBLES, LILIANA ROCIO</t>
  </si>
  <si>
    <t>AUXILIAR ADMINISTRATIVO II</t>
  </si>
  <si>
    <t>47984498</t>
  </si>
  <si>
    <t>MEJIA CELIS, DIANA CAROLINA</t>
  </si>
  <si>
    <t>ASISTENTE EN SERVICIOS ECONOMICOS Y FINANCIEROS II</t>
  </si>
  <si>
    <t>40575288</t>
  </si>
  <si>
    <t>MELGAREJO PALMA, NORA</t>
  </si>
  <si>
    <t>ESPECIALISTA ADMINISTRATIVO IV</t>
  </si>
  <si>
    <t>45904476</t>
  </si>
  <si>
    <t>MENDOZA FABIAN, SILVIA LUCIA</t>
  </si>
  <si>
    <t>AUDITOR IV</t>
  </si>
  <si>
    <t>44744346</t>
  </si>
  <si>
    <t>MEZA CHUQUIHUARACA, LIZBETH DEISY</t>
  </si>
  <si>
    <t>CHOFER IV</t>
  </si>
  <si>
    <t>45591951</t>
  </si>
  <si>
    <t>MEZA ESCANDON, RUSSBELL</t>
  </si>
  <si>
    <t>04064584</t>
  </si>
  <si>
    <t>MIRANDA CAMARENA, GLORIA</t>
  </si>
  <si>
    <t>43359771</t>
  </si>
  <si>
    <t>MORALES JIMENES, MARIBEL MARGARITA</t>
  </si>
  <si>
    <t>TRABAJADOR DE SERVICIOS II - LIMPIEZA</t>
  </si>
  <si>
    <t>80202104</t>
  </si>
  <si>
    <t>MORALES SOLORZANO ESTELA</t>
  </si>
  <si>
    <t>TECNICO EN PROMOCION SOCIAL IV</t>
  </si>
  <si>
    <t>04074034</t>
  </si>
  <si>
    <t>MOSCOSO MENDOZA, YESENIA</t>
  </si>
  <si>
    <t>44280229</t>
  </si>
  <si>
    <t>MUCHA DE LA CRUZ, KRISTEL YOMARA</t>
  </si>
  <si>
    <t>47521231</t>
  </si>
  <si>
    <t>MULATO ROQUE, TANIA MIRELLA</t>
  </si>
  <si>
    <t>TECNICO EN PESQUERIA II</t>
  </si>
  <si>
    <t>04078622</t>
  </si>
  <si>
    <t>MUNGUIA ALVAREZ, ELIZABETH MARLENE</t>
  </si>
  <si>
    <t>ENCARGADO DEL MODULO DE COMUNICACIONES</t>
  </si>
  <si>
    <t>72963617</t>
  </si>
  <si>
    <t>OLIVAS CONDOR ROSMERY LUZ</t>
  </si>
  <si>
    <t>ASISTENTE ADMINISTRATIVO II / OREDIS</t>
  </si>
  <si>
    <t>42903599</t>
  </si>
  <si>
    <t>ORBEZO CALDERON, KARINA CINTHYA</t>
  </si>
  <si>
    <t>43318042</t>
  </si>
  <si>
    <t>ORTEGA JARA, VANESSA ELEUTERIA</t>
  </si>
  <si>
    <t>72386600</t>
  </si>
  <si>
    <t>ORTEGA VIZCARRA, DIANA CAROLINA</t>
  </si>
  <si>
    <t>44876221</t>
  </si>
  <si>
    <t>ORTIZ CAMPOS, JANETH PILAR</t>
  </si>
  <si>
    <t>AUXILIAR</t>
  </si>
  <si>
    <t>41465901</t>
  </si>
  <si>
    <t>PALACIOS VARGAS, DINA CONSUELO</t>
  </si>
  <si>
    <t>71775105</t>
  </si>
  <si>
    <t>PALOMINO CALZADA, MAYUMI JULIA</t>
  </si>
  <si>
    <t>45251203</t>
  </si>
  <si>
    <t>PARDAVE ALTAMIZA, VERONICA KIMBERLY</t>
  </si>
  <si>
    <t>04067178</t>
  </si>
  <si>
    <t>PAUCAR MENDOZA, ADAM MOISES</t>
  </si>
  <si>
    <t>40938395</t>
  </si>
  <si>
    <t>PEÑA CORDERO, LUCILA</t>
  </si>
  <si>
    <t>73786805</t>
  </si>
  <si>
    <t>PICOY ALMERCO LIDIA ESTHEFANY</t>
  </si>
  <si>
    <t>JEFE DE LA UNIDAD DE PROCESOS</t>
  </si>
  <si>
    <t>41075410</t>
  </si>
  <si>
    <t>PINTO ESPINOZA, HECTOR RAUL</t>
  </si>
  <si>
    <t>ASISTENTE LEGAL I</t>
  </si>
  <si>
    <t>04016693</t>
  </si>
  <si>
    <t>POLO JIMENEZ, IRMAR</t>
  </si>
  <si>
    <t>DIRECTOR DE LA ALDEA INFANTIL "SAN NICOLAS"</t>
  </si>
  <si>
    <t>04018078</t>
  </si>
  <si>
    <t>POLO JIMENEZ, RAUL ALICIO</t>
  </si>
  <si>
    <t>TRABAJADORA DE SERVICIOS II - LIMPIEZA</t>
  </si>
  <si>
    <t>04003857</t>
  </si>
  <si>
    <t>POLO NAJERA, LEONISA</t>
  </si>
  <si>
    <t>DIRECTOR DE INSPECCION LABORAL Y DEFENSA LEGAL GRATUITA</t>
  </si>
  <si>
    <t>41359783</t>
  </si>
  <si>
    <t>PRUDENCIO ACOSTA, HENRRY ELVIS</t>
  </si>
  <si>
    <t>DIRECTOR DE SISTEMA ADMINISTRATIVO IV</t>
  </si>
  <si>
    <t>22517630</t>
  </si>
  <si>
    <t>PRUDENCIO AGUI, NELSON ELVIS</t>
  </si>
  <si>
    <t>45758314</t>
  </si>
  <si>
    <t>PUNTO ALVARADO, DORIS</t>
  </si>
  <si>
    <t>71255624</t>
  </si>
  <si>
    <t>QUINTANA ROJAS, WINA JAMEL</t>
  </si>
  <si>
    <t xml:space="preserve">TECNICO ADMINISTRATIVO II </t>
  </si>
  <si>
    <t>43992933</t>
  </si>
  <si>
    <t>QUISPE VERASTEGUI, KAREN ATENAS</t>
  </si>
  <si>
    <t>04008498</t>
  </si>
  <si>
    <t>RAMIREZ VASQUEZ, YOLANDA</t>
  </si>
  <si>
    <t>OPERADOR DEL MODULO DE COMUNICACIONES</t>
  </si>
  <si>
    <t>10244105</t>
  </si>
  <si>
    <t>RARAZ CHAVEZ JOSE ANTONIO</t>
  </si>
  <si>
    <t>40306983</t>
  </si>
  <si>
    <t>RENGIFO ZUÑIGA, JUAN PABLO</t>
  </si>
  <si>
    <t>SUB GERENTE DE PUEBLOS ORIGINARIOS</t>
  </si>
  <si>
    <t>04213793</t>
  </si>
  <si>
    <t>REYES CAPCHA, EDMUNDO AMERICO</t>
  </si>
  <si>
    <t>ASISTENTE ADMINISTRATIVO II</t>
  </si>
  <si>
    <t>45428675</t>
  </si>
  <si>
    <t>RICALDI EVACETO, ROGER</t>
  </si>
  <si>
    <t>73099005</t>
  </si>
  <si>
    <t>RIMAC CALZADA, RUTH ZELA</t>
  </si>
  <si>
    <t>46828331</t>
  </si>
  <si>
    <t>RIOS EULOGIO, CINTHYA EDITH</t>
  </si>
  <si>
    <t>40601562</t>
  </si>
  <si>
    <t>RIVAS ALVARADO, ELIO</t>
  </si>
  <si>
    <t>75269597</t>
  </si>
  <si>
    <t>RIVAS CORNELIO, YASARI SAIME</t>
  </si>
  <si>
    <t>04207254</t>
  </si>
  <si>
    <t>RIVAS TORRES, NORMA ESTELA</t>
  </si>
  <si>
    <t>04069729</t>
  </si>
  <si>
    <t>RIVERA ALONZO, EDGAR TOMAS</t>
  </si>
  <si>
    <t>76327128</t>
  </si>
  <si>
    <t>RIVERA CARHUAS, LUZ CLARITA</t>
  </si>
  <si>
    <t>RELACIONISTA PUBLICO IV</t>
  </si>
  <si>
    <t>40599096</t>
  </si>
  <si>
    <t>RIVERA FLORES, LINCOLN</t>
  </si>
  <si>
    <t>70762952</t>
  </si>
  <si>
    <t>RIVERA MUÑOZ, WALTER PAUL</t>
  </si>
  <si>
    <t>47527166</t>
  </si>
  <si>
    <t>ROBLES GOMEZ, ZANDRA JHOVANA</t>
  </si>
  <si>
    <t>TECNICO ADMINISTRATIVO  / OREDIS</t>
  </si>
  <si>
    <t>73135707</t>
  </si>
  <si>
    <t>ROJAS BASILIO, JESSICA PETRONILA</t>
  </si>
  <si>
    <t>ASISTENTE EN ASUNTOS AMBEINTALES</t>
  </si>
  <si>
    <t>70090568</t>
  </si>
  <si>
    <t>ROQUE ALFONSO, IVAN MANUEL</t>
  </si>
  <si>
    <t>ADMINISTRADOR</t>
  </si>
  <si>
    <t>71095460</t>
  </si>
  <si>
    <t>ROQUE TUCTO, LEIBNIZ EULER</t>
  </si>
  <si>
    <t>ESPECIALISTA ADMINISTRATIVO III</t>
  </si>
  <si>
    <t>41277443</t>
  </si>
  <si>
    <t>RUPAY MALPARTIDA, CARMEN MARILU</t>
  </si>
  <si>
    <t>74210615</t>
  </si>
  <si>
    <t>SACCACO HUAMAN, CLINTON ROLANDO</t>
  </si>
  <si>
    <t>44505747</t>
  </si>
  <si>
    <t>SAENZ HUACHOS, ALEX NILVER</t>
  </si>
  <si>
    <t>TRABAJADORA DE SERVICIOS III - VIGILANCIA PSIGRANJA</t>
  </si>
  <si>
    <t>46826674</t>
  </si>
  <si>
    <t>SALAZAR ORTEGA, ROSMEL DIONICIO</t>
  </si>
  <si>
    <t>70221580</t>
  </si>
  <si>
    <t>SALCEDO FLORES, EMPERATRIZ MILAGROS</t>
  </si>
  <si>
    <t>46887312</t>
  </si>
  <si>
    <t>SALCEDO ROMUALDO, GISELA CERILA</t>
  </si>
  <si>
    <t>43319059</t>
  </si>
  <si>
    <t>SALINAS MARCOS, MARIA ELENA</t>
  </si>
  <si>
    <t>42443785</t>
  </si>
  <si>
    <t>SARMIENTO SALAZAR, JENNY NISIDA</t>
  </si>
  <si>
    <t>47496578</t>
  </si>
  <si>
    <t>SEGURA GARCIA, ELIZABETH CECILIA</t>
  </si>
  <si>
    <t>JEFE DE LA UNIDAD DE PATRIMONIO</t>
  </si>
  <si>
    <t>45001889</t>
  </si>
  <si>
    <t>SINCHE MOSCOSO, MARVIN STIVE</t>
  </si>
  <si>
    <t>48074618</t>
  </si>
  <si>
    <t>SOLIS RAMOS, NANCY ELIZABETH</t>
  </si>
  <si>
    <t>DIRECTOR DE PREVENCION Y SOLUCION DE CONFLICTOS</t>
  </si>
  <si>
    <t>41754697</t>
  </si>
  <si>
    <t>SOTO OLORTEGUI, JHOY</t>
  </si>
  <si>
    <t>04040607</t>
  </si>
  <si>
    <t>SOTO TORRES JULIAN MANUEL</t>
  </si>
  <si>
    <t>DIRECTOR DE IMAGEN INSTITUCIONAL</t>
  </si>
  <si>
    <t>20905075</t>
  </si>
  <si>
    <t>TERRAZO ATENCIO, DAVID AUGUSTO</t>
  </si>
  <si>
    <t>ENCARGADO DEL MODULO DE LOGISTICA</t>
  </si>
  <si>
    <t>42426859</t>
  </si>
  <si>
    <t>TIZA RIVERA WALTER</t>
  </si>
  <si>
    <t>46785479</t>
  </si>
  <si>
    <t>TORRES GAVINO, RENSO HOMAR</t>
  </si>
  <si>
    <t>40483957</t>
  </si>
  <si>
    <t>TORRES PANDO, BERNARDO JOEL</t>
  </si>
  <si>
    <t>73495407</t>
  </si>
  <si>
    <t>TORRES ROJAS, CLANDA ROSA</t>
  </si>
  <si>
    <t>46653903</t>
  </si>
  <si>
    <t>TORRES SULLCA, ROLANDO</t>
  </si>
  <si>
    <t>40992355</t>
  </si>
  <si>
    <t>TORRES VILCA, RAUL CARLOS</t>
  </si>
  <si>
    <t>PORTAPLIEGOS</t>
  </si>
  <si>
    <t>04050007</t>
  </si>
  <si>
    <t>TRAVEZAÑO ABARCA, ESTELA</t>
  </si>
  <si>
    <t>71574680</t>
  </si>
  <si>
    <t>URETA LUCIANO, DEIVES CELESTINO</t>
  </si>
  <si>
    <t>70933791</t>
  </si>
  <si>
    <t>VADILLO JUSTO, ELIA BEATRIZ</t>
  </si>
  <si>
    <t>04045036</t>
  </si>
  <si>
    <t>VALENTIN ALBORNOZ, RAUL FRANCISCO</t>
  </si>
  <si>
    <t>44431833</t>
  </si>
  <si>
    <t>VALENTIN JAPA, CRISTHIAN NOLBERTO</t>
  </si>
  <si>
    <t>43650553</t>
  </si>
  <si>
    <t>VALENTIN VIDAL, KELVIN JOYCE</t>
  </si>
  <si>
    <t>80077461</t>
  </si>
  <si>
    <t>VALLE CABELLO, CESAR GERMAN</t>
  </si>
  <si>
    <t>40346353</t>
  </si>
  <si>
    <t>VALLE TORIBIO DE HIDALGO, MARIBEL EDITH</t>
  </si>
  <si>
    <t>ENCARGADO DEL MODULO DE COORDINACION INTERSECTORIAL</t>
  </si>
  <si>
    <t>45275263</t>
  </si>
  <si>
    <t>VARGAS COLCA ROXANA ROCIO</t>
  </si>
  <si>
    <t>44501817</t>
  </si>
  <si>
    <t>VARGAS CONDOR, MAGALI RUBILINDA</t>
  </si>
  <si>
    <t>ASISTENTE SOCIAL II</t>
  </si>
  <si>
    <t>21271042</t>
  </si>
  <si>
    <t>VASQUEZ DE FLORES, GRACIELA ALEJANDRA</t>
  </si>
  <si>
    <t>ALMACENERO</t>
  </si>
  <si>
    <t>47531137</t>
  </si>
  <si>
    <t>VEGA ISIDRO, NATALY RUTH</t>
  </si>
  <si>
    <t>VIGILANTE / OREDIS</t>
  </si>
  <si>
    <t>42589258</t>
  </si>
  <si>
    <t>VELASQUEZ COLQUI, GIOVANNI EUGENIO</t>
  </si>
  <si>
    <t>OPERADOR DEL MODULO DE MONITOREO Y ANALISIS</t>
  </si>
  <si>
    <t>04082919</t>
  </si>
  <si>
    <t>VILCA YALICO DAVID</t>
  </si>
  <si>
    <t>42274737</t>
  </si>
  <si>
    <t>VILLOGAS JUSTINIANO ZENOBIA</t>
  </si>
  <si>
    <t>TECNICO ADMINISTRATIVO III / OXAPAMPA</t>
  </si>
  <si>
    <t>41926919</t>
  </si>
  <si>
    <t>YANTAS CARPIO, BIVIANA ARACELI</t>
  </si>
  <si>
    <t xml:space="preserve">COORDINADOR </t>
  </si>
  <si>
    <t>41952186</t>
  </si>
  <si>
    <t>YAURI MISARI ANTENOR GERARDO</t>
  </si>
  <si>
    <t>70890407</t>
  </si>
  <si>
    <t>ZARATE HUAMAN ANTONY EDGARD</t>
  </si>
  <si>
    <t>04030240</t>
  </si>
  <si>
    <t>ZARATE VICENTE, VILMA</t>
  </si>
  <si>
    <t>AUXILIAR EN MASOTERAPIA / OREDIS</t>
  </si>
  <si>
    <t>04006545</t>
  </si>
  <si>
    <t>ZUÑIGA ESTRELLA, AYME YNELITA</t>
  </si>
  <si>
    <t>AGUILAR QUINTO, ATENAS YAJAYRA</t>
  </si>
  <si>
    <t>ALVINO GRADOS, JESUS ALBERTO</t>
  </si>
  <si>
    <t>ATENCIO CALZADA, LEONARDO SALVATORY</t>
  </si>
  <si>
    <t>BENAVIDES SUAREZ, DAISY RUTH</t>
  </si>
  <si>
    <t>BONILLA HUERE, JAKELINE MARITZA</t>
  </si>
  <si>
    <t>CACHIQUE LOPEZ, CARLOS</t>
  </si>
  <si>
    <t>TECNICO ADMINISTRATIVO</t>
  </si>
  <si>
    <t>CALERO TRUJILLO, GIANELLA CARMEN</t>
  </si>
  <si>
    <t>CAMPOS MARCOS, DEBURA</t>
  </si>
  <si>
    <t>CHAMORRO VACAS, MARISSA URSULA</t>
  </si>
  <si>
    <t>COLQUI CABELLO, NEON CESAR</t>
  </si>
  <si>
    <t>NUTRICIONISTA</t>
  </si>
  <si>
    <t>CONDEZO CORNEJO, CELINA ZAIDA</t>
  </si>
  <si>
    <t>CONDOR MATIAS, MOISES ADRIAN</t>
  </si>
  <si>
    <t>AUDITOR</t>
  </si>
  <si>
    <t>CRISTOBAL CARLOS, MARTHA LUCIA</t>
  </si>
  <si>
    <t>04205272</t>
  </si>
  <si>
    <t>CURI HURTADO, MARCELINA BENEDICTA</t>
  </si>
  <si>
    <t>ESPAÑA CHAMORRO, JUDITH KARINA</t>
  </si>
  <si>
    <t>ESPIRITU LOPEZ, MIRTA AMELIA</t>
  </si>
  <si>
    <t>FABIAN SALGADO, NELVA</t>
  </si>
  <si>
    <t>04070064</t>
  </si>
  <si>
    <t>GAMARRA POMA, MERYLUZ MARLENNE</t>
  </si>
  <si>
    <t>GUADALUPE LOVATON, NINSA YELMA</t>
  </si>
  <si>
    <t>HUAMAN ANTICONA, ANTONIO</t>
  </si>
  <si>
    <t>JAPA MONTESINOS, EVELYN PATRICIA</t>
  </si>
  <si>
    <t>JAUREGUI GRANADOS, CESAR SAMMIR</t>
  </si>
  <si>
    <t>JIMENEZ ALMERCO, ELVA VIRGILIA</t>
  </si>
  <si>
    <t>LOPEZ RUIZ, CLELIA ROCIO</t>
  </si>
  <si>
    <t>AUXILIAR DE SISTEMA ADMINISTRATIVO I</t>
  </si>
  <si>
    <t>TRABAJADOR DE SERVICIOS III - VILLA DE PASCO</t>
  </si>
  <si>
    <t>MARCELO VARGAS, WALTER JAIME</t>
  </si>
  <si>
    <t>MEZA FLORES, GILDA NATALY</t>
  </si>
  <si>
    <t>MEZA RODRIGUEZ, MILAGROS</t>
  </si>
  <si>
    <t>MONDALGO MUÑOZ, IVAN JESUS</t>
  </si>
  <si>
    <t>MORALES SOLORZANO, ESTELA</t>
  </si>
  <si>
    <t>NUÑEZ VARGAS, SHELLYN SAYURY</t>
  </si>
  <si>
    <t>OLIVAS CONDOR, ROSMERY LUZ</t>
  </si>
  <si>
    <t>ASISTENTE TECNICO LEGAL</t>
  </si>
  <si>
    <t>OSORIO RIVERA, ANGELA KATHERINE</t>
  </si>
  <si>
    <t>PONCE RICALDI, MAXIMO ROLANDO</t>
  </si>
  <si>
    <t>ENCARGADO DE PLANEAMIENTO Y REGISTRO ADMINISTRATIVO</t>
  </si>
  <si>
    <t>04003487</t>
  </si>
  <si>
    <t>QUISPE CCANCCAPA, ALEJANDRINO VICTOR</t>
  </si>
  <si>
    <t>ROBLES GOMEZ, ELIZABETH</t>
  </si>
  <si>
    <t>ROJAS JIMENEZ, JIMMY</t>
  </si>
  <si>
    <t>TRABAJADOR DE SERVICIOS II - VIGILANCIA PSCIGRANJA</t>
  </si>
  <si>
    <t>SOTO TORRES, JULIAN MANUEL</t>
  </si>
  <si>
    <t>VIGILANCIA Y/O SEGURIDAD</t>
  </si>
  <si>
    <t>TAFUR CORNELIO, MILA</t>
  </si>
  <si>
    <t>TIZA RIVERA, WALTER</t>
  </si>
  <si>
    <t>VALLE MONTIVEROS, REBECA JUDITH</t>
  </si>
  <si>
    <t>VARGAS LEIVA, MONIQUE JOSELINE</t>
  </si>
  <si>
    <t>ASISTENTA SOCIAL II</t>
  </si>
  <si>
    <t>VEGA ROJAS, LILIANA PILAR</t>
  </si>
  <si>
    <t>YANAYACO SALCEDO, JHONNY</t>
  </si>
  <si>
    <t>04086390</t>
  </si>
  <si>
    <t>YANAYACO SALCEDO, PAUL EFRAIN</t>
  </si>
  <si>
    <t>COORDINADOR</t>
  </si>
  <si>
    <t>YAURI MISARI, ANTENOR GERARDO</t>
  </si>
  <si>
    <t>ZARATE HUAMAN, ANTONY EDGARD</t>
  </si>
  <si>
    <t>ZELARAYAN HUAMANI, MIGUEL ANGEL</t>
  </si>
  <si>
    <t xml:space="preserve">456 PASCO </t>
  </si>
  <si>
    <t>00</t>
  </si>
  <si>
    <t>D.LEG 1057-CAS</t>
  </si>
  <si>
    <t xml:space="preserve">ENTERMERA </t>
  </si>
  <si>
    <t xml:space="preserve">VALLE FERNANDEZ, ELIZABETH MIRIAM </t>
  </si>
  <si>
    <t xml:space="preserve">ENFERMERA </t>
  </si>
  <si>
    <t>TITULADO</t>
  </si>
  <si>
    <t xml:space="preserve">AISTENTE ADMINISTRATIVO OXAPAMPA </t>
  </si>
  <si>
    <t>04341159</t>
  </si>
  <si>
    <t>CASIMIRO OSORIO DANISA</t>
  </si>
  <si>
    <t xml:space="preserve">EDUCACION PRIMARIA </t>
  </si>
  <si>
    <t xml:space="preserve">EGRESADA </t>
  </si>
  <si>
    <t>AISTENTE ADMINISTRATIVO</t>
  </si>
  <si>
    <t xml:space="preserve">RICRA AGÜERO YENY FLORENTINA </t>
  </si>
  <si>
    <t xml:space="preserve">ADMINISTRACION </t>
  </si>
  <si>
    <t xml:space="preserve">AISTENTE ADMINISTRATIVO VILLA RICA </t>
  </si>
  <si>
    <t xml:space="preserve">MASILLA OBREGON SINTYA ISABEL </t>
  </si>
  <si>
    <t xml:space="preserve">TECNICO EN COMPUTACION </t>
  </si>
  <si>
    <t xml:space="preserve">TECNICO ADMINISTRATIVO </t>
  </si>
  <si>
    <t xml:space="preserve">ROJAS BERROSPI, EICK FRANK </t>
  </si>
  <si>
    <t xml:space="preserve">CIENCIAS DE LA COMUNICACIÓN </t>
  </si>
  <si>
    <t>300 EDUCACIÓN PASCO</t>
  </si>
  <si>
    <t>CAS - PPR 051 DEVIDA</t>
  </si>
  <si>
    <t>Coordinador del Equipo Tecnico Regional</t>
  </si>
  <si>
    <t>AYALA MARCHAN LUIS</t>
  </si>
  <si>
    <t>DOCENTE DE CIENCIAS SOCIALES</t>
  </si>
  <si>
    <t xml:space="preserve">SUPERIOR </t>
  </si>
  <si>
    <t>Profesional de Apoyo del Equipo Técnico Regional</t>
  </si>
  <si>
    <t>HUERTA CECILIO NICOLAS DANIEL</t>
  </si>
  <si>
    <t>DOCENTE DE COMPUTACION E INFORMATICA</t>
  </si>
  <si>
    <t>Facilitador del Equipo Tecnico Regional</t>
  </si>
  <si>
    <t>YUPARI CRISTOBAL LUIS ANGEL</t>
  </si>
  <si>
    <t>DOCENTE DE EDUCACION PRIMARIA</t>
  </si>
  <si>
    <t>MATOS SALCEDO FRECIA CARINA</t>
  </si>
  <si>
    <t>PSICOLOGA</t>
  </si>
  <si>
    <t>COLCA FERNANDEZ ESTHER JOVANA</t>
  </si>
  <si>
    <t>CONDOR SEGURA DE AQUINO LISBETH JHOVANA</t>
  </si>
  <si>
    <t>ROMERO CALERO JOSE ELIAS</t>
  </si>
  <si>
    <t>DOCENTE DE COMUNICACIÓN</t>
  </si>
  <si>
    <t>QUINTO HERRERA NEMISSES JHANET</t>
  </si>
  <si>
    <t>Asistente Administrativo - Logistico</t>
  </si>
  <si>
    <t>PALMA ROMERO MARCO ANTONIO</t>
  </si>
  <si>
    <t>ECONOMISTA</t>
  </si>
  <si>
    <t>CAS - PPR 068 PREVAED</t>
  </si>
  <si>
    <t>COORDINADORES LOCALES DAC</t>
  </si>
  <si>
    <t>GABRIEL FLORES DORIS</t>
  </si>
  <si>
    <t>LIC. EDUCACIÓN</t>
  </si>
  <si>
    <t>N° 07</t>
  </si>
  <si>
    <t>COORDINADORES LOCALES PASCO</t>
  </si>
  <si>
    <t>BRAVO TRUJILLO DANITSA</t>
  </si>
  <si>
    <t>N° 03</t>
  </si>
  <si>
    <t>COORDINADORES LOCALES OXAPAMPA</t>
  </si>
  <si>
    <t>GONZALES MARTEL CAROL</t>
  </si>
  <si>
    <t>N° 40</t>
  </si>
  <si>
    <t xml:space="preserve">COORDINADORES LOCALES </t>
  </si>
  <si>
    <t>RUIZ SIMON WILFREDO</t>
  </si>
  <si>
    <t>N° 23</t>
  </si>
  <si>
    <t>PERSONAL ADMINISTRATIVO</t>
  </si>
  <si>
    <t>TAQUIRE PAUCAR FREDDY GUSTABO</t>
  </si>
  <si>
    <t>LIC. ADMINISTRACIÓN</t>
  </si>
  <si>
    <t>N° 05</t>
  </si>
  <si>
    <t>CAS - PPR 080 CONVIVENCIA ESCOLAR</t>
  </si>
  <si>
    <t>ESPECIALISTA REGIONAL DE CONVIVENCIA ESCOLAR</t>
  </si>
  <si>
    <t>VALDEZ GILIAN KATHERINE LUPE</t>
  </si>
  <si>
    <t>CAS - PPR 090 PELA</t>
  </si>
  <si>
    <t>COORDINADOR REGIONAL DE CALIDAD DE INFORMACIÓN</t>
  </si>
  <si>
    <t xml:space="preserve">ZENTENO LAZO OSCAR </t>
  </si>
  <si>
    <t>ING. SISTEMAS</t>
  </si>
  <si>
    <t>ING. SISTEMAS Y COMPUTACIÓN</t>
  </si>
  <si>
    <t>CAS - PPR 0106 EBE</t>
  </si>
  <si>
    <t xml:space="preserve">ESPECIALISTA REGIONAL EBE </t>
  </si>
  <si>
    <t>ESCALANTE PAULINO, SAUL RAFAEL</t>
  </si>
  <si>
    <t>DOCENTE DE EDUCACIÓN PRIMARIA</t>
  </si>
  <si>
    <t>CAS - PPR 0107 SUPERIOR PEDAGÓGICO</t>
  </si>
  <si>
    <t>ESPECIALISTA DE SEGUIMIENTO Y MONITOREO DE I.E.S.P</t>
  </si>
  <si>
    <t>ISABEL PEÑA SILVESTRE</t>
  </si>
  <si>
    <t>PERSONAL DE VIGILANCIA</t>
  </si>
  <si>
    <t>QUINTIQUIRI CAHUANTA NICACIO</t>
  </si>
  <si>
    <t>ESTUDIO SUPERIOR</t>
  </si>
  <si>
    <t>GONZALES RAMOS GREGORIO EDMUNDO</t>
  </si>
  <si>
    <t>COMPISHORI SANTIAGOBASILIO</t>
  </si>
  <si>
    <t>REC SEGOVIA ISAI</t>
  </si>
  <si>
    <t>CASTAÑEDA CHAMORRO CRISTIAN PROCOPIO</t>
  </si>
  <si>
    <t>SECUNDARIA COMPLETA</t>
  </si>
  <si>
    <t>HUAMAN RODRIGUEZ JUAN CARLOS</t>
  </si>
  <si>
    <t>RIVAS URBINA ANSELMO</t>
  </si>
  <si>
    <t>SUPERIOR</t>
  </si>
  <si>
    <t>VICENTE CARHUAS RAÚL</t>
  </si>
  <si>
    <t>CAS - PPR 0150 ACCESO</t>
  </si>
  <si>
    <t xml:space="preserve">ESPECIALISTA PARA LA GESTIÓN DE GENERACIÓN DE CONDICIONES </t>
  </si>
  <si>
    <t>PRADO CAYETANO ISAAC</t>
  </si>
  <si>
    <t>ING. CIVIL</t>
  </si>
  <si>
    <t>CAS - CAT PRESP. 9001 A.C.</t>
  </si>
  <si>
    <t xml:space="preserve">Administrativo </t>
  </si>
  <si>
    <t>MENDOZA BONIFACIO, LUIS ALBERTO</t>
  </si>
  <si>
    <t>TEC, CONTADOR</t>
  </si>
  <si>
    <t>ROSAS CONDOR MARLON</t>
  </si>
  <si>
    <t>MECANICA</t>
  </si>
  <si>
    <t>JESUS TOLENTINO, VITALIA</t>
  </si>
  <si>
    <t>CHAMORRO ROJAS, INES ANGELA</t>
  </si>
  <si>
    <t>ABOGADO(A)</t>
  </si>
  <si>
    <t>ASISTENTE EN ESORERIA</t>
  </si>
  <si>
    <t>TRINIDAD BLANCO DALINDA</t>
  </si>
  <si>
    <t>CONTADOR PÚBLICO</t>
  </si>
  <si>
    <t>ASISTENTE DE PLANIFICACIÓN</t>
  </si>
  <si>
    <t>MEZA PIO, ROCIO</t>
  </si>
  <si>
    <t>LOPEZ PRUDENCIO, EDWIN JIMMY</t>
  </si>
  <si>
    <t>LOCACIÓN DE SERVICIO</t>
  </si>
  <si>
    <t>PPR 0147 SUP. TEC</t>
  </si>
  <si>
    <t>CAMPOS SANTIAGO KATIA</t>
  </si>
  <si>
    <t>LIC, ADMINISTRACION</t>
  </si>
  <si>
    <t>CAT. PRESP. 9001 A.C.</t>
  </si>
  <si>
    <t>VILCHEZ CHAHUIN, DIANA YANET</t>
  </si>
  <si>
    <t>RICRA DIAZ, JUAN JOSE</t>
  </si>
  <si>
    <t>CARDENAS ROJAS, INES ANTONIA</t>
  </si>
  <si>
    <t>BERNARDO BORJA KIMBERLY MERCEDES</t>
  </si>
  <si>
    <t>JUSTINIANO ESPINOZA GREYSY MAVEL</t>
  </si>
  <si>
    <t>DIEGO RAÚL HUAMAN GUTIERREZ</t>
  </si>
  <si>
    <t>FABIAN BERNACHEA, DEYSI EDITH</t>
  </si>
  <si>
    <t>MAURICIO LAUREANO, ERIKA</t>
  </si>
  <si>
    <t>AGRONOMIA</t>
  </si>
  <si>
    <t>EGRESADA</t>
  </si>
  <si>
    <t>VICTORIO MENDOZA ALI</t>
  </si>
  <si>
    <t>DAGA BONIFACIO VICTORIA</t>
  </si>
  <si>
    <t>MERY</t>
  </si>
  <si>
    <t>RODRIGUEZ MIRANDA, EMMA MILAGROS</t>
  </si>
  <si>
    <t>BERNARDO JUSTINIANO YULI</t>
  </si>
  <si>
    <t>Apellidos Paterno</t>
  </si>
  <si>
    <t xml:space="preserve">Apellidos Materno </t>
  </si>
  <si>
    <t xml:space="preserve"> Nombres</t>
  </si>
  <si>
    <t>301. EDUCACION OXAPAMPA</t>
  </si>
  <si>
    <t>R.O</t>
  </si>
  <si>
    <t>C.A.S</t>
  </si>
  <si>
    <t>PROFESIONAL</t>
  </si>
  <si>
    <t>04339077</t>
  </si>
  <si>
    <t>ARIAS</t>
  </si>
  <si>
    <t>AYALA</t>
  </si>
  <si>
    <t>CARLOS SANDRO</t>
  </si>
  <si>
    <t>Profesional</t>
  </si>
  <si>
    <t>Titulo Profesional</t>
  </si>
  <si>
    <t>SECRETARIA/O</t>
  </si>
  <si>
    <t>70254863</t>
  </si>
  <si>
    <t>LOPEZ</t>
  </si>
  <si>
    <t>TRINIDAD</t>
  </si>
  <si>
    <t>YESSENIA CRISTINA</t>
  </si>
  <si>
    <t>Tecnicos</t>
  </si>
  <si>
    <t>Titulo Tecnico</t>
  </si>
  <si>
    <t>MARIÑOA</t>
  </si>
  <si>
    <t xml:space="preserve">ARTEAGA </t>
  </si>
  <si>
    <t>PATRICIA</t>
  </si>
  <si>
    <t>CHOFER</t>
  </si>
  <si>
    <t>04301115</t>
  </si>
  <si>
    <t>ZEGARRA</t>
  </si>
  <si>
    <t>TAPIA</t>
  </si>
  <si>
    <t>JOSE ANTONIO</t>
  </si>
  <si>
    <t>POTESTA</t>
  </si>
  <si>
    <t>SANTOS</t>
  </si>
  <si>
    <t>MELBI</t>
  </si>
  <si>
    <t>45358769</t>
  </si>
  <si>
    <t>TARAZONA</t>
  </si>
  <si>
    <t>PONCE</t>
  </si>
  <si>
    <t>SANDRA DANIELA</t>
  </si>
  <si>
    <t>CCASISCCA</t>
  </si>
  <si>
    <t>MACURI</t>
  </si>
  <si>
    <t>LUZ MARIA</t>
  </si>
  <si>
    <t>CHAVEZ</t>
  </si>
  <si>
    <t>RUBIO</t>
  </si>
  <si>
    <t>MILDRET</t>
  </si>
  <si>
    <t>04342166</t>
  </si>
  <si>
    <t>SANCHEZ</t>
  </si>
  <si>
    <t>ALVAREZ</t>
  </si>
  <si>
    <t>BLANCA SUHEY</t>
  </si>
  <si>
    <t>ESTADISTICO</t>
  </si>
  <si>
    <t>48610106</t>
  </si>
  <si>
    <t>GUERRA</t>
  </si>
  <si>
    <t>RICSE</t>
  </si>
  <si>
    <t>MERCEDES GRACIELA</t>
  </si>
  <si>
    <t>70784525</t>
  </si>
  <si>
    <t>RUIZ</t>
  </si>
  <si>
    <t>ALANIA</t>
  </si>
  <si>
    <t>LOIDA ERLANDINA</t>
  </si>
  <si>
    <t>43211041</t>
  </si>
  <si>
    <t>CAMAÑA</t>
  </si>
  <si>
    <t>ORTIZ</t>
  </si>
  <si>
    <t>FREDY JACINTO</t>
  </si>
  <si>
    <t>Auxiliares</t>
  </si>
  <si>
    <t>Sin Carrera</t>
  </si>
  <si>
    <t>72270601</t>
  </si>
  <si>
    <t>MEZA</t>
  </si>
  <si>
    <t>WESTREICHER</t>
  </si>
  <si>
    <t>KARLA KATHERINE</t>
  </si>
  <si>
    <t>47313343</t>
  </si>
  <si>
    <t>ARROSTIGUE</t>
  </si>
  <si>
    <t>VILLANUEVA</t>
  </si>
  <si>
    <t>SUSAN</t>
  </si>
  <si>
    <t>44161620</t>
  </si>
  <si>
    <t>SANCHOMA</t>
  </si>
  <si>
    <t>FLORES</t>
  </si>
  <si>
    <t>FANI</t>
  </si>
  <si>
    <t>44116286</t>
  </si>
  <si>
    <t>POZO</t>
  </si>
  <si>
    <t>GONZALES</t>
  </si>
  <si>
    <t>NALIKA IVANOVA</t>
  </si>
  <si>
    <t>04342020</t>
  </si>
  <si>
    <t>VARGAS</t>
  </si>
  <si>
    <t>ROGER</t>
  </si>
  <si>
    <t>43210603</t>
  </si>
  <si>
    <t>ESTRADA</t>
  </si>
  <si>
    <t>ROQUE</t>
  </si>
  <si>
    <t>CESAR AUGUSTO</t>
  </si>
  <si>
    <t>70053090</t>
  </si>
  <si>
    <t>PEREZ</t>
  </si>
  <si>
    <t>AQUINO</t>
  </si>
  <si>
    <t>CODEÑA</t>
  </si>
  <si>
    <t>43341031</t>
  </si>
  <si>
    <t>OSCCO</t>
  </si>
  <si>
    <t>OSCAR EDUARDO</t>
  </si>
  <si>
    <t>70810170</t>
  </si>
  <si>
    <t>LEON</t>
  </si>
  <si>
    <t>MARTEL</t>
  </si>
  <si>
    <t>JHOHAN WALDIR</t>
  </si>
  <si>
    <t>72202711</t>
  </si>
  <si>
    <t>PURIS</t>
  </si>
  <si>
    <t>CABELLO</t>
  </si>
  <si>
    <t>YENY MILAGROS</t>
  </si>
  <si>
    <t>71086597</t>
  </si>
  <si>
    <t>BORJA</t>
  </si>
  <si>
    <t>MINA</t>
  </si>
  <si>
    <t>DAYVIS ALEX</t>
  </si>
  <si>
    <t>46406449</t>
  </si>
  <si>
    <t>VALLE</t>
  </si>
  <si>
    <t>RIVERA</t>
  </si>
  <si>
    <t>PEDRO WILDER</t>
  </si>
  <si>
    <t>04308701</t>
  </si>
  <si>
    <t>GARCIA</t>
  </si>
  <si>
    <t>ACHON</t>
  </si>
  <si>
    <t>JESUS</t>
  </si>
  <si>
    <t>09898868</t>
  </si>
  <si>
    <t>FUENTES</t>
  </si>
  <si>
    <t>CAMPOS</t>
  </si>
  <si>
    <t>NILTON CESAR</t>
  </si>
  <si>
    <t>47557335</t>
  </si>
  <si>
    <t>ESPINOZA</t>
  </si>
  <si>
    <t>LIZBETH</t>
  </si>
  <si>
    <t>04300265</t>
  </si>
  <si>
    <t>CARMEN ALICIA</t>
  </si>
  <si>
    <t>46096378</t>
  </si>
  <si>
    <t>QUINCHORI</t>
  </si>
  <si>
    <t>LIDANIA</t>
  </si>
  <si>
    <t xml:space="preserve">UE: EDUCACIÓN OXAPAMPA </t>
  </si>
  <si>
    <t>AÑO FISCAL 2019</t>
  </si>
  <si>
    <t>AÑO FISCAL 2020 (*)</t>
  </si>
  <si>
    <t>UGEL DAC</t>
  </si>
  <si>
    <t>R.O.</t>
  </si>
  <si>
    <t xml:space="preserve"> Apoyo Adm.NEXUS</t>
  </si>
  <si>
    <t>1, 800.00</t>
  </si>
  <si>
    <t>BONILLA ESPINOZA, Angel Franklin</t>
  </si>
  <si>
    <t>Téc. en Comp.e Inf.</t>
  </si>
  <si>
    <t>Título</t>
  </si>
  <si>
    <t>21, 600.00</t>
  </si>
  <si>
    <t>TEC.ADM. INFRAESTRUCTURA</t>
  </si>
  <si>
    <t>MORALES LIBERATO, Victor William</t>
  </si>
  <si>
    <t>Téc. En Const. Civil</t>
  </si>
  <si>
    <t>21, 600.01</t>
  </si>
  <si>
    <t xml:space="preserve">TEC.ADM. PATRIMONIO </t>
  </si>
  <si>
    <t>AZAÑA COLLAZOS, Carmen Deysi</t>
  </si>
  <si>
    <t>Contador</t>
  </si>
  <si>
    <t>21, 600.02</t>
  </si>
  <si>
    <t>CANTA CONDOR, Jerson Vladimir</t>
  </si>
  <si>
    <t>Lic.en Educ. Primaria</t>
  </si>
  <si>
    <t>Lic. en Educ. Primaria</t>
  </si>
  <si>
    <t>ENFERMERA</t>
  </si>
  <si>
    <t>RIVERA HUALLPA,  Evellyn Noemí</t>
  </si>
  <si>
    <t>Lic. en Enfermería</t>
  </si>
  <si>
    <t>ATEN.AL USUARIO HALL CENTER</t>
  </si>
  <si>
    <t>1, 250.00</t>
  </si>
  <si>
    <t>CHACON LEON, Ana María</t>
  </si>
  <si>
    <t>Tec.en Copm. e Inf.</t>
  </si>
  <si>
    <t>ESP. ESTADISTICA</t>
  </si>
  <si>
    <t>GOZAR CARRERA, Yadira Soledad</t>
  </si>
  <si>
    <t>VIGILANTE ITEN.JEC</t>
  </si>
  <si>
    <t>1, 150.00</t>
  </si>
  <si>
    <t>JACO ESPINOZA, Gilmar</t>
  </si>
  <si>
    <t>Sec. Completa</t>
  </si>
  <si>
    <t>Secundaria</t>
  </si>
  <si>
    <t>ESPINOZA LOVATON, Omar</t>
  </si>
  <si>
    <t>TRAVEZAÑO NAVARRO, Julio</t>
  </si>
  <si>
    <t>PERS. LIMP.Y DESINF.</t>
  </si>
  <si>
    <t>ALVINO GUERRA, Erick Jenry</t>
  </si>
  <si>
    <t>Téc.en Enfermería</t>
  </si>
  <si>
    <t>CORNELIO PICHO, Cindy Beatriz</t>
  </si>
  <si>
    <t>Egresada de enf. Técnica</t>
  </si>
  <si>
    <t>Egresada</t>
  </si>
  <si>
    <t>OTROS  SNP</t>
  </si>
  <si>
    <t xml:space="preserve"> APOYO ADM. EN ALMACEN </t>
  </si>
  <si>
    <t>ROJAS CANDACHO, Nolio</t>
  </si>
  <si>
    <t>Téc. En Enfermeria</t>
  </si>
  <si>
    <t>Téc. En Enfermería</t>
  </si>
  <si>
    <t>COORDINADOR DE FED</t>
  </si>
  <si>
    <t>2, 500.00</t>
  </si>
  <si>
    <t xml:space="preserve">DAGA BONIFACIO, Victoria Pilar </t>
  </si>
  <si>
    <t>Bach. en derecho</t>
  </si>
  <si>
    <t>Bacheller</t>
  </si>
  <si>
    <t>Bach.en derecho</t>
  </si>
  <si>
    <t xml:space="preserve">UE: EDUCACIÓN DANIEL ALCIDES CARRIÓN </t>
  </si>
  <si>
    <t>45852472</t>
  </si>
  <si>
    <t>45822340</t>
  </si>
  <si>
    <t xml:space="preserve">CONTADOR PUBLICO </t>
  </si>
  <si>
    <t xml:space="preserve"> LIC. ADMINISTRACION</t>
  </si>
  <si>
    <t>42530804</t>
  </si>
  <si>
    <t xml:space="preserve"> TEC. INFORMATICO</t>
  </si>
  <si>
    <t>04085334</t>
  </si>
  <si>
    <t>UGEL - PASCO</t>
  </si>
  <si>
    <t>UE: UGEL PASCO</t>
  </si>
  <si>
    <t>RO</t>
  </si>
  <si>
    <t>45679207</t>
  </si>
  <si>
    <t>VILLALVA GUTARRA FIORELA VANESA</t>
  </si>
  <si>
    <t>ASISTENTA SOCIAL</t>
  </si>
  <si>
    <t>3,467.905.26</t>
  </si>
  <si>
    <t>45271567</t>
  </si>
  <si>
    <t>AGUI SALGADO ROCIO DEL PILAR</t>
  </si>
  <si>
    <t>PSICOLOGO(A)</t>
  </si>
  <si>
    <t>3,795.613.89</t>
  </si>
  <si>
    <t>42779778</t>
  </si>
  <si>
    <t>ESPIRITU TRAVEZAÑO JUAN CARLOS</t>
  </si>
  <si>
    <t>ASISTENTE DE COMUNICACIONES</t>
  </si>
  <si>
    <t>48082360</t>
  </si>
  <si>
    <t>AGUILAR CHINCHAY HECTOR CAMILO</t>
  </si>
  <si>
    <t>MEDICO</t>
  </si>
  <si>
    <t>48317686</t>
  </si>
  <si>
    <t>GUZMAN GARCIA LUCIO</t>
  </si>
  <si>
    <t>41485141</t>
  </si>
  <si>
    <t>ALANIA ARTEAGA ELIANA SARELLY</t>
  </si>
  <si>
    <t>ODONTOLOGO(A)</t>
  </si>
  <si>
    <t>42146853</t>
  </si>
  <si>
    <t>CARLOS QUINTO MARCO ANTONIO</t>
  </si>
  <si>
    <t>47442323</t>
  </si>
  <si>
    <t>ALANIA OSORIO LAURA VERENICE</t>
  </si>
  <si>
    <t>TECNICO COMPUTACION  INFORMATI</t>
  </si>
  <si>
    <t>70177120</t>
  </si>
  <si>
    <t>CUELLAR DE LA ROSA ORFA LUZ</t>
  </si>
  <si>
    <t>DIGITADOR(A)</t>
  </si>
  <si>
    <t>44969574</t>
  </si>
  <si>
    <t>ALBERTO VALLE MIGUEL ANGEL</t>
  </si>
  <si>
    <t>04221720</t>
  </si>
  <si>
    <t>MARTINEZ ROMAN JULY BEATRIZ</t>
  </si>
  <si>
    <t>DIRECTOR ADJUNTO</t>
  </si>
  <si>
    <t>70942479</t>
  </si>
  <si>
    <t>ALEJANDRO BONILLA SHARON MEYLI</t>
  </si>
  <si>
    <t>ENFERMERA(O)</t>
  </si>
  <si>
    <t>09976487</t>
  </si>
  <si>
    <t>JORGES MELGAREJO ALCEDO NIMER</t>
  </si>
  <si>
    <t>DIRECTOR GENERAL</t>
  </si>
  <si>
    <t>46681189</t>
  </si>
  <si>
    <t>ALIAGA ESPINOZA MONICA SILVIA</t>
  </si>
  <si>
    <t>TECNICO EN ENFERMERIA</t>
  </si>
  <si>
    <t>44794438</t>
  </si>
  <si>
    <t>BAZAN ROJAS KARYN MELISSA</t>
  </si>
  <si>
    <t>47507745</t>
  </si>
  <si>
    <t>ALVARADO RIOS HILDA SORAIDA</t>
  </si>
  <si>
    <t>45613767</t>
  </si>
  <si>
    <t>CARHUACHIN SANTOS MELISA JANEDTH</t>
  </si>
  <si>
    <t>47507527</t>
  </si>
  <si>
    <t>ANDRADE MEZA SADY OLINDA</t>
  </si>
  <si>
    <t>OBSTETRA</t>
  </si>
  <si>
    <t>70224447</t>
  </si>
  <si>
    <t>CAYETANO LOYA MARIBEL LUCIA</t>
  </si>
  <si>
    <t>43465976</t>
  </si>
  <si>
    <t>ANDRES MEDRANO JUAN VICTOR</t>
  </si>
  <si>
    <t>42211228</t>
  </si>
  <si>
    <t>CORONEL BARZOLA CECILIA</t>
  </si>
  <si>
    <t>44265884</t>
  </si>
  <si>
    <t>ANGEL NIÑO GINA ERIKA</t>
  </si>
  <si>
    <t>04066621</t>
  </si>
  <si>
    <t>CRISTOBAL TIXE SARA ESTHER</t>
  </si>
  <si>
    <t>43829976</t>
  </si>
  <si>
    <t>ARIAS AMPUDIA WILSON ROGELIO</t>
  </si>
  <si>
    <t>04079456</t>
  </si>
  <si>
    <t>CRUZ LAUREANO ROSA LUZ</t>
  </si>
  <si>
    <t>48388234</t>
  </si>
  <si>
    <t>ARRIETA LEDESMA KARINA MILAGROS</t>
  </si>
  <si>
    <t>46460713</t>
  </si>
  <si>
    <t>ESTAY GUILLERMO DEYCY LISSET</t>
  </si>
  <si>
    <t>45043657</t>
  </si>
  <si>
    <t>ATENCIO BERMUDEZ CECILIA</t>
  </si>
  <si>
    <t>43312117</t>
  </si>
  <si>
    <t>FALCON NESTARES FLOR DE MARIA</t>
  </si>
  <si>
    <t>42193609</t>
  </si>
  <si>
    <t>ATENCIO SILVESTRE JHONY ALBERTO</t>
  </si>
  <si>
    <t>76349931</t>
  </si>
  <si>
    <t>FLORES CRUZ VICTOR DAVID</t>
  </si>
  <si>
    <t>70430654</t>
  </si>
  <si>
    <t>AUCCAPUMA FERNANDEZ MONICA BEATRIZ</t>
  </si>
  <si>
    <t>73830873</t>
  </si>
  <si>
    <t>HUAMAN TRAVEZAÑO CLAUDIA ALEJANDRA</t>
  </si>
  <si>
    <t>41137128</t>
  </si>
  <si>
    <t>AYALA HERRERA ELVIS</t>
  </si>
  <si>
    <t>TECNICO EN LABORATORIO</t>
  </si>
  <si>
    <t>70238915</t>
  </si>
  <si>
    <t>HUAQUI HUAMAN DAYANA MAYULI LISBETH</t>
  </si>
  <si>
    <t>71436539</t>
  </si>
  <si>
    <t>BARRETO LOYA PATRICIA VICTORIA</t>
  </si>
  <si>
    <t>45487366</t>
  </si>
  <si>
    <t>HUIDOBRO ROJAS ANGELA KARINA</t>
  </si>
  <si>
    <t>42682335</t>
  </si>
  <si>
    <t>BASILIO ROJAS CLEVER ULISES</t>
  </si>
  <si>
    <t>VIGILANTE</t>
  </si>
  <si>
    <t>45262945</t>
  </si>
  <si>
    <t>HURTADO BAUTISTA EVELYN SUSY</t>
  </si>
  <si>
    <t>42917202</t>
  </si>
  <si>
    <t>BASUALDO BERNUY GABY ZARELA</t>
  </si>
  <si>
    <t>46213157</t>
  </si>
  <si>
    <t>MAURTUA LOVATON DIANA CAROLINA</t>
  </si>
  <si>
    <t>45815493</t>
  </si>
  <si>
    <t>BAUTISTA CASTRO MARLITH EVELYN</t>
  </si>
  <si>
    <t>70894355</t>
  </si>
  <si>
    <t>NIÑO ESPINOZA HELEN JHUBITZA</t>
  </si>
  <si>
    <t>45616301</t>
  </si>
  <si>
    <t>BERNAL AYALA ROCIO ISABEL</t>
  </si>
  <si>
    <t>04021410</t>
  </si>
  <si>
    <t>PORRAS CALLUPE MARILU MARITZA</t>
  </si>
  <si>
    <t>46698291</t>
  </si>
  <si>
    <t>BLANCO TOLENTINO KATIA CLISETH</t>
  </si>
  <si>
    <t>44411057</t>
  </si>
  <si>
    <t>QUISPE ATENCIO GIANNINA GIULIANA</t>
  </si>
  <si>
    <t>46506117</t>
  </si>
  <si>
    <t>BLAS CELIS JOANNA VERONICA</t>
  </si>
  <si>
    <t>TRABAJADOR DE SERVICIO</t>
  </si>
  <si>
    <t>71888890</t>
  </si>
  <si>
    <t>QUISPE FLORES ESTHER ALVERTINA</t>
  </si>
  <si>
    <t>45535275</t>
  </si>
  <si>
    <t>BONILLA ZUÑIGA MANRIQUE ROLY</t>
  </si>
  <si>
    <t>72158399</t>
  </si>
  <si>
    <t>RAMOS ESTRELLA YISSELA</t>
  </si>
  <si>
    <t>46010028</t>
  </si>
  <si>
    <t>BRAVO MAURICIO GIANNINA AYDEE</t>
  </si>
  <si>
    <t>71719433</t>
  </si>
  <si>
    <t>RIVERA BALDEON MARIA DEL CARMEN ALICIA</t>
  </si>
  <si>
    <t>41100137</t>
  </si>
  <si>
    <t>BREÑA PAREDES JORGE MARINO</t>
  </si>
  <si>
    <t>45078289</t>
  </si>
  <si>
    <t>RUIZ ROSAS FRANKLIN ROBERTH</t>
  </si>
  <si>
    <t>44735826</t>
  </si>
  <si>
    <t>CABELLO ENCARNACION BETTSY ROCIO</t>
  </si>
  <si>
    <t>OBSTETRIZ</t>
  </si>
  <si>
    <t>42586565</t>
  </si>
  <si>
    <t>SALVATIERRA CELIS JOSE LUIS</t>
  </si>
  <si>
    <t>45849709</t>
  </si>
  <si>
    <t>CACERES ROJAS VERONICA LUZ</t>
  </si>
  <si>
    <t>70930009</t>
  </si>
  <si>
    <t>SANCHEZ GARCIA KATERIN TATIANA</t>
  </si>
  <si>
    <t>44431834</t>
  </si>
  <si>
    <t>CALDERON INOCENTE NANCY LUZ</t>
  </si>
  <si>
    <t>43761585</t>
  </si>
  <si>
    <t>SANTOS ILLESCAS SILVIA LIZ</t>
  </si>
  <si>
    <t>46493705</t>
  </si>
  <si>
    <t>CALLUPE GORA LOURDES MARGARITA</t>
  </si>
  <si>
    <t>TECNICO EN FARMACIA</t>
  </si>
  <si>
    <t>40740808</t>
  </si>
  <si>
    <t>SOTO GARCIA EDELVINA GIOVANNA</t>
  </si>
  <si>
    <t>45917585</t>
  </si>
  <si>
    <t>CAMONES RAMOS YISENA</t>
  </si>
  <si>
    <t>43928350</t>
  </si>
  <si>
    <t>SOTO VICENTE HEIDI DENISSE</t>
  </si>
  <si>
    <t>43878241</t>
  </si>
  <si>
    <t>CANCHUMANI TUCTO EMILY SHEYLA</t>
  </si>
  <si>
    <t>43151414</t>
  </si>
  <si>
    <t>TORRES MANDARACHI ROCIO LIZ</t>
  </si>
  <si>
    <t>20902745</t>
  </si>
  <si>
    <t>CARBAJAL PONCE NELY AIDE</t>
  </si>
  <si>
    <t>73958803</t>
  </si>
  <si>
    <t>TORRES RIVAS ROSARIO DIANA</t>
  </si>
  <si>
    <t>46466622</t>
  </si>
  <si>
    <t>CARDENAS CUETO CONSUELO RUTH</t>
  </si>
  <si>
    <t>45206040</t>
  </si>
  <si>
    <t>URETA ANTICONA XIOMARA CARMEN</t>
  </si>
  <si>
    <t>42985037</t>
  </si>
  <si>
    <t>CARDENAS VALENTIN HERMELINDA CECILIA</t>
  </si>
  <si>
    <t>71123243</t>
  </si>
  <si>
    <t>VALLE FERNANDEZ ELIZABETH MIRIAM</t>
  </si>
  <si>
    <t>47020425</t>
  </si>
  <si>
    <t>VICTORIO CRUZ GIULIANA LOURDES</t>
  </si>
  <si>
    <t>46336251</t>
  </si>
  <si>
    <t>CARHUAMACA CELEDONIO KATHERYNE LILIANA</t>
  </si>
  <si>
    <t>04050567</t>
  </si>
  <si>
    <t>VILCA VALER MADELEINE JUDITH</t>
  </si>
  <si>
    <t>04074562</t>
  </si>
  <si>
    <t>CARHUAMACA CUELLAR MARIA ELENA</t>
  </si>
  <si>
    <t>41279771</t>
  </si>
  <si>
    <t>YAURI CELIS LIDA</t>
  </si>
  <si>
    <t>41319242</t>
  </si>
  <si>
    <t>CARHUAS TORIBIO EDITH KATERIN</t>
  </si>
  <si>
    <t>04056501</t>
  </si>
  <si>
    <t>COLQUI HUAMAN ANTONIO</t>
  </si>
  <si>
    <t>INGENIERO AMBIENTAL</t>
  </si>
  <si>
    <t>44366202</t>
  </si>
  <si>
    <t>SALVADOR SERRANO SILVIA SUSANA</t>
  </si>
  <si>
    <t>42004206</t>
  </si>
  <si>
    <t>CASTAÑEDA MANCILLA VERONICA</t>
  </si>
  <si>
    <t>09624888</t>
  </si>
  <si>
    <t>AVENDAÑO VERA DAVID ALFONSO</t>
  </si>
  <si>
    <t>71744021</t>
  </si>
  <si>
    <t>CASTILLO MATIAS JOSELYN CARMIN</t>
  </si>
  <si>
    <t>46104074</t>
  </si>
  <si>
    <t>CASTRO DAMIAN KATHERINE ARACELY</t>
  </si>
  <si>
    <t>71958930</t>
  </si>
  <si>
    <t>CARHUAS VELI GERALDINE KARLA</t>
  </si>
  <si>
    <t>42946767</t>
  </si>
  <si>
    <t>CAVERO AVALOS MARVIN LENIN</t>
  </si>
  <si>
    <t>BIOLOGO(A)</t>
  </si>
  <si>
    <t>42080383</t>
  </si>
  <si>
    <t>CERSSO ORCADA DANILO RENAN</t>
  </si>
  <si>
    <t>41228601</t>
  </si>
  <si>
    <t>ESPINOZA CHAUCA MARIBEL ELIZABETH</t>
  </si>
  <si>
    <t>10150548</t>
  </si>
  <si>
    <t>CAYO BOLARTE YULY BETTY</t>
  </si>
  <si>
    <t>MEDICO PSIQUIATRA</t>
  </si>
  <si>
    <t>42332389</t>
  </si>
  <si>
    <t>GUZMAN VERGARA CARLOS EDUARDO</t>
  </si>
  <si>
    <t>04069782</t>
  </si>
  <si>
    <t>CELIS ROJAS MERY JOVITA</t>
  </si>
  <si>
    <t>44603074</t>
  </si>
  <si>
    <t>JULCA RAMIREZ ELIZABETH MERCEDES</t>
  </si>
  <si>
    <t>45970841</t>
  </si>
  <si>
    <t>CENTENO GONZALES CRISTHIAN ANDERSON</t>
  </si>
  <si>
    <t>45682957</t>
  </si>
  <si>
    <t>MORE PRADO NATALIA NIEVES</t>
  </si>
  <si>
    <t>43073285</t>
  </si>
  <si>
    <t>QUISPE CAÑAPATAÑA REY</t>
  </si>
  <si>
    <t>46190398</t>
  </si>
  <si>
    <t>CHACON LEON ZAYDA</t>
  </si>
  <si>
    <t>70849629</t>
  </si>
  <si>
    <t>SAEZ ALMERCO MONER DANIEL</t>
  </si>
  <si>
    <t>70522573</t>
  </si>
  <si>
    <t>CHACON SANTIAGO MARITSA ERIKA</t>
  </si>
  <si>
    <t>43217527</t>
  </si>
  <si>
    <t>TORIBIO BUSTILLOS MARLENI</t>
  </si>
  <si>
    <t>43879007</t>
  </si>
  <si>
    <t>CHAGUA BALDEON AMPARO ERIKA</t>
  </si>
  <si>
    <t>09309572</t>
  </si>
  <si>
    <t>UCHUYA TIPACTI JORGE</t>
  </si>
  <si>
    <t>43532650</t>
  </si>
  <si>
    <t>CHAMORRO VILLANUEVA FLOR MAGDALENA</t>
  </si>
  <si>
    <t>46348059</t>
  </si>
  <si>
    <t>ALVAREZ RAMOS YISELA</t>
  </si>
  <si>
    <t>71095461</t>
  </si>
  <si>
    <t>CHAVEZ ESTRELLA DAISY EDITH</t>
  </si>
  <si>
    <t>70867399</t>
  </si>
  <si>
    <t>CHAVEZ PALACIOS JUANA ELENA</t>
  </si>
  <si>
    <t>46403313</t>
  </si>
  <si>
    <t>CHOQUE ROJAS EYLIN GLADYS</t>
  </si>
  <si>
    <t>73769999</t>
  </si>
  <si>
    <t>CHUCOS ANAYA YAJAIDA NATALY</t>
  </si>
  <si>
    <t>42584751</t>
  </si>
  <si>
    <t>CRISTOBAL ORTIZ DENIS VIOLETA</t>
  </si>
  <si>
    <t>45653702</t>
  </si>
  <si>
    <t>CIRINEO CAJAHUANCA JOSELYN VICTORIA</t>
  </si>
  <si>
    <t>71047046</t>
  </si>
  <si>
    <t>FLORES OSORIO KAREN YESSICA</t>
  </si>
  <si>
    <t>70553198</t>
  </si>
  <si>
    <t>COLLAZOS VALERIO JIMMY JONATHAN</t>
  </si>
  <si>
    <t>42897286</t>
  </si>
  <si>
    <t>GUTIERREZ ASIS NATHALIE LIZ</t>
  </si>
  <si>
    <t>43312112</t>
  </si>
  <si>
    <t>COLLAZOS VALERIO VERONICA ROCIO</t>
  </si>
  <si>
    <t>42535043</t>
  </si>
  <si>
    <t>LEON USURIAGA ZORAIDA JANET</t>
  </si>
  <si>
    <t>48812125</t>
  </si>
  <si>
    <t>LOPEZ GARCIA JAQUELIN OLGA</t>
  </si>
  <si>
    <t>45757375</t>
  </si>
  <si>
    <t>COLQUI NINACO CESIA TABITA</t>
  </si>
  <si>
    <t>45116417</t>
  </si>
  <si>
    <t>PASCUAL DIONICIO KALIA LUZ</t>
  </si>
  <si>
    <t>04075357</t>
  </si>
  <si>
    <t>CONDEZO CHAVEZ MIRIAM EDITH</t>
  </si>
  <si>
    <t>45934512</t>
  </si>
  <si>
    <t>POVIS CELIS LIZ CATHERINE</t>
  </si>
  <si>
    <t>04086643</t>
  </si>
  <si>
    <t>CONDOR CALLUPE JUDY JULITA</t>
  </si>
  <si>
    <t>45626734</t>
  </si>
  <si>
    <t>SOLORZANO LLANA KATHERINE JUDI</t>
  </si>
  <si>
    <t>40217092</t>
  </si>
  <si>
    <t>CORDOVA RAMOS JUAN BOSCO</t>
  </si>
  <si>
    <t>04067472</t>
  </si>
  <si>
    <t>CORDOVA TICSE LEONI GLADYS</t>
  </si>
  <si>
    <t>46104352</t>
  </si>
  <si>
    <t>CORNELIO ESPINOZA MARIBEL</t>
  </si>
  <si>
    <t>45202026</t>
  </si>
  <si>
    <t>GOMEZ CALDERON EDITH MAGALY</t>
  </si>
  <si>
    <t>45246512</t>
  </si>
  <si>
    <t>GONZALES NEYRA IBY TATIANA</t>
  </si>
  <si>
    <t>42193611</t>
  </si>
  <si>
    <t>CRISTOBAL ALCANTARA KALY ZULEMA</t>
  </si>
  <si>
    <t>42984903</t>
  </si>
  <si>
    <t>JIMENEZ DEL VALLE EDDY YUBELA</t>
  </si>
  <si>
    <t>45260665</t>
  </si>
  <si>
    <t>RAMOS COCHACHI KADITA MIRTHA</t>
  </si>
  <si>
    <t>46183297</t>
  </si>
  <si>
    <t>RIVAS RAMOS CLESY</t>
  </si>
  <si>
    <t>04068330</t>
  </si>
  <si>
    <t>CUYA TRINIDAD MARUJA IRMA</t>
  </si>
  <si>
    <t>70524255</t>
  </si>
  <si>
    <t>MELO RAMOS ERIKA NEVINS</t>
  </si>
  <si>
    <t>20436136</t>
  </si>
  <si>
    <t>CUYUTUPA VASQUEZ NANCY VIRGINIA</t>
  </si>
  <si>
    <t>04082894</t>
  </si>
  <si>
    <t>OLIVARES PEÑA ROSARIO DE JESUS</t>
  </si>
  <si>
    <t>44669623</t>
  </si>
  <si>
    <t>DAGA TORRES ROCIO PILAR</t>
  </si>
  <si>
    <t>41075399</t>
  </si>
  <si>
    <t>VALENZUELA DAVILA JAVIER</t>
  </si>
  <si>
    <t>70223922</t>
  </si>
  <si>
    <t>DELGADO RAJO JESMERI HABIGAIL</t>
  </si>
  <si>
    <t>41374718</t>
  </si>
  <si>
    <t>VILCA COLQUI IDELIZA JAQUELINE</t>
  </si>
  <si>
    <t>43342612</t>
  </si>
  <si>
    <t>DORREGARAY COLCA HENRRY ENRIQUE</t>
  </si>
  <si>
    <t>73447076</t>
  </si>
  <si>
    <t>ECHEVARRIA MESIAS LEONOR SARDY</t>
  </si>
  <si>
    <t>20901333</t>
  </si>
  <si>
    <t>GUERE ECHAVARRIA NOEMI DINA</t>
  </si>
  <si>
    <t>44384419</t>
  </si>
  <si>
    <t>MAYTA CASTRO GISELLA RUTH</t>
  </si>
  <si>
    <t>40144094</t>
  </si>
  <si>
    <t>ESPINOZA COLLAO CELIA</t>
  </si>
  <si>
    <t>43346704</t>
  </si>
  <si>
    <t>OROSCO LEON ALEYDA JANETH</t>
  </si>
  <si>
    <t>41900082</t>
  </si>
  <si>
    <t>ESPINOZA HUARANGA DINA ZORAIDA</t>
  </si>
  <si>
    <t>TECNOLOGO MEDICO</t>
  </si>
  <si>
    <t>45852877</t>
  </si>
  <si>
    <t>PALACIOS PAITAN MICHAEL JIMMY</t>
  </si>
  <si>
    <t>43098136</t>
  </si>
  <si>
    <t>ESPIRITU TAQUIRE HARRY JHONNY</t>
  </si>
  <si>
    <t>72768033</t>
  </si>
  <si>
    <t>TIMANA RODRIGUEZ DAGMAR JHANET</t>
  </si>
  <si>
    <t>40806860</t>
  </si>
  <si>
    <t>RAMOS QUISPE RENEE</t>
  </si>
  <si>
    <t>QUIMICO FARMACEUTICO</t>
  </si>
  <si>
    <t>45278189</t>
  </si>
  <si>
    <t>HILARIO CONDOR ROCIO NATALY</t>
  </si>
  <si>
    <t>TECNICO ADMINISTRATIVO CONTABL</t>
  </si>
  <si>
    <t>04080579</t>
  </si>
  <si>
    <t>ESTRELLA CHAGUA EMILIA JULIA</t>
  </si>
  <si>
    <t>46511796</t>
  </si>
  <si>
    <t>YANAYACO TRINIDAD YATSEN RUSSELL</t>
  </si>
  <si>
    <t>45552465</t>
  </si>
  <si>
    <t>EVANGELISTA RAMOS DELIA INES</t>
  </si>
  <si>
    <t>70210481</t>
  </si>
  <si>
    <t>FALCON CRISTOBAL AURORA PRIXXI</t>
  </si>
  <si>
    <t>48824209</t>
  </si>
  <si>
    <t>FALCON FAUSTINO ADELAIDA JHORDANA</t>
  </si>
  <si>
    <t>74420510</t>
  </si>
  <si>
    <t>CABELLO SOTO JUDY MAGALY</t>
  </si>
  <si>
    <t>41470809</t>
  </si>
  <si>
    <t>CAÑA DEZA WILDER FELIX</t>
  </si>
  <si>
    <t>70806745</t>
  </si>
  <si>
    <t>FLORES SUNCHA YANET</t>
  </si>
  <si>
    <t>40635445</t>
  </si>
  <si>
    <t>GOMEZ CLIMACO BETSABE</t>
  </si>
  <si>
    <t>41294159</t>
  </si>
  <si>
    <t>HINOSTROZA GARCIA ROSSABELTH CRISTINA</t>
  </si>
  <si>
    <t>41556583</t>
  </si>
  <si>
    <t>HUATUCO SANCHEZ HENRY FELIX</t>
  </si>
  <si>
    <t>04071057</t>
  </si>
  <si>
    <t>GOMEZ PICOY DE LUIS JUDITH LOURDES</t>
  </si>
  <si>
    <t>80046138</t>
  </si>
  <si>
    <t>MENDOZA CHAMORRO WALTER ALFREDO</t>
  </si>
  <si>
    <t>43417210</t>
  </si>
  <si>
    <t>PAGAN CUELLAR JOSE DE JESUS</t>
  </si>
  <si>
    <t>43673465</t>
  </si>
  <si>
    <t>GUERRA RIVERA ROXANA LAURA</t>
  </si>
  <si>
    <t>72752918</t>
  </si>
  <si>
    <t>PEÑA CARHUARICRA LUIS ALBERTO</t>
  </si>
  <si>
    <t>40125191</t>
  </si>
  <si>
    <t>POMA MIRANDA JAQUELINE</t>
  </si>
  <si>
    <t>47176983</t>
  </si>
  <si>
    <t>GUZMAN BORJA GIMBEL</t>
  </si>
  <si>
    <t>43595631</t>
  </si>
  <si>
    <t>RODRIGUEZ ROMERO RICHARD YERSSON</t>
  </si>
  <si>
    <t>48162481</t>
  </si>
  <si>
    <t>TORIBIO MEZA LESLYE ESTEFANY</t>
  </si>
  <si>
    <t>43974091</t>
  </si>
  <si>
    <t>HINOSTROZA CHAMORRO JUAN GILMER</t>
  </si>
  <si>
    <t>40332984</t>
  </si>
  <si>
    <t>HUAYNATE POMA JUSTINA</t>
  </si>
  <si>
    <t>TECNICO EN COMPUTACION E INFOR</t>
  </si>
  <si>
    <t>45616292</t>
  </si>
  <si>
    <t>HUALLPA CONDORI JOSE LUIS</t>
  </si>
  <si>
    <t>72159485</t>
  </si>
  <si>
    <t>HUAMAN CRUZ JHONATAN PEDRO</t>
  </si>
  <si>
    <t>71231775</t>
  </si>
  <si>
    <t>CIRIACO POMA MERCEDES</t>
  </si>
  <si>
    <t>46336246</t>
  </si>
  <si>
    <t>ILDEFONSO ALBERTO XIMENA GENOVEVA</t>
  </si>
  <si>
    <t>44336348</t>
  </si>
  <si>
    <t>MALPASO HUAROMO DIGNA EMERITA</t>
  </si>
  <si>
    <t>45424794</t>
  </si>
  <si>
    <t>INGA COSME EDER GABRIEL</t>
  </si>
  <si>
    <t>46431279</t>
  </si>
  <si>
    <t>MARTEL MELGAREJO VIVIANA JHASMIN</t>
  </si>
  <si>
    <t>72737183</t>
  </si>
  <si>
    <t>INOCENTE AYALA LIZBETH YASMINE</t>
  </si>
  <si>
    <t>46849040</t>
  </si>
  <si>
    <t>MEZA ALVINO MARIBEL</t>
  </si>
  <si>
    <t>04078460</t>
  </si>
  <si>
    <t>JANAMPA RAMIREZ ELENA</t>
  </si>
  <si>
    <t>42530801</t>
  </si>
  <si>
    <t>PALACIN RIVERA EDSON AMILCAR</t>
  </si>
  <si>
    <t>44513768</t>
  </si>
  <si>
    <t>PALOMINO DIAZ NANCY NELIDA</t>
  </si>
  <si>
    <t>70223869</t>
  </si>
  <si>
    <t>JIMENEZ RAMIREZ LUIS ROBERTO</t>
  </si>
  <si>
    <t>04072731</t>
  </si>
  <si>
    <t>PANDURO VELASQUEZ MARCO ANTONIO</t>
  </si>
  <si>
    <t>41391439</t>
  </si>
  <si>
    <t>RICSE DAVILA YESICA ISABEL</t>
  </si>
  <si>
    <t>04069185</t>
  </si>
  <si>
    <t>JUSTINIANO HUAMAN MARIBEL SILVIA</t>
  </si>
  <si>
    <t>41807618</t>
  </si>
  <si>
    <t>RIVERA TAPIA VANESSA CECILIA</t>
  </si>
  <si>
    <t>70090914</t>
  </si>
  <si>
    <t>LEON CORNELIO LISBETH EVELIN</t>
  </si>
  <si>
    <t>45052475</t>
  </si>
  <si>
    <t>ROSALES AYALA ZORAYDA VICTORIA</t>
  </si>
  <si>
    <t>40381762</t>
  </si>
  <si>
    <t>SANCHEZ QUILCA MARITZA</t>
  </si>
  <si>
    <t>43855652</t>
  </si>
  <si>
    <t>LINO SILVESTRE MARTHA ESTILITA</t>
  </si>
  <si>
    <t>45624419</t>
  </si>
  <si>
    <t>SUASNABAR ORTEGA NANCY GISSELA</t>
  </si>
  <si>
    <t>04222614</t>
  </si>
  <si>
    <t>LLANQUI JANAMPA MIRIAM</t>
  </si>
  <si>
    <t>40825525</t>
  </si>
  <si>
    <t>TARAZONA DAMASO ELVA</t>
  </si>
  <si>
    <t>76095696</t>
  </si>
  <si>
    <t>LOBATON MAYTA MEDALIN JESSICA</t>
  </si>
  <si>
    <t>46044489</t>
  </si>
  <si>
    <t>TEMPLADERA CHAMORRO ELENA</t>
  </si>
  <si>
    <t>44849419</t>
  </si>
  <si>
    <t>TORRES PALACIN HILDA</t>
  </si>
  <si>
    <t>60086383</t>
  </si>
  <si>
    <t>LOPEZ JULCA EVA LIZ</t>
  </si>
  <si>
    <t>46873006</t>
  </si>
  <si>
    <t>VILA DE LA CRUZ LIZETH</t>
  </si>
  <si>
    <t>42836875</t>
  </si>
  <si>
    <t>LOVATON DAVILA DENISSE MARINA</t>
  </si>
  <si>
    <t>44070632</t>
  </si>
  <si>
    <t>LUCAS VENTURA JHONY DAVID</t>
  </si>
  <si>
    <t>47304754</t>
  </si>
  <si>
    <t>PEREZ HUAMAN ROSA EVELYN</t>
  </si>
  <si>
    <t>72086515</t>
  </si>
  <si>
    <t>LUNA RAMIREZ RUDDY JESSENIA</t>
  </si>
  <si>
    <t>47610132</t>
  </si>
  <si>
    <t>MALPARTIDA BAZAN JACQUELINE ROXANA</t>
  </si>
  <si>
    <t>44365193</t>
  </si>
  <si>
    <t>MALPARTIDA MINAYA GERVER PRIMITIVO</t>
  </si>
  <si>
    <t>48223682</t>
  </si>
  <si>
    <t>MENDOZA MARIN ADA LIZ</t>
  </si>
  <si>
    <t>46096763</t>
  </si>
  <si>
    <t>MATEO VILLANUEVA HENRY LUDWING</t>
  </si>
  <si>
    <t>04004863</t>
  </si>
  <si>
    <t>MEZA GABRIEL DELIA ISABEL</t>
  </si>
  <si>
    <t>41073900</t>
  </si>
  <si>
    <t>MATIAS MORALES KARINA JANET</t>
  </si>
  <si>
    <t>60511758</t>
  </si>
  <si>
    <t>MAURICIO VALENZUELA LIZETH DANITHZA</t>
  </si>
  <si>
    <t>TECNICO EN SALUD AMBIENTAL</t>
  </si>
  <si>
    <t>04082875</t>
  </si>
  <si>
    <t>MEZA SOLIS EDITH GLADYS</t>
  </si>
  <si>
    <t>42702338</t>
  </si>
  <si>
    <t>MONAGO APELO MAURA</t>
  </si>
  <si>
    <t>45333113</t>
  </si>
  <si>
    <t>CUEVA ESPINOZA ANGEL LUIS</t>
  </si>
  <si>
    <t>72621382</t>
  </si>
  <si>
    <t>MUÑOZ ATENCIO YOSSI KEBELIN</t>
  </si>
  <si>
    <t>70853612</t>
  </si>
  <si>
    <t>NESTARES VEGA KATHERIN ROCIO</t>
  </si>
  <si>
    <t>10427252</t>
  </si>
  <si>
    <t>PICOY PAREDES CESAR ALFREDO</t>
  </si>
  <si>
    <t>43992935</t>
  </si>
  <si>
    <t>NIÑO ESPINOZA YOVANA JACKELIN</t>
  </si>
  <si>
    <t>42464835</t>
  </si>
  <si>
    <t>VILLANUEVA RAMIREZ JULIO CESAR</t>
  </si>
  <si>
    <t>45350270</t>
  </si>
  <si>
    <t>ORTEGA CAMPOS JOSE ALBERTO</t>
  </si>
  <si>
    <t>41930374</t>
  </si>
  <si>
    <t>ORTIZ CAMPOS BETTY LUZ</t>
  </si>
  <si>
    <t>71050503</t>
  </si>
  <si>
    <t>PAGAN CHAMORRO YANINA LIZBETH</t>
  </si>
  <si>
    <t>45790731</t>
  </si>
  <si>
    <t>PALPA SANTAMARIA NOHELY ARIANA</t>
  </si>
  <si>
    <t>70237786</t>
  </si>
  <si>
    <t>PAREJA ROJAS MARIA PILAR</t>
  </si>
  <si>
    <t>04080959</t>
  </si>
  <si>
    <t>PICOY ORTEGA ELSA LUZ</t>
  </si>
  <si>
    <t>46228551</t>
  </si>
  <si>
    <t>POMA OSORIO ROSANGELA</t>
  </si>
  <si>
    <t>70211703</t>
  </si>
  <si>
    <t>PONCE RIVERA MARYBEL PAOLA</t>
  </si>
  <si>
    <t>45962388</t>
  </si>
  <si>
    <t>PONCE RIVERA SILVIA PAOLA</t>
  </si>
  <si>
    <t>75002762</t>
  </si>
  <si>
    <t>PONCE ROJAS CARMEN GUADALUPE</t>
  </si>
  <si>
    <t>70476491</t>
  </si>
  <si>
    <t>PORTILLO MACHACA KATHY MAGALY</t>
  </si>
  <si>
    <t>42193614</t>
  </si>
  <si>
    <t>PUENTE GOMEZ MERY KARINA</t>
  </si>
  <si>
    <t>43483964</t>
  </si>
  <si>
    <t>QUISPE CANORIO ANGELA IDANIA</t>
  </si>
  <si>
    <t>71235593</t>
  </si>
  <si>
    <t>RAFAELO JANAMPA YAC JORGE</t>
  </si>
  <si>
    <t>04086232</t>
  </si>
  <si>
    <t>RAMIREZ NAJERA JESUS PASCUAL</t>
  </si>
  <si>
    <t>70973949</t>
  </si>
  <si>
    <t>RAMOS CARBAJAL KATHERINHE MARLENY</t>
  </si>
  <si>
    <t>40643875</t>
  </si>
  <si>
    <t>RAMOS CHAVEZ LUISA VICTORIA</t>
  </si>
  <si>
    <t>70652316</t>
  </si>
  <si>
    <t>REATEGUI CASTRO MARLON AYRTON</t>
  </si>
  <si>
    <t>45860826</t>
  </si>
  <si>
    <t>REY PALPAN CINTHIA MILAGROS</t>
  </si>
  <si>
    <t>72695783</t>
  </si>
  <si>
    <t>REYNOSO SANDOVAL MERCEDES</t>
  </si>
  <si>
    <t>71217035</t>
  </si>
  <si>
    <t>RIVERA HUAMAN LILIANA SANDRA</t>
  </si>
  <si>
    <t>46730838</t>
  </si>
  <si>
    <t>RIVERA VELASQUEZ YINA YANINA</t>
  </si>
  <si>
    <t>72020247</t>
  </si>
  <si>
    <t>ROBLES ATENCIO CLIDER MANUEL</t>
  </si>
  <si>
    <t>44427007</t>
  </si>
  <si>
    <t>ROJAS CARBAJAL FLOR DE MARIA</t>
  </si>
  <si>
    <t>47508012</t>
  </si>
  <si>
    <t>ROJAS DAMASO STACY KENNER</t>
  </si>
  <si>
    <t>04071631</t>
  </si>
  <si>
    <t>ROJAS ESPINOZA LUZ MERY</t>
  </si>
  <si>
    <t>70807168</t>
  </si>
  <si>
    <t>ROQUE CALLUPE MARIA ANDREA</t>
  </si>
  <si>
    <t>45629928</t>
  </si>
  <si>
    <t>SACHAHUAMAN HURTADO CINTHYA MADELEYNE</t>
  </si>
  <si>
    <t>46483336</t>
  </si>
  <si>
    <t>SALAZAR TRUJILLO GISEL MARILIA</t>
  </si>
  <si>
    <t>71054134</t>
  </si>
  <si>
    <t>SALVADOR ORTEGA EMILY SHIRLEY</t>
  </si>
  <si>
    <t>43578538</t>
  </si>
  <si>
    <t>SALVADOR PEÑA SILVIA IVONNE</t>
  </si>
  <si>
    <t>44408372</t>
  </si>
  <si>
    <t>SANTA CRUZ BAYLON GLADYS JULISSA</t>
  </si>
  <si>
    <t>40417839</t>
  </si>
  <si>
    <t>SINCHE CALIXTO JESSICA JHOVANA</t>
  </si>
  <si>
    <t>72961426</t>
  </si>
  <si>
    <t>SOLIS DAGA ROCIO</t>
  </si>
  <si>
    <t>41794405</t>
  </si>
  <si>
    <t>TORDOCILLO RAMOS LIZ AQUILA</t>
  </si>
  <si>
    <t>72790193</t>
  </si>
  <si>
    <t>TORRES CRUZ BEATRIZ LUCIA</t>
  </si>
  <si>
    <t>40948834</t>
  </si>
  <si>
    <t>TORRES ROSALES DEYSSY LILIANA</t>
  </si>
  <si>
    <t>46425006</t>
  </si>
  <si>
    <t>TORRES VILCA HERLINDA CLAUDIA</t>
  </si>
  <si>
    <t>45235894</t>
  </si>
  <si>
    <t>TRINIDAD MENDOZA ROXANA KATHERIN</t>
  </si>
  <si>
    <t>42457812</t>
  </si>
  <si>
    <t>VALDERRAMA SALDIVAR DE TRUJILLO KARINA</t>
  </si>
  <si>
    <t>71226675</t>
  </si>
  <si>
    <t>VALENTIN LAZO AMPARO MILAGROS</t>
  </si>
  <si>
    <t>72869696</t>
  </si>
  <si>
    <t>VARGAS VILCA JESUS ALBERTO</t>
  </si>
  <si>
    <t>46872108</t>
  </si>
  <si>
    <t>VENTOCILLA NOLASCO MELINA FRANCHESCA</t>
  </si>
  <si>
    <t>42652771</t>
  </si>
  <si>
    <t>VILLEGAS HUAMAN MILAGROS DEL PILAR</t>
  </si>
  <si>
    <t>80480836</t>
  </si>
  <si>
    <t>VILLENA ALMERCO MARCO ANTONIO</t>
  </si>
  <si>
    <t>72461467</t>
  </si>
  <si>
    <t>YACHAS JIMENEZ GUADALUPE</t>
  </si>
  <si>
    <t>48602443</t>
  </si>
  <si>
    <t>YALE HERMITAÑO ELVIS HANS</t>
  </si>
  <si>
    <t>45251004</t>
  </si>
  <si>
    <t>ZARATE GUZMAN KAROLINA CANDY</t>
  </si>
  <si>
    <t>CONTRATOS ADMINISTRATIVOS CAS</t>
  </si>
  <si>
    <t>ENFERMERA(O) M-1</t>
  </si>
  <si>
    <t>TOTAL (B)</t>
  </si>
  <si>
    <t xml:space="preserve">UE: SALUD PASCO </t>
  </si>
  <si>
    <t>558</t>
  </si>
  <si>
    <t>563</t>
  </si>
  <si>
    <t>COSTO TOTAL EN PLANILLAS  CAS (*)</t>
  </si>
  <si>
    <t>69</t>
  </si>
  <si>
    <t xml:space="preserve"> AGUINALDO Y GRATIFICACIONES CAS</t>
  </si>
  <si>
    <t>84</t>
  </si>
  <si>
    <t>NOTA : (*) EN EL COSTO TOTAL DE PLANILLA SE ENCUENTRA GRATIFICACIONES Y CARGAS SOCIALES</t>
  </si>
  <si>
    <t xml:space="preserve">UE: 400 -SALUD PASCO </t>
  </si>
  <si>
    <t>TOTAL ADMINISTRATIVOS</t>
  </si>
  <si>
    <t>N-3</t>
  </si>
  <si>
    <t>02</t>
  </si>
  <si>
    <t>N-2</t>
  </si>
  <si>
    <t>N-1</t>
  </si>
  <si>
    <t>03</t>
  </si>
  <si>
    <t>01</t>
  </si>
  <si>
    <t>OBSTETRAS</t>
  </si>
  <si>
    <t>08</t>
  </si>
  <si>
    <t xml:space="preserve">TECNICO ENFERMERIA </t>
  </si>
  <si>
    <t>OTRAS PROFESIONES</t>
  </si>
  <si>
    <t>NUTRICIONISTA  N-24</t>
  </si>
  <si>
    <t>MEDICO VETERINARIO</t>
  </si>
  <si>
    <t>EDUCADOR PARA LA SALUD</t>
  </si>
  <si>
    <t>TECNICOS EN TRANSPORTE</t>
  </si>
  <si>
    <t>05</t>
  </si>
  <si>
    <t>NIVELES DESCONOCIDOS (OTROS)</t>
  </si>
  <si>
    <t>TOTAL ASISTENCIALES</t>
  </si>
  <si>
    <t>MEDICO I</t>
  </si>
  <si>
    <t>OBSTETRA I</t>
  </si>
  <si>
    <t>CIRUJANO DENTISTA I</t>
  </si>
  <si>
    <t>04</t>
  </si>
  <si>
    <t>BIOLOGO</t>
  </si>
  <si>
    <t>TOTAL SERUMNISTAS</t>
  </si>
  <si>
    <t>CONTRATO ADMINISTRATIVO DE SERVICIOS CAS</t>
  </si>
  <si>
    <t>06</t>
  </si>
  <si>
    <t>07</t>
  </si>
  <si>
    <t>GOBIERNO REGIONAL CALLAO</t>
  </si>
  <si>
    <t>SEDE CENTRAL</t>
  </si>
  <si>
    <t>INOCENTE DE URETA EMMA</t>
  </si>
  <si>
    <t>ALQUILADO</t>
  </si>
  <si>
    <t>NO</t>
  </si>
  <si>
    <t>1 AÑO</t>
  </si>
  <si>
    <t>3500.00</t>
  </si>
  <si>
    <t>MENSUAL</t>
  </si>
  <si>
    <t xml:space="preserve">INMOBILIARIA MISKY </t>
  </si>
  <si>
    <t>3,687.28</t>
  </si>
  <si>
    <t>29497.98</t>
  </si>
  <si>
    <r>
      <t>ALVA CHACA GLEEN EDDY</t>
    </r>
    <r>
      <rPr>
        <sz val="12"/>
        <color indexed="8"/>
        <rFont val="Cambria"/>
        <family val="1"/>
      </rPr>
      <t xml:space="preserve"> </t>
    </r>
  </si>
  <si>
    <t>3,000.00</t>
  </si>
  <si>
    <t>17,500.00</t>
  </si>
  <si>
    <t>COZ BALDEON DORIS MARIBLE</t>
  </si>
  <si>
    <t>2,500.00</t>
  </si>
  <si>
    <t>18.500.00</t>
  </si>
  <si>
    <t>G4-VI</t>
  </si>
  <si>
    <t>MC-4</t>
  </si>
  <si>
    <t>DS</t>
  </si>
  <si>
    <t>OTROS PROFESIONALES</t>
  </si>
  <si>
    <t>UE: 402 SALUD  UTES OXAPAMPA</t>
  </si>
  <si>
    <t>CARRERA MEDICA Y PROFESIONALES  DE LA SALUD</t>
  </si>
  <si>
    <t>COMPENSACION POR TIEMPO DE SERVICIOS (CTS)</t>
  </si>
  <si>
    <t>ASIGNACION POR CUMPLIR 25 O 30 AÑOS</t>
  </si>
  <si>
    <t xml:space="preserve">  </t>
  </si>
  <si>
    <t>BONIFICACION ADICIONAL POR VACACIONES</t>
  </si>
  <si>
    <t>UNIFORME PERSONAL ADMINISTRATIVO</t>
  </si>
  <si>
    <t>APORTES A LOS FONDOS DE PENSIONES</t>
  </si>
  <si>
    <t>CONTRIBUCIONES A ESSALUD</t>
  </si>
  <si>
    <t>OTRAS CONTRIBUCIONES DEL EMPLEADOR</t>
  </si>
  <si>
    <t>GOBIERNO REGIONAL PASCO</t>
  </si>
  <si>
    <t>UE 200 TRANSPORTES PASCO</t>
  </si>
  <si>
    <t>ALBENGRIN MENDEZ ROSARIO MIRIAM</t>
  </si>
  <si>
    <t>1 año</t>
  </si>
  <si>
    <t>UE 002 PASCO SELVA CENTRAL (1460)</t>
  </si>
  <si>
    <t>BISALAYA JIMENEZ DE BOTTGER BELISSA</t>
  </si>
  <si>
    <t>PROPIO</t>
  </si>
  <si>
    <t>UE: 002 SELVA CENTRAL</t>
  </si>
  <si>
    <t>GOBIERNO REGIONAL DEL DEPARTAMENTO DE PASCO</t>
  </si>
  <si>
    <t>REGIÓN PASCO - EDUCACIÓN OXAPAMPA</t>
  </si>
  <si>
    <t>PANDURO MICHI ROBERTO CUTY</t>
  </si>
  <si>
    <t>S/N</t>
  </si>
  <si>
    <t>ENERO - MARZO 2020</t>
  </si>
  <si>
    <t xml:space="preserve">MENSUAL </t>
  </si>
  <si>
    <t>SOCIEDAD DE GALLEROS DE OXAPAMPA S.R.L</t>
  </si>
  <si>
    <t>ENERO - ABRIL, JUNIO, DICIEMBRE 2019</t>
  </si>
  <si>
    <t>IMPORTACIONES NOBLEJAS E.I.R.L.</t>
  </si>
  <si>
    <t>JUNIO - JULIO 2019</t>
  </si>
  <si>
    <t>INVERSIONES Y NEGOCIACIONES PANDURO</t>
  </si>
  <si>
    <t>ORTIZ ÑAHUINRIPA JESSICA</t>
  </si>
  <si>
    <t>MAYO - NOVIEMBRE 2019</t>
  </si>
  <si>
    <t>PEREZ CONTRERAS NORMA TEOFILA</t>
  </si>
  <si>
    <t>SETIEMBRE - OCTUBRE</t>
  </si>
  <si>
    <t>ADARMES CASTILLO CRISTIAN LUIS</t>
  </si>
  <si>
    <t>FEBRERO - JULIO 2018</t>
  </si>
  <si>
    <t>ROJAS MARIN ALEX MANUEL</t>
  </si>
  <si>
    <t>MAYO - DICIEMBRE 2018</t>
  </si>
  <si>
    <t>COLEGIO NACIONAL TECNICO INTEGHRADO</t>
  </si>
  <si>
    <t>ESTATAL</t>
  </si>
  <si>
    <t>AGOSTO</t>
  </si>
  <si>
    <t>UE: 301 EDUCACION OXAPAMPA</t>
  </si>
  <si>
    <t>EJECUCIÓN DE LA OBRA ¿MEJORAMIENTO DE LOS SERVICIOS EDUCATIVOS PARA EL APRENDIZAJE DE LOS ALUMNOS DEL NIVEL PRIMARIA EN LA RED EDUCATIVA AVANZANDO JUNTOS DEL DISTRITO DE YANAHUANCA, PROVINCIA DANIEL CARRIÓN, REGIÓN DE PASCO¿ CÓDIGO SNIP 250662</t>
  </si>
  <si>
    <t>LP-SM-4-2019-GRP/OBRAS-1</t>
  </si>
  <si>
    <t>EJECUCION DE OBRA REPARACION DE DEFENSA RIBEREÑA QUEBRADA SANTA ROSA Y MOSQUETA DISTRITO DE HUARIACA PROVINCIA PASCO DEPARTAMENTO PASCO</t>
  </si>
  <si>
    <t>LP-SM-5-2019-GRP/OBRAS-1</t>
  </si>
  <si>
    <t>EJECUCION DE OBRA REPARACION DE MURO DE CONTENCION EN EL LA INSTITUCION EDUCATIVA N 34122 EN LA LOCALIDAD HUAYLASJIRCA DISTRITO DE YANAHUANCA PROVINCIA DANIEL ALCIDES CARRION DEPARTAMENTO PASCO</t>
  </si>
  <si>
    <t>AS-SM-11-2019-GRP/OBRAS-1</t>
  </si>
  <si>
    <t>EJECUCION DEOBRA REPARACION DE DEFENSA RIBEREÑA ENROCADO EN EL RIO SAL C P PUENTE PAUCARTAMBO DISTRITO DE VILLA RICA PROVINCIA OXAPAMPA DEPARTAMENTO PASCO</t>
  </si>
  <si>
    <t>AS-SM-7-2019-GRP/OBRAS-1</t>
  </si>
  <si>
    <t>EJECUCION DE OBRA REPARACION DE DEFENSA RIBEREÑA EN EL (LA) RIO TINGO EN LA LOCALIDAD CHACRA COLORADA DISTRITO DE SAN FRANCISCO DE ASIS DE YARUSYACAN PROVINCIA PASCO DEPARTAMENTO PASCO</t>
  </si>
  <si>
    <t>AS-SM-8-2019-GRP/OBRAS-1</t>
  </si>
  <si>
    <t>EJECUCIÓN DE OBRA "REPARACIÓN DE DEFENSA RIBEREÑA EN EL (LA) RÍO HUALLAGA EN LA LOCALIDAD VILLA BATANCHACA, DISTRITO DE SAN FRANCISCO DE ASIS DE YARUSYACAN, PROVINCIA PASCO DEPARTAMENTO PASCO" CON CÓDIGO CUI 2448755</t>
  </si>
  <si>
    <t>AS-SM-15-2019-GRP/OBRAS-1</t>
  </si>
  <si>
    <t>EJECUCIÓN DE LA OBRA "REPARACIÓN DE PUENTE PEATONAL; EN EL (LA) RÍO CUCHIS LOCALIDAD DE CUCHIS, DISTRITO DE VILCABAMBA, PROVINCIA DANIEL ALCIDES CARRION, DEPARTAMNETO PASCO" CON CUI 2441954</t>
  </si>
  <si>
    <t>AS-SM-13-2019-GRP/OBRAS-1</t>
  </si>
  <si>
    <t>EJECUCION DE OBRA "REPARACION DE DEFENSA RIBEREÑA; EN LA LOCALIDAD PAMPANIA (VIRGEN DEL ROSARIO) DISTRITO DE SANTA ANA DE TUSI, PROVINCIA DANIEL ALCIDES CARRION, DEPARTAMENTO PASCO" CON CUI 2439316</t>
  </si>
  <si>
    <t>AS-SM-12-2019-GRP/OBRAS-1</t>
  </si>
  <si>
    <t>CONTRATACION DE LA EJECUCION DE LA OBRA "REPARACION DE MURO DE CONTENCION; EN EL (LA) RUTA PA 515 EN LA LOCALIDAD PAMPAMARCA, DISTRITO DE VILCABAMBA PROVINCIA DANIEL ALCIDES CARRION DEPARTAMENTO PASCO" CON CUI 2448755</t>
  </si>
  <si>
    <t>AS-SM-14-2019-GRP/OBRAS-1</t>
  </si>
  <si>
    <t xml:space="preserve">EJECUCION DEOBRA REPARACION DE PUENTE PEATONAL DEL SECTOR RINCONADA DISTRITO DE POZUZO PROVINCIA OXAPAMPA DEPARTAMENTO PASCO </t>
  </si>
  <si>
    <t>AS-SM-10-2019-GRP/OBRAS-1</t>
  </si>
  <si>
    <t>EJECUCION DE OBRA REPARACIÓN DE DEFENSA RIBEREÑA EN LA LOCALIDAD USPACHACA DISTRITO DE TAPUC PROVINCIA DANIEL ALCIDES CARRION DEPARTAMENTO PASCO</t>
  </si>
  <si>
    <t>AS-SM-9-2019-GRP/OBRAS-1</t>
  </si>
  <si>
    <t>CONTRATACIÓN DE LA EJECUCIÓN DE LA OBRA: ¿REPARACIÓN DE CONEXIONES DOMICILIARIAS DE AGUA POTABLE DESAGÜE Y CONDUCTO ELÉCTRICO EN LA ALDEA INFANTIL SAN NICOLÁS DISTRITO DE YANACANCHA PROVINCIA DE PASCO DEPARTAMENTO PASCO¿.</t>
  </si>
  <si>
    <t>AS-SM-6-2019-GRP/OBRAS-1</t>
  </si>
  <si>
    <t>Ejecución de Obra: Construcción, mejoramiento y ampliación de la Avenida de salida desde Santa Isabel de Pelmaz - Puente Tunchi, Distrito Puerto Bermudez, Provincia Oxapampa, Región Pasco</t>
  </si>
  <si>
    <t>LP-SM-3-2019-GRP/OBRAS-1</t>
  </si>
  <si>
    <t>Ejecución de Obra: Mejoramiento del Servicio Educativo en el Colegio Nacional Agropecuario Integrado 53 San Francisco de Asis, Distrito Oxapampa, Provincia Oxapampa, Región Pasco</t>
  </si>
  <si>
    <t>LP-SM-1-2019-GRP/OBRAS-1</t>
  </si>
  <si>
    <t>EJECUCION DEL PROYECTO MEJORAMIENTO DEL PUENTE USHUN DEL CENTRO POBLADO DE LUCMA DISTRITO DE HUACHON PROVINCIA DE PASCO REGION PASCO</t>
  </si>
  <si>
    <t>AS-SM-3-2019-GRP/OBRAS-1</t>
  </si>
  <si>
    <t xml:space="preserve">EJECUCIÓN DE LA OBRA MEJORAMIENTO DE LA CARRETERA TRAMO PAUCARTAMBO CHUPACA COCHAMBRA DISTRITO DE PAUCARTAMBO PROVINCIA REGION PASCO </t>
  </si>
  <si>
    <t>LP-SM-2-2019-GRP/OBRAS-1</t>
  </si>
  <si>
    <t>Contratación para Ejecución de Obra: Mejora de la Capacidad Resolutiva y Operativa del Hospital Román Egoavil Pando, Distrito Villa Rica, Provincia Oxapampa, Región Pasco.</t>
  </si>
  <si>
    <t>AS-SM-2-2019-GRP/OBRAS-1</t>
  </si>
  <si>
    <t>EJECUCION DEL SALDO DE OBRA CONSTRUCCION DEL PUENTE CARROZABLE PRUSIA - POZUZO</t>
  </si>
  <si>
    <t>AS-SM-4-2019-GRP/OBRAS-1</t>
  </si>
  <si>
    <t>Ejecucion de la Obra Ampliacion del Sistema de Riego de Algapa Clusman Distrito Vilcabamba Provincia Daniel Alcides Carrión Región Pasco.</t>
  </si>
  <si>
    <t>AS-SM-7-2018-GRP/OBRAS-2</t>
  </si>
  <si>
    <t>Ejecución de la Obra: Construcción del Sistema de Riego en la Comunidad de Chinche Yanahuanca, Distrito Yanahuanca, Provincia Daniel Alcides Carrión, Región Pasco</t>
  </si>
  <si>
    <t>Contratación para Ejecución de Obra: Mejora de Capacidades Resolutivas y Operativa del Hospital Román Egoavil Pando, Distrito Villa Rica, Provincia Oxapampa, Región Pasco.</t>
  </si>
  <si>
    <t>Ejecución de la Obra: Mejoramiento y ampliación de la Capacidad Resolutiva y Operativa del Hospital Román Egoavil Pando, Distrito Villa Rica, Provincia Oxapampa, Región Pasco</t>
  </si>
  <si>
    <t>Ejecución de la Obra: Mejoramiento de la Carretera tramo Cerro de Pasco - La Quinua, Distrito Yanacancha, Provincia y Región Pasco</t>
  </si>
  <si>
    <t>AS-SM-1-2019-GRP/OBRAS-1</t>
  </si>
  <si>
    <t>CONTRATACIÓN DE LA EJECUCIÓN DE LA OBRA: ¿MEJORAMIENTO DE PISTAS Y VEREDAS DE LA AVENIDA BOLIVAR DE LA URBANIZACION SAN JUAN, DISTRITO DE YANACANCHA - PASCO ¿ PASCO¿</t>
  </si>
  <si>
    <t>LP-SM-6-2020-GRP/OBRAS-1</t>
  </si>
  <si>
    <t>Reservado</t>
  </si>
  <si>
    <t>EJECUCION DE LA OBRA MEJORAMIENTO DEL SERVICIO DE DRENAJE PLUVIAL EN LA ZONA URBANA DEL DISTRITO DE CHAUPIMARCA PROVINCIA DE PASCO DEPARTAMENTO DE PASCO</t>
  </si>
  <si>
    <t>LP-SM-5-2020-GRP/OBRAS-1</t>
  </si>
  <si>
    <t>EJECUCION DE OBRA "INSTALACION DE LA PLANTA DE TRATAMIENTO DE AGUAS RESIDUALES PUCAYACU PARA EL AA HH HAYA DE LA TORRE ,TECHO PROPIO, COLUMNA PASCO, ASOCIACIONES DE VIVIENDA LOS JARDINES DE PUCAYACU Y LOS PROCERES - DISTRITO DE YANACANCHA PROVINCIA PASCO Y REGION PASCO CON CUI 2173289</t>
  </si>
  <si>
    <t>LP-SM-4-2020-GRP/OBRAS-1</t>
  </si>
  <si>
    <t>EJECUCIÓN DE LA OBRA: ¿MEJORAMIENTO Y AMPLIACIÓN DE LA CAPACIDAD TÉCNICA OPERATIVA ACUÍCOLA DE LA DIRECCIÓN REGIONAL DE LA REPRODUCCIÓN PASCO - REGIÓN PASCO¿- PRODUCTO 3 CENTRO ACUÍCOLA NOCHOOS, ACCIÓN 3.1 CONSTRUCCIÓN DEL CENTRO ACUÍCOLA CÓDIGO ÚNICO 2173514.</t>
  </si>
  <si>
    <t>LP-SM-3-2020-GRP/OBRAS-1</t>
  </si>
  <si>
    <t>CONTRATACIÓN DE LA EJECUCIÓN DE LA OBRA: ¿REPARACIÓN DE DEFENSA RIBEREÑA ANEXO SOCORRO DISTRITO DE HUACHÓN, PROVINCIA PASCO, DEPARTAMENTO PASCO¿. CUI 2439254.</t>
  </si>
  <si>
    <t>AS-SM-4-2020-GRP/OBRAS-1</t>
  </si>
  <si>
    <t>CONTRATACIÓN DE LA EJECUCIÓN DE LA OBRA: ¿REPARACIÓN DE AULA EN EL (LA) II. EE. N° 34211 DISTRITO PALCAZU PROVINCIA OXAPAMPA, DEPARTAMENTO PASCO¿, CON CUI 2451364</t>
  </si>
  <si>
    <t>AS-SM-2-2020-GRP/OBRAS-1</t>
  </si>
  <si>
    <t>CONTRATACIÓN DE LA EJECUCIÓN DE LA OBRA: ¿REPARACIÓN DE AULA EN EL (LA) I. E. INTEGRADO BIL N° 34417 MIRITIRIANI DISTRITO DE PUERTO BERMÚDEZ, PROVINCIA OXAPAMPA, DEPARTAMENTO PASCO¿. CON CUI 2451363.</t>
  </si>
  <si>
    <t>AS-SM-3-2020-GRP/OBRAS-1</t>
  </si>
  <si>
    <t>EJECUCION DE LA OBRA CONSTRUCCION DEL SISTEMA DE EVACUACION DE AGUAS PLUVIALES DEL CC.PP CHANGO DISTRITO DE CHACAYAN PROVINCIA DANIELE ALCIDES CARRION REGION PASCO</t>
  </si>
  <si>
    <t>LP-SM-2-2020-GRP/OBRAS-1</t>
  </si>
  <si>
    <t>Ejecución de Obra: "Mejoramiento del Servicio Educativo en el Colegio Nacional Agropecuario Integrado N° 53 San Francisco de Asis, Distrito Oxapampa, Provincia Oxapampa, Región Pasco"</t>
  </si>
  <si>
    <t>AS-SM-1-2020-GRP/OBRAS-1</t>
  </si>
  <si>
    <t>CONTRATACIÓN DE LA EJECUCIÓN DE LA OBRA: LA EJECUCIÓN DEL SALDO DE OBRA DEL PROYECTO: ¿MEJORAMIENTO DE LA CARRETERA CARHUAMAYO ¿ PAUCARTAMBO ¿ DIVISIÓN EL MILAGRO ¿ LLAUPI ¿ OXAPAMPA, TRAMO KM 37+000 ¿ KM 45+300¿. CON CUI N° 2029683.</t>
  </si>
  <si>
    <t>LP-SM-1-2020-GRP/OBRAS-1</t>
  </si>
  <si>
    <t xml:space="preserve"> GOBIERNO REGIONAL DE PASCO </t>
  </si>
  <si>
    <t xml:space="preserve">GOBIERNO REGIONAL </t>
  </si>
  <si>
    <t>SOCIEDAD DE BENEFICIENCIA DE PASCO</t>
  </si>
  <si>
    <t>185.00</t>
  </si>
  <si>
    <t>1850.00</t>
  </si>
  <si>
    <t>ORTIZ DE JIMENEZ NELLY ROSA</t>
  </si>
  <si>
    <t>880.00</t>
  </si>
  <si>
    <t>8800.00</t>
  </si>
  <si>
    <t>TAQUIRE PALACIOS AUGUSTO</t>
  </si>
  <si>
    <t>200.00</t>
  </si>
  <si>
    <t>2000.00</t>
  </si>
  <si>
    <t>DELI BONILLA LOPEZ</t>
  </si>
  <si>
    <t>1000.00</t>
  </si>
  <si>
    <t>9000.00</t>
  </si>
  <si>
    <t>UE: EDUCACION PASCO</t>
  </si>
  <si>
    <t>CORNELIO FAUSTINO JOSE ABEL</t>
  </si>
  <si>
    <t>AIRE HUACCHO JANETH BEATRIZ</t>
  </si>
  <si>
    <t>RUPAY MALPARTIDA JANETH BEATRIZ</t>
  </si>
  <si>
    <t>YAURI VALERIO JUAN JOSE DANIEL</t>
  </si>
  <si>
    <t>GIRON RAMIREZ JHONATAN JOE</t>
  </si>
  <si>
    <t>PORRAS JARAMILLO RICARDO WALTER</t>
  </si>
  <si>
    <t>CALDERON CARHUAS EDWIN ALFONSO</t>
  </si>
  <si>
    <t>UE:  001 SEDE CENTRAL</t>
  </si>
  <si>
    <t>UE : 887 TRANSPORTES</t>
  </si>
  <si>
    <t>UE 100 AGRICULTURA PASCO</t>
  </si>
  <si>
    <t xml:space="preserve"> 1 ADQUISICIÓN DE MEDICAMENTOS DE USO ANIMAL PARA EL PROGRAMA PRESUPUESTAL PP 068 REDUCCION DE LA VULNERABILIDAD Y ATENCION DE EMERGENCIA POR DESASTRES</t>
  </si>
  <si>
    <t xml:space="preserve">AS </t>
  </si>
  <si>
    <t>ENTIDAD</t>
  </si>
  <si>
    <t>1-2019-DRAPASCO-1</t>
  </si>
  <si>
    <t>20489629471-CONSORCIO EL CAMPESINO</t>
  </si>
  <si>
    <t>culminado</t>
  </si>
  <si>
    <t>UNA SOLA ENTREGA</t>
  </si>
  <si>
    <t>2 ADQUISICION DE SEMOVIENTES DE PROCEDENCIA NACIONAL ¿ DONANTES DE EMBRIONES PARA CARNE Y LECHE PARA EL PROYECTO "MEJORAMIENTO DE LAS CAPACIDADES CON INNOVACIONES TECNOLOGICAS PARA EL FORTALECIMIENTO DE LAS CADENAS PRODUCTIVAS DE LECHE Y CARNE DE GANADO VACUNO EN LOS OCHO DISTRITOS DE LA PROVINCIA DE OXAPAMPA",</t>
  </si>
  <si>
    <t xml:space="preserve">LP </t>
  </si>
  <si>
    <t>20489412811-GANADERIA Y COMERCIO DEL CENTRO S.R.L.</t>
  </si>
  <si>
    <t>ENTREGAS PERIODICAS</t>
  </si>
  <si>
    <t>3 CONTRATACION DE SERVICIO DE CONSULTORIA PARA ELABORACION DE PLANES DE NEGOCIO, PARA EL PROYECTO "MEJORAMIENTO DE LAS CAPACIDADES CON INNOVACIONES TECNOLOGICAS PARA EL FORTALECIMIENTO DE LAS CADENAS PRODUCTIVAS DE LECHE Y CARNE DE GANADO VACUNO EN LOS OCHO DISTRITOS DE LA PROVINCIA DE OXAPAMPA",</t>
  </si>
  <si>
    <t>2-2019-DRAPASCO-3</t>
  </si>
  <si>
    <t>20495810845-AGROSERVICIOS LA PRADERA S.R.L.</t>
  </si>
  <si>
    <t>4 ADQUISICION DE PLANTONES FORESTALES PARA EL PROYECTO "MEJORAMIENTO DE LAS CAPACIDADES CON INNOVACIONES TECNOLOGICAS PARA EL FORTALECIMIENTO DE LAS CADENAS PRODUCTIVAS DE LECHE Y CARNE DE GANADO VACUNO EN LOS OCHO DISTRITOS DE LA PROVINCIA DE OXAPAMPA</t>
  </si>
  <si>
    <t>3-2019-DRAPASCO-1</t>
  </si>
  <si>
    <t>20602858996-AGROFORESTAL GENESIS SOCIEDAD ANONIMA CERRADA</t>
  </si>
  <si>
    <t xml:space="preserve">5  ADQUISICIÓN DE SEMOVIENTES DONANTES DE EMBRIONES PARA CARNE Y LECHE REPRODUCTORES DE VAQUILLONES PARA EL PROYECTO MEJORAMIENTO DE LAS CAPACIDADES CON INNOVACIONES TECNOLÓGICAS PARA EL FORTALECIMIENTO DE LAS CADENAS PRODUCTIVAS DE LECHE Y CARNE DE GANADO VACUNO EN LOS OCHO DISTRITOS DE LA PROVINCIA DE OXAPAMPA </t>
  </si>
  <si>
    <t>2-2019-DRAPASCO-1</t>
  </si>
  <si>
    <t>20514224651-PRAYURAK</t>
  </si>
  <si>
    <t>en ejecucion</t>
  </si>
  <si>
    <t>6 ADQUISICION DE MEDICAMENTOS VETERINARIOS PP 0068 ¿ EN LA ATENCION DE EMERGENCIA POR BAJAS TEMPERATURAS PARA ATENDER A LOS ANIMALES AFECTADOS DE LAS ESPECIES DE OVINOS Y ALPACAS EN LAS DOS PROVINCIAS DE LA REGION PASCO</t>
  </si>
  <si>
    <t>1-2020-DRAP-2</t>
  </si>
  <si>
    <t>20601052921-INVERSIONES PROAVET E.I.R.L.</t>
  </si>
  <si>
    <t>UE 001 SEDE CENTRAL</t>
  </si>
  <si>
    <t>UNIDAD EJECUTORA: 1461 UGEL PASCO</t>
  </si>
  <si>
    <t>AÑO 2019</t>
  </si>
  <si>
    <t>1 ADQUISICION DEMATERIAL DE LIMPIEZA</t>
  </si>
  <si>
    <t>205733007594- MULTISERVICIOS GRUPO ESPIRITU SAC</t>
  </si>
  <si>
    <t>CULMINADO</t>
  </si>
  <si>
    <t>2 ADQUISICION DE JUEGOS LUDICOS</t>
  </si>
  <si>
    <t>10428083411- CONSORCIO DIDACTICO</t>
  </si>
  <si>
    <t>AÑO 2020</t>
  </si>
  <si>
    <t xml:space="preserve">1 ADQUISICION DE MOBILIARIO </t>
  </si>
  <si>
    <t>EN CONVOCATORIA</t>
  </si>
  <si>
    <t>2 ADQUISICION DE KAMISHIHUAY</t>
  </si>
  <si>
    <t>SECTOR o GOB. REGIONAL: UE 002 PASCO SELVA CENTRAL (1460)</t>
  </si>
  <si>
    <t>1 SERVICIO A TODO COSTO DE CORTE EN ROCA FIJA, PERFORADA Y DISPARO PARA LA OBRA: CONSTRUCCIÓN DEL CAMINO RURAL SAN LUIS, SAN CRISTÓBAL, DISTRITO DE POZUZO, PROVINCIA DE OXAPAMPA, REGIÓN PASCO</t>
  </si>
  <si>
    <t>A.S.</t>
  </si>
  <si>
    <t>PROCEDIMIENTO CLASICO</t>
  </si>
  <si>
    <t>4-2020-GRP/UEPSC-1</t>
  </si>
  <si>
    <t>EN ETAPA DE OTORGAMIENTO DE BUENA PRO</t>
  </si>
  <si>
    <t>120 DIAS CALENDARIOS</t>
  </si>
  <si>
    <t>PROYECTO POR ADM,INISTRACION DIRECTA</t>
  </si>
  <si>
    <t>2 ADQUISICIÓN DE FIBRA DE ACERO 65/60 BG PARA LA EJECUCIÓN DE LA OBRA: CONSTRUCCIÓN DE MURO DE CONTENCIÓN; DEFENSA RIBEREÑA TRAMO DEL PUENTE RÍO NEGRO AL PUENTE REVERENDO PADRE JOSÉ EGG, DISTRITO DE POZUZO, PROVINCIA DE OXAPAMPA, DEPARTAMENTO DE PASCO</t>
  </si>
  <si>
    <t>2-2020-GRP/UEPSC-1</t>
  </si>
  <si>
    <t>20604168971 - VELVET ASOCIADOS E.I.R.L.</t>
  </si>
  <si>
    <t>EN ETAPA DE SUSCRIPCION DE CONTRATO</t>
  </si>
  <si>
    <t>05 DIAS CALENDARIOS</t>
  </si>
  <si>
    <t>3 ADQUISICIÓN DE PLANCHA PVC PARA LA OBRA: MEJORAMIENTO Y AMPLIACIÓN DE SISTEMAS DE ABASTECIMIENTO DE AGUA POTABLE Y ALCANTARILLADO DEL DISTRITO DE OXAPAMPA, PROVINCIA DE OXAPAMPA, REGIÓN PASCO</t>
  </si>
  <si>
    <t>3-2020-GRP/UEPSC-1</t>
  </si>
  <si>
    <t>20601837162 - GRUPO EMPRESARIAL ANTEZANO E.I.R.L.</t>
  </si>
  <si>
    <t>4 SERVICIO DE ALQUILER DE EXCAVADORA SOBRE ORUGAS PARA LA EJECUCIÓN DE LA OBRA: CONSTRUCCIÓN DEL CAMINO RURAL SAN LUIS, SAN CRISTOBAL, DISTRITO DE POZUZO, PROVINCIA DE OXAPAMPA, DEPARTAMENTO DE PASCO</t>
  </si>
  <si>
    <t>1-2020-GRP/UEPSC-1</t>
  </si>
  <si>
    <t>CONSORCIO - CONSORCIO SAN JOSE</t>
  </si>
  <si>
    <t>5 ADQUISICIÓN DE COMBUSTIBLE DESTINADO PARA MAQUINARIAS Y EQUIPOS MENORES EN LA EJECUCIÓN DE LA OBRA: CONSTRUCCIÓN DEL CAMINO RURAL SAN LUIS, SAN CRISTOBAL, DISTRITO POZUZO, PROVINCIA DE OXAPAMPA, DEPARTAMENTO PASCO - PERIODO 2020</t>
  </si>
  <si>
    <t>S.I.</t>
  </si>
  <si>
    <t>PROCEDIMIENTO ELECTRONICO</t>
  </si>
  <si>
    <t>20182049086 - GRIFO JOAR S.R.L.</t>
  </si>
  <si>
    <t>EN ETAPA CONTRACTUAL</t>
  </si>
  <si>
    <t>SEGÚN CONSUMO</t>
  </si>
  <si>
    <t>6 ADQUISICIÓN DE VARILLAS DE ACERO CORRUGADO F4200KG/CM2 GRADO 60 DE 5/8, 3/4,1, 3/8 Y 1/2, PARA LA OBRA CONSTRUCCIÓN DE MURO DE CONTENCIÓN DEFENSA RIBEREÑA TRAMO DEL PUENTE RIO NEGRO AL PUENTE REVERENDO PADRE JOSÉ EGG DISTRITO DE POZUZO, PROVINCIA DE OXAPAMPA, DEPARTAMENTO DE PASCO</t>
  </si>
  <si>
    <t>20568934157 - CONSTRUCTORA &amp; FERRETERA YOHMIL SOCIEDAD ANÓNIMA CERRADA</t>
  </si>
  <si>
    <t>SEGÚN CRONOGRAMA</t>
  </si>
  <si>
    <t>1 ADQUISICIÓN DE KIT PARA LIMPIEZA BUCAL PARA ADULTO</t>
  </si>
  <si>
    <t>COMPARACIÓN DE PRECIOS</t>
  </si>
  <si>
    <t>COMPRE-SM-5-2019-DIRESA PASCO-1</t>
  </si>
  <si>
    <t>20604523282-CORP. SANCHEZ Y CIA S.A.C.</t>
  </si>
  <si>
    <t>2 ADQUISICIÓN DE KIT ONTOLÓGICO PARA LIMPIEZA BUCAL PEDIÁTRICO</t>
  </si>
  <si>
    <t>COMPRE-SM-4-2019-DIRESA PASCO-1</t>
  </si>
  <si>
    <t>3 ADQUISICIÓN DE HIERRO (FIERRO) POLIMALTOSA DE 50mg/ml SOL 20ml.</t>
  </si>
  <si>
    <t>SUBASTA INVERSA ELECTRÓNICA</t>
  </si>
  <si>
    <t>SIE-SIE-2-2019-DIRESA PASCO-1</t>
  </si>
  <si>
    <t>20392764373-DROGUERIA CADILLO SAC</t>
  </si>
  <si>
    <t>4 ADQUISICIÓN DE ESPECTOFOTOMETRO SEMIAUTOMÁTICO PARA LA DIRESA PASCO</t>
  </si>
  <si>
    <t>ADJUDICACIÓN SIMPLIFICADA</t>
  </si>
  <si>
    <t>AS-SM-9-2019-DIRESA PASCO-1</t>
  </si>
  <si>
    <t>20550386438-TODONEG S.A.C.</t>
  </si>
  <si>
    <t>5 ADQUISICIÓN DE EQUIPOS BAÑO MARÍA 10L</t>
  </si>
  <si>
    <t>COMPRE-SM-3-2019-DIRESA PASCO-1</t>
  </si>
  <si>
    <t>20602481809-TERRA MEDICA E.I.R.L.-TERRAMED E.I.R.L.</t>
  </si>
  <si>
    <t>6 ADQUISICIÓN DE REGISTRADOR DE DATOS - DATA LOGGER</t>
  </si>
  <si>
    <t>COMPRE-SM-2-2019-DIRESA PASCO-1</t>
  </si>
  <si>
    <t>20600984528-SURK'AY PERU S.A.C.</t>
  </si>
  <si>
    <t>7 ADQUISICIÓN DE UNIFORMES PARA LOS TRABAJADORES DE LA DIRECCIÓN REGIONAL DE SALUD PASCO</t>
  </si>
  <si>
    <t>AS-SM-10-2019-DIRESA PASCO-1</t>
  </si>
  <si>
    <t>20600933508-MITO ASOCIADOS S.A.C.</t>
  </si>
  <si>
    <t>8 ADQUISICIÓN DE REFRIGERADORAS DE TIPO ICE LINED PARA LA CADENA DE FRIO DE LA DIRECCIÓN REGIONAL DE SALUD PASCO</t>
  </si>
  <si>
    <t>AS-SM-8-2019-DIRESA PASCO-1</t>
  </si>
  <si>
    <t>20433546394-EDALMI S.A.C.</t>
  </si>
  <si>
    <t>9 CONTRATACIÓN DE SERVICIO DE INTERNET PARA LOS ESTABLECIMIENTOS DE SALUD DE LA DIRESA PASCO (RED PASCO Y RED DANIEL ALCIDES CARRION)</t>
  </si>
  <si>
    <t>AS-SM-5-2019-DIRESA PASCO-1</t>
  </si>
  <si>
    <t>20573175400-CLIC 21 SOCIEDAD ANONIMA CERRADA</t>
  </si>
  <si>
    <t>10 ADQUISICION DE COMBUSTIBLE GASOLINA DE 90 OCTANOS PARA LAS OFICINAS DE LA DIRESA PASCO</t>
  </si>
  <si>
    <t>SIE-SIE-3-2019-DIRESA PASCO-1</t>
  </si>
  <si>
    <t>10040721172-ESPINOZA DE PALACIOS ANTONIETA LUZ</t>
  </si>
  <si>
    <t>11 CONTRATACIÓN DE SERVICIOS DE MANTENIMIENTO PREVENTIVO Y CORRECTIVO DE LAS COBERTURAS DEL CENTRO DE SALUD HUARIACA - PASCO</t>
  </si>
  <si>
    <t>AS-SM-4-2019-DIRESA-PASCO-1</t>
  </si>
  <si>
    <t>20542489627-CONSORCIO SALUD HUARIACA</t>
  </si>
  <si>
    <t>12 CONTRATACIÓN DE EMPRESA OPERADORA DE RESIDUOS SÓLIDOS DE RECOLECCIÓN, TRASLADO Y DISPOSICIÓN FINAL DE RESIDUOS SÓLIDOS (EPS - RS)</t>
  </si>
  <si>
    <t>AS-SM-3-2019-DIRESA PASCO-1</t>
  </si>
  <si>
    <t>20542417634-CONSORCIO CORLAM Y FLAVICH PERU</t>
  </si>
  <si>
    <t>13 ADQUISICIÓN DE HEMOGLOBINOMETRO PORTÁTIL PARA ATENCIÓN INTEGRAL EN LOS EE.SS. DE LA DIRESA PASCO</t>
  </si>
  <si>
    <t>AS-SM-6-2019-DIRESA PASCO-1</t>
  </si>
  <si>
    <t>20501887286-DIAGNOSTICA PERUANA S.A.C.</t>
  </si>
  <si>
    <t>14 ADQUISICIÓN DE EQUIPOS DE AGUA PARA REALIZAR MONITOREO DE PARÁMETROS DE CAMPO EN LA ZONA URBANA Y RURAL EN EL MARCO DEL FED</t>
  </si>
  <si>
    <t>AS-SM-7-2019-DIRESA PASCO-1</t>
  </si>
  <si>
    <t>20601622549-CH &amp; S MEDILAB S.A.C.
20516225964-GIARDINO DEL PERU SRL
20516225964-GIARDINO DEL PERU SRL</t>
  </si>
  <si>
    <t>15 ADQUISICIÓN DE HIERRO (FIERRO) POLIMALTOSA DE 50mg/ml SOL 20ml.</t>
  </si>
  <si>
    <t>16 ADQUISICIÓN DE CABINAS DE SEGURIDAD BIOLÓGICA - CÁMARA DE BIOSEGURIDAD CLASE II TIPO A2 X 4FT PARA LA DIRECCIÓN REGIONAL DE SALUD PASCO</t>
  </si>
  <si>
    <t>AS-SM-5-2019-DIRESA-PASCO-1</t>
  </si>
  <si>
    <t>20100488427-KOSSODO S.A.C.</t>
  </si>
  <si>
    <t>17 ADQUISICIÓN DE CAMILLA METÁLICA PARA EXAMEN GINECOLOGICO DE 3 POSICIONES</t>
  </si>
  <si>
    <t>COMPRE-SM-1-2019-DIRESA-PASCO-1</t>
  </si>
  <si>
    <t>18 ADQUISICION DE MICROCUBETAS DESCARTABLES PARA HEMOGLOBINOMETRO HEMOCONTROL X 50</t>
  </si>
  <si>
    <t>AS-SM-4-2019-DIRESA PASCO-1</t>
  </si>
  <si>
    <t>20557178857-BIOTEC MEDIC IMPORT E.I.R.L.</t>
  </si>
  <si>
    <t>19 ADQUISICION DE MATERIAL INSUMO MEDICO DE REACTIVOS PARA DOSAJE DE PLOMO EN SANGRE X 48 DETERMINACIONES</t>
  </si>
  <si>
    <t>AS-SM-3-2019-DIRESA-PASCO-2</t>
  </si>
  <si>
    <t>20473538408-LAB DEPOT S.A.</t>
  </si>
  <si>
    <t xml:space="preserve">20 CONTRATACION DE SERVICIO DE TRANSPORTE Y DISTRIBUCION DE PRODUCTOS FAMACEUTICOS DISPOSITIVOS MEDICOS </t>
  </si>
  <si>
    <t>AS-SM-2-2019-DIRESA PASCO-2</t>
  </si>
  <si>
    <t>20603028202-CONSORCIO ALFIL EXPRESS</t>
  </si>
  <si>
    <t>21 ADQUISICION DE HEMOGLOBIMETRO PORTATIL PARA EL CENTRO DE SALUD DE ULIACHIN</t>
  </si>
  <si>
    <t>AS-SM-2-2019-DIRESA-PASCO-1</t>
  </si>
  <si>
    <t>22 ADQUISICIÓN DE COMBUSTIBLE GASOHOL 90 PLUS PARA LOS PUESTOS DE SALUD DE LA DIRECCION DE SALUD PASCO</t>
  </si>
  <si>
    <t>SIE-SIE-1-2019-DIRESA-PASCO-2</t>
  </si>
  <si>
    <t>23 ADQUISICION DE EQUIPOS DE AGUA PARA REALIZAR MONITOREO DE PARAMETROS DE CAMPO EN LA ZONA RURAL</t>
  </si>
  <si>
    <t>AS-SM-1-2019-DIRESA-PASCO-1</t>
  </si>
  <si>
    <t>20600984528-SURK'AY PERU S.A.C.
20519063221-PROVI NOW SCIENTIFIC S.A.C.</t>
  </si>
  <si>
    <t>24 CONTRATACION DE SERVICIO DE INTERNET PARA LOS ESTABLECIMIENTOS PUNTOS DE DIGITACION DE LA UNIDAD DE SEGUROS</t>
  </si>
  <si>
    <t>AS-SM-1-2019-DIRESA PASCO-2</t>
  </si>
  <si>
    <t>20524671876-P &amp; P BUSINESS GROUP S.A.C.</t>
  </si>
  <si>
    <t>1. CONTRATACION DE ARRENDAMIENTO DE INMUEBLE PARA ALMACENAMIENTO ESPECIALIZADO DE MEDICAMENTOS</t>
  </si>
  <si>
    <t>CONTRATACIÓN DIRECTA</t>
  </si>
  <si>
    <t>DIRECTA-PROC-1-2020-DIRESA PASCO-1</t>
  </si>
  <si>
    <t>10040736579 - CHAMORRO PAULINO JHONNY EDGAR</t>
  </si>
  <si>
    <t>2. CONTRATACIÓN DE SERVICIO DE TRANSPORTE Y DISTRIBUCIÓN DE PRODUCTOS FARMACÉUTICOS, DISPOSITIVOS MÉDICOS (QUE REQUIERAN CADENA DE FRÍO Y LOS QUE NO REQUIERAN) Y PRODUCTOS SANITARIOS DESDE EL ALMACÉN ESPECIALIZADO DE MEDICAMENTOS A LAS REDES DE SALUD Y ESTABLECIMIENTOS DE SALUD DE LA REGIÓN PASCO</t>
  </si>
  <si>
    <t>AS-SM-1-2020-DIRESA PASCO-1</t>
  </si>
  <si>
    <t>20523209095 - ATOP EXPRESS SOCIEDAD ANONIMA CERRADA - ATOP EXPRESS S.A.C</t>
  </si>
  <si>
    <t>3. ADQUISICIÓN DE COMBUSTIBLE GASOHOL 90 PLUS PARA LOS PUESTOS DE SALUD DE LA DIRECCIÓN REGIONAL DE SALUD PASCO</t>
  </si>
  <si>
    <t>SIE-SIE-1-2020-DIRESA PASCO-1</t>
  </si>
  <si>
    <t>10040721172 - ESPINOZA DE PALACIOS ANTONIETA LUZ</t>
  </si>
  <si>
    <t>4. ADQUISICIÓN DE MATERIAL INSUMO MÉDICO DE REACTIVOS PARA DOSAJE DE PLOMO EN SANGRE POR 48 DETERMINACIONES PARA EL CENTRO DE SALUD HUARIACA</t>
  </si>
  <si>
    <t>AS-SM-1-2020-DIRESA-PASCO-1</t>
  </si>
  <si>
    <t>20473538408 - LAB DEPOT S.A.</t>
  </si>
  <si>
    <t>5. ADQUISICIÓN DE HEMOGLOBÍMETRO PORTÁTIL PARA EL CENTRO DE SALUD RANCAS</t>
  </si>
  <si>
    <t>AS-SM-2-2020-DIRESA-PASCO-1</t>
  </si>
  <si>
    <t>20501887286 - DIAGNOSTICA PERUANA S.A.C.</t>
  </si>
  <si>
    <t>6. CONTRATACIÓN DEL SERVICIO DE INTERNET PARA LOS ESTABLECIMIENTOS DE SALUD DE LA DIRESA PASCO (RED PASCO - RED DANIEL A. CARRIÓN)</t>
  </si>
  <si>
    <t>AS-SM-2-2020-DIRESA PASCO-1</t>
  </si>
  <si>
    <t>20573175400 - CLIC 21 SOCIEDAD ANONIMA CERRADA</t>
  </si>
  <si>
    <t>7. CONTRATACIÓN DE SERVICIO DE RECOLECCIÓN, TRASLADO Y DISPOSICIÓN FINAL DE RESIDUOS SÓLIDOS (EO-RS) PARA LOS ESTABLECIMIENTOS DE SALUD DE LA PROVINCIA DE PASCO Y RED DANIEL ALCIDES CARRIÓN</t>
  </si>
  <si>
    <t>DIRECTA-PROC-2-2020-DIRESA PASCO-1</t>
  </si>
  <si>
    <t>20542559935 - ECOLECTA SOCIEDAD COMERCIAL DE RESPONSABILIDAD LIMITADA</t>
  </si>
  <si>
    <t>8. ADQUISICIÓN DE COCHE DE PARO EQUIPADO PARA IMPLEMENTACIÓN DE LOS CATS EN EL ÁMBITO DE LA DIRESA PASCO</t>
  </si>
  <si>
    <t>DIRECTA-PROC-3-2020-DIRESA-PASCO-1</t>
  </si>
  <si>
    <t>20514325333 - MEDI MATIC S.A.C.</t>
  </si>
  <si>
    <t>9. SERVICIO DE ALQUILER DE HOTEL/HOSPEDAJE/HOSTAL PARA LA ATENCIÓN DE SALUD EN EL CENTRO DE AISLAMIENTO TEMPORAL Y SEGUIMIENTO (CATS) EN EL DISTRITO DE PAUCARTAMBO</t>
  </si>
  <si>
    <t>DIRECTA-PROC-3-2020-DIRESA PASCO-1</t>
  </si>
  <si>
    <t>10040776881 - PIZARRO CALLUPE CILAS</t>
  </si>
  <si>
    <t>10. SERVICIO DE MANTENIMIENTO CORRECTIVO DE AMBULANCIAS DE LA RED DE SALU PASCO Y DANIEL A. CARRIÓN</t>
  </si>
  <si>
    <t>COMPRE-SM-1-2020-GR-DIRESA PASCO-1</t>
  </si>
  <si>
    <t>20600362845 - EMPRESA NOMBRE PADRE HIJO LOPEZ SERVICIOS MULTIPLES SOCIEDAD COMERCIAL DE RESPONSABILIDAD LIMITADA</t>
  </si>
  <si>
    <t>11. SERVICIO DE ALQUILER DE HOTEL/HOSPEDAJE/HOSTAL PARA LA ATENCIÓN DE SALUD EN EL CENTRO DE AISLAMIENTO TEMPORAL Y SEGUIMIENTO (CATS) EN EL DISTRITO DE CHAUPIMARCA</t>
  </si>
  <si>
    <t>DIRECTA-PROC-4-2020-DIRESA PASCO-1</t>
  </si>
  <si>
    <t>20603787171 - JOYBER PERU SOCIEDAD ANONIMA CERRADA</t>
  </si>
  <si>
    <t>12. ADQUISICIÓN DE MASCARILLA DESCARTABLE TIPO N-95</t>
  </si>
  <si>
    <t>DIRECTA-PROC-4-2020-DIRESA-PASCO-1</t>
  </si>
  <si>
    <t>20600742575 - CIA. GRUPO V &amp; J IMPORT S.A.C.</t>
  </si>
  <si>
    <t>UE: 400 SALUD PASCO</t>
  </si>
  <si>
    <t>ADQUISICIÓN DE MOBILIARIO EDUCATIVO PARA EL NIVEL INICIAL - FED UGEL OXAPAMPA</t>
  </si>
  <si>
    <t>SIN MODALIDAD</t>
  </si>
  <si>
    <t>20548176574 - CORPORACION DAZA SOCIEDAD ANONIMA CERRADA - CORPORACION DAZA S.A.C.</t>
  </si>
  <si>
    <t>NINGUNO</t>
  </si>
  <si>
    <t>ADQUISICION DE JUEGOS DIDACTICOS PARA EL NIVEL INICIAL DE LA UGEL OXAPAMPA</t>
  </si>
  <si>
    <t>10267324218 - ORTIZ TERAN VICTOR FERNANDO</t>
  </si>
  <si>
    <t>ADQUISICIÓN DE MOBILIARIO EDUCATIVO PARA EL NIVEL INICIAL FED 2019 EN LOS DISTRITOS DEL QUINTIL 1 Y 2 ÁMBITO DE LA UGEL OXAPAMPA</t>
  </si>
  <si>
    <t>MOBOFI EMPRESA INDIVIDUAL DE RESPONSABILIDAD LIMITADA</t>
  </si>
  <si>
    <t>ADQUISICIÓN DE MATERIALES DIDÁCTICOS PARA LA EDUCACIÓN BÁSICA REGULAR DEL NIVEL PRIMARIA DE LA UNIDAD DE GESTIÓN EDUCATIVA LOCAL OXAPAMPA</t>
  </si>
  <si>
    <t>CONSORCIO CORPORACIÓN TECNOLÓGICA Y EQUIPAMIENTOS S.A.C - INDUSTRIAS ROLAND PRINT S.A.C.</t>
  </si>
  <si>
    <t>ADQUISICIÓN DE JUEGOS DIDÁCTICOS PARA LAS INSTITUCIONES EDUCATIVAS ESCOLARIZADAS Y NO ESCOLARIZADAS DE NIVEL INICIAL DE LA UGEL OXAPAMPA - FED 2019</t>
  </si>
  <si>
    <t>CORPORACION EDUCATIVA ARBOLITO S.A.C.</t>
  </si>
  <si>
    <t>ADQUISICIÓN DE MATERIAL FUNGIBLE PARA LAS II.EE DE LA UGEL OXAPAMPA DOTACIÓN 2020- PINCEL DE CERDA BLANCA N° 16 PLANO</t>
  </si>
  <si>
    <t>JYKS CORPORATION S.R.L.</t>
  </si>
  <si>
    <t>ADQUISICION DE MATERIAL DE ASEO, LIMPIEZA Y MATERIAL DE PROTECCION PARA INSITUCIONES EDUCATIVAS PUBLICAS DE LOS PROGRAMAS DE ACOMPAÑAMIENTO PEDAGOGICO MULTIGRADO, POLIDOCENTE, UNIDOCENTE Y EIB DE LOS NIVELES INICIAL-PRIMARIA Y SECUNDARIA DEL AMBITO DE LA UGEL OXAPAMPA</t>
  </si>
  <si>
    <t>HIGIENE Y LIMPIEZA S.R.LTDA.</t>
  </si>
  <si>
    <t>SERVICIO DE TRANSPORTE DE CARGA PARA LA DISTRIBUCIÓN DE MOBILIARIO Y MATERIALES A LAS INSTITUCIONES EDUCATIVAS DE EDUCACIÓN INICIAL Y PRONOEI DEL ÁMBITO DE LA UGEL OXAPAMPA</t>
  </si>
  <si>
    <t>10043422753 - CARDENAS ORIZANO RUTH</t>
  </si>
  <si>
    <t>CONCENTIDO</t>
  </si>
  <si>
    <t>POR EJECUCION</t>
  </si>
  <si>
    <t>UE : 301 EDUCACION OXAPAMPA</t>
  </si>
  <si>
    <t xml:space="preserve">UE: 301 - EDUCACIÓN OXAPAMPA </t>
  </si>
  <si>
    <t>ADQUISICION DE INSUMOS PARA IMPLEMENTACION DE DISPOSITIVOS DE EMERGENCIA PARA LAS INSTITUCIONES EDUCATIVAS FOCALIZADAS POR EL PROGRAMA PREVAED DE LA DIRECCION REGIONAL DE EDUCACION PASCO</t>
  </si>
  <si>
    <t>SUMA ALZADA</t>
  </si>
  <si>
    <t>AS-SM-1-2019-GRP-DREP-CEP-1</t>
  </si>
  <si>
    <t xml:space="preserve">AMIRLI SAC, RUC: 20601528640 </t>
  </si>
  <si>
    <t>SERVICIO DE MANTENIMIENTO DE INFRAESTRUCTURA DE LAS INSTALACIONES DEL INSTITUTO DE EDUCACION SUPERIOR PEDAGOGICO PUBLICO FRAY ANGEL JOSE AZAGRA MURILLO DE PUERTO BERMUDEZ EN EL MARCO DEL PLAN DE FORTALECIMIENTO DE LOS INSTITUTOS DE EDUCACION SUPERIOR PEDAGOGICO 2019</t>
  </si>
  <si>
    <t>AS-SM-2-2019-GRP-DREP-CEP-1</t>
  </si>
  <si>
    <t>CONSORCIO FRAY ANGEL (CORPORACION LA LUZ SAC RUC: 20601831013)</t>
  </si>
  <si>
    <t>SERVICIO DE MANTENIMIENTO DE INFRAESTRUCTURA DE LAS INSTALACIONES DEL INSTITUTO DE EDUCACION SUPERIOR PEDAGOGICO GAMANIEL BLANCO MURILLO DE PASCO EN EL MARCO DEL PLAN DE FORTALECIMIENTO DE LOS INSTITUTOS DE EDUCACION SUPERIOR PEDAGOGICO 2019</t>
  </si>
  <si>
    <t>AS-SM-3-2019-GRP-DREP-CEP-2</t>
  </si>
  <si>
    <t>CONSORCIO INSTITUTE (GRUPO KADOSH R &amp; V EIRL RUC: 20601217300)</t>
  </si>
  <si>
    <t>151/12/2019</t>
  </si>
  <si>
    <t>ADQUISICION DE MATERIALES DE ESCRITORIO PARA LAS OFICINAS DE LA SEDE DE LA DIRECCION REGIONAL DE EDUCACION PASCO CORRESPONDIENTE AL AÑO 2019</t>
  </si>
  <si>
    <t>CONVENIO MARCO</t>
  </si>
  <si>
    <t>COMPRA CORPORATIVA</t>
  </si>
  <si>
    <t>PERU COMPRAS</t>
  </si>
  <si>
    <t>ADQUISICION DE CONSUMIBLES PARA LAS OFICINAS DE LA SEDE DE LA DIRECCION REGIONAL DE EDUCACION PASCO CORRESPONDIENTE AL AÑO 2019</t>
  </si>
  <si>
    <t>ADQUISICION DE INSUMOS PARA IMPLEMENTACION DE DISPOSITIVOS DE EMERGENCIA PARA LAS INSTITUCIONES EDUCATIVAS FOCALIZADAS POR EL PROGRAMA PREVAED DE LA DIRECCION REGIONAL DE EDUCACION PASCO 2020</t>
  </si>
  <si>
    <t>AS-SM-1-2020-GRP-DREP-CEP-1</t>
  </si>
  <si>
    <t>EN PROCESO</t>
  </si>
  <si>
    <t>ADQUISICION DE MATERIALES DE ESCRITORIO PARA LAS OFICINAS DE LA SEDE DE LA DIRECCION REGIONAL DE EDUCACION PASCO CORRESPONDIENTE AL AÑO 2020</t>
  </si>
  <si>
    <t>ADQUISICION DE CONSUMIBLES PARA LAS OFICINAS DE LA SEDE DE LA DIRECCION REGIONAL DE EDUCACION PASCO CORRESPONDIENTE AL AÑO 2020</t>
  </si>
  <si>
    <t>SERVICIO DE ADECUACION, REFCCION Y MANTENIMIENTO DE LAS OFICINAS DE LA SEDE DE LA DIRECCION REGIONAL DE EDUCACION PASCO</t>
  </si>
  <si>
    <t>PROYECTADO</t>
  </si>
  <si>
    <t>ADQUISICION DE EQUIPOS DE COMPUTO PARA LAS OFICINAS DE LA SEDE DE LA DIRECCION REGIONAL DE DUCACION PASCP 2021</t>
  </si>
  <si>
    <t>ADQUISICION DE MATERIALES DE ESCRITORIO PARA LAS OFICINAS DE LA SEDE DE LA DIRECCION REGIONAL DE EDUCACION PASCO CORRESPONDIENTE AL AÑO 2021</t>
  </si>
  <si>
    <t>ADQUISICION DE CONSUMIBLES PARA LAS OFICINAS DE LA SEDE DE LA DIRECCION REGIONAL DE EDUCACION PASCO CORRESPONDIENTE AL AÑO 2021</t>
  </si>
  <si>
    <t>UE: 300 EDUCACIÓN PASCO</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</si>
</sst>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280A]d&quot; de &quot;mmmm&quot; de &quot;yyyy;@"/>
    <numFmt numFmtId="173" formatCode="#,##0.0"/>
    <numFmt numFmtId="174" formatCode="0.0"/>
    <numFmt numFmtId="175" formatCode="#,##0;[Red]#,##0"/>
    <numFmt numFmtId="176" formatCode="#,##0.00;[Red]#,##0.00"/>
    <numFmt numFmtId="177" formatCode="_-* #,##0.00\ _€_-;\-* #,##0.00\ _€_-;_-* &quot;-&quot;??\ _€_-;_-@_-"/>
    <numFmt numFmtId="178" formatCode="&quot;S/&quot;#,##0.00"/>
    <numFmt numFmtId="179" formatCode="00000000"/>
    <numFmt numFmtId="180" formatCode="#0.00"/>
    <numFmt numFmtId="181" formatCode="#0"/>
    <numFmt numFmtId="182" formatCode="&quot;S/.&quot;#,##0.00"/>
  </numFmts>
  <fonts count="90">
    <font>
      <sz val="10"/>
      <name val="Arial"/>
      <family val="0"/>
    </font>
    <font>
      <sz val="11"/>
      <color indexed="8"/>
      <name val="Calibri"/>
      <family val="2"/>
    </font>
    <font>
      <sz val="8"/>
      <name val="Arial"/>
      <family val="2"/>
    </font>
    <font>
      <b/>
      <sz val="10"/>
      <name val="Arial"/>
      <family val="2"/>
    </font>
    <font>
      <sz val="10"/>
      <name val="Arial Narrow"/>
      <family val="2"/>
    </font>
    <font>
      <b/>
      <sz val="8"/>
      <name val="Arial"/>
      <family val="2"/>
    </font>
    <font>
      <sz val="10"/>
      <name val="Courier"/>
      <family val="3"/>
    </font>
    <font>
      <b/>
      <sz val="12"/>
      <name val="Arial"/>
      <family val="2"/>
    </font>
    <font>
      <sz val="9"/>
      <name val="Arial"/>
      <family val="2"/>
    </font>
    <font>
      <b/>
      <sz val="9"/>
      <name val="Arial"/>
      <family val="2"/>
    </font>
    <font>
      <b/>
      <sz val="9"/>
      <color indexed="8"/>
      <name val="Arial"/>
      <family val="2"/>
    </font>
    <font>
      <sz val="9"/>
      <color indexed="32"/>
      <name val="Arial"/>
      <family val="2"/>
    </font>
    <font>
      <sz val="9"/>
      <color indexed="8"/>
      <name val="Arial"/>
      <family val="2"/>
    </font>
    <font>
      <sz val="8"/>
      <name val="Tahoma"/>
      <family val="2"/>
    </font>
    <font>
      <sz val="12"/>
      <name val="Arial"/>
      <family val="2"/>
    </font>
    <font>
      <sz val="8"/>
      <color indexed="8"/>
      <name val="Arial"/>
      <family val="2"/>
    </font>
    <font>
      <b/>
      <u val="single"/>
      <sz val="8"/>
      <name val="Arial"/>
      <family val="2"/>
    </font>
    <font>
      <sz val="10"/>
      <name val="Calibri"/>
      <family val="2"/>
    </font>
    <font>
      <sz val="11"/>
      <name val="Arial"/>
      <family val="2"/>
    </font>
    <font>
      <b/>
      <sz val="11"/>
      <name val="Arial"/>
      <family val="2"/>
    </font>
    <font>
      <b/>
      <sz val="9"/>
      <name val="Arial Narrow"/>
      <family val="2"/>
    </font>
    <font>
      <b/>
      <sz val="8"/>
      <name val="Arial Narrow"/>
      <family val="2"/>
    </font>
    <font>
      <sz val="8"/>
      <name val="Arial Narrow"/>
      <family val="2"/>
    </font>
    <font>
      <sz val="9"/>
      <name val="Arial Narrow"/>
      <family val="2"/>
    </font>
    <font>
      <sz val="12"/>
      <color indexed="8"/>
      <name val="Cambria"/>
      <family val="1"/>
    </font>
    <font>
      <sz val="10"/>
      <color indexed="32"/>
      <name val="Arial Narrow"/>
      <family val="2"/>
    </font>
    <font>
      <b/>
      <sz val="10"/>
      <name val="Arial Narrow"/>
      <family val="2"/>
    </font>
    <font>
      <b/>
      <sz val="8"/>
      <name val="Calibri"/>
      <family val="2"/>
    </font>
    <font>
      <sz val="8"/>
      <name val="Calibri"/>
      <family val="2"/>
    </font>
    <font>
      <sz val="7"/>
      <color indexed="8"/>
      <name val="Calibri"/>
      <family val="2"/>
    </font>
    <font>
      <sz val="8"/>
      <color indexed="8"/>
      <name val="Arial Narrow"/>
      <family val="2"/>
    </font>
    <font>
      <sz val="9"/>
      <name val="Calibri"/>
      <family val="2"/>
    </font>
    <font>
      <sz val="9"/>
      <color indexed="8"/>
      <name val="Calibri"/>
      <family val="2"/>
    </font>
    <font>
      <sz val="10"/>
      <color indexed="10"/>
      <name val="Arial"/>
      <family val="2"/>
    </font>
    <font>
      <b/>
      <sz val="11"/>
      <color indexed="8"/>
      <name val="Calibri"/>
      <family val="2"/>
    </font>
    <font>
      <sz val="9"/>
      <color indexed="10"/>
      <name val="Arial"/>
      <family val="2"/>
    </font>
    <font>
      <sz val="8"/>
      <color indexed="63"/>
      <name val="Trebuchet MS"/>
      <family val="2"/>
    </font>
    <font>
      <b/>
      <sz val="11"/>
      <color indexed="10"/>
      <name val="Arial"/>
      <family val="2"/>
    </font>
    <font>
      <sz val="10"/>
      <color indexed="63"/>
      <name val="Trebuchet MS"/>
      <family val="2"/>
    </font>
    <font>
      <sz val="8"/>
      <color indexed="8"/>
      <name val="Calibri"/>
      <family val="2"/>
    </font>
    <font>
      <sz val="8"/>
      <color indexed="8"/>
      <name val="Verdana"/>
      <family val="2"/>
    </font>
    <font>
      <sz val="11"/>
      <color indexed="63"/>
      <name val="Arial"/>
      <family val="2"/>
    </font>
    <font>
      <b/>
      <sz val="8"/>
      <color indexed="63"/>
      <name val="Trebuchet M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rgb="FF000000"/>
      <name val="Calibri"/>
      <family val="2"/>
    </font>
    <font>
      <sz val="8"/>
      <color rgb="FF000000"/>
      <name val="Arial"/>
      <family val="2"/>
    </font>
    <font>
      <sz val="8"/>
      <color theme="1"/>
      <name val="Arial Narrow"/>
      <family val="2"/>
    </font>
    <font>
      <sz val="8"/>
      <color theme="1"/>
      <name val="Arial"/>
      <family val="2"/>
    </font>
    <font>
      <sz val="8"/>
      <color rgb="FF000000"/>
      <name val="Arial Narrow"/>
      <family val="2"/>
    </font>
    <font>
      <sz val="9"/>
      <color theme="1"/>
      <name val="Calibri"/>
      <family val="2"/>
    </font>
    <font>
      <sz val="10"/>
      <color rgb="FFFF0000"/>
      <name val="Arial"/>
      <family val="2"/>
    </font>
    <font>
      <sz val="9"/>
      <color rgb="FFFF0000"/>
      <name val="Arial"/>
      <family val="2"/>
    </font>
    <font>
      <sz val="8"/>
      <color rgb="FF333333"/>
      <name val="Trebuchet MS"/>
      <family val="2"/>
    </font>
    <font>
      <b/>
      <sz val="11"/>
      <color rgb="FFFF0000"/>
      <name val="Arial"/>
      <family val="2"/>
    </font>
    <font>
      <sz val="10"/>
      <color rgb="FF333333"/>
      <name val="Trebuchet MS"/>
      <family val="2"/>
    </font>
    <font>
      <sz val="8"/>
      <color theme="1"/>
      <name val="Calibri"/>
      <family val="2"/>
    </font>
    <font>
      <sz val="8"/>
      <color rgb="FF000000"/>
      <name val="Verdana"/>
      <family val="2"/>
    </font>
    <font>
      <sz val="11"/>
      <color rgb="FF333333"/>
      <name val="Arial"/>
      <family val="2"/>
    </font>
    <font>
      <b/>
      <sz val="8"/>
      <color rgb="FF333333"/>
      <name val="Trebuchet MS"/>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rgb="FFFFFFFF"/>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tint="-0.04997999966144562"/>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style="medium"/>
    </border>
    <border>
      <left/>
      <right style="thin"/>
      <top/>
      <bottom/>
    </border>
    <border>
      <left/>
      <right/>
      <top/>
      <bottom style="thin"/>
    </border>
    <border>
      <left/>
      <right style="thin"/>
      <top/>
      <bottom style="thin"/>
    </border>
    <border>
      <left style="medium"/>
      <right style="medium"/>
      <top/>
      <bottom/>
    </border>
    <border>
      <left/>
      <right style="medium"/>
      <top/>
      <bottom/>
    </border>
    <border>
      <left style="medium"/>
      <right style="medium"/>
      <top style="medium"/>
      <bottom style="medium"/>
    </border>
    <border>
      <left/>
      <right style="medium"/>
      <top style="medium"/>
      <bottom style="medium"/>
    </border>
    <border>
      <left style="medium"/>
      <right/>
      <top style="medium"/>
      <bottom/>
    </border>
    <border>
      <left/>
      <right style="medium"/>
      <top style="medium"/>
      <bottom/>
    </border>
    <border>
      <left style="thin"/>
      <right style="thin"/>
      <top/>
      <bottom/>
    </border>
    <border>
      <left style="medium"/>
      <right/>
      <top/>
      <bottom style="medium"/>
    </border>
    <border>
      <left/>
      <right style="thin"/>
      <top style="medium"/>
      <bottom/>
    </border>
    <border>
      <left style="medium"/>
      <right/>
      <top style="medium"/>
      <bottom style="medium"/>
    </border>
    <border>
      <left/>
      <right/>
      <top style="medium"/>
      <bottom style="medium"/>
    </border>
    <border>
      <left style="medium"/>
      <right style="medium"/>
      <top style="medium"/>
      <bottom/>
    </border>
    <border>
      <left style="medium"/>
      <right style="medium"/>
      <top/>
      <bottom style="medium"/>
    </border>
    <border>
      <left style="medium"/>
      <right style="thin"/>
      <top/>
      <bottom/>
    </border>
    <border>
      <left style="medium"/>
      <right style="thin"/>
      <top/>
      <bottom style="thin"/>
    </border>
    <border>
      <left/>
      <right style="medium"/>
      <top/>
      <bottom style="thin"/>
    </border>
    <border>
      <left style="thin"/>
      <right style="thin"/>
      <top style="thin"/>
      <bottom style="medium"/>
    </border>
    <border>
      <left style="thin"/>
      <right style="thin"/>
      <top style="medium"/>
      <bottom style="medium"/>
    </border>
    <border>
      <left/>
      <right style="thin"/>
      <top style="medium"/>
      <bottom style="medium"/>
    </border>
    <border>
      <left style="thin"/>
      <right/>
      <top style="thin"/>
      <bottom style="medium"/>
    </border>
    <border>
      <left style="thin"/>
      <right style="medium"/>
      <top/>
      <bottom/>
    </border>
    <border>
      <left style="medium"/>
      <right style="thin"/>
      <top style="thin"/>
      <bottom style="medium"/>
    </border>
    <border>
      <left style="medium"/>
      <right style="thin"/>
      <top style="medium"/>
      <bottom/>
    </border>
    <border>
      <left style="medium"/>
      <right style="thin"/>
      <top style="medium"/>
      <bottom style="medium"/>
    </border>
    <border>
      <left/>
      <right style="thin"/>
      <top style="thin"/>
      <bottom style="medium"/>
    </border>
    <border>
      <left style="medium"/>
      <right style="medium"/>
      <top/>
      <bottom style="thin"/>
    </border>
    <border>
      <left style="medium"/>
      <right style="medium"/>
      <top style="thin"/>
      <bottom style="medium"/>
    </border>
    <border>
      <left style="thin"/>
      <right style="thin"/>
      <top style="thin"/>
      <bottom style="thin"/>
    </border>
    <border>
      <left style="thin"/>
      <right style="medium"/>
      <top style="medium"/>
      <bottom style="medium"/>
    </border>
    <border>
      <left style="thin"/>
      <right/>
      <top/>
      <bottom/>
    </border>
    <border>
      <left style="thin"/>
      <right/>
      <top style="medium"/>
      <bottom style="medium"/>
    </border>
    <border>
      <left style="thin"/>
      <right style="thin"/>
      <top style="medium"/>
      <bottom style="thin"/>
    </border>
    <border>
      <left style="thin"/>
      <right style="thin"/>
      <top/>
      <bottom style="thin"/>
    </border>
    <border>
      <left style="thin"/>
      <right style="medium"/>
      <top style="thin"/>
      <bottom style="medium"/>
    </border>
    <border>
      <left style="medium"/>
      <right style="medium"/>
      <top style="medium"/>
      <bottom style="thin"/>
    </border>
    <border>
      <left style="medium"/>
      <right style="medium"/>
      <top style="thin"/>
      <bottom style="thin"/>
    </border>
    <border>
      <left/>
      <right style="thin"/>
      <top style="thin"/>
      <bottom style="thin"/>
    </border>
    <border>
      <left style="thin"/>
      <right/>
      <top style="thin"/>
      <bottom style="thin"/>
    </border>
    <border>
      <left style="thin"/>
      <right style="medium"/>
      <top style="thin"/>
      <bottom style="thin"/>
    </border>
    <border>
      <left/>
      <right style="thin"/>
      <top/>
      <bottom style="medium"/>
    </border>
    <border>
      <left style="thin"/>
      <right style="thin"/>
      <top/>
      <bottom style="medium"/>
    </border>
    <border>
      <left style="thin"/>
      <right/>
      <top/>
      <bottom style="medium"/>
    </border>
    <border>
      <left style="medium"/>
      <right style="thin"/>
      <top/>
      <bottom style="medium"/>
    </border>
    <border>
      <left style="medium"/>
      <right style="medium"/>
      <top/>
      <bottom style="thick"/>
    </border>
    <border>
      <left style="medium"/>
      <right style="thin"/>
      <top/>
      <bottom style="thick"/>
    </border>
    <border>
      <left/>
      <right/>
      <top/>
      <bottom style="thick"/>
    </border>
    <border>
      <left/>
      <right style="thin"/>
      <top/>
      <bottom style="thick"/>
    </border>
    <border>
      <left/>
      <right style="medium"/>
      <top/>
      <bottom style="thick"/>
    </border>
    <border>
      <left style="thin"/>
      <right style="medium"/>
      <top/>
      <bottom style="thick"/>
    </border>
    <border>
      <left style="thin"/>
      <right style="thin"/>
      <top/>
      <bottom style="thick"/>
    </border>
    <border>
      <left style="thin"/>
      <right style="thin"/>
      <top style="thin"/>
      <bottom/>
    </border>
    <border>
      <left/>
      <right/>
      <top style="thin"/>
      <bottom/>
    </border>
    <border>
      <left/>
      <right/>
      <top style="medium"/>
      <bottom style="thin"/>
    </border>
    <border>
      <left/>
      <right/>
      <top style="thin"/>
      <bottom style="thin"/>
    </border>
    <border>
      <left/>
      <right style="medium"/>
      <top style="thin"/>
      <bottom style="medium"/>
    </border>
    <border>
      <left style="thin"/>
      <right/>
      <top/>
      <bottom style="thin"/>
    </border>
    <border>
      <left style="medium"/>
      <right style="thin"/>
      <top style="thin"/>
      <bottom style="thin"/>
    </border>
    <border>
      <left style="medium"/>
      <right style="thin"/>
      <top style="thin"/>
      <bottom/>
    </border>
    <border>
      <left style="thin"/>
      <right style="medium"/>
      <top/>
      <bottom style="thin"/>
    </border>
    <border>
      <left style="medium"/>
      <right style="thin"/>
      <top style="medium"/>
      <bottom style="thin"/>
    </border>
    <border>
      <left/>
      <right style="thin"/>
      <top style="medium"/>
      <bottom style="thin"/>
    </border>
    <border>
      <left/>
      <right style="thin"/>
      <top style="thin"/>
      <bottom/>
    </border>
    <border>
      <left style="thin"/>
      <right style="medium"/>
      <top style="medium"/>
      <bottom style="thin"/>
    </border>
    <border>
      <left style="thin"/>
      <right style="medium"/>
      <top style="thin"/>
      <bottom/>
    </border>
    <border>
      <left/>
      <right style="thin">
        <color rgb="FFABABAB"/>
      </right>
      <top style="thin">
        <color rgb="FFABABAB"/>
      </top>
      <bottom/>
    </border>
    <border>
      <left style="thin"/>
      <right style="medium"/>
      <top style="medium"/>
      <bottom/>
    </border>
    <border>
      <left style="thin"/>
      <right style="medium"/>
      <top/>
      <bottom style="medium"/>
    </border>
    <border>
      <left style="thick">
        <color rgb="FF000000"/>
      </left>
      <right style="thick">
        <color rgb="FF000000"/>
      </right>
      <top style="medium">
        <color rgb="FFCCCCCC"/>
      </top>
      <bottom style="medium">
        <color rgb="FFCCCCCC"/>
      </bottom>
    </border>
    <border>
      <left style="medium">
        <color rgb="FFCCCCCC"/>
      </left>
      <right style="medium">
        <color rgb="FF000000"/>
      </right>
      <top style="medium">
        <color rgb="FFCCCCCC"/>
      </top>
      <bottom style="medium">
        <color rgb="FFCCCCCC"/>
      </bottom>
    </border>
    <border>
      <left style="medium">
        <color rgb="FFCCCCCC"/>
      </left>
      <right style="thick">
        <color rgb="FF000000"/>
      </right>
      <top style="medium">
        <color rgb="FFCCCCCC"/>
      </top>
      <bottom style="medium">
        <color rgb="FFCCCCCC"/>
      </bottom>
    </border>
    <border>
      <left style="medium"/>
      <right/>
      <top style="thin"/>
      <bottom style="thin"/>
    </border>
    <border>
      <left/>
      <right style="medium"/>
      <top style="thin"/>
      <bottom style="thin"/>
    </border>
    <border>
      <left/>
      <right style="medium"/>
      <top style="medium"/>
      <bottom style="thin"/>
    </border>
    <border>
      <left style="medium"/>
      <right/>
      <top style="medium"/>
      <bottom style="thin"/>
    </border>
    <border>
      <left/>
      <right/>
      <top/>
      <bottom style="medium"/>
    </border>
    <border>
      <left style="medium"/>
      <right/>
      <top/>
      <bottom style="thin"/>
    </border>
    <border>
      <left/>
      <right/>
      <top style="medium"/>
      <bottom/>
    </border>
    <border>
      <left style="medium"/>
      <right style="medium"/>
      <top style="thin"/>
      <bottom/>
    </border>
    <border>
      <left/>
      <right style="medium"/>
      <top style="thin"/>
      <bottom/>
    </border>
    <border>
      <left style="thin"/>
      <right/>
      <top style="thin"/>
      <bottom/>
    </border>
    <border>
      <left style="thin"/>
      <right style="thin"/>
      <top style="medium"/>
      <bottom/>
    </border>
    <border>
      <left/>
      <right/>
      <top style="thin"/>
      <bottom style="medium"/>
    </border>
    <border>
      <left style="thick"/>
      <right/>
      <top style="medium"/>
      <bottom style="medium"/>
    </border>
    <border>
      <left style="medium"/>
      <right/>
      <top/>
      <bottom style="thin">
        <color theme="4" tint="0.39998000860214233"/>
      </bottom>
    </border>
    <border>
      <left style="medium"/>
      <right/>
      <top style="dotted"/>
      <bottom style="dotted"/>
    </border>
    <border>
      <left style="medium"/>
      <right/>
      <top style="dotted"/>
      <bottom/>
    </border>
    <border>
      <left style="hair"/>
      <right style="hair"/>
      <top style="hair"/>
      <bottom style="hair"/>
    </border>
    <border>
      <left style="thin"/>
      <right/>
      <top style="hair"/>
      <bottom style="hair"/>
    </border>
    <border>
      <left style="hair"/>
      <right style="hair"/>
      <top style="hair"/>
      <bottom/>
    </border>
    <border>
      <left style="medium"/>
      <right/>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medium"/>
      <top style="hair"/>
      <bottom style="hair"/>
    </border>
    <border>
      <left style="medium"/>
      <right/>
      <top style="hair"/>
      <bottom/>
    </border>
    <border>
      <left style="thin"/>
      <right/>
      <top style="hair"/>
      <bottom/>
    </border>
    <border>
      <left style="thin"/>
      <right style="medium"/>
      <top style="hair"/>
      <bottom/>
    </border>
    <border>
      <left style="hair"/>
      <right style="medium"/>
      <top style="hair"/>
      <bottom style="hair"/>
    </border>
    <border>
      <left style="hair"/>
      <right style="hair"/>
      <top style="hair"/>
      <bottom style="medium"/>
    </border>
    <border>
      <left style="hair"/>
      <right style="medium"/>
      <top style="hair"/>
      <bottom style="medium"/>
    </border>
    <border>
      <left style="medium"/>
      <right/>
      <top style="thin"/>
      <bottom/>
    </border>
    <border>
      <left style="thin"/>
      <right/>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1"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4" fillId="0" borderId="0">
      <alignment/>
      <protection/>
    </xf>
    <xf numFmtId="0" fontId="4" fillId="0" borderId="0">
      <alignment/>
      <protection/>
    </xf>
    <xf numFmtId="49"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1654">
    <xf numFmtId="0" fontId="0" fillId="0" borderId="0" xfId="0" applyAlignment="1">
      <alignment/>
    </xf>
    <xf numFmtId="0" fontId="8" fillId="0" borderId="0" xfId="62" applyFont="1" applyFill="1" applyBorder="1" applyAlignment="1">
      <alignment horizontal="left" vertical="center"/>
      <protection/>
    </xf>
    <xf numFmtId="0" fontId="9" fillId="0" borderId="0" xfId="62" applyFont="1" applyFill="1" applyBorder="1" applyAlignment="1">
      <alignment vertical="center"/>
      <protection/>
    </xf>
    <xf numFmtId="0" fontId="8" fillId="0" borderId="0" xfId="0" applyFont="1" applyAlignment="1">
      <alignment/>
    </xf>
    <xf numFmtId="0" fontId="8" fillId="0" borderId="10" xfId="0" applyFont="1" applyBorder="1" applyAlignment="1">
      <alignment/>
    </xf>
    <xf numFmtId="0" fontId="8" fillId="0" borderId="0" xfId="0" applyFont="1" applyFill="1" applyAlignment="1">
      <alignment/>
    </xf>
    <xf numFmtId="0" fontId="9" fillId="0" borderId="0" xfId="0" applyFont="1" applyFill="1" applyAlignment="1">
      <alignment horizontal="center"/>
    </xf>
    <xf numFmtId="0" fontId="8" fillId="0" borderId="0" xfId="0" applyFont="1" applyFill="1" applyBorder="1" applyAlignment="1">
      <alignment/>
    </xf>
    <xf numFmtId="0" fontId="8" fillId="0" borderId="11" xfId="0" applyFont="1" applyBorder="1" applyAlignment="1">
      <alignment/>
    </xf>
    <xf numFmtId="0" fontId="8" fillId="0" borderId="0" xfId="0" applyFont="1" applyBorder="1" applyAlignment="1">
      <alignment/>
    </xf>
    <xf numFmtId="0" fontId="9" fillId="0" borderId="0" xfId="0" applyFont="1" applyBorder="1" applyAlignment="1">
      <alignment/>
    </xf>
    <xf numFmtId="49" fontId="8" fillId="0" borderId="0" xfId="63" applyFont="1" applyAlignment="1">
      <alignment vertical="center"/>
      <protection/>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9" fillId="0" borderId="0" xfId="0" applyFont="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49" fontId="11" fillId="0" borderId="0" xfId="61" applyNumberFormat="1" applyFont="1" applyFill="1" applyAlignment="1" quotePrefix="1">
      <alignment horizontal="left" vertical="center"/>
      <protection/>
    </xf>
    <xf numFmtId="49" fontId="8" fillId="0" borderId="0" xfId="61" applyNumberFormat="1" applyFont="1" applyFill="1" applyAlignment="1">
      <alignment horizontal="left" vertical="center"/>
      <protection/>
    </xf>
    <xf numFmtId="0" fontId="8" fillId="0" borderId="19" xfId="0" applyFont="1" applyBorder="1" applyAlignment="1">
      <alignment/>
    </xf>
    <xf numFmtId="0" fontId="8" fillId="0" borderId="20" xfId="0" applyFont="1" applyBorder="1" applyAlignment="1">
      <alignment/>
    </xf>
    <xf numFmtId="49" fontId="8" fillId="0" borderId="10" xfId="0" applyNumberFormat="1" applyFont="1" applyBorder="1" applyAlignment="1">
      <alignment horizontal="left"/>
    </xf>
    <xf numFmtId="0" fontId="8" fillId="0" borderId="21" xfId="0" applyFont="1" applyBorder="1" applyAlignment="1">
      <alignment/>
    </xf>
    <xf numFmtId="0" fontId="8" fillId="0" borderId="22" xfId="0" applyFont="1" applyBorder="1" applyAlignment="1">
      <alignment horizontal="right"/>
    </xf>
    <xf numFmtId="0" fontId="8" fillId="0" borderId="10" xfId="0" applyFont="1" applyBorder="1" applyAlignment="1">
      <alignment horizontal="center"/>
    </xf>
    <xf numFmtId="0" fontId="8" fillId="0" borderId="23" xfId="0" applyFont="1" applyBorder="1" applyAlignment="1">
      <alignment/>
    </xf>
    <xf numFmtId="0" fontId="8" fillId="0" borderId="0" xfId="62" applyFont="1" applyAlignment="1">
      <alignment vertical="center"/>
      <protection/>
    </xf>
    <xf numFmtId="0" fontId="9" fillId="0" borderId="0" xfId="62" applyFont="1" applyFill="1" applyBorder="1" applyAlignment="1">
      <alignment horizontal="center" vertical="center"/>
      <protection/>
    </xf>
    <xf numFmtId="0" fontId="8" fillId="0" borderId="0" xfId="62" applyFont="1" applyBorder="1" applyAlignment="1">
      <alignment vertical="center"/>
      <protection/>
    </xf>
    <xf numFmtId="0" fontId="9" fillId="33" borderId="24" xfId="62" applyFont="1" applyFill="1" applyBorder="1" applyAlignment="1">
      <alignment horizontal="center" vertical="center"/>
      <protection/>
    </xf>
    <xf numFmtId="0" fontId="9" fillId="33" borderId="18" xfId="62" applyFont="1" applyFill="1" applyBorder="1" applyAlignment="1">
      <alignment horizontal="center" vertical="center"/>
      <protection/>
    </xf>
    <xf numFmtId="0" fontId="8" fillId="0" borderId="15" xfId="62" applyFont="1" applyBorder="1" applyAlignment="1">
      <alignment horizontal="center" vertical="center"/>
      <protection/>
    </xf>
    <xf numFmtId="0" fontId="9" fillId="33" borderId="15" xfId="62" applyFont="1" applyFill="1" applyBorder="1" applyAlignment="1">
      <alignment horizontal="center" vertical="center"/>
      <protection/>
    </xf>
    <xf numFmtId="0" fontId="9" fillId="33" borderId="0" xfId="62" applyFont="1" applyFill="1" applyBorder="1" applyAlignment="1">
      <alignment vertical="center"/>
      <protection/>
    </xf>
    <xf numFmtId="0" fontId="8" fillId="0" borderId="16" xfId="62" applyFont="1" applyBorder="1" applyAlignment="1">
      <alignment vertical="center"/>
      <protection/>
    </xf>
    <xf numFmtId="0" fontId="9" fillId="33" borderId="17" xfId="62" applyFont="1" applyFill="1" applyBorder="1" applyAlignment="1">
      <alignment horizontal="center" vertical="center"/>
      <protection/>
    </xf>
    <xf numFmtId="0" fontId="9" fillId="33" borderId="25" xfId="62" applyFont="1" applyFill="1" applyBorder="1" applyAlignment="1">
      <alignment vertical="center"/>
      <protection/>
    </xf>
    <xf numFmtId="0" fontId="9" fillId="33" borderId="18" xfId="62" applyFont="1" applyFill="1" applyBorder="1" applyAlignment="1">
      <alignment vertical="center"/>
      <protection/>
    </xf>
    <xf numFmtId="0" fontId="8" fillId="0" borderId="26" xfId="0" applyFont="1" applyBorder="1" applyAlignment="1">
      <alignment/>
    </xf>
    <xf numFmtId="0" fontId="8" fillId="0" borderId="27" xfId="0" applyFont="1" applyBorder="1" applyAlignment="1">
      <alignment/>
    </xf>
    <xf numFmtId="0" fontId="9" fillId="33" borderId="20" xfId="62" applyFont="1" applyFill="1" applyBorder="1" applyAlignment="1">
      <alignment horizontal="center" vertical="center"/>
      <protection/>
    </xf>
    <xf numFmtId="0" fontId="8" fillId="0" borderId="28" xfId="0" applyFont="1" applyBorder="1" applyAlignment="1">
      <alignment/>
    </xf>
    <xf numFmtId="0" fontId="8" fillId="0" borderId="29" xfId="0" applyFont="1" applyBorder="1" applyAlignment="1">
      <alignment/>
    </xf>
    <xf numFmtId="0" fontId="8" fillId="0" borderId="30" xfId="0" applyFont="1" applyBorder="1" applyAlignment="1">
      <alignment/>
    </xf>
    <xf numFmtId="0" fontId="8" fillId="0" borderId="31" xfId="0" applyFont="1" applyBorder="1" applyAlignment="1">
      <alignment/>
    </xf>
    <xf numFmtId="0" fontId="8" fillId="0" borderId="32" xfId="0" applyFont="1" applyBorder="1" applyAlignment="1">
      <alignment/>
    </xf>
    <xf numFmtId="172" fontId="8" fillId="0" borderId="0" xfId="0" applyNumberFormat="1" applyFont="1" applyAlignment="1">
      <alignment/>
    </xf>
    <xf numFmtId="0" fontId="8" fillId="0" borderId="33" xfId="0" applyFont="1" applyBorder="1" applyAlignment="1">
      <alignment/>
    </xf>
    <xf numFmtId="0" fontId="8" fillId="0" borderId="34" xfId="0" applyFont="1" applyBorder="1" applyAlignment="1">
      <alignment/>
    </xf>
    <xf numFmtId="0" fontId="8" fillId="0" borderId="35" xfId="0" applyFont="1" applyBorder="1" applyAlignment="1">
      <alignment/>
    </xf>
    <xf numFmtId="0" fontId="8" fillId="0" borderId="15" xfId="0" applyFont="1" applyBorder="1" applyAlignment="1">
      <alignment/>
    </xf>
    <xf numFmtId="0" fontId="8" fillId="0" borderId="12" xfId="0" applyFont="1" applyBorder="1" applyAlignment="1">
      <alignment/>
    </xf>
    <xf numFmtId="0" fontId="9" fillId="33" borderId="11" xfId="62" applyFont="1" applyFill="1" applyBorder="1" applyAlignment="1">
      <alignment horizontal="center" vertical="center"/>
      <protection/>
    </xf>
    <xf numFmtId="0" fontId="9" fillId="33" borderId="16" xfId="62" applyFont="1" applyFill="1" applyBorder="1" applyAlignment="1">
      <alignment horizontal="center" vertical="center"/>
      <protection/>
    </xf>
    <xf numFmtId="0" fontId="8" fillId="0" borderId="0" xfId="0" applyFont="1" applyAlignment="1">
      <alignment wrapText="1"/>
    </xf>
    <xf numFmtId="0" fontId="8" fillId="0" borderId="36" xfId="0" applyFont="1" applyBorder="1" applyAlignment="1">
      <alignment/>
    </xf>
    <xf numFmtId="49" fontId="8" fillId="0" borderId="22" xfId="0" applyNumberFormat="1" applyFont="1" applyBorder="1" applyAlignment="1">
      <alignment horizontal="left"/>
    </xf>
    <xf numFmtId="0" fontId="8" fillId="0" borderId="10" xfId="0" applyFont="1" applyBorder="1" applyAlignment="1">
      <alignment horizontal="left"/>
    </xf>
    <xf numFmtId="0" fontId="8" fillId="0" borderId="0" xfId="62" applyFont="1" applyFill="1" applyBorder="1" applyAlignment="1">
      <alignment vertical="center"/>
      <protection/>
    </xf>
    <xf numFmtId="0" fontId="8" fillId="0" borderId="37" xfId="0" applyFont="1" applyBorder="1" applyAlignment="1">
      <alignment/>
    </xf>
    <xf numFmtId="0" fontId="9" fillId="0" borderId="38" xfId="0" applyFont="1" applyBorder="1" applyAlignment="1">
      <alignment horizontal="center"/>
    </xf>
    <xf numFmtId="0" fontId="8" fillId="0" borderId="0" xfId="0" applyFont="1" applyAlignment="1">
      <alignment horizontal="center" wrapText="1"/>
    </xf>
    <xf numFmtId="0" fontId="9"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applyAlignment="1">
      <alignment/>
    </xf>
    <xf numFmtId="0" fontId="2" fillId="0" borderId="0" xfId="0" applyFont="1" applyAlignment="1">
      <alignment wrapText="1"/>
    </xf>
    <xf numFmtId="0" fontId="9" fillId="0" borderId="27" xfId="0" applyFont="1" applyBorder="1" applyAlignment="1">
      <alignment horizontal="center"/>
    </xf>
    <xf numFmtId="0" fontId="8" fillId="34" borderId="27" xfId="0" applyFont="1" applyFill="1" applyBorder="1" applyAlignment="1">
      <alignment horizontal="right"/>
    </xf>
    <xf numFmtId="0" fontId="5" fillId="0" borderId="15" xfId="62" applyFont="1" applyBorder="1" applyAlignment="1">
      <alignment vertical="center"/>
      <protection/>
    </xf>
    <xf numFmtId="0" fontId="8" fillId="0" borderId="39" xfId="0" applyFont="1" applyBorder="1" applyAlignment="1">
      <alignment/>
    </xf>
    <xf numFmtId="0" fontId="8" fillId="0" borderId="40" xfId="0" applyFont="1" applyBorder="1" applyAlignment="1">
      <alignment/>
    </xf>
    <xf numFmtId="0" fontId="8" fillId="0" borderId="41" xfId="0" applyFont="1" applyBorder="1" applyAlignment="1">
      <alignment/>
    </xf>
    <xf numFmtId="0" fontId="9" fillId="0" borderId="0" xfId="0" applyFont="1" applyFill="1" applyAlignment="1">
      <alignment/>
    </xf>
    <xf numFmtId="0" fontId="7" fillId="35" borderId="0" xfId="0" applyFont="1" applyFill="1" applyBorder="1" applyAlignment="1">
      <alignment/>
    </xf>
    <xf numFmtId="0" fontId="8" fillId="35" borderId="0" xfId="0" applyFont="1" applyFill="1" applyBorder="1" applyAlignment="1">
      <alignment/>
    </xf>
    <xf numFmtId="0" fontId="5" fillId="35" borderId="0" xfId="62" applyFont="1" applyFill="1" applyBorder="1" applyAlignment="1">
      <alignment horizontal="center" vertical="center"/>
      <protection/>
    </xf>
    <xf numFmtId="0" fontId="5" fillId="35" borderId="0" xfId="62" applyFont="1" applyFill="1" applyBorder="1" applyAlignment="1">
      <alignment horizontal="center" vertical="center" textRotation="90" wrapText="1"/>
      <protection/>
    </xf>
    <xf numFmtId="0" fontId="9" fillId="35" borderId="0" xfId="62" applyFont="1" applyFill="1" applyBorder="1" applyAlignment="1">
      <alignment vertical="center"/>
      <protection/>
    </xf>
    <xf numFmtId="0" fontId="7" fillId="35" borderId="0" xfId="0" applyFont="1" applyFill="1" applyAlignment="1">
      <alignment/>
    </xf>
    <xf numFmtId="0" fontId="9" fillId="35" borderId="0" xfId="0" applyFont="1" applyFill="1" applyAlignment="1">
      <alignment/>
    </xf>
    <xf numFmtId="0" fontId="9" fillId="35" borderId="0" xfId="62" applyFont="1" applyFill="1" applyAlignment="1">
      <alignment vertical="center"/>
      <protection/>
    </xf>
    <xf numFmtId="0" fontId="9" fillId="35" borderId="0" xfId="0" applyFont="1" applyFill="1" applyBorder="1" applyAlignment="1">
      <alignment/>
    </xf>
    <xf numFmtId="0" fontId="8" fillId="35" borderId="0" xfId="0" applyFont="1" applyFill="1" applyAlignment="1">
      <alignment/>
    </xf>
    <xf numFmtId="0" fontId="7" fillId="36" borderId="0" xfId="0" applyFont="1" applyFill="1" applyAlignment="1">
      <alignment vertical="center"/>
    </xf>
    <xf numFmtId="0" fontId="14" fillId="36" borderId="0" xfId="0" applyFont="1" applyFill="1" applyAlignment="1">
      <alignment vertical="center" wrapText="1"/>
    </xf>
    <xf numFmtId="0" fontId="14" fillId="36"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3" fillId="0" borderId="0" xfId="0" applyFont="1" applyAlignment="1">
      <alignment vertical="center"/>
    </xf>
    <xf numFmtId="0" fontId="14"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9" fillId="0" borderId="0" xfId="62" applyFont="1" applyFill="1" applyAlignment="1">
      <alignment vertical="center"/>
      <protection/>
    </xf>
    <xf numFmtId="0" fontId="9" fillId="0" borderId="0" xfId="0" applyFont="1" applyFill="1" applyAlignment="1">
      <alignment/>
    </xf>
    <xf numFmtId="0" fontId="7" fillId="0" borderId="0" xfId="0" applyFont="1" applyFill="1" applyAlignment="1">
      <alignment/>
    </xf>
    <xf numFmtId="0" fontId="7" fillId="0" borderId="0" xfId="62" applyFont="1" applyFill="1" applyAlignment="1">
      <alignment vertical="center"/>
      <protection/>
    </xf>
    <xf numFmtId="0" fontId="14" fillId="0" borderId="0" xfId="0" applyFont="1" applyFill="1" applyAlignment="1">
      <alignment/>
    </xf>
    <xf numFmtId="0" fontId="14" fillId="0" borderId="0" xfId="0" applyFont="1" applyFill="1" applyBorder="1" applyAlignment="1">
      <alignment/>
    </xf>
    <xf numFmtId="49" fontId="7" fillId="0" borderId="0" xfId="63" applyFont="1" applyFill="1" applyAlignment="1">
      <alignment vertical="center"/>
      <protection/>
    </xf>
    <xf numFmtId="49" fontId="7" fillId="0" borderId="0" xfId="63" applyFont="1" applyFill="1" applyBorder="1" applyAlignment="1">
      <alignment vertical="center"/>
      <protection/>
    </xf>
    <xf numFmtId="0" fontId="5" fillId="0" borderId="0" xfId="0" applyFont="1" applyFill="1" applyAlignment="1">
      <alignment horizontal="left"/>
    </xf>
    <xf numFmtId="0" fontId="2" fillId="0" borderId="0" xfId="0" applyFont="1" applyFill="1" applyAlignment="1">
      <alignment horizontal="left"/>
    </xf>
    <xf numFmtId="0" fontId="5" fillId="0" borderId="0" xfId="62" applyFont="1" applyFill="1" applyAlignment="1">
      <alignment vertical="center"/>
      <protection/>
    </xf>
    <xf numFmtId="0" fontId="2" fillId="0" borderId="42" xfId="0" applyFont="1" applyBorder="1" applyAlignment="1">
      <alignment horizontal="justify" vertical="center" wrapText="1"/>
    </xf>
    <xf numFmtId="0" fontId="2" fillId="0" borderId="0" xfId="0" applyFont="1" applyAlignment="1">
      <alignment horizontal="justify" vertical="center" wrapText="1"/>
    </xf>
    <xf numFmtId="0" fontId="27" fillId="0" borderId="0" xfId="0" applyFont="1" applyFill="1" applyAlignment="1">
      <alignment/>
    </xf>
    <xf numFmtId="0" fontId="27" fillId="0" borderId="0" xfId="0" applyFont="1" applyFill="1" applyAlignment="1">
      <alignment/>
    </xf>
    <xf numFmtId="0" fontId="27" fillId="0" borderId="0" xfId="62" applyFont="1" applyFill="1" applyAlignment="1">
      <alignment vertical="center"/>
      <protection/>
    </xf>
    <xf numFmtId="0" fontId="28" fillId="0" borderId="0" xfId="0" applyFont="1" applyFill="1" applyAlignment="1">
      <alignment/>
    </xf>
    <xf numFmtId="0" fontId="28" fillId="0" borderId="0" xfId="0" applyFont="1" applyAlignment="1">
      <alignment/>
    </xf>
    <xf numFmtId="0" fontId="27" fillId="0" borderId="0" xfId="0" applyFont="1" applyAlignment="1">
      <alignment/>
    </xf>
    <xf numFmtId="0" fontId="28" fillId="0" borderId="17" xfId="0" applyFont="1" applyBorder="1" applyAlignment="1">
      <alignment/>
    </xf>
    <xf numFmtId="0" fontId="28" fillId="0" borderId="0" xfId="0" applyFont="1" applyFill="1" applyAlignment="1">
      <alignment horizontal="centerContinuous"/>
    </xf>
    <xf numFmtId="0" fontId="28" fillId="0" borderId="0" xfId="0" applyFont="1" applyAlignment="1">
      <alignment vertical="center" wrapText="1"/>
    </xf>
    <xf numFmtId="0" fontId="28" fillId="0" borderId="0" xfId="0" applyFont="1" applyAlignment="1">
      <alignment wrapText="1"/>
    </xf>
    <xf numFmtId="49" fontId="27" fillId="0" borderId="0" xfId="63" applyFont="1" applyBorder="1" applyAlignment="1">
      <alignment horizontal="left" vertical="center"/>
      <protection/>
    </xf>
    <xf numFmtId="3" fontId="28" fillId="0" borderId="0" xfId="63" applyNumberFormat="1" applyFont="1" applyBorder="1" applyAlignment="1">
      <alignment vertical="center"/>
      <protection/>
    </xf>
    <xf numFmtId="3" fontId="28" fillId="0" borderId="0" xfId="63" applyNumberFormat="1" applyFont="1" applyAlignment="1">
      <alignment vertical="center"/>
      <protection/>
    </xf>
    <xf numFmtId="3" fontId="28" fillId="0" borderId="0" xfId="63" applyNumberFormat="1" applyFont="1" applyAlignment="1">
      <alignment horizontal="right" vertical="center"/>
      <protection/>
    </xf>
    <xf numFmtId="3" fontId="28" fillId="0" borderId="15" xfId="0" applyNumberFormat="1" applyFont="1" applyBorder="1" applyAlignment="1">
      <alignment/>
    </xf>
    <xf numFmtId="3" fontId="28" fillId="0" borderId="0" xfId="0" applyNumberFormat="1" applyFont="1" applyBorder="1" applyAlignment="1">
      <alignment/>
    </xf>
    <xf numFmtId="3" fontId="28" fillId="0" borderId="16" xfId="0" applyNumberFormat="1" applyFont="1" applyBorder="1" applyAlignment="1">
      <alignment/>
    </xf>
    <xf numFmtId="3" fontId="28" fillId="0" borderId="0" xfId="0" applyNumberFormat="1" applyFont="1" applyBorder="1" applyAlignment="1">
      <alignment/>
    </xf>
    <xf numFmtId="3" fontId="28" fillId="0" borderId="15" xfId="0" applyNumberFormat="1" applyFont="1" applyBorder="1" applyAlignment="1">
      <alignment/>
    </xf>
    <xf numFmtId="0" fontId="28" fillId="0" borderId="27" xfId="0" applyFont="1" applyBorder="1" applyAlignment="1">
      <alignment/>
    </xf>
    <xf numFmtId="0" fontId="27" fillId="0" borderId="0" xfId="0" applyFont="1" applyAlignment="1">
      <alignment horizontal="center" vertical="center" textRotation="90"/>
    </xf>
    <xf numFmtId="0" fontId="27" fillId="0" borderId="15" xfId="0" applyFont="1" applyBorder="1" applyAlignment="1">
      <alignment/>
    </xf>
    <xf numFmtId="0" fontId="27" fillId="0" borderId="0" xfId="0" applyFont="1" applyFill="1" applyAlignment="1">
      <alignment horizontal="center" vertical="center" wrapText="1"/>
    </xf>
    <xf numFmtId="0" fontId="28" fillId="0" borderId="15" xfId="0" applyFont="1" applyBorder="1" applyAlignment="1">
      <alignment/>
    </xf>
    <xf numFmtId="3" fontId="28" fillId="0" borderId="16" xfId="0" applyNumberFormat="1" applyFont="1" applyBorder="1" applyAlignment="1">
      <alignment/>
    </xf>
    <xf numFmtId="0" fontId="28" fillId="0" borderId="0" xfId="0" applyFont="1" applyBorder="1" applyAlignment="1">
      <alignment/>
    </xf>
    <xf numFmtId="0" fontId="28" fillId="0" borderId="16" xfId="0" applyFont="1" applyBorder="1" applyAlignment="1">
      <alignment/>
    </xf>
    <xf numFmtId="49" fontId="27" fillId="0" borderId="24" xfId="63" applyFont="1" applyBorder="1" applyAlignment="1">
      <alignment horizontal="left" vertical="center"/>
      <protection/>
    </xf>
    <xf numFmtId="0" fontId="9" fillId="0" borderId="18" xfId="0" applyFont="1" applyBorder="1" applyAlignment="1">
      <alignment horizontal="center"/>
    </xf>
    <xf numFmtId="0" fontId="8" fillId="0" borderId="43" xfId="0" applyFont="1" applyBorder="1" applyAlignment="1">
      <alignment/>
    </xf>
    <xf numFmtId="0" fontId="8" fillId="0" borderId="44" xfId="0" applyFont="1" applyBorder="1" applyAlignment="1">
      <alignment/>
    </xf>
    <xf numFmtId="0" fontId="8" fillId="0" borderId="45" xfId="0" applyFont="1" applyBorder="1" applyAlignment="1">
      <alignment/>
    </xf>
    <xf numFmtId="0" fontId="8" fillId="0" borderId="38" xfId="0" applyFont="1" applyBorder="1" applyAlignment="1">
      <alignment/>
    </xf>
    <xf numFmtId="0" fontId="3" fillId="0" borderId="0" xfId="0" applyFont="1" applyAlignment="1">
      <alignment horizontal="center" vertical="center"/>
    </xf>
    <xf numFmtId="0" fontId="0" fillId="0" borderId="42" xfId="0" applyFont="1" applyFill="1" applyBorder="1" applyAlignment="1">
      <alignment horizontal="left" indent="2"/>
    </xf>
    <xf numFmtId="0" fontId="0" fillId="0" borderId="42" xfId="0" applyFont="1" applyFill="1" applyBorder="1" applyAlignment="1">
      <alignment/>
    </xf>
    <xf numFmtId="0" fontId="0" fillId="0" borderId="0" xfId="0" applyFont="1" applyFill="1" applyAlignment="1">
      <alignment/>
    </xf>
    <xf numFmtId="0" fontId="3" fillId="37" borderId="42" xfId="0" applyFont="1" applyFill="1" applyBorder="1" applyAlignment="1">
      <alignment/>
    </xf>
    <xf numFmtId="0" fontId="0" fillId="0" borderId="0" xfId="0" applyFont="1" applyFill="1" applyBorder="1" applyAlignment="1">
      <alignment/>
    </xf>
    <xf numFmtId="0" fontId="3" fillId="37" borderId="42" xfId="0" applyFont="1" applyFill="1" applyBorder="1" applyAlignment="1">
      <alignment horizontal="right" vertical="center"/>
    </xf>
    <xf numFmtId="0" fontId="0" fillId="0" borderId="0" xfId="0" applyFont="1" applyFill="1" applyAlignment="1">
      <alignment vertical="center"/>
    </xf>
    <xf numFmtId="0" fontId="3" fillId="37" borderId="42" xfId="0" applyFont="1" applyFill="1" applyBorder="1" applyAlignment="1">
      <alignment horizontal="right" vertical="center" indent="2"/>
    </xf>
    <xf numFmtId="0" fontId="28" fillId="0" borderId="0" xfId="0" applyFont="1" applyAlignment="1">
      <alignment/>
    </xf>
    <xf numFmtId="0" fontId="3" fillId="38" borderId="42" xfId="0" applyFont="1" applyFill="1" applyBorder="1" applyAlignment="1">
      <alignment horizontal="center" vertical="center" wrapText="1"/>
    </xf>
    <xf numFmtId="0" fontId="3" fillId="38" borderId="42" xfId="0" applyFont="1" applyFill="1" applyBorder="1" applyAlignment="1">
      <alignment horizontal="center" vertical="center"/>
    </xf>
    <xf numFmtId="0" fontId="5" fillId="38" borderId="46" xfId="0" applyFont="1" applyFill="1" applyBorder="1" applyAlignment="1">
      <alignment horizontal="center" vertical="center" wrapText="1"/>
    </xf>
    <xf numFmtId="0" fontId="5" fillId="38" borderId="47" xfId="0" applyFont="1" applyFill="1" applyBorder="1" applyAlignment="1">
      <alignment horizontal="center" vertical="center" wrapText="1"/>
    </xf>
    <xf numFmtId="0" fontId="27" fillId="38" borderId="18" xfId="0" applyFont="1" applyFill="1" applyBorder="1" applyAlignment="1">
      <alignment horizontal="center" vertical="center" textRotation="90" wrapText="1"/>
    </xf>
    <xf numFmtId="0" fontId="27" fillId="38" borderId="17" xfId="0" applyFont="1" applyFill="1" applyBorder="1" applyAlignment="1">
      <alignment horizontal="center" vertical="center" textRotation="90" wrapText="1"/>
    </xf>
    <xf numFmtId="0" fontId="27" fillId="38" borderId="25" xfId="0" applyFont="1" applyFill="1" applyBorder="1" applyAlignment="1">
      <alignment horizontal="center" vertical="center" textRotation="90" wrapText="1"/>
    </xf>
    <xf numFmtId="49" fontId="12" fillId="38" borderId="36" xfId="63" applyFont="1" applyFill="1" applyBorder="1" applyAlignment="1">
      <alignment horizontal="center" textRotation="90" wrapText="1"/>
      <protection/>
    </xf>
    <xf numFmtId="49" fontId="12" fillId="38" borderId="31" xfId="63" applyFont="1" applyFill="1" applyBorder="1" applyAlignment="1">
      <alignment horizontal="center" textRotation="90" wrapText="1"/>
      <protection/>
    </xf>
    <xf numFmtId="49" fontId="12" fillId="38" borderId="39" xfId="63" applyFont="1" applyFill="1" applyBorder="1" applyAlignment="1">
      <alignment horizontal="center" textRotation="90" wrapText="1"/>
      <protection/>
    </xf>
    <xf numFmtId="49" fontId="10" fillId="38" borderId="31" xfId="63" applyFont="1" applyFill="1" applyBorder="1" applyAlignment="1">
      <alignment horizontal="center" textRotation="90" wrapText="1"/>
      <protection/>
    </xf>
    <xf numFmtId="49" fontId="9" fillId="38" borderId="48" xfId="63" applyFont="1" applyFill="1" applyBorder="1" applyAlignment="1">
      <alignment horizontal="center" textRotation="90" wrapText="1"/>
      <protection/>
    </xf>
    <xf numFmtId="0" fontId="5" fillId="38" borderId="49" xfId="62" applyFont="1" applyFill="1" applyBorder="1" applyAlignment="1">
      <alignment horizontal="center" vertical="center"/>
      <protection/>
    </xf>
    <xf numFmtId="0" fontId="5" fillId="38" borderId="50" xfId="62" applyFont="1" applyFill="1" applyBorder="1" applyAlignment="1">
      <alignment horizontal="center" vertical="center" wrapText="1"/>
      <protection/>
    </xf>
    <xf numFmtId="0" fontId="2" fillId="38" borderId="51" xfId="62" applyFont="1" applyFill="1" applyBorder="1" applyAlignment="1">
      <alignment horizontal="center" vertical="center" textRotation="90" wrapText="1"/>
      <protection/>
    </xf>
    <xf numFmtId="0" fontId="2" fillId="38" borderId="42" xfId="62" applyFont="1" applyFill="1" applyBorder="1" applyAlignment="1">
      <alignment horizontal="center" vertical="center" textRotation="90" wrapText="1"/>
      <protection/>
    </xf>
    <xf numFmtId="0" fontId="5" fillId="38" borderId="42" xfId="62" applyFont="1" applyFill="1" applyBorder="1" applyAlignment="1">
      <alignment horizontal="center" vertical="center" textRotation="90" wrapText="1"/>
      <protection/>
    </xf>
    <xf numFmtId="0" fontId="5" fillId="38" borderId="52" xfId="62" applyFont="1" applyFill="1" applyBorder="1" applyAlignment="1">
      <alignment horizontal="center" vertical="center" textRotation="90" wrapText="1"/>
      <protection/>
    </xf>
    <xf numFmtId="0" fontId="5" fillId="38" borderId="53" xfId="62" applyFont="1" applyFill="1" applyBorder="1" applyAlignment="1">
      <alignment horizontal="center" vertical="center" textRotation="90" wrapText="1"/>
      <protection/>
    </xf>
    <xf numFmtId="0" fontId="9" fillId="38" borderId="26" xfId="0" applyFont="1" applyFill="1" applyBorder="1" applyAlignment="1">
      <alignment horizontal="center" vertical="center" textRotation="90" wrapText="1"/>
    </xf>
    <xf numFmtId="0" fontId="9" fillId="38" borderId="12" xfId="0" applyFont="1" applyFill="1" applyBorder="1" applyAlignment="1">
      <alignment horizontal="center" vertical="center" textRotation="90" wrapText="1"/>
    </xf>
    <xf numFmtId="0" fontId="9" fillId="38" borderId="21" xfId="0" applyFont="1" applyFill="1" applyBorder="1" applyAlignment="1">
      <alignment horizontal="center" vertical="center" textRotation="90" wrapText="1"/>
    </xf>
    <xf numFmtId="0" fontId="9" fillId="38" borderId="44" xfId="0" applyFont="1" applyFill="1" applyBorder="1" applyAlignment="1">
      <alignment horizontal="center" vertical="center" textRotation="90" wrapText="1"/>
    </xf>
    <xf numFmtId="0" fontId="9" fillId="38" borderId="37" xfId="0" applyFont="1" applyFill="1" applyBorder="1" applyAlignment="1">
      <alignment horizontal="center" vertical="center" textRotation="90" wrapText="1"/>
    </xf>
    <xf numFmtId="0" fontId="9" fillId="38" borderId="20" xfId="0" applyFont="1" applyFill="1" applyBorder="1" applyAlignment="1">
      <alignment horizontal="center" vertical="center" textRotation="90" wrapText="1"/>
    </xf>
    <xf numFmtId="0" fontId="9" fillId="38" borderId="15" xfId="0" applyFont="1" applyFill="1" applyBorder="1" applyAlignment="1">
      <alignment horizontal="center" vertical="center" textRotation="90" wrapText="1"/>
    </xf>
    <xf numFmtId="0" fontId="9" fillId="38" borderId="27" xfId="0" applyFont="1" applyFill="1" applyBorder="1" applyAlignment="1">
      <alignment horizontal="center"/>
    </xf>
    <xf numFmtId="0" fontId="9" fillId="38" borderId="54" xfId="0" applyFont="1" applyFill="1" applyBorder="1" applyAlignment="1">
      <alignment horizontal="center"/>
    </xf>
    <xf numFmtId="0" fontId="9" fillId="38" borderId="55" xfId="0" applyFont="1" applyFill="1" applyBorder="1" applyAlignment="1">
      <alignment horizontal="center"/>
    </xf>
    <xf numFmtId="0" fontId="9" fillId="38" borderId="55" xfId="0" applyFont="1" applyFill="1" applyBorder="1" applyAlignment="1" quotePrefix="1">
      <alignment horizontal="center"/>
    </xf>
    <xf numFmtId="0" fontId="9" fillId="38" borderId="56" xfId="0" applyFont="1" applyFill="1" applyBorder="1" applyAlignment="1" quotePrefix="1">
      <alignment horizontal="center"/>
    </xf>
    <xf numFmtId="0" fontId="9" fillId="38" borderId="57" xfId="0" applyFont="1" applyFill="1" applyBorder="1" applyAlignment="1" quotePrefix="1">
      <alignment horizontal="center"/>
    </xf>
    <xf numFmtId="0" fontId="9" fillId="38" borderId="11" xfId="0" applyFont="1" applyFill="1" applyBorder="1" applyAlignment="1" quotePrefix="1">
      <alignment horizontal="center"/>
    </xf>
    <xf numFmtId="0" fontId="9" fillId="38" borderId="11" xfId="0" applyFont="1" applyFill="1" applyBorder="1" applyAlignment="1">
      <alignment horizontal="center"/>
    </xf>
    <xf numFmtId="0" fontId="9" fillId="38" borderId="17" xfId="62" applyFont="1" applyFill="1" applyBorder="1" applyAlignment="1">
      <alignment horizontal="center" vertical="center"/>
      <protection/>
    </xf>
    <xf numFmtId="0" fontId="9" fillId="38" borderId="18" xfId="62" applyFont="1" applyFill="1" applyBorder="1" applyAlignment="1">
      <alignment horizontal="center" vertical="center" wrapText="1"/>
      <protection/>
    </xf>
    <xf numFmtId="0" fontId="9" fillId="38" borderId="17" xfId="62" applyFont="1" applyFill="1" applyBorder="1" applyAlignment="1">
      <alignment horizontal="center" vertical="center" wrapText="1"/>
      <protection/>
    </xf>
    <xf numFmtId="0" fontId="9" fillId="38" borderId="38" xfId="0" applyFont="1" applyFill="1" applyBorder="1" applyAlignment="1">
      <alignment horizontal="center" vertical="center" wrapText="1"/>
    </xf>
    <xf numFmtId="0" fontId="9" fillId="38" borderId="33" xfId="0" applyFont="1" applyFill="1" applyBorder="1" applyAlignment="1">
      <alignment horizontal="center" vertical="center" wrapText="1"/>
    </xf>
    <xf numFmtId="0" fontId="9" fillId="38" borderId="32" xfId="0" applyFont="1" applyFill="1" applyBorder="1" applyAlignment="1">
      <alignment horizontal="center" vertical="center" wrapText="1"/>
    </xf>
    <xf numFmtId="172" fontId="9" fillId="38" borderId="38" xfId="0" applyNumberFormat="1" applyFont="1" applyFill="1" applyBorder="1" applyAlignment="1">
      <alignment horizontal="center" textRotation="90" wrapText="1"/>
    </xf>
    <xf numFmtId="172" fontId="9" fillId="38" borderId="32" xfId="0" applyNumberFormat="1" applyFont="1" applyFill="1" applyBorder="1" applyAlignment="1">
      <alignment horizontal="center" textRotation="90" wrapText="1"/>
    </xf>
    <xf numFmtId="172" fontId="9" fillId="38" borderId="43" xfId="0" applyNumberFormat="1" applyFont="1" applyFill="1" applyBorder="1" applyAlignment="1">
      <alignment horizontal="center" textRotation="90" wrapText="1"/>
    </xf>
    <xf numFmtId="0" fontId="9" fillId="38" borderId="17" xfId="0" applyFont="1" applyFill="1" applyBorder="1" applyAlignment="1">
      <alignment horizontal="center" vertical="center" wrapText="1"/>
    </xf>
    <xf numFmtId="0" fontId="9" fillId="38" borderId="24" xfId="0" applyFont="1" applyFill="1" applyBorder="1" applyAlignment="1">
      <alignment horizontal="center" vertical="center" wrapText="1"/>
    </xf>
    <xf numFmtId="172" fontId="9" fillId="38" borderId="32" xfId="0" applyNumberFormat="1" applyFont="1" applyFill="1" applyBorder="1" applyAlignment="1">
      <alignment horizontal="center" vertical="center" textRotation="90" wrapText="1"/>
    </xf>
    <xf numFmtId="172" fontId="9" fillId="38" borderId="43" xfId="0" applyNumberFormat="1" applyFont="1" applyFill="1" applyBorder="1" applyAlignment="1">
      <alignment horizontal="center" vertical="center" textRotation="90" wrapText="1"/>
    </xf>
    <xf numFmtId="0" fontId="9" fillId="38" borderId="18" xfId="0" applyFont="1" applyFill="1" applyBorder="1" applyAlignment="1">
      <alignment horizontal="center" vertical="center" wrapText="1"/>
    </xf>
    <xf numFmtId="0" fontId="2" fillId="0" borderId="0" xfId="0" applyFont="1" applyFill="1" applyAlignment="1">
      <alignment horizontal="centerContinuous"/>
    </xf>
    <xf numFmtId="0" fontId="2" fillId="0" borderId="0" xfId="0" applyFont="1" applyFill="1" applyAlignment="1">
      <alignment/>
    </xf>
    <xf numFmtId="49" fontId="15" fillId="38" borderId="38" xfId="63" applyFont="1" applyFill="1" applyBorder="1" applyAlignment="1">
      <alignment horizontal="center" textRotation="90" wrapText="1"/>
      <protection/>
    </xf>
    <xf numFmtId="49" fontId="15" fillId="38" borderId="32" xfId="63" applyFont="1" applyFill="1" applyBorder="1" applyAlignment="1">
      <alignment horizontal="center" textRotation="90" wrapText="1"/>
      <protection/>
    </xf>
    <xf numFmtId="49" fontId="15" fillId="38" borderId="45" xfId="63" applyFont="1" applyFill="1" applyBorder="1" applyAlignment="1">
      <alignment horizontal="center" textRotation="90" wrapText="1"/>
      <protection/>
    </xf>
    <xf numFmtId="49" fontId="5" fillId="38" borderId="38" xfId="63" applyNumberFormat="1" applyFont="1" applyFill="1" applyBorder="1" applyAlignment="1" applyProtection="1">
      <alignment horizontal="center" textRotation="90" wrapText="1"/>
      <protection/>
    </xf>
    <xf numFmtId="49" fontId="5" fillId="38" borderId="43" xfId="63" applyFont="1" applyFill="1" applyBorder="1" applyAlignment="1">
      <alignment horizontal="center" textRotation="90" wrapText="1"/>
      <protection/>
    </xf>
    <xf numFmtId="0" fontId="5" fillId="0" borderId="0" xfId="0" applyFont="1" applyFill="1" applyAlignment="1">
      <alignment/>
    </xf>
    <xf numFmtId="0" fontId="5" fillId="0" borderId="0" xfId="0" applyFont="1" applyFill="1" applyAlignment="1" quotePrefix="1">
      <alignment/>
    </xf>
    <xf numFmtId="0" fontId="5" fillId="38" borderId="38" xfId="0" applyFont="1" applyFill="1" applyBorder="1" applyAlignment="1">
      <alignment horizontal="center" vertical="center" textRotation="90" wrapText="1"/>
    </xf>
    <xf numFmtId="0" fontId="5" fillId="38" borderId="32" xfId="0" applyFont="1" applyFill="1" applyBorder="1" applyAlignment="1">
      <alignment horizontal="center" vertical="center" textRotation="90" wrapText="1"/>
    </xf>
    <xf numFmtId="0" fontId="5" fillId="38" borderId="33" xfId="0" applyFont="1" applyFill="1" applyBorder="1" applyAlignment="1">
      <alignment horizontal="center" vertical="center" textRotation="90" wrapText="1"/>
    </xf>
    <xf numFmtId="0" fontId="5" fillId="38" borderId="18" xfId="0" applyFont="1" applyFill="1" applyBorder="1" applyAlignment="1">
      <alignment horizontal="center" vertical="center" textRotation="90" wrapText="1"/>
    </xf>
    <xf numFmtId="0" fontId="5" fillId="0" borderId="26" xfId="0" applyFont="1" applyBorder="1" applyAlignment="1">
      <alignment horizontal="center" wrapText="1"/>
    </xf>
    <xf numFmtId="0" fontId="5" fillId="0" borderId="37" xfId="0" applyFont="1" applyBorder="1" applyAlignment="1">
      <alignment horizontal="center"/>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xf>
    <xf numFmtId="0" fontId="16" fillId="0" borderId="15" xfId="0" applyFont="1" applyFill="1" applyBorder="1" applyAlignment="1">
      <alignment wrapText="1"/>
    </xf>
    <xf numFmtId="3" fontId="5" fillId="0" borderId="28" xfId="0" applyNumberFormat="1" applyFont="1" applyBorder="1" applyAlignment="1">
      <alignment/>
    </xf>
    <xf numFmtId="3" fontId="5" fillId="0" borderId="21" xfId="0" applyNumberFormat="1" applyFont="1" applyBorder="1" applyAlignment="1">
      <alignment/>
    </xf>
    <xf numFmtId="3" fontId="5" fillId="0" borderId="12" xfId="0" applyNumberFormat="1" applyFont="1" applyBorder="1" applyAlignment="1">
      <alignment/>
    </xf>
    <xf numFmtId="3" fontId="5" fillId="0" borderId="16" xfId="0" applyNumberFormat="1" applyFont="1" applyBorder="1" applyAlignment="1">
      <alignment/>
    </xf>
    <xf numFmtId="0" fontId="2" fillId="0" borderId="15" xfId="0" applyFont="1" applyFill="1" applyBorder="1" applyAlignment="1">
      <alignment wrapText="1"/>
    </xf>
    <xf numFmtId="3" fontId="2" fillId="0" borderId="28" xfId="0" applyNumberFormat="1" applyFont="1" applyBorder="1" applyAlignment="1">
      <alignment/>
    </xf>
    <xf numFmtId="3" fontId="2" fillId="0" borderId="21" xfId="0" applyNumberFormat="1" applyFont="1" applyBorder="1" applyAlignment="1">
      <alignment/>
    </xf>
    <xf numFmtId="3" fontId="2" fillId="0" borderId="12" xfId="0" applyNumberFormat="1" applyFont="1" applyBorder="1" applyAlignment="1">
      <alignment/>
    </xf>
    <xf numFmtId="3" fontId="2" fillId="0" borderId="16" xfId="0" applyNumberFormat="1" applyFont="1" applyBorder="1" applyAlignment="1">
      <alignment/>
    </xf>
    <xf numFmtId="0" fontId="5" fillId="0" borderId="15" xfId="0" applyFont="1" applyFill="1" applyBorder="1" applyAlignment="1">
      <alignment wrapText="1"/>
    </xf>
    <xf numFmtId="0" fontId="2" fillId="0" borderId="15" xfId="0" applyFont="1" applyFill="1" applyBorder="1" applyAlignment="1">
      <alignment horizontal="left" wrapText="1"/>
    </xf>
    <xf numFmtId="0" fontId="2" fillId="0" borderId="15" xfId="0" applyFont="1" applyFill="1" applyBorder="1" applyAlignment="1" quotePrefix="1">
      <alignment horizontal="left" wrapText="1"/>
    </xf>
    <xf numFmtId="0" fontId="16" fillId="0" borderId="15" xfId="0" applyFont="1" applyFill="1" applyBorder="1" applyAlignment="1">
      <alignment horizontal="left" wrapText="1"/>
    </xf>
    <xf numFmtId="0" fontId="2" fillId="0" borderId="22" xfId="0" applyFont="1" applyBorder="1" applyAlignment="1">
      <alignment wrapText="1"/>
    </xf>
    <xf numFmtId="0" fontId="2" fillId="0" borderId="10" xfId="0" applyFont="1" applyFill="1" applyBorder="1" applyAlignment="1">
      <alignment wrapText="1"/>
    </xf>
    <xf numFmtId="0" fontId="5" fillId="0" borderId="58" xfId="0" applyFont="1" applyFill="1" applyBorder="1" applyAlignment="1">
      <alignment horizontal="center" wrapText="1"/>
    </xf>
    <xf numFmtId="3" fontId="5" fillId="0" borderId="59" xfId="0" applyNumberFormat="1" applyFont="1" applyFill="1" applyBorder="1" applyAlignment="1">
      <alignment/>
    </xf>
    <xf numFmtId="3" fontId="5" fillId="0" borderId="60" xfId="0" applyNumberFormat="1" applyFont="1" applyFill="1" applyBorder="1" applyAlignment="1">
      <alignment/>
    </xf>
    <xf numFmtId="3" fontId="5" fillId="0" borderId="61" xfId="0" applyNumberFormat="1" applyFont="1" applyFill="1" applyBorder="1" applyAlignment="1">
      <alignment/>
    </xf>
    <xf numFmtId="3" fontId="5" fillId="0" borderId="62" xfId="0" applyNumberFormat="1" applyFont="1" applyFill="1" applyBorder="1" applyAlignment="1">
      <alignment/>
    </xf>
    <xf numFmtId="0" fontId="5" fillId="0" borderId="17" xfId="0" applyFont="1" applyFill="1" applyBorder="1" applyAlignment="1">
      <alignment horizontal="center" wrapText="1"/>
    </xf>
    <xf numFmtId="3" fontId="5" fillId="0" borderId="38" xfId="0" applyNumberFormat="1" applyFont="1" applyFill="1" applyBorder="1" applyAlignment="1">
      <alignment/>
    </xf>
    <xf numFmtId="3" fontId="5" fillId="0" borderId="25" xfId="0" applyNumberFormat="1" applyFont="1" applyFill="1" applyBorder="1" applyAlignment="1">
      <alignment/>
    </xf>
    <xf numFmtId="3" fontId="5" fillId="0" borderId="33" xfId="0" applyNumberFormat="1" applyFont="1" applyFill="1" applyBorder="1" applyAlignment="1">
      <alignment/>
    </xf>
    <xf numFmtId="3" fontId="5" fillId="0" borderId="18" xfId="0" applyNumberFormat="1" applyFont="1" applyFill="1" applyBorder="1" applyAlignment="1">
      <alignment/>
    </xf>
    <xf numFmtId="3" fontId="5" fillId="0" borderId="63" xfId="0" applyNumberFormat="1" applyFont="1" applyFill="1" applyBorder="1" applyAlignment="1">
      <alignment/>
    </xf>
    <xf numFmtId="3" fontId="5" fillId="0" borderId="43" xfId="0" applyNumberFormat="1" applyFont="1" applyFill="1" applyBorder="1" applyAlignment="1">
      <alignment/>
    </xf>
    <xf numFmtId="3" fontId="5" fillId="0" borderId="64" xfId="0" applyNumberFormat="1" applyFont="1" applyFill="1" applyBorder="1" applyAlignment="1">
      <alignment/>
    </xf>
    <xf numFmtId="3" fontId="5" fillId="0" borderId="32" xfId="0" applyNumberFormat="1" applyFont="1" applyFill="1" applyBorder="1" applyAlignment="1">
      <alignment/>
    </xf>
    <xf numFmtId="0" fontId="3" fillId="0" borderId="0" xfId="62" applyFont="1" applyFill="1" applyAlignment="1">
      <alignment vertical="center"/>
      <protection/>
    </xf>
    <xf numFmtId="0" fontId="3" fillId="35" borderId="0" xfId="0" applyFont="1" applyFill="1" applyAlignment="1">
      <alignment/>
    </xf>
    <xf numFmtId="3" fontId="8" fillId="0" borderId="15" xfId="55" applyNumberFormat="1" applyFont="1" applyBorder="1">
      <alignment/>
      <protection/>
    </xf>
    <xf numFmtId="0" fontId="0" fillId="3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37" borderId="65" xfId="0" applyFont="1" applyFill="1" applyBorder="1" applyAlignment="1">
      <alignment horizontal="right" vertical="center"/>
    </xf>
    <xf numFmtId="0" fontId="2" fillId="0" borderId="66" xfId="0" applyFont="1" applyFill="1" applyBorder="1" applyAlignment="1">
      <alignment horizontal="left" indent="2"/>
    </xf>
    <xf numFmtId="0" fontId="2" fillId="0" borderId="0" xfId="0" applyFont="1" applyFill="1" applyBorder="1" applyAlignment="1">
      <alignment horizontal="left" indent="2"/>
    </xf>
    <xf numFmtId="0" fontId="3" fillId="0" borderId="42" xfId="0" applyFont="1" applyBorder="1" applyAlignment="1">
      <alignment horizontal="left" vertical="center"/>
    </xf>
    <xf numFmtId="3" fontId="0" fillId="0" borderId="42" xfId="0" applyNumberFormat="1" applyFont="1" applyFill="1" applyBorder="1" applyAlignment="1">
      <alignment/>
    </xf>
    <xf numFmtId="3" fontId="0" fillId="0" borderId="0" xfId="0" applyNumberFormat="1" applyAlignment="1">
      <alignment/>
    </xf>
    <xf numFmtId="3" fontId="3" fillId="38" borderId="42" xfId="0" applyNumberFormat="1" applyFont="1" applyFill="1" applyBorder="1" applyAlignment="1">
      <alignment horizontal="center" vertical="center"/>
    </xf>
    <xf numFmtId="3" fontId="3" fillId="37" borderId="42" xfId="0" applyNumberFormat="1" applyFont="1" applyFill="1" applyBorder="1" applyAlignment="1">
      <alignment vertical="center"/>
    </xf>
    <xf numFmtId="4" fontId="0" fillId="0" borderId="0" xfId="0" applyNumberFormat="1" applyAlignment="1">
      <alignment/>
    </xf>
    <xf numFmtId="3" fontId="3" fillId="37" borderId="42" xfId="0" applyNumberFormat="1" applyFont="1" applyFill="1" applyBorder="1" applyAlignment="1">
      <alignment/>
    </xf>
    <xf numFmtId="0" fontId="0" fillId="0" borderId="0" xfId="0" applyFont="1" applyAlignment="1">
      <alignment/>
    </xf>
    <xf numFmtId="49" fontId="2" fillId="0" borderId="67" xfId="63" applyFont="1" applyBorder="1" applyAlignment="1">
      <alignment vertical="center"/>
      <protection/>
    </xf>
    <xf numFmtId="49" fontId="2" fillId="0" borderId="68" xfId="63" applyFont="1" applyBorder="1" applyAlignment="1">
      <alignment vertical="center"/>
      <protection/>
    </xf>
    <xf numFmtId="49" fontId="2" fillId="0" borderId="66" xfId="63" applyFont="1" applyBorder="1" applyAlignment="1">
      <alignment vertical="center"/>
      <protection/>
    </xf>
    <xf numFmtId="49" fontId="2" fillId="0" borderId="69" xfId="63" applyFont="1" applyBorder="1" applyAlignment="1">
      <alignment vertical="center"/>
      <protection/>
    </xf>
    <xf numFmtId="49" fontId="5" fillId="33" borderId="25" xfId="63" applyFont="1" applyFill="1" applyBorder="1" applyAlignment="1">
      <alignment horizontal="center" vertical="center"/>
      <protection/>
    </xf>
    <xf numFmtId="0" fontId="5" fillId="0" borderId="26" xfId="0" applyFont="1" applyFill="1" applyBorder="1" applyAlignment="1">
      <alignment horizontal="left"/>
    </xf>
    <xf numFmtId="49" fontId="5" fillId="33" borderId="17" xfId="63" applyFont="1" applyFill="1" applyBorder="1" applyAlignment="1">
      <alignment horizontal="center" vertical="center"/>
      <protection/>
    </xf>
    <xf numFmtId="3" fontId="5" fillId="0" borderId="29" xfId="63" applyNumberFormat="1" applyFont="1" applyBorder="1" applyAlignment="1">
      <alignment vertical="center"/>
      <protection/>
    </xf>
    <xf numFmtId="3" fontId="5" fillId="0" borderId="70" xfId="63" applyNumberFormat="1" applyFont="1" applyBorder="1" applyAlignment="1">
      <alignment vertical="center"/>
      <protection/>
    </xf>
    <xf numFmtId="3" fontId="2" fillId="0" borderId="71" xfId="63" applyNumberFormat="1" applyFont="1" applyBorder="1" applyAlignment="1">
      <alignment horizontal="justify" vertical="center"/>
      <protection/>
    </xf>
    <xf numFmtId="3" fontId="2" fillId="0" borderId="42" xfId="63" applyNumberFormat="1" applyFont="1" applyBorder="1" applyAlignment="1">
      <alignment horizontal="right" vertical="center"/>
      <protection/>
    </xf>
    <xf numFmtId="3" fontId="2" fillId="0" borderId="71" xfId="63" applyNumberFormat="1" applyFont="1" applyBorder="1" applyAlignment="1">
      <alignment vertical="center"/>
      <protection/>
    </xf>
    <xf numFmtId="3" fontId="2" fillId="0" borderId="72" xfId="63" applyNumberFormat="1" applyFont="1" applyBorder="1" applyAlignment="1">
      <alignment vertical="center"/>
      <protection/>
    </xf>
    <xf numFmtId="3" fontId="5" fillId="33" borderId="38" xfId="63" applyNumberFormat="1" applyFont="1" applyFill="1" applyBorder="1" applyAlignment="1">
      <alignment horizontal="right" vertical="center"/>
      <protection/>
    </xf>
    <xf numFmtId="3" fontId="5" fillId="33" borderId="45" xfId="63" applyNumberFormat="1" applyFont="1" applyFill="1" applyBorder="1" applyAlignment="1">
      <alignment horizontal="right" vertical="center"/>
      <protection/>
    </xf>
    <xf numFmtId="3" fontId="5" fillId="33" borderId="43" xfId="63" applyNumberFormat="1" applyFont="1" applyFill="1" applyBorder="1" applyAlignment="1">
      <alignment horizontal="right" vertical="center"/>
      <protection/>
    </xf>
    <xf numFmtId="3" fontId="2" fillId="0" borderId="29" xfId="63" applyNumberFormat="1" applyFont="1" applyBorder="1" applyAlignment="1">
      <alignment vertical="center"/>
      <protection/>
    </xf>
    <xf numFmtId="3" fontId="2" fillId="0" borderId="47" xfId="63" applyNumberFormat="1" applyFont="1" applyBorder="1" applyAlignment="1">
      <alignment horizontal="right" vertical="center"/>
      <protection/>
    </xf>
    <xf numFmtId="3" fontId="2" fillId="0" borderId="65" xfId="63" applyNumberFormat="1" applyFont="1" applyBorder="1" applyAlignment="1">
      <alignment horizontal="right" vertical="center"/>
      <protection/>
    </xf>
    <xf numFmtId="3" fontId="2" fillId="0" borderId="29" xfId="63" applyNumberFormat="1" applyFont="1" applyBorder="1" applyAlignment="1">
      <alignment horizontal="right" vertical="center"/>
      <protection/>
    </xf>
    <xf numFmtId="3" fontId="2" fillId="0" borderId="71" xfId="63" applyNumberFormat="1" applyFont="1" applyBorder="1" applyAlignment="1">
      <alignment horizontal="right" vertical="center"/>
      <protection/>
    </xf>
    <xf numFmtId="3" fontId="2" fillId="0" borderId="72" xfId="63" applyNumberFormat="1" applyFont="1" applyBorder="1" applyAlignment="1">
      <alignment horizontal="right" vertical="center"/>
      <protection/>
    </xf>
    <xf numFmtId="49" fontId="5" fillId="33" borderId="17" xfId="63" applyFont="1" applyFill="1" applyBorder="1" applyAlignment="1">
      <alignment horizontal="center" vertical="center" textRotation="90"/>
      <protection/>
    </xf>
    <xf numFmtId="3" fontId="5" fillId="0" borderId="47" xfId="63" applyNumberFormat="1" applyFont="1" applyBorder="1" applyAlignment="1">
      <alignment vertical="center"/>
      <protection/>
    </xf>
    <xf numFmtId="3" fontId="5" fillId="0" borderId="71" xfId="63" applyNumberFormat="1" applyFont="1" applyBorder="1" applyAlignment="1">
      <alignment vertical="center"/>
      <protection/>
    </xf>
    <xf numFmtId="3" fontId="5" fillId="0" borderId="42" xfId="63" applyNumberFormat="1" applyFont="1" applyBorder="1" applyAlignment="1">
      <alignment vertical="center"/>
      <protection/>
    </xf>
    <xf numFmtId="3" fontId="2" fillId="0" borderId="42" xfId="63" applyNumberFormat="1" applyFont="1" applyBorder="1" applyAlignment="1">
      <alignment horizontal="justify" vertical="center"/>
      <protection/>
    </xf>
    <xf numFmtId="3" fontId="2" fillId="0" borderId="42" xfId="63" applyNumberFormat="1" applyFont="1" applyBorder="1" applyAlignment="1">
      <alignment vertical="center"/>
      <protection/>
    </xf>
    <xf numFmtId="3" fontId="2" fillId="0" borderId="65" xfId="63" applyNumberFormat="1" applyFont="1" applyBorder="1" applyAlignment="1">
      <alignment vertical="center"/>
      <protection/>
    </xf>
    <xf numFmtId="3" fontId="5" fillId="0" borderId="72" xfId="63" applyNumberFormat="1" applyFont="1" applyBorder="1" applyAlignment="1">
      <alignment vertical="center"/>
      <protection/>
    </xf>
    <xf numFmtId="3" fontId="5" fillId="0" borderId="65" xfId="63" applyNumberFormat="1" applyFont="1" applyBorder="1" applyAlignment="1">
      <alignment vertical="center"/>
      <protection/>
    </xf>
    <xf numFmtId="3" fontId="2" fillId="0" borderId="47" xfId="63" applyNumberFormat="1" applyFont="1" applyBorder="1" applyAlignment="1">
      <alignment vertical="center"/>
      <protection/>
    </xf>
    <xf numFmtId="3" fontId="27" fillId="0" borderId="16" xfId="0" applyNumberFormat="1" applyFont="1" applyBorder="1" applyAlignment="1">
      <alignment/>
    </xf>
    <xf numFmtId="0" fontId="27" fillId="0" borderId="16" xfId="0" applyFont="1" applyBorder="1" applyAlignment="1">
      <alignment/>
    </xf>
    <xf numFmtId="3" fontId="27" fillId="0" borderId="0" xfId="0" applyNumberFormat="1" applyFont="1" applyBorder="1" applyAlignment="1">
      <alignment/>
    </xf>
    <xf numFmtId="0" fontId="27" fillId="0" borderId="0" xfId="0" applyFont="1" applyBorder="1" applyAlignment="1">
      <alignment/>
    </xf>
    <xf numFmtId="173" fontId="5" fillId="0" borderId="73" xfId="63" applyNumberFormat="1" applyFont="1" applyBorder="1" applyAlignment="1">
      <alignment vertical="center"/>
      <protection/>
    </xf>
    <xf numFmtId="3" fontId="27" fillId="0" borderId="17" xfId="0" applyNumberFormat="1" applyFont="1" applyBorder="1" applyAlignment="1">
      <alignment/>
    </xf>
    <xf numFmtId="0" fontId="28" fillId="0" borderId="0" xfId="0" applyFont="1" applyFill="1" applyBorder="1" applyAlignment="1">
      <alignment/>
    </xf>
    <xf numFmtId="3" fontId="5" fillId="0" borderId="0" xfId="63" applyNumberFormat="1" applyFont="1" applyFill="1" applyBorder="1" applyAlignment="1">
      <alignment horizontal="right" vertical="center"/>
      <protection/>
    </xf>
    <xf numFmtId="3" fontId="75" fillId="0" borderId="0" xfId="0" applyNumberFormat="1" applyFont="1" applyFill="1" applyBorder="1" applyAlignment="1">
      <alignment/>
    </xf>
    <xf numFmtId="174" fontId="27" fillId="0" borderId="15" xfId="0" applyNumberFormat="1" applyFont="1" applyBorder="1" applyAlignment="1">
      <alignment/>
    </xf>
    <xf numFmtId="174" fontId="27" fillId="0" borderId="18" xfId="0" applyNumberFormat="1" applyFont="1" applyBorder="1" applyAlignment="1">
      <alignment/>
    </xf>
    <xf numFmtId="3" fontId="8" fillId="0" borderId="74" xfId="0" applyNumberFormat="1" applyFont="1" applyBorder="1" applyAlignment="1">
      <alignment/>
    </xf>
    <xf numFmtId="3" fontId="8" fillId="0" borderId="46" xfId="0" applyNumberFormat="1" applyFont="1" applyBorder="1" applyAlignment="1">
      <alignment/>
    </xf>
    <xf numFmtId="3" fontId="8" fillId="0" borderId="75" xfId="0" applyNumberFormat="1" applyFont="1" applyBorder="1" applyAlignment="1">
      <alignment/>
    </xf>
    <xf numFmtId="3" fontId="8" fillId="0" borderId="71" xfId="0" applyNumberFormat="1" applyFont="1" applyBorder="1" applyAlignment="1">
      <alignment/>
    </xf>
    <xf numFmtId="3" fontId="8" fillId="0" borderId="42" xfId="0" applyNumberFormat="1" applyFont="1" applyBorder="1" applyAlignment="1">
      <alignment/>
    </xf>
    <xf numFmtId="3" fontId="8" fillId="0" borderId="51" xfId="0" applyNumberFormat="1" applyFont="1" applyBorder="1" applyAlignment="1">
      <alignment/>
    </xf>
    <xf numFmtId="3" fontId="8" fillId="0" borderId="72" xfId="0" applyNumberFormat="1" applyFont="1" applyBorder="1" applyAlignment="1">
      <alignment/>
    </xf>
    <xf numFmtId="3" fontId="8" fillId="0" borderId="65" xfId="0" applyNumberFormat="1" applyFont="1" applyBorder="1" applyAlignment="1">
      <alignment/>
    </xf>
    <xf numFmtId="3" fontId="8" fillId="0" borderId="76" xfId="0" applyNumberFormat="1" applyFont="1" applyBorder="1" applyAlignment="1">
      <alignment/>
    </xf>
    <xf numFmtId="3" fontId="8" fillId="34" borderId="36" xfId="0" applyNumberFormat="1" applyFont="1" applyFill="1" applyBorder="1" applyAlignment="1">
      <alignment/>
    </xf>
    <xf numFmtId="3" fontId="8" fillId="34" borderId="31" xfId="0" applyNumberFormat="1" applyFont="1" applyFill="1" applyBorder="1" applyAlignment="1">
      <alignment/>
    </xf>
    <xf numFmtId="3" fontId="8" fillId="34" borderId="39" xfId="0" applyNumberFormat="1" applyFont="1" applyFill="1" applyBorder="1" applyAlignment="1">
      <alignment/>
    </xf>
    <xf numFmtId="3" fontId="8" fillId="0" borderId="29" xfId="0" applyNumberFormat="1" applyFont="1" applyBorder="1" applyAlignment="1">
      <alignment/>
    </xf>
    <xf numFmtId="3" fontId="8" fillId="0" borderId="47" xfId="0" applyNumberFormat="1" applyFont="1" applyBorder="1" applyAlignment="1">
      <alignment/>
    </xf>
    <xf numFmtId="3" fontId="8" fillId="0" borderId="14" xfId="0" applyNumberFormat="1" applyFont="1" applyBorder="1" applyAlignment="1">
      <alignment/>
    </xf>
    <xf numFmtId="3" fontId="8" fillId="34" borderId="31" xfId="0" applyNumberFormat="1" applyFont="1" applyFill="1" applyBorder="1" applyAlignment="1">
      <alignment/>
    </xf>
    <xf numFmtId="3" fontId="9" fillId="0" borderId="77" xfId="0" applyNumberFormat="1" applyFont="1" applyBorder="1" applyAlignment="1">
      <alignment/>
    </xf>
    <xf numFmtId="3" fontId="9" fillId="0" borderId="53" xfId="0" applyNumberFormat="1" applyFont="1" applyBorder="1" applyAlignment="1">
      <alignment/>
    </xf>
    <xf numFmtId="3" fontId="9" fillId="0" borderId="78" xfId="0" applyNumberFormat="1" applyFont="1" applyBorder="1" applyAlignment="1">
      <alignment/>
    </xf>
    <xf numFmtId="3" fontId="9" fillId="34" borderId="48" xfId="0" applyNumberFormat="1" applyFont="1" applyFill="1" applyBorder="1" applyAlignment="1">
      <alignment/>
    </xf>
    <xf numFmtId="3" fontId="9" fillId="0" borderId="73" xfId="0" applyNumberFormat="1" applyFont="1" applyBorder="1" applyAlignment="1">
      <alignment/>
    </xf>
    <xf numFmtId="3" fontId="9" fillId="0" borderId="46" xfId="0" applyNumberFormat="1" applyFont="1" applyBorder="1" applyAlignment="1">
      <alignment/>
    </xf>
    <xf numFmtId="0" fontId="9" fillId="0" borderId="77" xfId="0" applyNumberFormat="1" applyFont="1" applyBorder="1" applyAlignment="1">
      <alignment/>
    </xf>
    <xf numFmtId="3" fontId="9" fillId="0" borderId="42" xfId="0" applyNumberFormat="1" applyFont="1" applyBorder="1" applyAlignment="1">
      <alignment/>
    </xf>
    <xf numFmtId="0" fontId="9" fillId="0" borderId="53" xfId="0" applyNumberFormat="1" applyFont="1" applyBorder="1" applyAlignment="1">
      <alignment/>
    </xf>
    <xf numFmtId="3" fontId="9" fillId="0" borderId="65" xfId="0" applyNumberFormat="1" applyFont="1" applyBorder="1" applyAlignment="1">
      <alignment/>
    </xf>
    <xf numFmtId="0" fontId="9" fillId="0" borderId="78" xfId="0" applyNumberFormat="1" applyFont="1" applyBorder="1" applyAlignment="1">
      <alignment/>
    </xf>
    <xf numFmtId="3" fontId="9" fillId="34" borderId="31" xfId="0" applyNumberFormat="1" applyFont="1" applyFill="1" applyBorder="1" applyAlignment="1">
      <alignment/>
    </xf>
    <xf numFmtId="0" fontId="9" fillId="34" borderId="48" xfId="0" applyNumberFormat="1" applyFont="1" applyFill="1" applyBorder="1" applyAlignment="1">
      <alignment/>
    </xf>
    <xf numFmtId="3" fontId="9" fillId="0" borderId="47" xfId="0" applyNumberFormat="1" applyFont="1" applyBorder="1" applyAlignment="1">
      <alignment/>
    </xf>
    <xf numFmtId="0" fontId="9" fillId="0" borderId="73" xfId="0" applyNumberFormat="1" applyFont="1" applyBorder="1" applyAlignment="1">
      <alignment/>
    </xf>
    <xf numFmtId="0" fontId="9" fillId="0" borderId="48" xfId="0" applyNumberFormat="1" applyFont="1" applyBorder="1" applyAlignment="1">
      <alignment/>
    </xf>
    <xf numFmtId="3" fontId="76" fillId="0" borderId="0" xfId="0" applyNumberFormat="1" applyFont="1" applyAlignment="1">
      <alignment/>
    </xf>
    <xf numFmtId="49" fontId="10" fillId="38" borderId="48" xfId="63" applyFont="1" applyFill="1" applyBorder="1" applyAlignment="1">
      <alignment horizontal="center" textRotation="90" wrapText="1"/>
      <protection/>
    </xf>
    <xf numFmtId="0" fontId="77" fillId="39" borderId="42" xfId="0" applyFont="1" applyFill="1" applyBorder="1" applyAlignment="1">
      <alignment horizontal="left"/>
    </xf>
    <xf numFmtId="3" fontId="77" fillId="39" borderId="42" xfId="0" applyNumberFormat="1" applyFont="1" applyFill="1" applyBorder="1" applyAlignment="1">
      <alignment horizontal="right"/>
    </xf>
    <xf numFmtId="3" fontId="77" fillId="39" borderId="42" xfId="0" applyNumberFormat="1" applyFont="1" applyFill="1" applyBorder="1" applyAlignment="1">
      <alignment horizontal="right" wrapText="1"/>
    </xf>
    <xf numFmtId="0" fontId="77" fillId="39" borderId="42" xfId="0" applyFont="1" applyFill="1" applyBorder="1" applyAlignment="1">
      <alignment horizontal="right" wrapText="1"/>
    </xf>
    <xf numFmtId="175" fontId="77" fillId="39" borderId="42" xfId="0" applyNumberFormat="1" applyFont="1" applyFill="1" applyBorder="1" applyAlignment="1">
      <alignment horizontal="right" wrapText="1"/>
    </xf>
    <xf numFmtId="175" fontId="77" fillId="0" borderId="42" xfId="0" applyNumberFormat="1" applyFont="1" applyBorder="1" applyAlignment="1">
      <alignment/>
    </xf>
    <xf numFmtId="0" fontId="5" fillId="38" borderId="65" xfId="0" applyFont="1" applyFill="1" applyBorder="1" applyAlignment="1">
      <alignment horizontal="center" vertical="center" wrapText="1"/>
    </xf>
    <xf numFmtId="0" fontId="5" fillId="38" borderId="65" xfId="0" applyFont="1" applyFill="1" applyBorder="1" applyAlignment="1">
      <alignment horizontal="center" vertical="center"/>
    </xf>
    <xf numFmtId="0" fontId="5" fillId="38" borderId="42" xfId="0" applyFont="1" applyFill="1" applyBorder="1" applyAlignment="1">
      <alignment horizontal="center" vertical="center"/>
    </xf>
    <xf numFmtId="0" fontId="5" fillId="37" borderId="42" xfId="0" applyFont="1" applyFill="1" applyBorder="1" applyAlignment="1">
      <alignment horizontal="right" vertical="center" indent="2"/>
    </xf>
    <xf numFmtId="3" fontId="5" fillId="37" borderId="42" xfId="0" applyNumberFormat="1" applyFont="1" applyFill="1" applyBorder="1" applyAlignment="1">
      <alignment vertical="center"/>
    </xf>
    <xf numFmtId="0" fontId="5" fillId="37" borderId="47" xfId="0" applyFont="1" applyFill="1" applyBorder="1" applyAlignment="1">
      <alignment horizontal="right" vertical="center" indent="2"/>
    </xf>
    <xf numFmtId="3" fontId="5" fillId="37" borderId="47" xfId="0" applyNumberFormat="1" applyFont="1" applyFill="1" applyBorder="1" applyAlignment="1">
      <alignment vertical="center"/>
    </xf>
    <xf numFmtId="0" fontId="77" fillId="39" borderId="42" xfId="0" applyFont="1" applyFill="1" applyBorder="1" applyAlignment="1">
      <alignment horizontal="left" vertical="center" wrapText="1"/>
    </xf>
    <xf numFmtId="3" fontId="77" fillId="39" borderId="42" xfId="0" applyNumberFormat="1" applyFont="1" applyFill="1" applyBorder="1" applyAlignment="1">
      <alignment horizontal="right" vertical="center" wrapText="1"/>
    </xf>
    <xf numFmtId="3" fontId="77" fillId="39" borderId="42" xfId="0" applyNumberFormat="1" applyFont="1" applyFill="1" applyBorder="1" applyAlignment="1">
      <alignment horizontal="right" vertical="center"/>
    </xf>
    <xf numFmtId="3" fontId="8" fillId="0" borderId="35" xfId="62" applyNumberFormat="1" applyFont="1" applyFill="1" applyBorder="1" applyAlignment="1">
      <alignment vertical="center"/>
      <protection/>
    </xf>
    <xf numFmtId="0" fontId="8" fillId="0" borderId="35" xfId="62" applyFont="1" applyFill="1" applyBorder="1" applyAlignment="1">
      <alignment vertical="center"/>
      <protection/>
    </xf>
    <xf numFmtId="0" fontId="8" fillId="0" borderId="12" xfId="62" applyFont="1" applyFill="1" applyBorder="1" applyAlignment="1">
      <alignment vertical="center"/>
      <protection/>
    </xf>
    <xf numFmtId="3" fontId="8" fillId="0" borderId="37" xfId="62" applyNumberFormat="1" applyFont="1" applyFill="1" applyBorder="1" applyAlignment="1">
      <alignment vertical="center"/>
      <protection/>
    </xf>
    <xf numFmtId="3" fontId="8" fillId="0" borderId="28" xfId="62" applyNumberFormat="1" applyFont="1" applyFill="1" applyBorder="1" applyAlignment="1">
      <alignment vertical="center"/>
      <protection/>
    </xf>
    <xf numFmtId="0" fontId="8" fillId="0" borderId="28" xfId="62" applyFont="1" applyFill="1" applyBorder="1" applyAlignment="1">
      <alignment vertical="center"/>
      <protection/>
    </xf>
    <xf numFmtId="3" fontId="9" fillId="33" borderId="24" xfId="62" applyNumberFormat="1" applyFont="1" applyFill="1" applyBorder="1" applyAlignment="1">
      <alignment vertical="center"/>
      <protection/>
    </xf>
    <xf numFmtId="3" fontId="9" fillId="0" borderId="10" xfId="62" applyNumberFormat="1" applyFont="1" applyFill="1" applyBorder="1" applyAlignment="1">
      <alignment vertical="center"/>
      <protection/>
    </xf>
    <xf numFmtId="174" fontId="9" fillId="0" borderId="44" xfId="62" applyNumberFormat="1" applyFont="1" applyFill="1" applyBorder="1" applyAlignment="1">
      <alignment vertical="center"/>
      <protection/>
    </xf>
    <xf numFmtId="174" fontId="9" fillId="33" borderId="45" xfId="62" applyNumberFormat="1" applyFont="1" applyFill="1" applyBorder="1" applyAlignment="1">
      <alignment vertical="center"/>
      <protection/>
    </xf>
    <xf numFmtId="3" fontId="9" fillId="0" borderId="28" xfId="62" applyNumberFormat="1" applyFont="1" applyFill="1" applyBorder="1" applyAlignment="1">
      <alignment vertical="center"/>
      <protection/>
    </xf>
    <xf numFmtId="3" fontId="9" fillId="33" borderId="38" xfId="62" applyNumberFormat="1" applyFont="1" applyFill="1" applyBorder="1" applyAlignment="1">
      <alignment vertical="center"/>
      <protection/>
    </xf>
    <xf numFmtId="1" fontId="9" fillId="0" borderId="16" xfId="62" applyNumberFormat="1" applyFont="1" applyFill="1" applyBorder="1" applyAlignment="1">
      <alignment vertical="center"/>
      <protection/>
    </xf>
    <xf numFmtId="0" fontId="8" fillId="0" borderId="10" xfId="62" applyFont="1" applyFill="1" applyBorder="1" applyAlignment="1">
      <alignment horizontal="left" vertical="center"/>
      <protection/>
    </xf>
    <xf numFmtId="3" fontId="0" fillId="0" borderId="0" xfId="0" applyNumberFormat="1" applyBorder="1" applyAlignment="1">
      <alignment/>
    </xf>
    <xf numFmtId="3" fontId="8" fillId="0" borderId="16" xfId="62" applyNumberFormat="1" applyFont="1" applyFill="1" applyBorder="1" applyAlignment="1">
      <alignment vertical="center"/>
      <protection/>
    </xf>
    <xf numFmtId="3" fontId="0" fillId="0" borderId="79" xfId="0" applyNumberFormat="1" applyBorder="1" applyAlignment="1">
      <alignment/>
    </xf>
    <xf numFmtId="3" fontId="8" fillId="0" borderId="19" xfId="62" applyNumberFormat="1" applyFont="1" applyFill="1" applyBorder="1" applyAlignment="1">
      <alignment vertical="center"/>
      <protection/>
    </xf>
    <xf numFmtId="3" fontId="8" fillId="0" borderId="80" xfId="62" applyNumberFormat="1" applyFont="1" applyFill="1" applyBorder="1" applyAlignment="1">
      <alignment vertical="center"/>
      <protection/>
    </xf>
    <xf numFmtId="3" fontId="0" fillId="0" borderId="20" xfId="0" applyNumberFormat="1" applyBorder="1" applyAlignment="1">
      <alignment/>
    </xf>
    <xf numFmtId="3" fontId="8" fillId="0" borderId="10" xfId="62" applyNumberFormat="1" applyFont="1" applyFill="1" applyBorder="1" applyAlignment="1">
      <alignment vertical="center"/>
      <protection/>
    </xf>
    <xf numFmtId="3" fontId="0" fillId="0" borderId="16" xfId="0" applyNumberFormat="1" applyBorder="1" applyAlignment="1">
      <alignment/>
    </xf>
    <xf numFmtId="0" fontId="8" fillId="0" borderId="10" xfId="62" applyFont="1" applyFill="1" applyBorder="1" applyAlignment="1">
      <alignment vertical="center"/>
      <protection/>
    </xf>
    <xf numFmtId="3" fontId="9" fillId="33" borderId="17" xfId="62" applyNumberFormat="1" applyFont="1" applyFill="1" applyBorder="1" applyAlignment="1">
      <alignment vertical="center"/>
      <protection/>
    </xf>
    <xf numFmtId="3" fontId="0" fillId="0" borderId="81" xfId="0" applyNumberFormat="1" applyBorder="1" applyAlignment="1">
      <alignment/>
    </xf>
    <xf numFmtId="3" fontId="9" fillId="33" borderId="18" xfId="62" applyNumberFormat="1" applyFont="1" applyFill="1" applyBorder="1" applyAlignment="1">
      <alignment vertical="center"/>
      <protection/>
    </xf>
    <xf numFmtId="4" fontId="5" fillId="0" borderId="10" xfId="0" applyNumberFormat="1" applyFont="1" applyBorder="1" applyAlignment="1">
      <alignment/>
    </xf>
    <xf numFmtId="4" fontId="5" fillId="0" borderId="44" xfId="0" applyNumberFormat="1" applyFont="1" applyBorder="1" applyAlignment="1">
      <alignment/>
    </xf>
    <xf numFmtId="4" fontId="5" fillId="0" borderId="35" xfId="0" applyNumberFormat="1" applyFont="1" applyBorder="1" applyAlignment="1">
      <alignment/>
    </xf>
    <xf numFmtId="4" fontId="2" fillId="0" borderId="0" xfId="0" applyNumberFormat="1" applyFont="1" applyAlignment="1">
      <alignment/>
    </xf>
    <xf numFmtId="4" fontId="2" fillId="0" borderId="21" xfId="0" applyNumberFormat="1" applyFont="1" applyBorder="1" applyAlignment="1">
      <alignment/>
    </xf>
    <xf numFmtId="4" fontId="2" fillId="0" borderId="12" xfId="0" applyNumberFormat="1" applyFont="1" applyBorder="1" applyAlignment="1">
      <alignment/>
    </xf>
    <xf numFmtId="4" fontId="2" fillId="0" borderId="28" xfId="0" applyNumberFormat="1" applyFont="1" applyBorder="1" applyAlignment="1">
      <alignment/>
    </xf>
    <xf numFmtId="4" fontId="2" fillId="0" borderId="35" xfId="0" applyNumberFormat="1" applyFont="1" applyBorder="1" applyAlignment="1">
      <alignment/>
    </xf>
    <xf numFmtId="4" fontId="2" fillId="0" borderId="16" xfId="0" applyNumberFormat="1" applyFont="1" applyBorder="1" applyAlignment="1">
      <alignment/>
    </xf>
    <xf numFmtId="0" fontId="2" fillId="0" borderId="82" xfId="0" applyFont="1" applyBorder="1" applyAlignment="1">
      <alignment wrapText="1"/>
    </xf>
    <xf numFmtId="3" fontId="2" fillId="0" borderId="83" xfId="0" applyNumberFormat="1" applyFont="1" applyBorder="1" applyAlignment="1">
      <alignment horizontal="right" wrapText="1"/>
    </xf>
    <xf numFmtId="0" fontId="2" fillId="0" borderId="83" xfId="0" applyFont="1" applyBorder="1" applyAlignment="1">
      <alignment horizontal="right" wrapText="1"/>
    </xf>
    <xf numFmtId="3" fontId="2" fillId="0" borderId="84" xfId="0" applyNumberFormat="1" applyFont="1" applyBorder="1" applyAlignment="1">
      <alignment horizontal="right" wrapText="1"/>
    </xf>
    <xf numFmtId="0" fontId="2" fillId="0" borderId="84" xfId="0" applyFont="1" applyBorder="1" applyAlignment="1">
      <alignment horizontal="right" wrapText="1"/>
    </xf>
    <xf numFmtId="0" fontId="17" fillId="0" borderId="83" xfId="0" applyFont="1" applyBorder="1" applyAlignment="1">
      <alignment wrapText="1"/>
    </xf>
    <xf numFmtId="0" fontId="17" fillId="0" borderId="84" xfId="0" applyFont="1" applyBorder="1" applyAlignment="1">
      <alignment wrapText="1"/>
    </xf>
    <xf numFmtId="0" fontId="16" fillId="0" borderId="82" xfId="0" applyFont="1" applyBorder="1" applyAlignment="1">
      <alignment wrapText="1"/>
    </xf>
    <xf numFmtId="0" fontId="9" fillId="38" borderId="27" xfId="0" applyFont="1" applyFill="1" applyBorder="1" applyAlignment="1">
      <alignment horizontal="center" vertical="center"/>
    </xf>
    <xf numFmtId="0" fontId="9" fillId="38" borderId="25" xfId="0" applyFont="1" applyFill="1" applyBorder="1" applyAlignment="1">
      <alignment horizontal="center"/>
    </xf>
    <xf numFmtId="0" fontId="9" fillId="38" borderId="25" xfId="0" applyFont="1" applyFill="1" applyBorder="1" applyAlignment="1">
      <alignment horizontal="center" vertical="center" wrapText="1"/>
    </xf>
    <xf numFmtId="0" fontId="9" fillId="38" borderId="38" xfId="0" applyFont="1" applyFill="1" applyBorder="1" applyAlignment="1">
      <alignment horizontal="center" vertical="center" wrapText="1"/>
    </xf>
    <xf numFmtId="0" fontId="9" fillId="38" borderId="32" xfId="0" applyFont="1" applyFill="1" applyBorder="1" applyAlignment="1">
      <alignment horizontal="center" vertical="center" wrapText="1"/>
    </xf>
    <xf numFmtId="0" fontId="9" fillId="38" borderId="43" xfId="0" applyFont="1" applyFill="1" applyBorder="1" applyAlignment="1">
      <alignment horizontal="center" vertical="center" wrapText="1"/>
    </xf>
    <xf numFmtId="0" fontId="5" fillId="0" borderId="15" xfId="0" applyFont="1" applyFill="1" applyBorder="1" applyAlignment="1">
      <alignment horizontal="center" wrapText="1"/>
    </xf>
    <xf numFmtId="3" fontId="5" fillId="0" borderId="0" xfId="0" applyNumberFormat="1" applyFont="1" applyFill="1" applyBorder="1" applyAlignment="1">
      <alignment/>
    </xf>
    <xf numFmtId="0" fontId="5" fillId="0" borderId="15" xfId="0" applyFont="1" applyBorder="1" applyAlignment="1">
      <alignment horizontal="center" wrapText="1"/>
    </xf>
    <xf numFmtId="4" fontId="9" fillId="33" borderId="0" xfId="62" applyNumberFormat="1" applyFont="1" applyFill="1" applyBorder="1" applyAlignment="1">
      <alignment vertical="center"/>
      <protection/>
    </xf>
    <xf numFmtId="4" fontId="8" fillId="0" borderId="16" xfId="62" applyNumberFormat="1" applyFont="1" applyBorder="1" applyAlignment="1">
      <alignment vertical="center"/>
      <protection/>
    </xf>
    <xf numFmtId="0" fontId="0" fillId="0" borderId="15" xfId="62" applyFont="1" applyBorder="1" applyAlignment="1">
      <alignment horizontal="center" vertical="center"/>
      <protection/>
    </xf>
    <xf numFmtId="4" fontId="8" fillId="0" borderId="0" xfId="62" applyNumberFormat="1" applyFont="1" applyBorder="1" applyAlignment="1">
      <alignment vertical="center"/>
      <protection/>
    </xf>
    <xf numFmtId="0" fontId="9" fillId="0" borderId="0" xfId="62" applyFont="1" applyBorder="1" applyAlignment="1">
      <alignment vertical="center"/>
      <protection/>
    </xf>
    <xf numFmtId="4" fontId="9" fillId="0" borderId="16" xfId="62" applyNumberFormat="1" applyFont="1" applyBorder="1" applyAlignment="1">
      <alignment vertical="center"/>
      <protection/>
    </xf>
    <xf numFmtId="0" fontId="9" fillId="0" borderId="15" xfId="62" applyFont="1" applyBorder="1" applyAlignment="1">
      <alignment horizontal="center" vertical="center"/>
      <protection/>
    </xf>
    <xf numFmtId="4" fontId="9" fillId="33" borderId="18" xfId="62" applyNumberFormat="1" applyFont="1" applyFill="1" applyBorder="1" applyAlignment="1">
      <alignment vertical="center"/>
      <protection/>
    </xf>
    <xf numFmtId="0" fontId="9" fillId="33" borderId="0" xfId="62" applyFont="1" applyFill="1" applyAlignment="1">
      <alignment vertical="center"/>
      <protection/>
    </xf>
    <xf numFmtId="4" fontId="9" fillId="33" borderId="12" xfId="62" applyNumberFormat="1" applyFont="1" applyFill="1" applyBorder="1" applyAlignment="1">
      <alignment vertical="center"/>
      <protection/>
    </xf>
    <xf numFmtId="3" fontId="8" fillId="0" borderId="16" xfId="62" applyNumberFormat="1" applyFont="1" applyBorder="1" applyAlignment="1">
      <alignment vertical="center"/>
      <protection/>
    </xf>
    <xf numFmtId="176" fontId="8" fillId="0" borderId="16" xfId="62" applyNumberFormat="1" applyFont="1" applyBorder="1" applyAlignment="1">
      <alignment vertical="center"/>
      <protection/>
    </xf>
    <xf numFmtId="3" fontId="9" fillId="33" borderId="12" xfId="62" applyNumberFormat="1" applyFont="1" applyFill="1" applyBorder="1" applyAlignment="1">
      <alignment vertical="center"/>
      <protection/>
    </xf>
    <xf numFmtId="0" fontId="9" fillId="36" borderId="15" xfId="62" applyFont="1" applyFill="1" applyBorder="1" applyAlignment="1">
      <alignment horizontal="center" vertical="center"/>
      <protection/>
    </xf>
    <xf numFmtId="0" fontId="8" fillId="36" borderId="0" xfId="62" applyFont="1" applyFill="1" applyAlignment="1">
      <alignment vertical="center"/>
      <protection/>
    </xf>
    <xf numFmtId="0" fontId="9" fillId="36" borderId="0" xfId="62" applyFont="1" applyFill="1" applyAlignment="1">
      <alignment vertical="center"/>
      <protection/>
    </xf>
    <xf numFmtId="0" fontId="9" fillId="0" borderId="0" xfId="62" applyFont="1" applyAlignment="1">
      <alignment horizontal="center" vertical="center"/>
      <protection/>
    </xf>
    <xf numFmtId="0" fontId="9" fillId="33" borderId="15" xfId="62" applyFont="1" applyFill="1" applyBorder="1" applyAlignment="1">
      <alignment horizontal="left" vertical="center"/>
      <protection/>
    </xf>
    <xf numFmtId="0" fontId="5" fillId="33" borderId="0" xfId="62" applyFont="1" applyFill="1" applyAlignment="1">
      <alignment vertical="center"/>
      <protection/>
    </xf>
    <xf numFmtId="0" fontId="0" fillId="0" borderId="85" xfId="62" applyFont="1" applyBorder="1" applyAlignment="1">
      <alignment horizontal="center" vertical="center"/>
      <protection/>
    </xf>
    <xf numFmtId="0" fontId="2" fillId="0" borderId="42" xfId="62" applyFont="1" applyBorder="1" applyAlignment="1">
      <alignment vertical="center"/>
      <protection/>
    </xf>
    <xf numFmtId="0" fontId="2" fillId="0" borderId="42" xfId="55" applyFont="1" applyBorder="1" applyAlignment="1">
      <alignment horizontal="right"/>
      <protection/>
    </xf>
    <xf numFmtId="0" fontId="2" fillId="0" borderId="51" xfId="62" applyFont="1" applyBorder="1" applyAlignment="1">
      <alignment vertical="center"/>
      <protection/>
    </xf>
    <xf numFmtId="0" fontId="9" fillId="33" borderId="10" xfId="62" applyFont="1" applyFill="1" applyBorder="1" applyAlignment="1">
      <alignment horizontal="center" vertical="center"/>
      <protection/>
    </xf>
    <xf numFmtId="0" fontId="5" fillId="33" borderId="42" xfId="62" applyFont="1" applyFill="1" applyBorder="1" applyAlignment="1">
      <alignment horizontal="right" vertical="center"/>
      <protection/>
    </xf>
    <xf numFmtId="0" fontId="18" fillId="0" borderId="85" xfId="62" applyFont="1" applyBorder="1" applyAlignment="1">
      <alignment horizontal="center" vertical="center"/>
      <protection/>
    </xf>
    <xf numFmtId="0" fontId="8" fillId="0" borderId="42" xfId="55" applyFont="1" applyBorder="1" applyAlignment="1">
      <alignment horizontal="right"/>
      <protection/>
    </xf>
    <xf numFmtId="0" fontId="5" fillId="33" borderId="42" xfId="62" applyFont="1" applyFill="1" applyBorder="1" applyAlignment="1">
      <alignment vertical="center"/>
      <protection/>
    </xf>
    <xf numFmtId="0" fontId="9" fillId="36" borderId="42" xfId="0" applyFont="1" applyFill="1" applyBorder="1" applyAlignment="1">
      <alignment horizontal="center"/>
    </xf>
    <xf numFmtId="0" fontId="8" fillId="0" borderId="0" xfId="62" applyFont="1" applyAlignment="1">
      <alignment horizontal="left" vertical="center"/>
      <protection/>
    </xf>
    <xf numFmtId="0" fontId="9" fillId="0" borderId="0" xfId="62" applyFont="1" applyAlignment="1">
      <alignment vertical="center"/>
      <protection/>
    </xf>
    <xf numFmtId="4" fontId="7" fillId="0" borderId="0" xfId="62" applyNumberFormat="1" applyFont="1" applyFill="1" applyAlignment="1">
      <alignment vertical="center"/>
      <protection/>
    </xf>
    <xf numFmtId="4" fontId="5" fillId="38" borderId="53" xfId="62" applyNumberFormat="1" applyFont="1" applyFill="1" applyBorder="1" applyAlignment="1">
      <alignment horizontal="center" vertical="center" textRotation="90" wrapText="1"/>
      <protection/>
    </xf>
    <xf numFmtId="4" fontId="9" fillId="33" borderId="16" xfId="62" applyNumberFormat="1" applyFont="1" applyFill="1" applyBorder="1" applyAlignment="1">
      <alignment vertical="center"/>
      <protection/>
    </xf>
    <xf numFmtId="4" fontId="8" fillId="0" borderId="0" xfId="62" applyNumberFormat="1" applyFont="1" applyAlignment="1">
      <alignment vertical="center"/>
      <protection/>
    </xf>
    <xf numFmtId="0" fontId="0" fillId="0" borderId="42" xfId="62" applyFont="1" applyBorder="1" applyAlignment="1">
      <alignment vertical="center"/>
      <protection/>
    </xf>
    <xf numFmtId="4" fontId="9" fillId="0" borderId="0" xfId="62" applyNumberFormat="1" applyFont="1" applyAlignment="1">
      <alignment horizontal="center" vertical="center"/>
      <protection/>
    </xf>
    <xf numFmtId="4" fontId="7" fillId="35" borderId="0" xfId="55" applyNumberFormat="1" applyFont="1" applyFill="1">
      <alignment/>
      <protection/>
    </xf>
    <xf numFmtId="3" fontId="9" fillId="33" borderId="0" xfId="62" applyNumberFormat="1" applyFont="1" applyFill="1" applyBorder="1" applyAlignment="1">
      <alignment vertical="center"/>
      <protection/>
    </xf>
    <xf numFmtId="4" fontId="5" fillId="33" borderId="0" xfId="62" applyNumberFormat="1" applyFont="1" applyFill="1" applyAlignment="1">
      <alignment vertical="center"/>
      <protection/>
    </xf>
    <xf numFmtId="0" fontId="0" fillId="0" borderId="0" xfId="55">
      <alignment/>
      <protection/>
    </xf>
    <xf numFmtId="0" fontId="8" fillId="0" borderId="10" xfId="55" applyFont="1" applyBorder="1">
      <alignment/>
      <protection/>
    </xf>
    <xf numFmtId="0" fontId="8" fillId="0" borderId="11" xfId="55" applyFont="1" applyBorder="1">
      <alignment/>
      <protection/>
    </xf>
    <xf numFmtId="0" fontId="8" fillId="0" borderId="0" xfId="55" applyFont="1" applyBorder="1">
      <alignment/>
      <protection/>
    </xf>
    <xf numFmtId="0" fontId="8" fillId="0" borderId="12" xfId="55" applyFont="1" applyBorder="1">
      <alignment/>
      <protection/>
    </xf>
    <xf numFmtId="0" fontId="9" fillId="0" borderId="0" xfId="55" applyFont="1">
      <alignment/>
      <protection/>
    </xf>
    <xf numFmtId="0" fontId="8" fillId="0" borderId="15" xfId="55" applyFont="1" applyBorder="1">
      <alignment/>
      <protection/>
    </xf>
    <xf numFmtId="0" fontId="8" fillId="0" borderId="16" xfId="55" applyFont="1" applyBorder="1">
      <alignment/>
      <protection/>
    </xf>
    <xf numFmtId="0" fontId="8" fillId="0" borderId="20" xfId="55" applyFont="1" applyBorder="1">
      <alignment/>
      <protection/>
    </xf>
    <xf numFmtId="0" fontId="8" fillId="0" borderId="21" xfId="55" applyFont="1" applyBorder="1">
      <alignment/>
      <protection/>
    </xf>
    <xf numFmtId="0" fontId="9" fillId="33" borderId="38" xfId="62" applyFont="1" applyFill="1" applyBorder="1" applyAlignment="1">
      <alignment vertical="center"/>
      <protection/>
    </xf>
    <xf numFmtId="0" fontId="9" fillId="33" borderId="43" xfId="62" applyFont="1" applyFill="1" applyBorder="1" applyAlignment="1">
      <alignment vertical="center"/>
      <protection/>
    </xf>
    <xf numFmtId="0" fontId="8" fillId="0" borderId="10" xfId="62" applyFont="1" applyBorder="1" applyAlignment="1">
      <alignment horizontal="center" vertical="center"/>
      <protection/>
    </xf>
    <xf numFmtId="0" fontId="8" fillId="0" borderId="15" xfId="62" applyFont="1" applyBorder="1" applyAlignment="1">
      <alignment vertical="center"/>
      <protection/>
    </xf>
    <xf numFmtId="0" fontId="8" fillId="0" borderId="15" xfId="62" applyFont="1" applyFill="1" applyBorder="1" applyAlignment="1">
      <alignment horizontal="left" vertical="center"/>
      <protection/>
    </xf>
    <xf numFmtId="0" fontId="8" fillId="0" borderId="26" xfId="55" applyFont="1" applyBorder="1">
      <alignment/>
      <protection/>
    </xf>
    <xf numFmtId="0" fontId="8" fillId="0" borderId="27" xfId="55" applyFont="1" applyBorder="1">
      <alignment/>
      <protection/>
    </xf>
    <xf numFmtId="0" fontId="8" fillId="0" borderId="28" xfId="55" applyFont="1" applyBorder="1">
      <alignment/>
      <protection/>
    </xf>
    <xf numFmtId="0" fontId="9" fillId="0" borderId="71" xfId="62" applyFont="1" applyFill="1" applyBorder="1" applyAlignment="1">
      <alignment vertical="center"/>
      <protection/>
    </xf>
    <xf numFmtId="0" fontId="9" fillId="0" borderId="53" xfId="62" applyFont="1" applyFill="1" applyBorder="1" applyAlignment="1">
      <alignment vertical="center"/>
      <protection/>
    </xf>
    <xf numFmtId="0" fontId="8" fillId="0" borderId="35" xfId="55" applyFont="1" applyBorder="1">
      <alignment/>
      <protection/>
    </xf>
    <xf numFmtId="0" fontId="9" fillId="0" borderId="86" xfId="62" applyFont="1" applyFill="1" applyBorder="1" applyAlignment="1">
      <alignment vertical="center"/>
      <protection/>
    </xf>
    <xf numFmtId="0" fontId="9" fillId="0" borderId="51" xfId="62" applyFont="1" applyFill="1" applyBorder="1" applyAlignment="1">
      <alignment vertical="center"/>
      <protection/>
    </xf>
    <xf numFmtId="0" fontId="2" fillId="0" borderId="0" xfId="55" applyFont="1">
      <alignment/>
      <protection/>
    </xf>
    <xf numFmtId="0" fontId="8" fillId="0" borderId="21" xfId="62" applyFont="1" applyBorder="1" applyAlignment="1">
      <alignment horizontal="left" vertical="center"/>
      <protection/>
    </xf>
    <xf numFmtId="0" fontId="9" fillId="35" borderId="0" xfId="62" applyFont="1" applyFill="1" applyBorder="1" applyAlignment="1">
      <alignment vertical="center"/>
      <protection/>
    </xf>
    <xf numFmtId="0" fontId="7" fillId="35" borderId="0" xfId="55" applyFont="1" applyFill="1">
      <alignment/>
      <protection/>
    </xf>
    <xf numFmtId="0" fontId="8" fillId="0" borderId="50" xfId="62" applyFont="1" applyFill="1" applyBorder="1" applyAlignment="1">
      <alignment horizontal="left" vertical="center"/>
      <protection/>
    </xf>
    <xf numFmtId="0" fontId="9" fillId="35" borderId="0" xfId="55" applyFont="1" applyFill="1">
      <alignment/>
      <protection/>
    </xf>
    <xf numFmtId="0" fontId="8" fillId="35" borderId="0" xfId="55" applyFont="1" applyFill="1">
      <alignment/>
      <protection/>
    </xf>
    <xf numFmtId="0" fontId="8" fillId="0" borderId="44" xfId="55" applyFont="1" applyBorder="1">
      <alignment/>
      <protection/>
    </xf>
    <xf numFmtId="0" fontId="5" fillId="38" borderId="49" xfId="62" applyFont="1" applyFill="1" applyBorder="1" applyAlignment="1">
      <alignment horizontal="center" vertical="center"/>
      <protection/>
    </xf>
    <xf numFmtId="0" fontId="5" fillId="38" borderId="50" xfId="62" applyFont="1" applyFill="1" applyBorder="1" applyAlignment="1">
      <alignment horizontal="center" vertical="center" wrapText="1"/>
      <protection/>
    </xf>
    <xf numFmtId="0" fontId="2" fillId="38" borderId="51" xfId="62" applyFont="1" applyFill="1" applyBorder="1" applyAlignment="1">
      <alignment horizontal="center" vertical="center" textRotation="90" wrapText="1"/>
      <protection/>
    </xf>
    <xf numFmtId="0" fontId="2" fillId="38" borderId="42" xfId="62" applyFont="1" applyFill="1" applyBorder="1" applyAlignment="1">
      <alignment horizontal="center" vertical="center" textRotation="90" wrapText="1"/>
      <protection/>
    </xf>
    <xf numFmtId="0" fontId="5" fillId="38" borderId="42" xfId="62" applyFont="1" applyFill="1" applyBorder="1" applyAlignment="1">
      <alignment horizontal="center" vertical="center" textRotation="90" wrapText="1"/>
      <protection/>
    </xf>
    <xf numFmtId="0" fontId="5" fillId="38" borderId="52" xfId="62" applyFont="1" applyFill="1" applyBorder="1" applyAlignment="1">
      <alignment horizontal="center" vertical="center" textRotation="90" wrapText="1"/>
      <protection/>
    </xf>
    <xf numFmtId="0" fontId="9" fillId="38" borderId="26" xfId="62" applyFont="1" applyFill="1" applyBorder="1" applyAlignment="1">
      <alignment horizontal="center" vertical="center" wrapText="1"/>
      <protection/>
    </xf>
    <xf numFmtId="0" fontId="9" fillId="38" borderId="20" xfId="62" applyFont="1" applyFill="1" applyBorder="1" applyAlignment="1">
      <alignment horizontal="center" vertical="center" wrapText="1"/>
      <protection/>
    </xf>
    <xf numFmtId="0" fontId="9" fillId="38" borderId="87" xfId="62" applyFont="1" applyFill="1" applyBorder="1" applyAlignment="1">
      <alignment horizontal="center" vertical="center" wrapText="1"/>
      <protection/>
    </xf>
    <xf numFmtId="0" fontId="9" fillId="38" borderId="26" xfId="55" applyFont="1" applyFill="1" applyBorder="1" applyAlignment="1">
      <alignment horizontal="center" vertical="center" textRotation="90" wrapText="1"/>
      <protection/>
    </xf>
    <xf numFmtId="0" fontId="9" fillId="38" borderId="12" xfId="55" applyFont="1" applyFill="1" applyBorder="1" applyAlignment="1">
      <alignment horizontal="center" vertical="center" textRotation="90" wrapText="1"/>
      <protection/>
    </xf>
    <xf numFmtId="0" fontId="9" fillId="38" borderId="21" xfId="55" applyFont="1" applyFill="1" applyBorder="1" applyAlignment="1">
      <alignment horizontal="center" vertical="center" textRotation="90" wrapText="1"/>
      <protection/>
    </xf>
    <xf numFmtId="0" fontId="9" fillId="38" borderId="44" xfId="55" applyFont="1" applyFill="1" applyBorder="1" applyAlignment="1">
      <alignment horizontal="center" vertical="center" textRotation="90" wrapText="1"/>
      <protection/>
    </xf>
    <xf numFmtId="0" fontId="9" fillId="38" borderId="37" xfId="55" applyFont="1" applyFill="1" applyBorder="1" applyAlignment="1">
      <alignment horizontal="center" vertical="center" textRotation="90" wrapText="1"/>
      <protection/>
    </xf>
    <xf numFmtId="0" fontId="9" fillId="38" borderId="20" xfId="55" applyFont="1" applyFill="1" applyBorder="1" applyAlignment="1">
      <alignment horizontal="center" vertical="center" textRotation="90" wrapText="1"/>
      <protection/>
    </xf>
    <xf numFmtId="0" fontId="9" fillId="38" borderId="15" xfId="55" applyFont="1" applyFill="1" applyBorder="1" applyAlignment="1">
      <alignment horizontal="center" vertical="center" textRotation="90" wrapText="1"/>
      <protection/>
    </xf>
    <xf numFmtId="0" fontId="9" fillId="38" borderId="27" xfId="55" applyFont="1" applyFill="1" applyBorder="1" applyAlignment="1">
      <alignment horizontal="center"/>
      <protection/>
    </xf>
    <xf numFmtId="0" fontId="9" fillId="38" borderId="54" xfId="55" applyFont="1" applyFill="1" applyBorder="1" applyAlignment="1">
      <alignment horizontal="center"/>
      <protection/>
    </xf>
    <xf numFmtId="0" fontId="9" fillId="38" borderId="55" xfId="55" applyFont="1" applyFill="1" applyBorder="1" applyAlignment="1">
      <alignment horizontal="center"/>
      <protection/>
    </xf>
    <xf numFmtId="0" fontId="9" fillId="38" borderId="55" xfId="55" applyFont="1" applyFill="1" applyBorder="1" applyAlignment="1" quotePrefix="1">
      <alignment horizontal="center"/>
      <protection/>
    </xf>
    <xf numFmtId="0" fontId="9" fillId="38" borderId="56" xfId="55" applyFont="1" applyFill="1" applyBorder="1" applyAlignment="1" quotePrefix="1">
      <alignment horizontal="center"/>
      <protection/>
    </xf>
    <xf numFmtId="0" fontId="9" fillId="38" borderId="57" xfId="55" applyFont="1" applyFill="1" applyBorder="1" applyAlignment="1" quotePrefix="1">
      <alignment horizontal="center"/>
      <protection/>
    </xf>
    <xf numFmtId="0" fontId="9" fillId="38" borderId="11" xfId="55" applyFont="1" applyFill="1" applyBorder="1" applyAlignment="1" quotePrefix="1">
      <alignment horizontal="center"/>
      <protection/>
    </xf>
    <xf numFmtId="0" fontId="9" fillId="38" borderId="11" xfId="55" applyFont="1" applyFill="1" applyBorder="1" applyAlignment="1">
      <alignment horizontal="center"/>
      <protection/>
    </xf>
    <xf numFmtId="0" fontId="9" fillId="38" borderId="17" xfId="62" applyFont="1" applyFill="1" applyBorder="1" applyAlignment="1">
      <alignment horizontal="center" vertical="center"/>
      <protection/>
    </xf>
    <xf numFmtId="0" fontId="9" fillId="38" borderId="17" xfId="62" applyFont="1" applyFill="1" applyBorder="1" applyAlignment="1">
      <alignment horizontal="center" vertical="center" wrapText="1"/>
      <protection/>
    </xf>
    <xf numFmtId="0" fontId="3" fillId="35" borderId="0" xfId="55" applyFont="1" applyFill="1">
      <alignment/>
      <protection/>
    </xf>
    <xf numFmtId="0" fontId="8" fillId="0" borderId="0" xfId="55" applyFont="1">
      <alignment/>
      <protection/>
    </xf>
    <xf numFmtId="0" fontId="9" fillId="38" borderId="26" xfId="62" applyFont="1" applyFill="1" applyBorder="1" applyAlignment="1">
      <alignment horizontal="center" vertical="center"/>
      <protection/>
    </xf>
    <xf numFmtId="4" fontId="0" fillId="0" borderId="42" xfId="55" applyNumberFormat="1" applyBorder="1">
      <alignment/>
      <protection/>
    </xf>
    <xf numFmtId="0" fontId="9" fillId="38" borderId="77" xfId="62" applyFont="1" applyFill="1" applyBorder="1" applyAlignment="1">
      <alignment horizontal="center" vertical="center" wrapText="1"/>
      <protection/>
    </xf>
    <xf numFmtId="3" fontId="9" fillId="0" borderId="0" xfId="62" applyNumberFormat="1" applyFont="1" applyFill="1" applyBorder="1" applyAlignment="1">
      <alignment vertical="center"/>
      <protection/>
    </xf>
    <xf numFmtId="0" fontId="0" fillId="0" borderId="15" xfId="55" applyBorder="1" applyAlignment="1">
      <alignment horizontal="center"/>
      <protection/>
    </xf>
    <xf numFmtId="0" fontId="0" fillId="0" borderId="0" xfId="55" applyAlignment="1">
      <alignment horizontal="center"/>
      <protection/>
    </xf>
    <xf numFmtId="4" fontId="5" fillId="38" borderId="53" xfId="62" applyNumberFormat="1" applyFont="1" applyFill="1" applyBorder="1" applyAlignment="1">
      <alignment horizontal="center" vertical="center" textRotation="90" wrapText="1"/>
      <protection/>
    </xf>
    <xf numFmtId="3" fontId="9" fillId="33" borderId="16" xfId="62" applyNumberFormat="1" applyFont="1" applyFill="1" applyBorder="1" applyAlignment="1">
      <alignment vertical="center"/>
      <protection/>
    </xf>
    <xf numFmtId="4" fontId="9" fillId="0" borderId="86" xfId="62" applyNumberFormat="1" applyFont="1" applyFill="1" applyBorder="1" applyAlignment="1">
      <alignment vertical="center"/>
      <protection/>
    </xf>
    <xf numFmtId="4" fontId="9" fillId="0" borderId="53" xfId="62" applyNumberFormat="1" applyFont="1" applyFill="1" applyBorder="1" applyAlignment="1">
      <alignment vertical="center"/>
      <protection/>
    </xf>
    <xf numFmtId="4" fontId="8" fillId="0" borderId="12" xfId="55" applyNumberFormat="1" applyFont="1" applyBorder="1">
      <alignment/>
      <protection/>
    </xf>
    <xf numFmtId="4" fontId="8" fillId="0" borderId="0" xfId="55" applyNumberFormat="1" applyFont="1" applyBorder="1">
      <alignment/>
      <protection/>
    </xf>
    <xf numFmtId="4" fontId="8" fillId="0" borderId="28" xfId="55" applyNumberFormat="1" applyFont="1" applyBorder="1">
      <alignment/>
      <protection/>
    </xf>
    <xf numFmtId="4" fontId="8" fillId="0" borderId="16" xfId="55" applyNumberFormat="1" applyFont="1" applyBorder="1">
      <alignment/>
      <protection/>
    </xf>
    <xf numFmtId="4" fontId="8" fillId="0" borderId="15" xfId="55" applyNumberFormat="1" applyFont="1" applyBorder="1">
      <alignment/>
      <protection/>
    </xf>
    <xf numFmtId="0" fontId="5" fillId="38" borderId="88" xfId="62" applyFont="1" applyFill="1" applyBorder="1" applyAlignment="1">
      <alignment horizontal="center" vertical="center"/>
      <protection/>
    </xf>
    <xf numFmtId="4" fontId="0" fillId="0" borderId="42" xfId="62" applyNumberFormat="1" applyFont="1" applyBorder="1" applyAlignment="1">
      <alignment vertical="center"/>
      <protection/>
    </xf>
    <xf numFmtId="4" fontId="5" fillId="33" borderId="42" xfId="62" applyNumberFormat="1" applyFont="1" applyFill="1" applyBorder="1" applyAlignment="1">
      <alignment vertical="center"/>
      <protection/>
    </xf>
    <xf numFmtId="1" fontId="5" fillId="33" borderId="42" xfId="62" applyNumberFormat="1" applyFont="1" applyFill="1" applyBorder="1" applyAlignment="1">
      <alignment vertical="center"/>
      <protection/>
    </xf>
    <xf numFmtId="4" fontId="0" fillId="0" borderId="0" xfId="55" applyNumberFormat="1">
      <alignment/>
      <protection/>
    </xf>
    <xf numFmtId="0" fontId="19" fillId="34" borderId="85" xfId="62" applyFont="1" applyFill="1" applyBorder="1" applyAlignment="1">
      <alignment horizontal="center" vertical="center"/>
      <protection/>
    </xf>
    <xf numFmtId="0" fontId="2" fillId="34" borderId="42" xfId="62" applyFont="1" applyFill="1" applyBorder="1" applyAlignment="1">
      <alignment vertical="center"/>
      <protection/>
    </xf>
    <xf numFmtId="1" fontId="5" fillId="34" borderId="42" xfId="62" applyNumberFormat="1" applyFont="1" applyFill="1" applyBorder="1" applyAlignment="1">
      <alignment vertical="center"/>
      <protection/>
    </xf>
    <xf numFmtId="4" fontId="5" fillId="34" borderId="42" xfId="62" applyNumberFormat="1" applyFont="1" applyFill="1" applyBorder="1" applyAlignment="1">
      <alignment vertical="center"/>
      <protection/>
    </xf>
    <xf numFmtId="4" fontId="2" fillId="34" borderId="42" xfId="62" applyNumberFormat="1" applyFont="1" applyFill="1" applyBorder="1" applyAlignment="1">
      <alignment vertical="center"/>
      <protection/>
    </xf>
    <xf numFmtId="1" fontId="5" fillId="33" borderId="89" xfId="62" applyNumberFormat="1" applyFont="1" applyFill="1" applyBorder="1" applyAlignment="1">
      <alignment vertical="center"/>
      <protection/>
    </xf>
    <xf numFmtId="1" fontId="9" fillId="33" borderId="42" xfId="62" applyNumberFormat="1" applyFont="1" applyFill="1" applyBorder="1" applyAlignment="1">
      <alignment vertical="center"/>
      <protection/>
    </xf>
    <xf numFmtId="0" fontId="9" fillId="33" borderId="42" xfId="62" applyFont="1" applyFill="1" applyBorder="1" applyAlignment="1">
      <alignment vertical="center"/>
      <protection/>
    </xf>
    <xf numFmtId="4" fontId="5" fillId="33" borderId="89" xfId="62" applyNumberFormat="1" applyFont="1" applyFill="1" applyBorder="1" applyAlignment="1">
      <alignment vertical="center"/>
      <protection/>
    </xf>
    <xf numFmtId="4" fontId="8" fillId="0" borderId="0" xfId="55" applyNumberFormat="1" applyFont="1">
      <alignment/>
      <protection/>
    </xf>
    <xf numFmtId="2" fontId="9" fillId="0" borderId="86" xfId="62" applyNumberFormat="1" applyFont="1" applyFill="1" applyBorder="1" applyAlignment="1">
      <alignment vertical="center"/>
      <protection/>
    </xf>
    <xf numFmtId="0" fontId="78" fillId="0" borderId="0" xfId="0" applyFont="1" applyAlignment="1">
      <alignment horizontal="left" wrapText="1"/>
    </xf>
    <xf numFmtId="0" fontId="2" fillId="0" borderId="29" xfId="0" applyFont="1" applyBorder="1" applyAlignment="1">
      <alignment horizontal="center" vertical="center" wrapText="1"/>
    </xf>
    <xf numFmtId="0" fontId="2" fillId="0" borderId="90" xfId="0" applyFont="1" applyBorder="1" applyAlignment="1">
      <alignment horizontal="center" vertical="center"/>
    </xf>
    <xf numFmtId="176" fontId="9" fillId="0" borderId="51" xfId="62" applyNumberFormat="1" applyFont="1" applyFill="1" applyBorder="1" applyAlignment="1">
      <alignment vertical="center"/>
      <protection/>
    </xf>
    <xf numFmtId="176" fontId="9" fillId="0" borderId="86" xfId="62" applyNumberFormat="1" applyFont="1" applyFill="1" applyBorder="1" applyAlignment="1">
      <alignment vertical="center"/>
      <protection/>
    </xf>
    <xf numFmtId="176" fontId="9" fillId="0" borderId="71" xfId="62" applyNumberFormat="1" applyFont="1" applyFill="1" applyBorder="1" applyAlignment="1">
      <alignment vertical="center"/>
      <protection/>
    </xf>
    <xf numFmtId="176" fontId="9" fillId="0" borderId="53" xfId="62" applyNumberFormat="1" applyFont="1" applyFill="1" applyBorder="1" applyAlignment="1">
      <alignment vertical="center"/>
      <protection/>
    </xf>
    <xf numFmtId="2" fontId="9" fillId="0" borderId="71" xfId="62" applyNumberFormat="1" applyFont="1" applyFill="1" applyBorder="1" applyAlignment="1">
      <alignment vertical="center"/>
      <protection/>
    </xf>
    <xf numFmtId="2" fontId="9" fillId="0" borderId="53" xfId="62" applyNumberFormat="1" applyFont="1" applyFill="1" applyBorder="1" applyAlignment="1">
      <alignment vertical="center"/>
      <protection/>
    </xf>
    <xf numFmtId="176" fontId="9" fillId="33" borderId="18" xfId="62" applyNumberFormat="1" applyFont="1" applyFill="1" applyBorder="1" applyAlignment="1">
      <alignment vertical="center"/>
      <protection/>
    </xf>
    <xf numFmtId="176" fontId="9" fillId="33" borderId="38" xfId="62" applyNumberFormat="1" applyFont="1" applyFill="1" applyBorder="1" applyAlignment="1">
      <alignment vertical="center"/>
      <protection/>
    </xf>
    <xf numFmtId="176" fontId="9" fillId="33" borderId="43" xfId="62" applyNumberFormat="1" applyFont="1" applyFill="1" applyBorder="1" applyAlignment="1">
      <alignment vertical="center"/>
      <protection/>
    </xf>
    <xf numFmtId="0" fontId="9" fillId="35" borderId="0" xfId="62" applyFont="1" applyFill="1" applyBorder="1" applyAlignment="1">
      <alignment horizontal="center" vertical="center"/>
      <protection/>
    </xf>
    <xf numFmtId="0" fontId="8" fillId="0" borderId="50" xfId="62" applyFont="1" applyBorder="1" applyAlignment="1">
      <alignment horizontal="left" vertical="center"/>
      <protection/>
    </xf>
    <xf numFmtId="0" fontId="8" fillId="0" borderId="71" xfId="62" applyFont="1" applyBorder="1" applyAlignment="1">
      <alignment vertical="center"/>
      <protection/>
    </xf>
    <xf numFmtId="4" fontId="8" fillId="0" borderId="53" xfId="62" applyNumberFormat="1" applyFont="1" applyBorder="1" applyAlignment="1">
      <alignment vertical="center"/>
      <protection/>
    </xf>
    <xf numFmtId="3" fontId="8" fillId="0" borderId="86" xfId="62" applyNumberFormat="1" applyFont="1" applyBorder="1" applyAlignment="1">
      <alignment vertical="center"/>
      <protection/>
    </xf>
    <xf numFmtId="3" fontId="8" fillId="0" borderId="53" xfId="62" applyNumberFormat="1" applyFont="1" applyBorder="1" applyAlignment="1">
      <alignment vertical="center"/>
      <protection/>
    </xf>
    <xf numFmtId="0" fontId="8" fillId="0" borderId="15" xfId="62" applyFont="1" applyBorder="1" applyAlignment="1">
      <alignment horizontal="left" vertical="center"/>
      <protection/>
    </xf>
    <xf numFmtId="0" fontId="8" fillId="0" borderId="51" xfId="62" applyFont="1" applyBorder="1" applyAlignment="1">
      <alignment vertical="center"/>
      <protection/>
    </xf>
    <xf numFmtId="0" fontId="8" fillId="0" borderId="36" xfId="62" applyFont="1" applyBorder="1" applyAlignment="1">
      <alignment vertical="center"/>
      <protection/>
    </xf>
    <xf numFmtId="4" fontId="9" fillId="33" borderId="43" xfId="62" applyNumberFormat="1" applyFont="1" applyFill="1" applyBorder="1" applyAlignment="1">
      <alignment vertical="center"/>
      <protection/>
    </xf>
    <xf numFmtId="0" fontId="8" fillId="35" borderId="50" xfId="62" applyFont="1" applyFill="1" applyBorder="1" applyAlignment="1">
      <alignment horizontal="left" vertical="center"/>
      <protection/>
    </xf>
    <xf numFmtId="0" fontId="9" fillId="35" borderId="71" xfId="62" applyFont="1" applyFill="1" applyBorder="1" applyAlignment="1">
      <alignment vertical="center"/>
      <protection/>
    </xf>
    <xf numFmtId="4" fontId="9" fillId="35" borderId="53" xfId="62" applyNumberFormat="1" applyFont="1" applyFill="1" applyBorder="1" applyAlignment="1">
      <alignment vertical="center"/>
      <protection/>
    </xf>
    <xf numFmtId="0" fontId="9" fillId="35" borderId="51" xfId="62" applyFont="1" applyFill="1" applyBorder="1" applyAlignment="1">
      <alignment vertical="center"/>
      <protection/>
    </xf>
    <xf numFmtId="0" fontId="9" fillId="35" borderId="86" xfId="62" applyFont="1" applyFill="1" applyBorder="1" applyAlignment="1">
      <alignment vertical="center"/>
      <protection/>
    </xf>
    <xf numFmtId="0" fontId="9" fillId="35" borderId="53" xfId="62" applyFont="1" applyFill="1" applyBorder="1" applyAlignment="1">
      <alignment vertical="center"/>
      <protection/>
    </xf>
    <xf numFmtId="0" fontId="8" fillId="35" borderId="15" xfId="62" applyFont="1" applyFill="1" applyBorder="1" applyAlignment="1">
      <alignment horizontal="left" vertical="center"/>
      <protection/>
    </xf>
    <xf numFmtId="171" fontId="9" fillId="0" borderId="86" xfId="49" applyFont="1" applyFill="1" applyBorder="1" applyAlignment="1">
      <alignment vertical="center"/>
    </xf>
    <xf numFmtId="171" fontId="9" fillId="0" borderId="53" xfId="49" applyFont="1" applyFill="1" applyBorder="1" applyAlignment="1">
      <alignment vertical="center"/>
    </xf>
    <xf numFmtId="171" fontId="9" fillId="33" borderId="18" xfId="62" applyNumberFormat="1" applyFont="1" applyFill="1" applyBorder="1" applyAlignment="1">
      <alignment vertical="center"/>
      <protection/>
    </xf>
    <xf numFmtId="171" fontId="9" fillId="33" borderId="43" xfId="62" applyNumberFormat="1" applyFont="1" applyFill="1" applyBorder="1" applyAlignment="1">
      <alignment vertical="center"/>
      <protection/>
    </xf>
    <xf numFmtId="0" fontId="8" fillId="0" borderId="15" xfId="0" applyFont="1" applyBorder="1" applyAlignment="1">
      <alignment horizontal="center"/>
    </xf>
    <xf numFmtId="0" fontId="8" fillId="35" borderId="0" xfId="0" applyFont="1" applyFill="1" applyAlignment="1">
      <alignment horizontal="center" vertical="center"/>
    </xf>
    <xf numFmtId="0" fontId="9" fillId="35" borderId="0" xfId="62" applyFont="1" applyFill="1" applyAlignment="1">
      <alignment horizontal="center" vertical="center"/>
      <protection/>
    </xf>
    <xf numFmtId="0" fontId="9" fillId="35" borderId="0" xfId="0" applyFont="1" applyFill="1" applyAlignment="1">
      <alignment horizontal="center" vertical="center"/>
    </xf>
    <xf numFmtId="0" fontId="8" fillId="0" borderId="15"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Alignment="1">
      <alignment horizontal="center" vertical="center"/>
    </xf>
    <xf numFmtId="0" fontId="3" fillId="0" borderId="15" xfId="55" applyFont="1" applyBorder="1" applyAlignment="1">
      <alignment horizontal="left"/>
      <protection/>
    </xf>
    <xf numFmtId="0" fontId="0" fillId="0" borderId="15" xfId="55" applyBorder="1" applyAlignment="1">
      <alignment horizontal="left"/>
      <protection/>
    </xf>
    <xf numFmtId="4" fontId="2" fillId="0" borderId="15" xfId="0" applyNumberFormat="1" applyFont="1" applyBorder="1" applyAlignment="1">
      <alignment/>
    </xf>
    <xf numFmtId="2" fontId="8" fillId="0" borderId="12" xfId="0" applyNumberFormat="1" applyFont="1" applyBorder="1" applyAlignment="1">
      <alignment/>
    </xf>
    <xf numFmtId="2" fontId="8" fillId="0" borderId="0" xfId="0" applyNumberFormat="1" applyFont="1" applyBorder="1" applyAlignment="1">
      <alignment/>
    </xf>
    <xf numFmtId="2" fontId="8" fillId="0" borderId="28" xfId="0" applyNumberFormat="1" applyFont="1" applyBorder="1" applyAlignment="1">
      <alignment/>
    </xf>
    <xf numFmtId="2" fontId="8" fillId="0" borderId="16" xfId="0" applyNumberFormat="1" applyFont="1" applyBorder="1" applyAlignment="1">
      <alignment/>
    </xf>
    <xf numFmtId="2" fontId="8" fillId="0" borderId="15" xfId="0" applyNumberFormat="1" applyFont="1" applyBorder="1" applyAlignment="1">
      <alignment/>
    </xf>
    <xf numFmtId="0" fontId="9" fillId="0" borderId="15" xfId="0" applyFont="1" applyBorder="1" applyAlignment="1">
      <alignment horizontal="center"/>
    </xf>
    <xf numFmtId="2" fontId="9" fillId="0" borderId="12" xfId="0" applyNumberFormat="1" applyFont="1" applyBorder="1" applyAlignment="1">
      <alignment/>
    </xf>
    <xf numFmtId="2" fontId="9" fillId="0" borderId="28" xfId="0" applyNumberFormat="1" applyFont="1" applyBorder="1" applyAlignment="1">
      <alignment/>
    </xf>
    <xf numFmtId="2" fontId="9" fillId="0" borderId="16" xfId="0" applyNumberFormat="1" applyFont="1" applyBorder="1" applyAlignment="1">
      <alignment/>
    </xf>
    <xf numFmtId="2" fontId="9" fillId="0" borderId="12" xfId="0" applyNumberFormat="1" applyFont="1" applyBorder="1" applyAlignment="1">
      <alignment/>
    </xf>
    <xf numFmtId="2" fontId="8" fillId="0" borderId="14" xfId="0" applyNumberFormat="1" applyFont="1" applyBorder="1" applyAlignment="1">
      <alignment/>
    </xf>
    <xf numFmtId="0" fontId="9" fillId="0" borderId="41" xfId="0" applyFont="1" applyBorder="1" applyAlignment="1">
      <alignment horizontal="center"/>
    </xf>
    <xf numFmtId="2" fontId="9" fillId="0" borderId="39" xfId="0" applyNumberFormat="1" applyFont="1" applyBorder="1" applyAlignment="1">
      <alignment/>
    </xf>
    <xf numFmtId="2" fontId="9" fillId="0" borderId="31" xfId="0" applyNumberFormat="1" applyFont="1" applyBorder="1" applyAlignment="1">
      <alignment/>
    </xf>
    <xf numFmtId="0" fontId="9" fillId="0" borderId="31" xfId="0" applyFont="1" applyBorder="1" applyAlignment="1">
      <alignment/>
    </xf>
    <xf numFmtId="2" fontId="9" fillId="0" borderId="36" xfId="0" applyNumberFormat="1" applyFont="1" applyBorder="1" applyAlignment="1">
      <alignment/>
    </xf>
    <xf numFmtId="2" fontId="9" fillId="0" borderId="11" xfId="0" applyNumberFormat="1" applyFont="1" applyBorder="1" applyAlignment="1">
      <alignment/>
    </xf>
    <xf numFmtId="2" fontId="8" fillId="0" borderId="31" xfId="0" applyNumberFormat="1" applyFont="1" applyBorder="1" applyAlignment="1">
      <alignment/>
    </xf>
    <xf numFmtId="0" fontId="3" fillId="0" borderId="15" xfId="55" applyFont="1" applyBorder="1" applyAlignment="1">
      <alignment horizontal="center"/>
      <protection/>
    </xf>
    <xf numFmtId="0" fontId="0" fillId="0" borderId="15" xfId="55" applyFont="1" applyBorder="1" applyAlignment="1">
      <alignment horizontal="center"/>
      <protection/>
    </xf>
    <xf numFmtId="4" fontId="9" fillId="38" borderId="12" xfId="55" applyNumberFormat="1" applyFont="1" applyFill="1" applyBorder="1" applyAlignment="1">
      <alignment horizontal="center" vertical="center" textRotation="90" wrapText="1"/>
      <protection/>
    </xf>
    <xf numFmtId="4" fontId="9" fillId="38" borderId="21" xfId="55" applyNumberFormat="1" applyFont="1" applyFill="1" applyBorder="1" applyAlignment="1">
      <alignment horizontal="center" vertical="center" textRotation="90" wrapText="1"/>
      <protection/>
    </xf>
    <xf numFmtId="4" fontId="9" fillId="38" borderId="37" xfId="55" applyNumberFormat="1" applyFont="1" applyFill="1" applyBorder="1" applyAlignment="1">
      <alignment horizontal="center" vertical="center" textRotation="90" wrapText="1"/>
      <protection/>
    </xf>
    <xf numFmtId="4" fontId="9" fillId="38" borderId="20" xfId="55" applyNumberFormat="1" applyFont="1" applyFill="1" applyBorder="1" applyAlignment="1">
      <alignment horizontal="center" vertical="center" textRotation="90" wrapText="1"/>
      <protection/>
    </xf>
    <xf numFmtId="4" fontId="9" fillId="38" borderId="44" xfId="55" applyNumberFormat="1" applyFont="1" applyFill="1" applyBorder="1" applyAlignment="1">
      <alignment horizontal="center" vertical="center" textRotation="90" wrapText="1"/>
      <protection/>
    </xf>
    <xf numFmtId="4" fontId="9" fillId="38" borderId="54" xfId="55" applyNumberFormat="1" applyFont="1" applyFill="1" applyBorder="1" applyAlignment="1">
      <alignment horizontal="center"/>
      <protection/>
    </xf>
    <xf numFmtId="4" fontId="9" fillId="38" borderId="55" xfId="55" applyNumberFormat="1" applyFont="1" applyFill="1" applyBorder="1" applyAlignment="1">
      <alignment horizontal="center"/>
      <protection/>
    </xf>
    <xf numFmtId="4" fontId="9" fillId="38" borderId="55" xfId="55" applyNumberFormat="1" applyFont="1" applyFill="1" applyBorder="1" applyAlignment="1" quotePrefix="1">
      <alignment horizontal="center"/>
      <protection/>
    </xf>
    <xf numFmtId="4" fontId="9" fillId="38" borderId="57" xfId="55" applyNumberFormat="1" applyFont="1" applyFill="1" applyBorder="1" applyAlignment="1" quotePrefix="1">
      <alignment horizontal="center"/>
      <protection/>
    </xf>
    <xf numFmtId="4" fontId="9" fillId="38" borderId="11" xfId="55" applyNumberFormat="1" applyFont="1" applyFill="1" applyBorder="1" applyAlignment="1" quotePrefix="1">
      <alignment horizontal="center"/>
      <protection/>
    </xf>
    <xf numFmtId="4" fontId="9" fillId="38" borderId="56" xfId="55" applyNumberFormat="1" applyFont="1" applyFill="1" applyBorder="1" applyAlignment="1" quotePrefix="1">
      <alignment horizontal="center"/>
      <protection/>
    </xf>
    <xf numFmtId="0" fontId="9" fillId="0" borderId="15" xfId="55" applyFont="1" applyBorder="1">
      <alignment/>
      <protection/>
    </xf>
    <xf numFmtId="4" fontId="8" fillId="0" borderId="21" xfId="55" applyNumberFormat="1" applyFont="1" applyBorder="1">
      <alignment/>
      <protection/>
    </xf>
    <xf numFmtId="4" fontId="8" fillId="0" borderId="10" xfId="55" applyNumberFormat="1" applyFont="1" applyBorder="1">
      <alignment/>
      <protection/>
    </xf>
    <xf numFmtId="4" fontId="8" fillId="0" borderId="35" xfId="55" applyNumberFormat="1" applyFont="1" applyBorder="1">
      <alignment/>
      <protection/>
    </xf>
    <xf numFmtId="0" fontId="0" fillId="0" borderId="21" xfId="55" applyBorder="1" applyAlignment="1">
      <alignment horizontal="left"/>
      <protection/>
    </xf>
    <xf numFmtId="0" fontId="0" fillId="0" borderId="44" xfId="55" applyBorder="1" applyAlignment="1">
      <alignment horizontal="left"/>
      <protection/>
    </xf>
    <xf numFmtId="0" fontId="9" fillId="0" borderId="15" xfId="55" applyFont="1" applyBorder="1" applyAlignment="1">
      <alignment horizontal="center"/>
      <protection/>
    </xf>
    <xf numFmtId="4" fontId="8" fillId="0" borderId="23" xfId="55" applyNumberFormat="1" applyFont="1" applyBorder="1">
      <alignment/>
      <protection/>
    </xf>
    <xf numFmtId="0" fontId="8" fillId="0" borderId="23" xfId="55" applyFont="1" applyBorder="1">
      <alignment/>
      <protection/>
    </xf>
    <xf numFmtId="0" fontId="8" fillId="0" borderId="91" xfId="55" applyFont="1" applyBorder="1">
      <alignment/>
      <protection/>
    </xf>
    <xf numFmtId="4" fontId="8" fillId="0" borderId="37" xfId="55" applyNumberFormat="1" applyFont="1" applyBorder="1">
      <alignment/>
      <protection/>
    </xf>
    <xf numFmtId="4" fontId="8" fillId="0" borderId="20" xfId="55" applyNumberFormat="1" applyFont="1" applyBorder="1">
      <alignment/>
      <protection/>
    </xf>
    <xf numFmtId="4" fontId="8" fillId="0" borderId="91" xfId="55" applyNumberFormat="1" applyFont="1" applyBorder="1">
      <alignment/>
      <protection/>
    </xf>
    <xf numFmtId="4" fontId="0" fillId="0" borderId="0" xfId="55" applyNumberFormat="1" applyBorder="1">
      <alignment/>
      <protection/>
    </xf>
    <xf numFmtId="0" fontId="0" fillId="0" borderId="27" xfId="55" applyBorder="1" applyAlignment="1">
      <alignment horizontal="center"/>
      <protection/>
    </xf>
    <xf numFmtId="4" fontId="8" fillId="0" borderId="54" xfId="55" applyNumberFormat="1" applyFont="1" applyBorder="1">
      <alignment/>
      <protection/>
    </xf>
    <xf numFmtId="4" fontId="0" fillId="0" borderId="89" xfId="55" applyNumberFormat="1" applyBorder="1">
      <alignment/>
      <protection/>
    </xf>
    <xf numFmtId="4" fontId="8" fillId="0" borderId="55" xfId="55" applyNumberFormat="1" applyFont="1" applyBorder="1">
      <alignment/>
      <protection/>
    </xf>
    <xf numFmtId="0" fontId="8" fillId="0" borderId="54" xfId="55" applyFont="1" applyBorder="1">
      <alignment/>
      <protection/>
    </xf>
    <xf numFmtId="0" fontId="8" fillId="0" borderId="89" xfId="55" applyFont="1" applyBorder="1">
      <alignment/>
      <protection/>
    </xf>
    <xf numFmtId="4" fontId="8" fillId="0" borderId="81" xfId="55" applyNumberFormat="1" applyFont="1" applyBorder="1">
      <alignment/>
      <protection/>
    </xf>
    <xf numFmtId="4" fontId="8" fillId="0" borderId="57" xfId="55" applyNumberFormat="1" applyFont="1" applyBorder="1">
      <alignment/>
      <protection/>
    </xf>
    <xf numFmtId="4" fontId="8" fillId="0" borderId="11" xfId="55" applyNumberFormat="1" applyFont="1" applyBorder="1">
      <alignment/>
      <protection/>
    </xf>
    <xf numFmtId="4" fontId="8" fillId="0" borderId="89" xfId="55" applyNumberFormat="1" applyFont="1" applyBorder="1">
      <alignment/>
      <protection/>
    </xf>
    <xf numFmtId="4" fontId="8" fillId="0" borderId="27" xfId="55" applyNumberFormat="1" applyFont="1" applyBorder="1">
      <alignment/>
      <protection/>
    </xf>
    <xf numFmtId="4" fontId="8" fillId="0" borderId="12" xfId="0" applyNumberFormat="1" applyFont="1" applyBorder="1" applyAlignment="1">
      <alignment/>
    </xf>
    <xf numFmtId="4" fontId="8" fillId="0" borderId="0" xfId="0" applyNumberFormat="1" applyFont="1" applyBorder="1" applyAlignment="1">
      <alignment/>
    </xf>
    <xf numFmtId="4" fontId="8" fillId="0" borderId="28" xfId="0" applyNumberFormat="1" applyFont="1" applyBorder="1" applyAlignment="1">
      <alignment/>
    </xf>
    <xf numFmtId="4" fontId="8" fillId="0" borderId="16" xfId="0" applyNumberFormat="1" applyFont="1" applyBorder="1" applyAlignment="1">
      <alignment/>
    </xf>
    <xf numFmtId="4" fontId="8" fillId="0" borderId="15" xfId="0" applyNumberFormat="1" applyFont="1" applyBorder="1" applyAlignment="1">
      <alignment/>
    </xf>
    <xf numFmtId="0" fontId="8" fillId="35" borderId="15" xfId="0" applyFont="1" applyFill="1" applyBorder="1" applyAlignment="1">
      <alignment/>
    </xf>
    <xf numFmtId="0" fontId="8" fillId="0" borderId="91" xfId="0" applyFont="1" applyBorder="1" applyAlignment="1">
      <alignment/>
    </xf>
    <xf numFmtId="0" fontId="8" fillId="35" borderId="27" xfId="0" applyFont="1" applyFill="1" applyBorder="1" applyAlignment="1">
      <alignment/>
    </xf>
    <xf numFmtId="4" fontId="8" fillId="0" borderId="54" xfId="0" applyNumberFormat="1" applyFont="1" applyBorder="1" applyAlignment="1">
      <alignment/>
    </xf>
    <xf numFmtId="4" fontId="8" fillId="0" borderId="89" xfId="0" applyNumberFormat="1" applyFont="1" applyBorder="1" applyAlignment="1">
      <alignment/>
    </xf>
    <xf numFmtId="4" fontId="8" fillId="0" borderId="57" xfId="0" applyNumberFormat="1" applyFont="1" applyBorder="1" applyAlignment="1">
      <alignment/>
    </xf>
    <xf numFmtId="4" fontId="8" fillId="0" borderId="11" xfId="0" applyNumberFormat="1" applyFont="1" applyBorder="1" applyAlignment="1">
      <alignment/>
    </xf>
    <xf numFmtId="4" fontId="8" fillId="0" borderId="27" xfId="0" applyNumberFormat="1" applyFont="1" applyBorder="1" applyAlignment="1">
      <alignment/>
    </xf>
    <xf numFmtId="4" fontId="8" fillId="0" borderId="26" xfId="55" applyNumberFormat="1" applyFont="1" applyBorder="1">
      <alignment/>
      <protection/>
    </xf>
    <xf numFmtId="4" fontId="8" fillId="0" borderId="28" xfId="62" applyNumberFormat="1" applyFont="1" applyBorder="1" applyAlignment="1">
      <alignment vertical="center"/>
      <protection/>
    </xf>
    <xf numFmtId="0" fontId="8" fillId="0" borderId="10" xfId="62" applyFont="1" applyBorder="1" applyAlignment="1">
      <alignment vertical="center"/>
      <protection/>
    </xf>
    <xf numFmtId="4" fontId="8" fillId="0" borderId="12" xfId="55" applyNumberFormat="1" applyFont="1" applyBorder="1" applyAlignment="1">
      <alignment/>
      <protection/>
    </xf>
    <xf numFmtId="0" fontId="8" fillId="0" borderId="15" xfId="55" applyFont="1" applyBorder="1" applyAlignment="1">
      <alignment horizontal="center"/>
      <protection/>
    </xf>
    <xf numFmtId="0" fontId="8" fillId="0" borderId="27" xfId="55" applyFont="1" applyBorder="1" applyAlignment="1">
      <alignment horizontal="center"/>
      <protection/>
    </xf>
    <xf numFmtId="4" fontId="8" fillId="0" borderId="57" xfId="49" applyNumberFormat="1" applyFont="1" applyBorder="1" applyAlignment="1">
      <alignment/>
    </xf>
    <xf numFmtId="4" fontId="8" fillId="0" borderId="22" xfId="49" applyNumberFormat="1" applyFont="1" applyBorder="1" applyAlignment="1">
      <alignment/>
    </xf>
    <xf numFmtId="3" fontId="8" fillId="0" borderId="27" xfId="55" applyNumberFormat="1" applyFont="1" applyBorder="1">
      <alignment/>
      <protection/>
    </xf>
    <xf numFmtId="0" fontId="8" fillId="0" borderId="22" xfId="55" applyFont="1" applyBorder="1">
      <alignment/>
      <protection/>
    </xf>
    <xf numFmtId="4" fontId="8" fillId="0" borderId="27" xfId="49" applyNumberFormat="1" applyFont="1" applyBorder="1" applyAlignment="1">
      <alignment/>
    </xf>
    <xf numFmtId="4" fontId="9" fillId="35" borderId="0" xfId="55" applyNumberFormat="1" applyFont="1" applyFill="1">
      <alignment/>
      <protection/>
    </xf>
    <xf numFmtId="0" fontId="8" fillId="40" borderId="15" xfId="55" applyFont="1" applyFill="1" applyBorder="1" applyAlignment="1">
      <alignment horizontal="center"/>
      <protection/>
    </xf>
    <xf numFmtId="4" fontId="8" fillId="40" borderId="15" xfId="55" applyNumberFormat="1" applyFont="1" applyFill="1" applyBorder="1" applyAlignment="1">
      <alignment horizontal="center"/>
      <protection/>
    </xf>
    <xf numFmtId="4" fontId="8" fillId="40" borderId="92" xfId="55" applyNumberFormat="1" applyFont="1" applyFill="1" applyBorder="1">
      <alignment/>
      <protection/>
    </xf>
    <xf numFmtId="0" fontId="8" fillId="40" borderId="93" xfId="55" applyFont="1" applyFill="1" applyBorder="1">
      <alignment/>
      <protection/>
    </xf>
    <xf numFmtId="4" fontId="2" fillId="0" borderId="12" xfId="55" applyNumberFormat="1" applyFont="1" applyBorder="1">
      <alignment/>
      <protection/>
    </xf>
    <xf numFmtId="4" fontId="2" fillId="0" borderId="0" xfId="55" applyNumberFormat="1" applyFont="1">
      <alignment/>
      <protection/>
    </xf>
    <xf numFmtId="4" fontId="2" fillId="0" borderId="28" xfId="55" applyNumberFormat="1" applyFont="1" applyBorder="1">
      <alignment/>
      <protection/>
    </xf>
    <xf numFmtId="4" fontId="2" fillId="0" borderId="16" xfId="55" applyNumberFormat="1" applyFont="1" applyBorder="1">
      <alignment/>
      <protection/>
    </xf>
    <xf numFmtId="1" fontId="2" fillId="0" borderId="15" xfId="55" applyNumberFormat="1" applyFont="1" applyBorder="1" applyAlignment="1">
      <alignment horizontal="center" vertical="center"/>
      <protection/>
    </xf>
    <xf numFmtId="4" fontId="2" fillId="0" borderId="15" xfId="55" applyNumberFormat="1" applyFont="1" applyBorder="1">
      <alignment/>
      <protection/>
    </xf>
    <xf numFmtId="0" fontId="2" fillId="0" borderId="16" xfId="55" applyFont="1" applyBorder="1">
      <alignment/>
      <protection/>
    </xf>
    <xf numFmtId="1" fontId="2" fillId="0" borderId="16" xfId="55" applyNumberFormat="1" applyFont="1" applyBorder="1">
      <alignment/>
      <protection/>
    </xf>
    <xf numFmtId="0" fontId="0" fillId="0" borderId="72" xfId="62" applyFont="1" applyBorder="1" applyAlignment="1">
      <alignment horizontal="center" vertical="center"/>
      <protection/>
    </xf>
    <xf numFmtId="0" fontId="0" fillId="0" borderId="28" xfId="62" applyFont="1" applyBorder="1" applyAlignment="1">
      <alignment horizontal="center" vertical="center"/>
      <protection/>
    </xf>
    <xf numFmtId="177" fontId="2" fillId="0" borderId="28" xfId="55" applyNumberFormat="1" applyFont="1" applyBorder="1">
      <alignment/>
      <protection/>
    </xf>
    <xf numFmtId="0" fontId="0" fillId="0" borderId="29" xfId="62" applyFont="1" applyBorder="1" applyAlignment="1">
      <alignment horizontal="center" vertical="center"/>
      <protection/>
    </xf>
    <xf numFmtId="4" fontId="2" fillId="40" borderId="92" xfId="55" applyNumberFormat="1" applyFont="1" applyFill="1" applyBorder="1">
      <alignment/>
      <protection/>
    </xf>
    <xf numFmtId="0" fontId="2" fillId="40" borderId="93" xfId="55" applyFont="1" applyFill="1" applyBorder="1">
      <alignment/>
      <protection/>
    </xf>
    <xf numFmtId="4" fontId="2" fillId="40" borderId="15" xfId="55" applyNumberFormat="1" applyFont="1" applyFill="1" applyBorder="1">
      <alignment/>
      <protection/>
    </xf>
    <xf numFmtId="0" fontId="2" fillId="40" borderId="16" xfId="55" applyFont="1" applyFill="1" applyBorder="1">
      <alignment/>
      <protection/>
    </xf>
    <xf numFmtId="0" fontId="2" fillId="0" borderId="12" xfId="55" applyFont="1" applyBorder="1">
      <alignment/>
      <protection/>
    </xf>
    <xf numFmtId="0" fontId="9" fillId="0" borderId="15" xfId="55" applyFont="1" applyBorder="1" applyAlignment="1">
      <alignment horizontal="left" vertical="center"/>
      <protection/>
    </xf>
    <xf numFmtId="0" fontId="2" fillId="40" borderId="92" xfId="55" applyFont="1" applyFill="1" applyBorder="1">
      <alignment/>
      <protection/>
    </xf>
    <xf numFmtId="0" fontId="18" fillId="0" borderId="85" xfId="62" applyFont="1" applyBorder="1" applyAlignment="1">
      <alignment horizontal="left" vertical="center"/>
      <protection/>
    </xf>
    <xf numFmtId="4" fontId="2" fillId="0" borderId="14" xfId="55" applyNumberFormat="1" applyFont="1" applyBorder="1">
      <alignment/>
      <protection/>
    </xf>
    <xf numFmtId="0" fontId="8" fillId="0" borderId="15" xfId="55" applyFont="1" applyBorder="1" applyAlignment="1">
      <alignment horizontal="left" vertical="center"/>
      <protection/>
    </xf>
    <xf numFmtId="0" fontId="9" fillId="36" borderId="27" xfId="55" applyFont="1" applyFill="1" applyBorder="1" applyAlignment="1">
      <alignment horizontal="center" vertical="center"/>
      <protection/>
    </xf>
    <xf numFmtId="0" fontId="8" fillId="36" borderId="41" xfId="55" applyFont="1" applyFill="1" applyBorder="1" applyAlignment="1">
      <alignment horizontal="center" vertical="center"/>
      <protection/>
    </xf>
    <xf numFmtId="4" fontId="8" fillId="36" borderId="41" xfId="55" applyNumberFormat="1" applyFont="1" applyFill="1" applyBorder="1" applyAlignment="1">
      <alignment horizontal="center" vertical="center"/>
      <protection/>
    </xf>
    <xf numFmtId="4" fontId="8" fillId="40" borderId="12" xfId="55" applyNumberFormat="1" applyFont="1" applyFill="1" applyBorder="1">
      <alignment/>
      <protection/>
    </xf>
    <xf numFmtId="4" fontId="8" fillId="40" borderId="28" xfId="55" applyNumberFormat="1" applyFont="1" applyFill="1" applyBorder="1">
      <alignment/>
      <protection/>
    </xf>
    <xf numFmtId="4" fontId="8" fillId="40" borderId="16" xfId="55" applyNumberFormat="1" applyFont="1" applyFill="1" applyBorder="1">
      <alignment/>
      <protection/>
    </xf>
    <xf numFmtId="1" fontId="8" fillId="40" borderId="92" xfId="55" applyNumberFormat="1" applyFont="1" applyFill="1" applyBorder="1" applyAlignment="1">
      <alignment horizontal="center" vertical="center"/>
      <protection/>
    </xf>
    <xf numFmtId="0" fontId="8" fillId="40" borderId="92" xfId="55" applyFont="1" applyFill="1" applyBorder="1" applyAlignment="1">
      <alignment horizontal="center"/>
      <protection/>
    </xf>
    <xf numFmtId="4" fontId="8" fillId="40" borderId="76" xfId="55" applyNumberFormat="1" applyFont="1" applyFill="1" applyBorder="1">
      <alignment/>
      <protection/>
    </xf>
    <xf numFmtId="4" fontId="2" fillId="40" borderId="12" xfId="55" applyNumberFormat="1" applyFont="1" applyFill="1" applyBorder="1">
      <alignment/>
      <protection/>
    </xf>
    <xf numFmtId="0" fontId="2" fillId="40" borderId="12" xfId="55" applyFont="1" applyFill="1" applyBorder="1">
      <alignment/>
      <protection/>
    </xf>
    <xf numFmtId="0" fontId="2" fillId="40" borderId="0" xfId="55" applyFont="1" applyFill="1">
      <alignment/>
      <protection/>
    </xf>
    <xf numFmtId="4" fontId="2" fillId="40" borderId="28" xfId="55" applyNumberFormat="1" applyFont="1" applyFill="1" applyBorder="1">
      <alignment/>
      <protection/>
    </xf>
    <xf numFmtId="4" fontId="2" fillId="40" borderId="16" xfId="55" applyNumberFormat="1" applyFont="1" applyFill="1" applyBorder="1">
      <alignment/>
      <protection/>
    </xf>
    <xf numFmtId="1" fontId="2" fillId="40" borderId="92" xfId="55" applyNumberFormat="1" applyFont="1" applyFill="1" applyBorder="1" applyAlignment="1">
      <alignment horizontal="center" vertical="center"/>
      <protection/>
    </xf>
    <xf numFmtId="4" fontId="2" fillId="40" borderId="76" xfId="55" applyNumberFormat="1" applyFont="1" applyFill="1" applyBorder="1">
      <alignment/>
      <protection/>
    </xf>
    <xf numFmtId="4" fontId="8" fillId="40" borderId="66" xfId="55" applyNumberFormat="1" applyFont="1" applyFill="1" applyBorder="1">
      <alignment/>
      <protection/>
    </xf>
    <xf numFmtId="4" fontId="2" fillId="40" borderId="66" xfId="55" applyNumberFormat="1" applyFont="1" applyFill="1" applyBorder="1">
      <alignment/>
      <protection/>
    </xf>
    <xf numFmtId="0" fontId="0" fillId="0" borderId="0" xfId="55" applyBorder="1" applyAlignment="1">
      <alignment horizontal="left"/>
      <protection/>
    </xf>
    <xf numFmtId="0" fontId="8" fillId="0" borderId="0" xfId="55" applyFont="1" applyBorder="1" applyAlignment="1">
      <alignment horizontal="center"/>
      <protection/>
    </xf>
    <xf numFmtId="4" fontId="2" fillId="0" borderId="0" xfId="55" applyNumberFormat="1" applyFont="1" applyBorder="1">
      <alignment/>
      <protection/>
    </xf>
    <xf numFmtId="1" fontId="2" fillId="0" borderId="0" xfId="55" applyNumberFormat="1" applyFont="1" applyBorder="1" applyAlignment="1">
      <alignment horizontal="center" vertical="center"/>
      <protection/>
    </xf>
    <xf numFmtId="0" fontId="2" fillId="0" borderId="0" xfId="55" applyFont="1" applyBorder="1">
      <alignment/>
      <protection/>
    </xf>
    <xf numFmtId="0" fontId="7" fillId="0" borderId="0" xfId="62" applyFont="1" applyAlignment="1">
      <alignment vertical="center"/>
      <protection/>
    </xf>
    <xf numFmtId="1" fontId="2" fillId="40" borderId="15" xfId="55" applyNumberFormat="1" applyFont="1" applyFill="1" applyBorder="1" applyAlignment="1">
      <alignment horizontal="center" vertical="center"/>
      <protection/>
    </xf>
    <xf numFmtId="4" fontId="2" fillId="40" borderId="0" xfId="55" applyNumberFormat="1" applyFont="1" applyFill="1">
      <alignment/>
      <protection/>
    </xf>
    <xf numFmtId="0" fontId="9" fillId="0" borderId="15" xfId="55" applyFont="1" applyBorder="1" applyAlignment="1">
      <alignment horizontal="left"/>
      <protection/>
    </xf>
    <xf numFmtId="0" fontId="2" fillId="0" borderId="28" xfId="55" applyFont="1" applyBorder="1">
      <alignment/>
      <protection/>
    </xf>
    <xf numFmtId="43" fontId="2" fillId="0" borderId="0" xfId="50" applyFont="1" applyBorder="1" applyAlignment="1">
      <alignment/>
    </xf>
    <xf numFmtId="0" fontId="8" fillId="0" borderId="15" xfId="55" applyFont="1" applyBorder="1" applyAlignment="1">
      <alignment horizontal="left"/>
      <protection/>
    </xf>
    <xf numFmtId="4" fontId="2" fillId="40" borderId="94" xfId="55" applyNumberFormat="1" applyFont="1" applyFill="1" applyBorder="1">
      <alignment/>
      <protection/>
    </xf>
    <xf numFmtId="4" fontId="2" fillId="40" borderId="0" xfId="55" applyNumberFormat="1" applyFont="1" applyFill="1" applyBorder="1">
      <alignment/>
      <protection/>
    </xf>
    <xf numFmtId="4" fontId="2" fillId="40" borderId="72" xfId="55" applyNumberFormat="1" applyFont="1" applyFill="1" applyBorder="1">
      <alignment/>
      <protection/>
    </xf>
    <xf numFmtId="4" fontId="2" fillId="40" borderId="93" xfId="55" applyNumberFormat="1" applyFont="1" applyFill="1" applyBorder="1">
      <alignment/>
      <protection/>
    </xf>
    <xf numFmtId="0" fontId="2" fillId="0" borderId="15" xfId="55" applyFont="1" applyBorder="1">
      <alignment/>
      <protection/>
    </xf>
    <xf numFmtId="4" fontId="2" fillId="36" borderId="41" xfId="55" applyNumberFormat="1" applyFont="1" applyFill="1" applyBorder="1" applyAlignment="1">
      <alignment horizontal="center" vertical="center"/>
      <protection/>
    </xf>
    <xf numFmtId="1" fontId="2" fillId="36" borderId="41" xfId="55" applyNumberFormat="1" applyFont="1" applyFill="1" applyBorder="1" applyAlignment="1">
      <alignment horizontal="center" vertical="center"/>
      <protection/>
    </xf>
    <xf numFmtId="0" fontId="2" fillId="36" borderId="41" xfId="55" applyFont="1" applyFill="1" applyBorder="1" applyAlignment="1">
      <alignment horizontal="center" vertical="center"/>
      <protection/>
    </xf>
    <xf numFmtId="4" fontId="2" fillId="0" borderId="42" xfId="62" applyNumberFormat="1" applyFont="1" applyBorder="1" applyAlignment="1">
      <alignment vertical="center"/>
      <protection/>
    </xf>
    <xf numFmtId="0" fontId="5" fillId="33" borderId="42" xfId="62" applyNumberFormat="1" applyFont="1" applyFill="1" applyBorder="1" applyAlignment="1">
      <alignment vertical="center"/>
      <protection/>
    </xf>
    <xf numFmtId="0" fontId="18" fillId="0" borderId="85" xfId="55" applyFont="1" applyBorder="1" applyAlignment="1">
      <alignment horizontal="center" vertical="center" wrapText="1"/>
      <protection/>
    </xf>
    <xf numFmtId="1" fontId="2" fillId="0" borderId="42" xfId="62" applyNumberFormat="1" applyFont="1" applyBorder="1" applyAlignment="1">
      <alignment vertical="center"/>
      <protection/>
    </xf>
    <xf numFmtId="0" fontId="2" fillId="0" borderId="42" xfId="62" applyNumberFormat="1" applyFont="1" applyBorder="1" applyAlignment="1">
      <alignment vertical="center"/>
      <protection/>
    </xf>
    <xf numFmtId="0" fontId="9" fillId="38" borderId="25" xfId="62" applyFont="1" applyFill="1" applyBorder="1" applyAlignment="1">
      <alignment horizontal="center" vertical="center" wrapText="1"/>
      <protection/>
    </xf>
    <xf numFmtId="0" fontId="5" fillId="0" borderId="0" xfId="0" applyFont="1" applyAlignment="1">
      <alignment/>
    </xf>
    <xf numFmtId="0" fontId="0" fillId="0" borderId="0" xfId="0" applyAlignment="1">
      <alignment horizontal="center"/>
    </xf>
    <xf numFmtId="0" fontId="21" fillId="0" borderId="0" xfId="55" applyFont="1" applyFill="1" applyAlignment="1">
      <alignment/>
      <protection/>
    </xf>
    <xf numFmtId="0" fontId="20" fillId="0" borderId="0" xfId="62" applyFont="1" applyFill="1" applyAlignment="1">
      <alignment vertical="center"/>
      <protection/>
    </xf>
    <xf numFmtId="0" fontId="21" fillId="0" borderId="0" xfId="62" applyFont="1" applyFill="1" applyAlignment="1">
      <alignment vertical="center"/>
      <protection/>
    </xf>
    <xf numFmtId="0" fontId="22" fillId="0" borderId="0" xfId="55" applyFont="1">
      <alignment/>
      <protection/>
    </xf>
    <xf numFmtId="0" fontId="21" fillId="28" borderId="17" xfId="55" applyFont="1" applyFill="1" applyBorder="1" applyAlignment="1">
      <alignment horizontal="center"/>
      <protection/>
    </xf>
    <xf numFmtId="0" fontId="22" fillId="0" borderId="20" xfId="55" applyFont="1" applyBorder="1">
      <alignment/>
      <protection/>
    </xf>
    <xf numFmtId="3" fontId="22" fillId="0" borderId="16" xfId="55" applyNumberFormat="1" applyFont="1" applyBorder="1">
      <alignment/>
      <protection/>
    </xf>
    <xf numFmtId="0" fontId="79" fillId="0" borderId="15" xfId="0" applyFont="1" applyBorder="1" applyAlignment="1">
      <alignment vertical="center" wrapText="1"/>
    </xf>
    <xf numFmtId="0" fontId="22" fillId="0" borderId="16" xfId="55" applyFont="1" applyBorder="1">
      <alignment/>
      <protection/>
    </xf>
    <xf numFmtId="0" fontId="21" fillId="0" borderId="16" xfId="55" applyFont="1" applyBorder="1" applyAlignment="1">
      <alignment horizontal="center"/>
      <protection/>
    </xf>
    <xf numFmtId="3" fontId="22" fillId="0" borderId="16" xfId="55" applyNumberFormat="1" applyFont="1" applyBorder="1" applyAlignment="1">
      <alignment horizontal="center" vertical="center"/>
      <protection/>
    </xf>
    <xf numFmtId="0" fontId="79" fillId="0" borderId="15" xfId="0" applyFont="1" applyBorder="1" applyAlignment="1">
      <alignment wrapText="1"/>
    </xf>
    <xf numFmtId="0" fontId="79" fillId="0" borderId="15" xfId="0" applyFont="1" applyBorder="1" applyAlignment="1">
      <alignment/>
    </xf>
    <xf numFmtId="0" fontId="22" fillId="0" borderId="11" xfId="55" applyFont="1" applyBorder="1">
      <alignment/>
      <protection/>
    </xf>
    <xf numFmtId="0" fontId="21" fillId="0" borderId="27" xfId="55" applyFont="1" applyBorder="1" applyAlignment="1">
      <alignment horizontal="center"/>
      <protection/>
    </xf>
    <xf numFmtId="0" fontId="22" fillId="0" borderId="25" xfId="55" applyFont="1" applyBorder="1">
      <alignment/>
      <protection/>
    </xf>
    <xf numFmtId="0" fontId="22" fillId="0" borderId="20" xfId="55" applyFont="1" applyBorder="1" applyAlignment="1">
      <alignment horizontal="center"/>
      <protection/>
    </xf>
    <xf numFmtId="0" fontId="22" fillId="0" borderId="15" xfId="0" applyFont="1" applyBorder="1" applyAlignment="1">
      <alignment horizontal="center"/>
    </xf>
    <xf numFmtId="3" fontId="22" fillId="0" borderId="16" xfId="55" applyNumberFormat="1" applyFont="1" applyBorder="1" applyAlignment="1">
      <alignment/>
      <protection/>
    </xf>
    <xf numFmtId="0" fontId="22" fillId="0" borderId="19" xfId="0" applyFont="1" applyBorder="1" applyAlignment="1">
      <alignment horizontal="center"/>
    </xf>
    <xf numFmtId="3" fontId="22" fillId="0" borderId="26" xfId="0" applyNumberFormat="1" applyFont="1" applyBorder="1" applyAlignment="1">
      <alignment/>
    </xf>
    <xf numFmtId="0" fontId="22" fillId="0" borderId="10" xfId="0" applyFont="1" applyBorder="1" applyAlignment="1">
      <alignment/>
    </xf>
    <xf numFmtId="3" fontId="22" fillId="0" borderId="15" xfId="0" applyNumberFormat="1" applyFont="1" applyBorder="1" applyAlignment="1">
      <alignment/>
    </xf>
    <xf numFmtId="0" fontId="22" fillId="0" borderId="10" xfId="0" applyFont="1" applyBorder="1" applyAlignment="1">
      <alignment horizontal="center"/>
    </xf>
    <xf numFmtId="0" fontId="22" fillId="0" borderId="22" xfId="0" applyFont="1" applyBorder="1" applyAlignment="1">
      <alignment/>
    </xf>
    <xf numFmtId="0" fontId="22" fillId="0" borderId="27" xfId="0" applyFont="1" applyBorder="1" applyAlignment="1">
      <alignment/>
    </xf>
    <xf numFmtId="3" fontId="22" fillId="0" borderId="0" xfId="55" applyNumberFormat="1" applyFont="1" applyBorder="1">
      <alignment/>
      <protection/>
    </xf>
    <xf numFmtId="3" fontId="22" fillId="0" borderId="0" xfId="55" applyNumberFormat="1" applyFont="1" applyBorder="1" applyAlignment="1">
      <alignment/>
      <protection/>
    </xf>
    <xf numFmtId="3" fontId="22" fillId="0" borderId="15" xfId="0" applyNumberFormat="1" applyFont="1" applyBorder="1" applyAlignment="1">
      <alignment horizontal="center" vertical="center"/>
    </xf>
    <xf numFmtId="0" fontId="21" fillId="0" borderId="0" xfId="62" applyFont="1" applyAlignment="1">
      <alignment vertical="center"/>
      <protection/>
    </xf>
    <xf numFmtId="3" fontId="22" fillId="0" borderId="16" xfId="55" applyNumberFormat="1" applyFont="1" applyBorder="1" applyAlignment="1">
      <alignment horizontal="center"/>
      <protection/>
    </xf>
    <xf numFmtId="0" fontId="22" fillId="0" borderId="16" xfId="55" applyFont="1" applyBorder="1" applyAlignment="1">
      <alignment horizontal="center"/>
      <protection/>
    </xf>
    <xf numFmtId="0" fontId="23" fillId="0" borderId="0" xfId="0" applyFont="1" applyAlignment="1">
      <alignment/>
    </xf>
    <xf numFmtId="0" fontId="21" fillId="0" borderId="0" xfId="55" applyFont="1" applyFill="1">
      <alignment/>
      <protection/>
    </xf>
    <xf numFmtId="0" fontId="22" fillId="0" borderId="0" xfId="55" applyFont="1" applyFill="1">
      <alignment/>
      <protection/>
    </xf>
    <xf numFmtId="0" fontId="21" fillId="0" borderId="0" xfId="55" applyFont="1">
      <alignment/>
      <protection/>
    </xf>
    <xf numFmtId="0" fontId="21" fillId="28" borderId="24" xfId="55" applyFont="1" applyFill="1" applyBorder="1" applyAlignment="1">
      <alignment horizontal="center"/>
      <protection/>
    </xf>
    <xf numFmtId="0" fontId="21" fillId="28" borderId="17" xfId="55" applyFont="1" applyFill="1" applyBorder="1" applyAlignment="1">
      <alignment horizontal="center" wrapText="1"/>
      <protection/>
    </xf>
    <xf numFmtId="0" fontId="21" fillId="28" borderId="18" xfId="55" applyFont="1" applyFill="1" applyBorder="1" applyAlignment="1">
      <alignment horizontal="center"/>
      <protection/>
    </xf>
    <xf numFmtId="0" fontId="22" fillId="0" borderId="26" xfId="55" applyFont="1" applyBorder="1">
      <alignment/>
      <protection/>
    </xf>
    <xf numFmtId="3" fontId="22" fillId="0" borderId="15" xfId="55" applyNumberFormat="1" applyFont="1" applyBorder="1">
      <alignment/>
      <protection/>
    </xf>
    <xf numFmtId="0" fontId="22" fillId="0" borderId="15" xfId="55" applyFont="1" applyBorder="1">
      <alignment/>
      <protection/>
    </xf>
    <xf numFmtId="4" fontId="22" fillId="0" borderId="16" xfId="55" applyNumberFormat="1" applyFont="1" applyBorder="1">
      <alignment/>
      <protection/>
    </xf>
    <xf numFmtId="3" fontId="22" fillId="0" borderId="0" xfId="55" applyNumberFormat="1" applyFont="1" applyBorder="1" applyAlignment="1">
      <alignment horizontal="center" vertical="center"/>
      <protection/>
    </xf>
    <xf numFmtId="1" fontId="22" fillId="0" borderId="15" xfId="55" applyNumberFormat="1" applyFont="1" applyBorder="1" applyAlignment="1">
      <alignment horizontal="center" vertical="center"/>
      <protection/>
    </xf>
    <xf numFmtId="0" fontId="22" fillId="0" borderId="27" xfId="55" applyFont="1" applyBorder="1">
      <alignment/>
      <protection/>
    </xf>
    <xf numFmtId="0" fontId="22" fillId="0" borderId="0" xfId="55" applyFont="1" applyBorder="1">
      <alignment/>
      <protection/>
    </xf>
    <xf numFmtId="0" fontId="21" fillId="0" borderId="22" xfId="55" applyFont="1" applyBorder="1" applyAlignment="1">
      <alignment horizontal="center"/>
      <protection/>
    </xf>
    <xf numFmtId="0" fontId="22" fillId="0" borderId="17" xfId="55" applyFont="1" applyBorder="1">
      <alignment/>
      <protection/>
    </xf>
    <xf numFmtId="0" fontId="22" fillId="0" borderId="16" xfId="0" applyFont="1" applyBorder="1" applyAlignment="1">
      <alignment horizontal="center"/>
    </xf>
    <xf numFmtId="3" fontId="22" fillId="0" borderId="15" xfId="55" applyNumberFormat="1" applyFont="1" applyBorder="1" applyAlignment="1">
      <alignment/>
      <protection/>
    </xf>
    <xf numFmtId="3" fontId="22" fillId="0" borderId="17" xfId="55" applyNumberFormat="1" applyFont="1" applyBorder="1">
      <alignment/>
      <protection/>
    </xf>
    <xf numFmtId="0" fontId="21" fillId="0" borderId="0" xfId="0" applyFont="1" applyAlignment="1">
      <alignment/>
    </xf>
    <xf numFmtId="0" fontId="22" fillId="0" borderId="19" xfId="0" applyFont="1" applyBorder="1" applyAlignment="1">
      <alignment/>
    </xf>
    <xf numFmtId="3" fontId="22" fillId="0" borderId="16" xfId="0" applyNumberFormat="1" applyFont="1" applyBorder="1" applyAlignment="1">
      <alignment/>
    </xf>
    <xf numFmtId="3" fontId="22" fillId="0" borderId="0" xfId="0" applyNumberFormat="1" applyFont="1" applyAlignment="1">
      <alignment/>
    </xf>
    <xf numFmtId="3" fontId="22" fillId="0" borderId="10" xfId="0" applyNumberFormat="1" applyFont="1" applyBorder="1" applyAlignment="1">
      <alignment/>
    </xf>
    <xf numFmtId="43" fontId="22" fillId="0" borderId="15" xfId="50" applyFont="1" applyBorder="1" applyAlignment="1">
      <alignment/>
    </xf>
    <xf numFmtId="0" fontId="22" fillId="0" borderId="16" xfId="0" applyFont="1" applyBorder="1" applyAlignment="1" quotePrefix="1">
      <alignment horizontal="center"/>
    </xf>
    <xf numFmtId="0" fontId="22" fillId="0" borderId="0" xfId="0" applyFont="1" applyAlignment="1">
      <alignment horizontal="center"/>
    </xf>
    <xf numFmtId="43" fontId="22" fillId="0" borderId="15" xfId="50" applyFont="1" applyFill="1" applyBorder="1" applyAlignment="1">
      <alignment/>
    </xf>
    <xf numFmtId="0" fontId="22" fillId="0" borderId="10" xfId="0" applyFont="1" applyBorder="1" applyAlignment="1">
      <alignment horizontal="left" indent="2"/>
    </xf>
    <xf numFmtId="43" fontId="77" fillId="0" borderId="15" xfId="50" applyFont="1" applyFill="1" applyBorder="1" applyAlignment="1">
      <alignment horizontal="center"/>
    </xf>
    <xf numFmtId="3" fontId="22" fillId="0" borderId="16" xfId="0" applyNumberFormat="1" applyFont="1" applyBorder="1" applyAlignment="1" quotePrefix="1">
      <alignment horizontal="center"/>
    </xf>
    <xf numFmtId="3" fontId="22" fillId="0" borderId="10" xfId="0" applyNumberFormat="1" applyFont="1" applyBorder="1" applyAlignment="1">
      <alignment horizontal="center"/>
    </xf>
    <xf numFmtId="0" fontId="22" fillId="0" borderId="11" xfId="0" applyFont="1" applyBorder="1" applyAlignment="1">
      <alignment/>
    </xf>
    <xf numFmtId="0" fontId="22" fillId="0" borderId="0" xfId="0" applyFont="1" applyAlignment="1">
      <alignment/>
    </xf>
    <xf numFmtId="43" fontId="22" fillId="0" borderId="27" xfId="50" applyFont="1" applyFill="1" applyBorder="1" applyAlignment="1">
      <alignment/>
    </xf>
    <xf numFmtId="43" fontId="22" fillId="0" borderId="17" xfId="55" applyNumberFormat="1" applyFont="1" applyBorder="1">
      <alignment/>
      <protection/>
    </xf>
    <xf numFmtId="171" fontId="22" fillId="0" borderId="15" xfId="49" applyFont="1" applyBorder="1" applyAlignment="1">
      <alignment/>
    </xf>
    <xf numFmtId="171" fontId="22" fillId="0" borderId="15" xfId="49" applyFont="1" applyFill="1" applyBorder="1" applyAlignment="1">
      <alignment/>
    </xf>
    <xf numFmtId="171" fontId="77" fillId="0" borderId="15" xfId="49" applyFont="1" applyFill="1" applyBorder="1" applyAlignment="1">
      <alignment horizontal="center"/>
    </xf>
    <xf numFmtId="3" fontId="22" fillId="0" borderId="16" xfId="0" applyNumberFormat="1" applyFont="1" applyBorder="1" applyAlignment="1">
      <alignment horizontal="center"/>
    </xf>
    <xf numFmtId="3" fontId="22" fillId="0" borderId="10" xfId="0" applyNumberFormat="1" applyFont="1" applyBorder="1" applyAlignment="1">
      <alignment horizontal="center" vertical="center"/>
    </xf>
    <xf numFmtId="171" fontId="22" fillId="0" borderId="27" xfId="49" applyFont="1" applyFill="1" applyBorder="1" applyAlignment="1">
      <alignment/>
    </xf>
    <xf numFmtId="3" fontId="22" fillId="0" borderId="0" xfId="55" applyNumberFormat="1" applyFont="1">
      <alignment/>
      <protection/>
    </xf>
    <xf numFmtId="49" fontId="22" fillId="0" borderId="0" xfId="55" applyNumberFormat="1" applyFont="1" applyAlignment="1">
      <alignment horizontal="center"/>
      <protection/>
    </xf>
    <xf numFmtId="3" fontId="22" fillId="0" borderId="15" xfId="55" applyNumberFormat="1" applyFont="1" applyBorder="1" applyAlignment="1">
      <alignment horizontal="center"/>
      <protection/>
    </xf>
    <xf numFmtId="3" fontId="22" fillId="0" borderId="0" xfId="55" applyNumberFormat="1" applyFont="1" applyAlignment="1">
      <alignment horizontal="center"/>
      <protection/>
    </xf>
    <xf numFmtId="49" fontId="22" fillId="0" borderId="16" xfId="55" applyNumberFormat="1" applyFont="1" applyBorder="1" applyAlignment="1">
      <alignment horizontal="center"/>
      <protection/>
    </xf>
    <xf numFmtId="3" fontId="22" fillId="0" borderId="0" xfId="55" applyNumberFormat="1" applyFont="1" applyAlignment="1">
      <alignment horizontal="center" vertical="center"/>
      <protection/>
    </xf>
    <xf numFmtId="4" fontId="21" fillId="0" borderId="17" xfId="55" applyNumberFormat="1" applyFont="1" applyBorder="1">
      <alignment/>
      <protection/>
    </xf>
    <xf numFmtId="49" fontId="22" fillId="0" borderId="15" xfId="55" applyNumberFormat="1" applyFont="1" applyBorder="1">
      <alignment/>
      <protection/>
    </xf>
    <xf numFmtId="49" fontId="22" fillId="0" borderId="16" xfId="55" applyNumberFormat="1" applyFont="1" applyBorder="1">
      <alignment/>
      <protection/>
    </xf>
    <xf numFmtId="0" fontId="21" fillId="0" borderId="15" xfId="55" applyFont="1" applyBorder="1">
      <alignment/>
      <protection/>
    </xf>
    <xf numFmtId="49" fontId="22" fillId="0" borderId="0" xfId="55" applyNumberFormat="1" applyFont="1">
      <alignment/>
      <protection/>
    </xf>
    <xf numFmtId="49" fontId="22" fillId="0" borderId="0" xfId="0" applyNumberFormat="1" applyFont="1" applyAlignment="1">
      <alignment/>
    </xf>
    <xf numFmtId="0" fontId="21" fillId="0" borderId="15" xfId="55" applyFont="1" applyBorder="1" applyAlignment="1">
      <alignment horizontal="left"/>
      <protection/>
    </xf>
    <xf numFmtId="49" fontId="22" fillId="0" borderId="15" xfId="55" applyNumberFormat="1" applyFont="1" applyBorder="1" applyAlignment="1">
      <alignment horizontal="center"/>
      <protection/>
    </xf>
    <xf numFmtId="49" fontId="22" fillId="0" borderId="16" xfId="55" applyNumberFormat="1" applyFont="1" applyBorder="1" applyAlignment="1">
      <alignment horizontal="right"/>
      <protection/>
    </xf>
    <xf numFmtId="3" fontId="22" fillId="0" borderId="16" xfId="55" applyNumberFormat="1" applyFont="1" applyBorder="1" applyAlignment="1">
      <alignment horizontal="right"/>
      <protection/>
    </xf>
    <xf numFmtId="172" fontId="23" fillId="0" borderId="0" xfId="0" applyNumberFormat="1" applyFont="1" applyAlignment="1">
      <alignment/>
    </xf>
    <xf numFmtId="0" fontId="20" fillId="38" borderId="38" xfId="0" applyFont="1" applyFill="1" applyBorder="1" applyAlignment="1">
      <alignment horizontal="center" vertical="center" wrapText="1"/>
    </xf>
    <xf numFmtId="0" fontId="20" fillId="38" borderId="33" xfId="0" applyFont="1" applyFill="1" applyBorder="1" applyAlignment="1">
      <alignment horizontal="center" vertical="center" wrapText="1"/>
    </xf>
    <xf numFmtId="0" fontId="20" fillId="38" borderId="32" xfId="0" applyFont="1" applyFill="1" applyBorder="1" applyAlignment="1">
      <alignment horizontal="center" vertical="center" wrapText="1"/>
    </xf>
    <xf numFmtId="0" fontId="20" fillId="38" borderId="25" xfId="0" applyFont="1" applyFill="1" applyBorder="1" applyAlignment="1">
      <alignment horizontal="center" vertical="center" wrapText="1"/>
    </xf>
    <xf numFmtId="172" fontId="20" fillId="38" borderId="38" xfId="0" applyNumberFormat="1" applyFont="1" applyFill="1" applyBorder="1" applyAlignment="1">
      <alignment horizontal="center" textRotation="90" wrapText="1"/>
    </xf>
    <xf numFmtId="172" fontId="20" fillId="38" borderId="32" xfId="0" applyNumberFormat="1" applyFont="1" applyFill="1" applyBorder="1" applyAlignment="1">
      <alignment horizontal="center" textRotation="90" wrapText="1"/>
    </xf>
    <xf numFmtId="172" fontId="20" fillId="38" borderId="43" xfId="0" applyNumberFormat="1" applyFont="1" applyFill="1" applyBorder="1" applyAlignment="1">
      <alignment horizontal="center" textRotation="90" wrapText="1"/>
    </xf>
    <xf numFmtId="0" fontId="21"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2" fontId="22" fillId="0" borderId="0" xfId="0" applyNumberFormat="1" applyFont="1" applyAlignment="1">
      <alignment/>
    </xf>
    <xf numFmtId="0" fontId="22" fillId="0" borderId="0" xfId="0" applyFont="1" applyAlignment="1">
      <alignment horizontal="center" wrapText="1"/>
    </xf>
    <xf numFmtId="0" fontId="21" fillId="38" borderId="38" xfId="0" applyFont="1" applyFill="1" applyBorder="1" applyAlignment="1">
      <alignment horizontal="center" vertical="center" wrapText="1"/>
    </xf>
    <xf numFmtId="0" fontId="21" fillId="38" borderId="33" xfId="0" applyFont="1" applyFill="1" applyBorder="1" applyAlignment="1">
      <alignment horizontal="center" vertical="center" wrapText="1"/>
    </xf>
    <xf numFmtId="0" fontId="21" fillId="38" borderId="32" xfId="0" applyFont="1" applyFill="1" applyBorder="1" applyAlignment="1">
      <alignment horizontal="center" vertical="center" wrapText="1"/>
    </xf>
    <xf numFmtId="0" fontId="21" fillId="38" borderId="43" xfId="0" applyFont="1" applyFill="1" applyBorder="1" applyAlignment="1">
      <alignment horizontal="center" vertical="center" wrapText="1"/>
    </xf>
    <xf numFmtId="0" fontId="21" fillId="38" borderId="25" xfId="0" applyFont="1" applyFill="1" applyBorder="1" applyAlignment="1">
      <alignment horizontal="center" vertical="center" wrapText="1"/>
    </xf>
    <xf numFmtId="172" fontId="21" fillId="38" borderId="38" xfId="0" applyNumberFormat="1" applyFont="1" applyFill="1" applyBorder="1" applyAlignment="1">
      <alignment horizontal="center" textRotation="90" wrapText="1"/>
    </xf>
    <xf numFmtId="172" fontId="21" fillId="38" borderId="32" xfId="0" applyNumberFormat="1" applyFont="1" applyFill="1" applyBorder="1" applyAlignment="1">
      <alignment horizontal="center" textRotation="90" wrapText="1"/>
    </xf>
    <xf numFmtId="172" fontId="21" fillId="38" borderId="43" xfId="0" applyNumberFormat="1" applyFont="1" applyFill="1" applyBorder="1" applyAlignment="1">
      <alignment horizontal="center" textRotation="90" wrapText="1"/>
    </xf>
    <xf numFmtId="0" fontId="21" fillId="0" borderId="0" xfId="0" applyFont="1" applyAlignment="1">
      <alignment horizontal="center" textRotation="90" wrapText="1"/>
    </xf>
    <xf numFmtId="49" fontId="22" fillId="0" borderId="42" xfId="0" applyNumberFormat="1" applyFont="1" applyBorder="1" applyAlignment="1">
      <alignment horizontal="center" vertical="center"/>
    </xf>
    <xf numFmtId="0" fontId="22" fillId="0" borderId="42" xfId="0" applyFont="1" applyBorder="1" applyAlignment="1">
      <alignment horizontal="center" vertical="center"/>
    </xf>
    <xf numFmtId="0" fontId="22" fillId="35" borderId="42" xfId="55" applyFont="1" applyFill="1" applyBorder="1" applyAlignment="1">
      <alignment horizontal="center" vertical="center" wrapText="1"/>
      <protection/>
    </xf>
    <xf numFmtId="2" fontId="22" fillId="0" borderId="42" xfId="0" applyNumberFormat="1" applyFont="1" applyBorder="1" applyAlignment="1" applyProtection="1">
      <alignment vertical="center"/>
      <protection locked="0"/>
    </xf>
    <xf numFmtId="0" fontId="22" fillId="0" borderId="42" xfId="0" applyFont="1" applyBorder="1" applyAlignment="1" applyProtection="1">
      <alignment horizontal="center" vertical="center"/>
      <protection locked="0"/>
    </xf>
    <xf numFmtId="0" fontId="22" fillId="0" borderId="42" xfId="0" applyFont="1" applyBorder="1" applyAlignment="1" applyProtection="1">
      <alignment vertical="center"/>
      <protection locked="0"/>
    </xf>
    <xf numFmtId="0" fontId="22" fillId="0" borderId="42" xfId="0" applyFont="1" applyBorder="1" applyAlignment="1">
      <alignment vertical="center"/>
    </xf>
    <xf numFmtId="172" fontId="22" fillId="0" borderId="42" xfId="0" applyNumberFormat="1" applyFont="1" applyBorder="1" applyAlignment="1">
      <alignment vertical="center"/>
    </xf>
    <xf numFmtId="1" fontId="22" fillId="0" borderId="42" xfId="0" applyNumberFormat="1" applyFont="1" applyBorder="1" applyAlignment="1">
      <alignment horizontal="center" vertical="center"/>
    </xf>
    <xf numFmtId="4" fontId="22" fillId="0" borderId="42" xfId="0" applyNumberFormat="1" applyFont="1" applyBorder="1" applyAlignment="1">
      <alignment vertical="center"/>
    </xf>
    <xf numFmtId="4" fontId="22" fillId="0" borderId="42" xfId="0" applyNumberFormat="1" applyFont="1" applyBorder="1" applyAlignment="1">
      <alignment horizontal="center" vertical="center"/>
    </xf>
    <xf numFmtId="0" fontId="77" fillId="0" borderId="42" xfId="58" applyFont="1" applyBorder="1" applyAlignment="1" applyProtection="1">
      <alignment horizontal="center" vertical="center"/>
      <protection locked="0"/>
    </xf>
    <xf numFmtId="0" fontId="77" fillId="0" borderId="42" xfId="58" applyFont="1" applyBorder="1" applyAlignment="1" applyProtection="1">
      <alignment vertical="center"/>
      <protection locked="0"/>
    </xf>
    <xf numFmtId="4" fontId="77" fillId="0" borderId="42" xfId="58" applyNumberFormat="1" applyFont="1" applyBorder="1" applyAlignment="1" applyProtection="1">
      <alignment vertical="center"/>
      <protection locked="0"/>
    </xf>
    <xf numFmtId="49" fontId="22" fillId="35" borderId="42" xfId="55" applyNumberFormat="1" applyFont="1" applyFill="1" applyBorder="1" applyAlignment="1">
      <alignment horizontal="center" vertical="center" wrapText="1"/>
      <protection/>
    </xf>
    <xf numFmtId="0" fontId="22" fillId="0" borderId="42" xfId="0" applyFont="1" applyBorder="1" applyAlignment="1">
      <alignment vertical="center" wrapText="1"/>
    </xf>
    <xf numFmtId="2" fontId="22" fillId="0" borderId="42" xfId="0" applyNumberFormat="1" applyFont="1" applyBorder="1" applyAlignment="1">
      <alignment vertical="center"/>
    </xf>
    <xf numFmtId="0" fontId="77" fillId="0" borderId="42" xfId="60" applyFont="1" applyBorder="1" applyAlignment="1" applyProtection="1">
      <alignment vertical="center"/>
      <protection locked="0"/>
    </xf>
    <xf numFmtId="0" fontId="8" fillId="0" borderId="42" xfId="0" applyFont="1" applyBorder="1" applyAlignment="1">
      <alignment wrapText="1"/>
    </xf>
    <xf numFmtId="0" fontId="21" fillId="35" borderId="0" xfId="0" applyFont="1" applyFill="1" applyAlignment="1">
      <alignment/>
    </xf>
    <xf numFmtId="0" fontId="22" fillId="0" borderId="42" xfId="0" applyFont="1" applyBorder="1" applyAlignment="1">
      <alignment/>
    </xf>
    <xf numFmtId="0" fontId="22" fillId="0" borderId="42" xfId="0" applyFont="1" applyBorder="1" applyAlignment="1">
      <alignment horizontal="center"/>
    </xf>
    <xf numFmtId="0" fontId="22" fillId="0" borderId="42" xfId="0" applyFont="1" applyBorder="1" applyAlignment="1">
      <alignment horizontal="left" vertical="center" wrapText="1"/>
    </xf>
    <xf numFmtId="4" fontId="22" fillId="0" borderId="42" xfId="0" applyNumberFormat="1" applyFont="1" applyBorder="1" applyAlignment="1">
      <alignment/>
    </xf>
    <xf numFmtId="0" fontId="22" fillId="0" borderId="42" xfId="62" applyFont="1" applyBorder="1" applyAlignment="1">
      <alignment horizontal="left" vertical="center"/>
      <protection/>
    </xf>
    <xf numFmtId="0" fontId="22" fillId="0" borderId="42" xfId="62" applyFont="1" applyBorder="1" applyAlignment="1">
      <alignment horizontal="left" vertical="center" wrapText="1"/>
      <protection/>
    </xf>
    <xf numFmtId="0" fontId="22" fillId="0" borderId="42" xfId="0" applyFont="1" applyBorder="1" applyAlignment="1">
      <alignment wrapText="1"/>
    </xf>
    <xf numFmtId="0" fontId="22" fillId="0" borderId="42" xfId="0" applyFont="1" applyBorder="1" applyAlignment="1" quotePrefix="1">
      <alignment horizontal="center"/>
    </xf>
    <xf numFmtId="4" fontId="8" fillId="0" borderId="0" xfId="0" applyNumberFormat="1" applyFont="1" applyAlignment="1">
      <alignment/>
    </xf>
    <xf numFmtId="4" fontId="8" fillId="0" borderId="35" xfId="0" applyNumberFormat="1" applyFont="1" applyBorder="1" applyAlignment="1">
      <alignment/>
    </xf>
    <xf numFmtId="4" fontId="20" fillId="0" borderId="0" xfId="62" applyNumberFormat="1" applyFont="1" applyFill="1" applyAlignment="1">
      <alignment vertical="center"/>
      <protection/>
    </xf>
    <xf numFmtId="4" fontId="23" fillId="0" borderId="0" xfId="0" applyNumberFormat="1" applyFont="1" applyAlignment="1">
      <alignment/>
    </xf>
    <xf numFmtId="4" fontId="20" fillId="38" borderId="43" xfId="0" applyNumberFormat="1" applyFont="1" applyFill="1" applyBorder="1" applyAlignment="1">
      <alignment horizontal="center" vertical="center" wrapText="1"/>
    </xf>
    <xf numFmtId="4" fontId="20" fillId="38" borderId="43" xfId="0" applyNumberFormat="1" applyFont="1" applyFill="1" applyBorder="1" applyAlignment="1">
      <alignment horizontal="center" textRotation="90" wrapText="1"/>
    </xf>
    <xf numFmtId="0" fontId="23" fillId="0" borderId="37" xfId="0" applyFont="1" applyBorder="1" applyAlignment="1">
      <alignment/>
    </xf>
    <xf numFmtId="0" fontId="23" fillId="0" borderId="23" xfId="0" applyFont="1" applyBorder="1" applyAlignment="1">
      <alignment/>
    </xf>
    <xf numFmtId="0" fontId="23" fillId="0" borderId="95" xfId="0" applyFont="1" applyBorder="1" applyAlignment="1">
      <alignment/>
    </xf>
    <xf numFmtId="4" fontId="23" fillId="0" borderId="20" xfId="0" applyNumberFormat="1" applyFont="1" applyBorder="1" applyAlignment="1">
      <alignment/>
    </xf>
    <xf numFmtId="0" fontId="23" fillId="0" borderId="12" xfId="0" applyFont="1" applyBorder="1" applyAlignment="1">
      <alignment/>
    </xf>
    <xf numFmtId="0" fontId="23" fillId="0" borderId="21" xfId="62" applyFont="1" applyBorder="1" applyAlignment="1">
      <alignment horizontal="left" vertical="center"/>
      <protection/>
    </xf>
    <xf numFmtId="0" fontId="23" fillId="0" borderId="12" xfId="62" applyFont="1" applyBorder="1" applyAlignment="1">
      <alignment horizontal="left" vertical="center"/>
      <protection/>
    </xf>
    <xf numFmtId="0" fontId="23" fillId="0" borderId="0" xfId="0" applyFont="1" applyBorder="1" applyAlignment="1">
      <alignment/>
    </xf>
    <xf numFmtId="172" fontId="23" fillId="0" borderId="37" xfId="0" applyNumberFormat="1" applyFont="1" applyBorder="1" applyAlignment="1">
      <alignment/>
    </xf>
    <xf numFmtId="172" fontId="23" fillId="0" borderId="95" xfId="0" applyNumberFormat="1" applyFont="1" applyBorder="1" applyAlignment="1">
      <alignment/>
    </xf>
    <xf numFmtId="0" fontId="23" fillId="0" borderId="16" xfId="0" applyFont="1" applyBorder="1" applyAlignment="1">
      <alignment/>
    </xf>
    <xf numFmtId="4" fontId="23" fillId="0" borderId="16" xfId="0" applyNumberFormat="1" applyFont="1" applyBorder="1" applyAlignment="1">
      <alignment/>
    </xf>
    <xf numFmtId="0" fontId="20" fillId="0" borderId="38" xfId="0" applyFont="1" applyBorder="1" applyAlignment="1">
      <alignment horizontal="center"/>
    </xf>
    <xf numFmtId="0" fontId="20" fillId="0" borderId="33" xfId="0" applyFont="1" applyBorder="1" applyAlignment="1">
      <alignment horizontal="center"/>
    </xf>
    <xf numFmtId="0" fontId="23" fillId="0" borderId="32" xfId="0" applyFont="1" applyBorder="1" applyAlignment="1">
      <alignment/>
    </xf>
    <xf numFmtId="4" fontId="23" fillId="0" borderId="18" xfId="0" applyNumberFormat="1" applyFont="1" applyBorder="1" applyAlignment="1">
      <alignment/>
    </xf>
    <xf numFmtId="0" fontId="23" fillId="0" borderId="33" xfId="0" applyFont="1" applyBorder="1" applyAlignment="1">
      <alignment/>
    </xf>
    <xf numFmtId="0" fontId="23" fillId="0" borderId="25" xfId="0" applyFont="1" applyBorder="1" applyAlignment="1">
      <alignment/>
    </xf>
    <xf numFmtId="172" fontId="23" fillId="0" borderId="38" xfId="0" applyNumberFormat="1" applyFont="1" applyBorder="1" applyAlignment="1">
      <alignment/>
    </xf>
    <xf numFmtId="172" fontId="23" fillId="0" borderId="32" xfId="0" applyNumberFormat="1" applyFont="1" applyBorder="1" applyAlignment="1">
      <alignment/>
    </xf>
    <xf numFmtId="0" fontId="23" fillId="0" borderId="18" xfId="0" applyFont="1" applyBorder="1" applyAlignment="1">
      <alignment/>
    </xf>
    <xf numFmtId="0" fontId="20" fillId="0" borderId="0" xfId="0" applyFont="1" applyBorder="1" applyAlignment="1">
      <alignment horizontal="center"/>
    </xf>
    <xf numFmtId="4" fontId="23" fillId="0" borderId="0" xfId="0" applyNumberFormat="1" applyFont="1" applyBorder="1" applyAlignment="1">
      <alignment/>
    </xf>
    <xf numFmtId="172" fontId="23" fillId="0" borderId="0" xfId="0" applyNumberFormat="1" applyFont="1" applyBorder="1" applyAlignment="1">
      <alignment/>
    </xf>
    <xf numFmtId="0" fontId="9" fillId="38" borderId="23" xfId="0" applyFont="1" applyFill="1" applyBorder="1" applyAlignment="1">
      <alignment horizontal="center" vertical="center" wrapText="1"/>
    </xf>
    <xf numFmtId="0" fontId="9" fillId="38" borderId="95" xfId="0" applyFont="1" applyFill="1" applyBorder="1" applyAlignment="1">
      <alignment horizontal="center" vertical="center" wrapText="1"/>
    </xf>
    <xf numFmtId="0" fontId="9" fillId="38" borderId="80" xfId="0" applyFont="1" applyFill="1" applyBorder="1" applyAlignment="1">
      <alignment horizontal="center" vertical="center" wrapText="1"/>
    </xf>
    <xf numFmtId="0" fontId="9" fillId="38" borderId="37" xfId="0" applyFont="1" applyFill="1" applyBorder="1" applyAlignment="1">
      <alignment horizontal="center" vertical="center" wrapText="1"/>
    </xf>
    <xf numFmtId="0" fontId="9" fillId="38" borderId="91" xfId="0" applyFont="1" applyFill="1" applyBorder="1" applyAlignment="1">
      <alignment horizontal="center" vertical="center" wrapText="1"/>
    </xf>
    <xf numFmtId="172" fontId="9" fillId="38" borderId="37" xfId="0" applyNumberFormat="1" applyFont="1" applyFill="1" applyBorder="1" applyAlignment="1">
      <alignment horizontal="center" textRotation="90" wrapText="1"/>
    </xf>
    <xf numFmtId="172" fontId="9" fillId="38" borderId="95" xfId="0" applyNumberFormat="1" applyFont="1" applyFill="1" applyBorder="1" applyAlignment="1">
      <alignment horizontal="center" textRotation="90" wrapText="1"/>
    </xf>
    <xf numFmtId="172" fontId="9" fillId="38" borderId="80" xfId="0" applyNumberFormat="1" applyFont="1" applyFill="1" applyBorder="1" applyAlignment="1">
      <alignment horizontal="center" textRotation="90" wrapText="1"/>
    </xf>
    <xf numFmtId="0" fontId="8" fillId="0" borderId="42" xfId="62" applyFont="1" applyBorder="1" applyAlignment="1">
      <alignment horizontal="center" vertical="center"/>
      <protection/>
    </xf>
    <xf numFmtId="4" fontId="8" fillId="0" borderId="17" xfId="0" applyNumberFormat="1" applyFont="1" applyBorder="1" applyAlignment="1">
      <alignment/>
    </xf>
    <xf numFmtId="0" fontId="8" fillId="0" borderId="42" xfId="62" applyFont="1" applyFill="1" applyBorder="1" applyAlignment="1">
      <alignment horizontal="left" vertical="center" wrapText="1"/>
      <protection/>
    </xf>
    <xf numFmtId="0" fontId="8" fillId="0" borderId="12" xfId="0" applyFont="1" applyBorder="1" applyAlignment="1">
      <alignment horizontal="center"/>
    </xf>
    <xf numFmtId="0" fontId="0" fillId="0" borderId="47" xfId="0" applyBorder="1" applyAlignment="1">
      <alignment/>
    </xf>
    <xf numFmtId="0" fontId="5" fillId="38" borderId="85" xfId="62" applyFont="1" applyFill="1" applyBorder="1" applyAlignment="1">
      <alignment horizontal="center" vertical="center" wrapText="1"/>
      <protection/>
    </xf>
    <xf numFmtId="0" fontId="2" fillId="38" borderId="71" xfId="62" applyFont="1" applyFill="1" applyBorder="1" applyAlignment="1">
      <alignment horizontal="center" vertical="center" textRotation="90" wrapText="1"/>
      <protection/>
    </xf>
    <xf numFmtId="0" fontId="9" fillId="33" borderId="10" xfId="62" applyFont="1" applyFill="1" applyBorder="1" applyAlignment="1">
      <alignment vertical="center"/>
      <protection/>
    </xf>
    <xf numFmtId="0" fontId="9" fillId="33" borderId="16" xfId="62" applyFont="1" applyFill="1" applyBorder="1" applyAlignment="1">
      <alignment vertical="center"/>
      <protection/>
    </xf>
    <xf numFmtId="0" fontId="0" fillId="0" borderId="10" xfId="62" applyFont="1" applyBorder="1" applyAlignment="1">
      <alignment horizontal="center" vertical="center"/>
      <protection/>
    </xf>
    <xf numFmtId="4" fontId="31" fillId="35" borderId="0" xfId="0" applyNumberFormat="1" applyFont="1" applyFill="1" applyBorder="1" applyAlignment="1">
      <alignment horizontal="right" vertical="center"/>
    </xf>
    <xf numFmtId="4" fontId="31" fillId="35" borderId="16" xfId="0" applyNumberFormat="1" applyFont="1" applyFill="1" applyBorder="1" applyAlignment="1">
      <alignment horizontal="right" vertical="center"/>
    </xf>
    <xf numFmtId="0" fontId="0" fillId="0" borderId="0" xfId="62" applyFont="1" applyBorder="1" applyAlignment="1">
      <alignment horizontal="center" vertical="center"/>
      <protection/>
    </xf>
    <xf numFmtId="0" fontId="3" fillId="33" borderId="10" xfId="62" applyFont="1" applyFill="1" applyBorder="1" applyAlignment="1">
      <alignment horizontal="center" vertical="center"/>
      <protection/>
    </xf>
    <xf numFmtId="0" fontId="3" fillId="33" borderId="0" xfId="62" applyFont="1" applyFill="1" applyBorder="1" applyAlignment="1">
      <alignment horizontal="center" vertical="center"/>
      <protection/>
    </xf>
    <xf numFmtId="0" fontId="31" fillId="35" borderId="0"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0" xfId="0" applyFont="1" applyFill="1" applyBorder="1" applyAlignment="1">
      <alignment horizontal="center" vertical="center"/>
    </xf>
    <xf numFmtId="0" fontId="9" fillId="33" borderId="42" xfId="62" applyFont="1" applyFill="1" applyBorder="1" applyAlignment="1">
      <alignment horizontal="center" vertical="center"/>
      <protection/>
    </xf>
    <xf numFmtId="0" fontId="3" fillId="33" borderId="42" xfId="62" applyFont="1" applyFill="1" applyBorder="1" applyAlignment="1">
      <alignment horizontal="center" vertical="center"/>
      <protection/>
    </xf>
    <xf numFmtId="4" fontId="9" fillId="33" borderId="42" xfId="62" applyNumberFormat="1" applyFont="1" applyFill="1" applyBorder="1" applyAlignment="1">
      <alignment vertical="center"/>
      <protection/>
    </xf>
    <xf numFmtId="0" fontId="28" fillId="41" borderId="65" xfId="0" applyFont="1" applyFill="1" applyBorder="1" applyAlignment="1">
      <alignment horizontal="center" vertical="center"/>
    </xf>
    <xf numFmtId="0" fontId="9" fillId="33" borderId="12" xfId="62" applyFont="1" applyFill="1" applyBorder="1" applyAlignment="1">
      <alignment vertical="center"/>
      <protection/>
    </xf>
    <xf numFmtId="0" fontId="9" fillId="33" borderId="21" xfId="62" applyFont="1" applyFill="1" applyBorder="1" applyAlignment="1">
      <alignment horizontal="center" vertical="center"/>
      <protection/>
    </xf>
    <xf numFmtId="0" fontId="8" fillId="0" borderId="12" xfId="62" applyFont="1" applyBorder="1" applyAlignment="1">
      <alignment vertical="center"/>
      <protection/>
    </xf>
    <xf numFmtId="0" fontId="2" fillId="0" borderId="21" xfId="62" applyFont="1" applyBorder="1" applyAlignment="1">
      <alignment horizontal="left" vertical="center"/>
      <protection/>
    </xf>
    <xf numFmtId="0" fontId="0" fillId="0" borderId="44" xfId="62" applyFont="1" applyBorder="1" applyAlignment="1">
      <alignment horizontal="center" vertical="center"/>
      <protection/>
    </xf>
    <xf numFmtId="0" fontId="0" fillId="35" borderId="0" xfId="62" applyFont="1" applyFill="1" applyBorder="1" applyAlignment="1">
      <alignment horizontal="center" vertical="center"/>
      <protection/>
    </xf>
    <xf numFmtId="0" fontId="8" fillId="35" borderId="0" xfId="62" applyFont="1" applyFill="1" applyBorder="1" applyAlignment="1">
      <alignment vertical="center"/>
      <protection/>
    </xf>
    <xf numFmtId="0" fontId="2" fillId="35" borderId="21" xfId="62" applyFont="1" applyFill="1" applyBorder="1" applyAlignment="1">
      <alignment horizontal="left" vertical="center"/>
      <protection/>
    </xf>
    <xf numFmtId="4" fontId="9" fillId="35" borderId="0" xfId="62" applyNumberFormat="1" applyFont="1" applyFill="1" applyAlignment="1">
      <alignment vertical="center"/>
      <protection/>
    </xf>
    <xf numFmtId="4" fontId="8" fillId="35" borderId="0" xfId="62" applyNumberFormat="1" applyFont="1" applyFill="1" applyAlignment="1">
      <alignment vertical="center"/>
      <protection/>
    </xf>
    <xf numFmtId="0" fontId="5" fillId="33" borderId="21" xfId="62" applyFont="1" applyFill="1" applyBorder="1" applyAlignment="1">
      <alignment horizontal="center" vertical="center"/>
      <protection/>
    </xf>
    <xf numFmtId="0" fontId="0" fillId="0" borderId="0" xfId="0" applyBorder="1" applyAlignment="1">
      <alignment/>
    </xf>
    <xf numFmtId="4" fontId="31" fillId="35" borderId="12" xfId="0" applyNumberFormat="1" applyFont="1" applyFill="1" applyBorder="1" applyAlignment="1">
      <alignment horizontal="right" vertical="center"/>
    </xf>
    <xf numFmtId="0" fontId="2" fillId="35" borderId="47" xfId="62" applyFont="1" applyFill="1" applyBorder="1" applyAlignment="1">
      <alignment horizontal="left" vertical="center"/>
      <protection/>
    </xf>
    <xf numFmtId="0" fontId="3" fillId="33" borderId="47" xfId="62" applyFont="1" applyFill="1" applyBorder="1" applyAlignment="1">
      <alignment horizontal="center" vertical="center"/>
      <protection/>
    </xf>
    <xf numFmtId="0" fontId="9" fillId="33" borderId="47" xfId="62" applyFont="1" applyFill="1" applyBorder="1" applyAlignment="1">
      <alignment vertical="center"/>
      <protection/>
    </xf>
    <xf numFmtId="0" fontId="8" fillId="7" borderId="50" xfId="62" applyFont="1" applyFill="1" applyBorder="1" applyAlignment="1">
      <alignment horizontal="left" vertical="center"/>
      <protection/>
    </xf>
    <xf numFmtId="49" fontId="9" fillId="0" borderId="51" xfId="62" applyNumberFormat="1" applyFont="1" applyBorder="1" applyAlignment="1">
      <alignment horizontal="center" vertical="center"/>
      <protection/>
    </xf>
    <xf numFmtId="4" fontId="9" fillId="0" borderId="51" xfId="62" applyNumberFormat="1" applyFont="1" applyBorder="1" applyAlignment="1">
      <alignment vertical="center"/>
      <protection/>
    </xf>
    <xf numFmtId="49" fontId="9" fillId="0" borderId="71" xfId="62" applyNumberFormat="1" applyFont="1" applyBorder="1" applyAlignment="1">
      <alignment horizontal="center" vertical="center"/>
      <protection/>
    </xf>
    <xf numFmtId="4" fontId="9" fillId="0" borderId="53" xfId="62" applyNumberFormat="1" applyFont="1" applyBorder="1" applyAlignment="1">
      <alignment vertical="center"/>
      <protection/>
    </xf>
    <xf numFmtId="3" fontId="9" fillId="0" borderId="51" xfId="62" applyNumberFormat="1" applyFont="1" applyBorder="1" applyAlignment="1">
      <alignment horizontal="center" vertical="center"/>
      <protection/>
    </xf>
    <xf numFmtId="4" fontId="9" fillId="0" borderId="86" xfId="62" applyNumberFormat="1" applyFont="1" applyBorder="1" applyAlignment="1">
      <alignment horizontal="right" vertical="center"/>
      <protection/>
    </xf>
    <xf numFmtId="3" fontId="9" fillId="0" borderId="71" xfId="62" applyNumberFormat="1" applyFont="1" applyBorder="1" applyAlignment="1">
      <alignment horizontal="center" vertical="center"/>
      <protection/>
    </xf>
    <xf numFmtId="49" fontId="9" fillId="0" borderId="51" xfId="62" applyNumberFormat="1" applyFont="1" applyBorder="1" applyAlignment="1">
      <alignment vertical="center"/>
      <protection/>
    </xf>
    <xf numFmtId="4" fontId="9" fillId="0" borderId="86" xfId="62" applyNumberFormat="1" applyFont="1" applyBorder="1" applyAlignment="1">
      <alignment vertical="center"/>
      <protection/>
    </xf>
    <xf numFmtId="0" fontId="8" fillId="7" borderId="15" xfId="62" applyFont="1" applyFill="1" applyBorder="1" applyAlignment="1">
      <alignment horizontal="left" vertical="center"/>
      <protection/>
    </xf>
    <xf numFmtId="4" fontId="9" fillId="0" borderId="71" xfId="62" applyNumberFormat="1" applyFont="1" applyBorder="1" applyAlignment="1">
      <alignment vertical="center"/>
      <protection/>
    </xf>
    <xf numFmtId="49" fontId="9" fillId="0" borderId="71" xfId="62" applyNumberFormat="1" applyFont="1" applyBorder="1" applyAlignment="1">
      <alignment vertical="center"/>
      <protection/>
    </xf>
    <xf numFmtId="0" fontId="9" fillId="38" borderId="15" xfId="0" applyFont="1" applyFill="1" applyBorder="1" applyAlignment="1">
      <alignment horizontal="center"/>
    </xf>
    <xf numFmtId="0" fontId="9" fillId="38" borderId="21" xfId="0" applyFont="1" applyFill="1" applyBorder="1" applyAlignment="1" quotePrefix="1">
      <alignment horizontal="center"/>
    </xf>
    <xf numFmtId="0" fontId="8" fillId="0" borderId="65" xfId="0" applyFont="1" applyBorder="1" applyAlignment="1">
      <alignment/>
    </xf>
    <xf numFmtId="0" fontId="8" fillId="0" borderId="65" xfId="0" applyFont="1" applyBorder="1" applyAlignment="1">
      <alignment horizontal="center"/>
    </xf>
    <xf numFmtId="0" fontId="7" fillId="7" borderId="21" xfId="0" applyFont="1" applyFill="1" applyBorder="1" applyAlignment="1">
      <alignment/>
    </xf>
    <xf numFmtId="0" fontId="8" fillId="0" borderId="21" xfId="0" applyFont="1" applyBorder="1" applyAlignment="1">
      <alignment horizontal="center"/>
    </xf>
    <xf numFmtId="0" fontId="8" fillId="0" borderId="21" xfId="62" applyFont="1" applyBorder="1" applyAlignment="1">
      <alignment horizontal="center" vertical="center"/>
      <protection/>
    </xf>
    <xf numFmtId="0" fontId="0" fillId="0" borderId="21" xfId="62" applyFont="1" applyBorder="1" applyAlignment="1">
      <alignment horizontal="center" vertical="center"/>
      <protection/>
    </xf>
    <xf numFmtId="4" fontId="31" fillId="35" borderId="21" xfId="0" applyNumberFormat="1" applyFont="1" applyFill="1" applyBorder="1" applyAlignment="1">
      <alignment horizontal="right" vertical="center"/>
    </xf>
    <xf numFmtId="0" fontId="3" fillId="33" borderId="21" xfId="62" applyFont="1" applyFill="1" applyBorder="1" applyAlignment="1">
      <alignment horizontal="center" vertical="center"/>
      <protection/>
    </xf>
    <xf numFmtId="0" fontId="31"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21" xfId="0" applyFont="1" applyFill="1" applyBorder="1" applyAlignment="1">
      <alignment horizontal="center" vertical="center"/>
    </xf>
    <xf numFmtId="4" fontId="8" fillId="0" borderId="12" xfId="0" applyNumberFormat="1" applyFont="1" applyFill="1" applyBorder="1" applyAlignment="1">
      <alignment/>
    </xf>
    <xf numFmtId="0" fontId="31" fillId="0" borderId="21" xfId="0" applyFont="1" applyFill="1" applyBorder="1" applyAlignment="1">
      <alignment horizontal="center" vertical="center"/>
    </xf>
    <xf numFmtId="0" fontId="8" fillId="16" borderId="21" xfId="62" applyFont="1" applyFill="1" applyBorder="1" applyAlignment="1">
      <alignment horizontal="center" vertical="center"/>
      <protection/>
    </xf>
    <xf numFmtId="0" fontId="9" fillId="16" borderId="21" xfId="0" applyFont="1" applyFill="1" applyBorder="1" applyAlignment="1">
      <alignment horizontal="center"/>
    </xf>
    <xf numFmtId="0" fontId="8" fillId="16" borderId="12" xfId="0" applyFont="1" applyFill="1" applyBorder="1" applyAlignment="1">
      <alignment/>
    </xf>
    <xf numFmtId="4" fontId="8" fillId="16" borderId="12" xfId="0" applyNumberFormat="1" applyFont="1" applyFill="1" applyBorder="1" applyAlignment="1">
      <alignment/>
    </xf>
    <xf numFmtId="0" fontId="8" fillId="16" borderId="0" xfId="0" applyFont="1" applyFill="1" applyBorder="1" applyAlignment="1">
      <alignment/>
    </xf>
    <xf numFmtId="0" fontId="8" fillId="16" borderId="21" xfId="0" applyFont="1" applyFill="1" applyBorder="1" applyAlignment="1">
      <alignment/>
    </xf>
    <xf numFmtId="0" fontId="8" fillId="16" borderId="0" xfId="0" applyFont="1" applyFill="1" applyAlignment="1">
      <alignment/>
    </xf>
    <xf numFmtId="0" fontId="8" fillId="16" borderId="28" xfId="0" applyFont="1" applyFill="1" applyBorder="1" applyAlignment="1">
      <alignment/>
    </xf>
    <xf numFmtId="0" fontId="8" fillId="16" borderId="16" xfId="0" applyFont="1" applyFill="1" applyBorder="1" applyAlignment="1">
      <alignment/>
    </xf>
    <xf numFmtId="0" fontId="8" fillId="16" borderId="15" xfId="0" applyFont="1" applyFill="1" applyBorder="1" applyAlignment="1">
      <alignment/>
    </xf>
    <xf numFmtId="0" fontId="8" fillId="16" borderId="0" xfId="0" applyFont="1" applyFill="1" applyBorder="1" applyAlignment="1">
      <alignment horizontal="center"/>
    </xf>
    <xf numFmtId="0" fontId="9" fillId="13" borderId="21" xfId="0" applyFont="1" applyFill="1" applyBorder="1" applyAlignment="1">
      <alignment/>
    </xf>
    <xf numFmtId="0" fontId="8" fillId="13" borderId="21" xfId="0" applyFont="1" applyFill="1" applyBorder="1" applyAlignment="1">
      <alignment horizontal="center"/>
    </xf>
    <xf numFmtId="0" fontId="8" fillId="13" borderId="12" xfId="0" applyFont="1" applyFill="1" applyBorder="1" applyAlignment="1">
      <alignment/>
    </xf>
    <xf numFmtId="0" fontId="8" fillId="13" borderId="0" xfId="0" applyFont="1" applyFill="1" applyBorder="1" applyAlignment="1">
      <alignment/>
    </xf>
    <xf numFmtId="0" fontId="8" fillId="13" borderId="21" xfId="0" applyFont="1" applyFill="1" applyBorder="1" applyAlignment="1">
      <alignment/>
    </xf>
    <xf numFmtId="0" fontId="8" fillId="13" borderId="0" xfId="0" applyFont="1" applyFill="1" applyAlignment="1">
      <alignment/>
    </xf>
    <xf numFmtId="0" fontId="8" fillId="13" borderId="28" xfId="0" applyFont="1" applyFill="1" applyBorder="1" applyAlignment="1">
      <alignment/>
    </xf>
    <xf numFmtId="0" fontId="8" fillId="13" borderId="16" xfId="0" applyFont="1" applyFill="1" applyBorder="1" applyAlignment="1">
      <alignment/>
    </xf>
    <xf numFmtId="0" fontId="8" fillId="13" borderId="15" xfId="0" applyFont="1" applyFill="1" applyBorder="1" applyAlignment="1">
      <alignment/>
    </xf>
    <xf numFmtId="0" fontId="80" fillId="10" borderId="21" xfId="0" applyFont="1" applyFill="1" applyBorder="1" applyAlignment="1">
      <alignment horizontal="left"/>
    </xf>
    <xf numFmtId="4" fontId="8" fillId="0" borderId="21" xfId="0" applyNumberFormat="1" applyFont="1" applyBorder="1" applyAlignment="1">
      <alignment/>
    </xf>
    <xf numFmtId="0" fontId="8" fillId="0" borderId="21" xfId="0" applyFont="1" applyBorder="1" applyAlignment="1">
      <alignment horizontal="left"/>
    </xf>
    <xf numFmtId="49" fontId="18" fillId="0" borderId="21" xfId="0" applyNumberFormat="1" applyFont="1" applyBorder="1" applyAlignment="1">
      <alignment horizontal="center"/>
    </xf>
    <xf numFmtId="0" fontId="18" fillId="0" borderId="21" xfId="0" applyFont="1" applyBorder="1" applyAlignment="1">
      <alignment horizontal="center"/>
    </xf>
    <xf numFmtId="0" fontId="80" fillId="0" borderId="21" xfId="0" applyFont="1" applyBorder="1" applyAlignment="1">
      <alignment horizontal="left"/>
    </xf>
    <xf numFmtId="49" fontId="8" fillId="0" borderId="21" xfId="0" applyNumberFormat="1" applyFont="1" applyBorder="1" applyAlignment="1">
      <alignment horizontal="center"/>
    </xf>
    <xf numFmtId="0" fontId="80" fillId="34" borderId="21" xfId="0" applyFont="1" applyFill="1" applyBorder="1" applyAlignment="1">
      <alignment horizontal="left"/>
    </xf>
    <xf numFmtId="0" fontId="80" fillId="35" borderId="21" xfId="0" applyFont="1" applyFill="1" applyBorder="1" applyAlignment="1">
      <alignment horizontal="left"/>
    </xf>
    <xf numFmtId="0" fontId="8" fillId="35" borderId="21" xfId="0" applyFont="1" applyFill="1" applyBorder="1" applyAlignment="1">
      <alignment/>
    </xf>
    <xf numFmtId="0" fontId="8" fillId="16" borderId="21" xfId="0" applyFont="1" applyFill="1" applyBorder="1" applyAlignment="1">
      <alignment horizontal="center"/>
    </xf>
    <xf numFmtId="0" fontId="9" fillId="13" borderId="65" xfId="0" applyFont="1" applyFill="1" applyBorder="1" applyAlignment="1">
      <alignment/>
    </xf>
    <xf numFmtId="0" fontId="8" fillId="0" borderId="0" xfId="0" applyFont="1" applyBorder="1" applyAlignment="1">
      <alignment horizontal="center"/>
    </xf>
    <xf numFmtId="49" fontId="18" fillId="0" borderId="15" xfId="0" applyNumberFormat="1" applyFont="1" applyBorder="1" applyAlignment="1">
      <alignment horizontal="center"/>
    </xf>
    <xf numFmtId="4" fontId="0" fillId="0" borderId="21" xfId="0" applyNumberFormat="1" applyBorder="1" applyAlignment="1">
      <alignment/>
    </xf>
    <xf numFmtId="0" fontId="0" fillId="0" borderId="21" xfId="0" applyBorder="1" applyAlignment="1">
      <alignment/>
    </xf>
    <xf numFmtId="0" fontId="0" fillId="0" borderId="21" xfId="0" applyBorder="1" applyAlignment="1">
      <alignment horizontal="center"/>
    </xf>
    <xf numFmtId="0" fontId="0" fillId="0" borderId="44" xfId="0" applyBorder="1" applyAlignment="1">
      <alignment/>
    </xf>
    <xf numFmtId="49" fontId="0" fillId="0" borderId="21" xfId="0" applyNumberFormat="1" applyBorder="1" applyAlignment="1">
      <alignment horizontal="center"/>
    </xf>
    <xf numFmtId="49" fontId="0" fillId="0" borderId="12" xfId="0" applyNumberFormat="1" applyBorder="1" applyAlignment="1">
      <alignment horizontal="center"/>
    </xf>
    <xf numFmtId="49" fontId="0" fillId="0" borderId="14" xfId="0" applyNumberFormat="1" applyBorder="1" applyAlignment="1">
      <alignment horizontal="center"/>
    </xf>
    <xf numFmtId="4" fontId="0" fillId="0" borderId="0" xfId="0" applyNumberFormat="1" applyBorder="1" applyAlignment="1">
      <alignment/>
    </xf>
    <xf numFmtId="49" fontId="0" fillId="0" borderId="0" xfId="0" applyNumberFormat="1" applyBorder="1" applyAlignment="1">
      <alignment horizontal="center"/>
    </xf>
    <xf numFmtId="4" fontId="0" fillId="0" borderId="44" xfId="0" applyNumberFormat="1" applyBorder="1" applyAlignment="1">
      <alignment/>
    </xf>
    <xf numFmtId="4" fontId="0" fillId="0" borderId="47" xfId="0" applyNumberFormat="1" applyBorder="1" applyAlignment="1">
      <alignment/>
    </xf>
    <xf numFmtId="4" fontId="0" fillId="0" borderId="70" xfId="0" applyNumberFormat="1" applyBorder="1" applyAlignment="1">
      <alignment/>
    </xf>
    <xf numFmtId="0" fontId="9" fillId="16" borderId="27" xfId="0" applyFont="1" applyFill="1" applyBorder="1" applyAlignment="1">
      <alignment horizontal="center"/>
    </xf>
    <xf numFmtId="0" fontId="9" fillId="16" borderId="41" xfId="0" applyFont="1" applyFill="1" applyBorder="1" applyAlignment="1">
      <alignment horizontal="center"/>
    </xf>
    <xf numFmtId="0" fontId="8" fillId="16" borderId="39" xfId="0" applyFont="1" applyFill="1" applyBorder="1" applyAlignment="1">
      <alignment/>
    </xf>
    <xf numFmtId="0" fontId="8" fillId="16" borderId="31" xfId="0" applyFont="1" applyFill="1" applyBorder="1" applyAlignment="1">
      <alignment/>
    </xf>
    <xf numFmtId="0" fontId="8" fillId="16" borderId="34" xfId="0" applyFont="1" applyFill="1" applyBorder="1" applyAlignment="1">
      <alignment/>
    </xf>
    <xf numFmtId="0" fontId="8" fillId="16" borderId="96" xfId="0" applyFont="1" applyFill="1" applyBorder="1" applyAlignment="1">
      <alignment/>
    </xf>
    <xf numFmtId="0" fontId="8" fillId="16" borderId="42" xfId="0" applyFont="1" applyFill="1" applyBorder="1" applyAlignment="1">
      <alignment/>
    </xf>
    <xf numFmtId="0" fontId="8" fillId="16" borderId="36" xfId="0" applyFont="1" applyFill="1" applyBorder="1" applyAlignment="1">
      <alignment/>
    </xf>
    <xf numFmtId="0" fontId="8" fillId="16" borderId="89" xfId="0" applyFont="1" applyFill="1" applyBorder="1" applyAlignment="1">
      <alignment/>
    </xf>
    <xf numFmtId="0" fontId="0" fillId="16" borderId="47" xfId="0" applyFill="1" applyBorder="1" applyAlignment="1">
      <alignment/>
    </xf>
    <xf numFmtId="0" fontId="9" fillId="16" borderId="69" xfId="0" applyFont="1" applyFill="1" applyBorder="1" applyAlignment="1">
      <alignment horizontal="center"/>
    </xf>
    <xf numFmtId="0" fontId="8" fillId="16" borderId="55" xfId="0" applyFont="1" applyFill="1" applyBorder="1" applyAlignment="1">
      <alignment/>
    </xf>
    <xf numFmtId="0" fontId="8" fillId="16" borderId="56" xfId="0" applyFont="1" applyFill="1" applyBorder="1" applyAlignment="1">
      <alignment/>
    </xf>
    <xf numFmtId="0" fontId="8" fillId="16" borderId="11" xfId="0" applyFont="1" applyFill="1" applyBorder="1" applyAlignment="1">
      <alignment/>
    </xf>
    <xf numFmtId="0" fontId="8" fillId="16" borderId="27" xfId="0" applyFont="1" applyFill="1" applyBorder="1" applyAlignment="1">
      <alignment/>
    </xf>
    <xf numFmtId="0" fontId="8" fillId="0" borderId="42" xfId="0" applyFont="1" applyBorder="1" applyAlignment="1">
      <alignment horizontal="center" wrapText="1"/>
    </xf>
    <xf numFmtId="0" fontId="8" fillId="0" borderId="42" xfId="55" applyFont="1" applyBorder="1" applyAlignment="1">
      <alignment horizontal="center" wrapText="1"/>
      <protection/>
    </xf>
    <xf numFmtId="0" fontId="9" fillId="38" borderId="26" xfId="0" applyFont="1" applyFill="1" applyBorder="1" applyAlignment="1">
      <alignment horizontal="center" vertical="center" wrapText="1"/>
    </xf>
    <xf numFmtId="0" fontId="9" fillId="38" borderId="27" xfId="0" applyFont="1" applyFill="1" applyBorder="1" applyAlignment="1">
      <alignment horizontal="center" vertical="center" wrapText="1"/>
    </xf>
    <xf numFmtId="0" fontId="9" fillId="38" borderId="24" xfId="0" applyFont="1" applyFill="1" applyBorder="1" applyAlignment="1">
      <alignment horizontal="center" vertical="center" wrapText="1"/>
    </xf>
    <xf numFmtId="0" fontId="9" fillId="38" borderId="25" xfId="0" applyFont="1" applyFill="1" applyBorder="1" applyAlignment="1">
      <alignment horizontal="center" vertical="center" wrapText="1"/>
    </xf>
    <xf numFmtId="0" fontId="9" fillId="38" borderId="18" xfId="0" applyFont="1" applyFill="1" applyBorder="1" applyAlignment="1">
      <alignment horizontal="center" vertical="center" wrapText="1"/>
    </xf>
    <xf numFmtId="0" fontId="9" fillId="38" borderId="38" xfId="0" applyFont="1" applyFill="1" applyBorder="1" applyAlignment="1">
      <alignment horizontal="center" vertical="center" wrapText="1"/>
    </xf>
    <xf numFmtId="0" fontId="9" fillId="38" borderId="32" xfId="0" applyFont="1" applyFill="1" applyBorder="1" applyAlignment="1">
      <alignment horizontal="center" vertical="center" wrapText="1"/>
    </xf>
    <xf numFmtId="0" fontId="9" fillId="38" borderId="43" xfId="0" applyFont="1" applyFill="1" applyBorder="1" applyAlignment="1">
      <alignment horizontal="center" vertical="center" wrapText="1"/>
    </xf>
    <xf numFmtId="0" fontId="5" fillId="38" borderId="92" xfId="62" applyFont="1" applyFill="1" applyBorder="1" applyAlignment="1">
      <alignment horizontal="center" vertical="center" wrapText="1"/>
      <protection/>
    </xf>
    <xf numFmtId="0" fontId="2" fillId="38" borderId="39" xfId="62" applyFont="1" applyFill="1" applyBorder="1" applyAlignment="1">
      <alignment horizontal="center" vertical="center" textRotation="90" wrapText="1"/>
      <protection/>
    </xf>
    <xf numFmtId="0" fontId="2" fillId="38" borderId="31" xfId="62" applyFont="1" applyFill="1" applyBorder="1" applyAlignment="1">
      <alignment horizontal="center" vertical="center" textRotation="90" wrapText="1"/>
      <protection/>
    </xf>
    <xf numFmtId="0" fontId="5" fillId="38" borderId="31" xfId="62" applyFont="1" applyFill="1" applyBorder="1" applyAlignment="1">
      <alignment horizontal="center" vertical="center" textRotation="90" wrapText="1"/>
      <protection/>
    </xf>
    <xf numFmtId="0" fontId="5" fillId="38" borderId="34" xfId="62" applyFont="1" applyFill="1" applyBorder="1" applyAlignment="1">
      <alignment horizontal="center" vertical="center" textRotation="90" wrapText="1"/>
      <protection/>
    </xf>
    <xf numFmtId="0" fontId="5" fillId="38" borderId="48" xfId="62" applyFont="1" applyFill="1" applyBorder="1" applyAlignment="1">
      <alignment horizontal="center" vertical="center" textRotation="90" wrapText="1"/>
      <protection/>
    </xf>
    <xf numFmtId="0" fontId="8" fillId="0" borderId="19" xfId="62" applyFont="1" applyBorder="1" applyAlignment="1">
      <alignment vertical="center"/>
      <protection/>
    </xf>
    <xf numFmtId="0" fontId="8" fillId="0" borderId="91" xfId="62" applyFont="1" applyBorder="1" applyAlignment="1">
      <alignment vertical="center"/>
      <protection/>
    </xf>
    <xf numFmtId="0" fontId="8" fillId="0" borderId="20" xfId="62" applyFont="1" applyBorder="1" applyAlignment="1">
      <alignment vertical="center"/>
      <protection/>
    </xf>
    <xf numFmtId="0" fontId="9" fillId="34" borderId="15" xfId="62" applyFont="1" applyFill="1" applyBorder="1" applyAlignment="1">
      <alignment horizontal="center" vertical="center"/>
      <protection/>
    </xf>
    <xf numFmtId="0" fontId="9" fillId="34" borderId="10" xfId="62" applyFont="1" applyFill="1" applyBorder="1" applyAlignment="1">
      <alignment vertical="center"/>
      <protection/>
    </xf>
    <xf numFmtId="0" fontId="9" fillId="34" borderId="0" xfId="62" applyFont="1" applyFill="1" applyBorder="1" applyAlignment="1">
      <alignment vertical="center"/>
      <protection/>
    </xf>
    <xf numFmtId="0" fontId="9" fillId="34" borderId="16" xfId="62" applyFont="1" applyFill="1" applyBorder="1" applyAlignment="1">
      <alignment vertical="center"/>
      <protection/>
    </xf>
    <xf numFmtId="0" fontId="0" fillId="0" borderId="15" xfId="0" applyBorder="1" applyAlignment="1">
      <alignment horizontal="left"/>
    </xf>
    <xf numFmtId="0" fontId="0" fillId="0" borderId="10" xfId="0" applyFont="1" applyBorder="1" applyAlignment="1">
      <alignment/>
    </xf>
    <xf numFmtId="0" fontId="0" fillId="0" borderId="0" xfId="0" applyBorder="1" applyAlignment="1">
      <alignment horizontal="left"/>
    </xf>
    <xf numFmtId="0" fontId="0" fillId="0" borderId="0" xfId="0" applyNumberFormat="1" applyBorder="1" applyAlignment="1">
      <alignment/>
    </xf>
    <xf numFmtId="1" fontId="80" fillId="0" borderId="15" xfId="0" applyNumberFormat="1" applyFont="1" applyBorder="1" applyAlignment="1">
      <alignment horizontal="left" vertical="center"/>
    </xf>
    <xf numFmtId="0" fontId="8" fillId="34" borderId="0" xfId="62" applyFont="1" applyFill="1" applyBorder="1" applyAlignment="1">
      <alignment vertical="center"/>
      <protection/>
    </xf>
    <xf numFmtId="0" fontId="0" fillId="0" borderId="15" xfId="0" applyBorder="1" applyAlignment="1">
      <alignment/>
    </xf>
    <xf numFmtId="0" fontId="0" fillId="0" borderId="10" xfId="0" applyBorder="1" applyAlignment="1">
      <alignment/>
    </xf>
    <xf numFmtId="0" fontId="0" fillId="36" borderId="10" xfId="0" applyFont="1" applyFill="1" applyBorder="1" applyAlignment="1">
      <alignment/>
    </xf>
    <xf numFmtId="0" fontId="81" fillId="36" borderId="10" xfId="0" applyFont="1" applyFill="1" applyBorder="1" applyAlignment="1">
      <alignment/>
    </xf>
    <xf numFmtId="0" fontId="8" fillId="36" borderId="0" xfId="62" applyFont="1" applyFill="1" applyBorder="1" applyAlignment="1">
      <alignment vertical="center"/>
      <protection/>
    </xf>
    <xf numFmtId="3" fontId="0" fillId="36" borderId="16" xfId="0" applyNumberFormat="1" applyFill="1" applyBorder="1" applyAlignment="1">
      <alignment/>
    </xf>
    <xf numFmtId="0" fontId="0" fillId="36" borderId="0" xfId="0" applyFill="1" applyBorder="1" applyAlignment="1">
      <alignment/>
    </xf>
    <xf numFmtId="0" fontId="0" fillId="0" borderId="22" xfId="0" applyFont="1" applyBorder="1" applyAlignment="1">
      <alignment/>
    </xf>
    <xf numFmtId="0" fontId="81" fillId="0" borderId="22" xfId="0" applyFont="1" applyFill="1" applyBorder="1" applyAlignment="1">
      <alignment/>
    </xf>
    <xf numFmtId="0" fontId="8" fillId="0" borderId="89" xfId="62" applyFont="1" applyBorder="1" applyAlignment="1">
      <alignment vertical="center"/>
      <protection/>
    </xf>
    <xf numFmtId="3" fontId="0" fillId="0" borderId="11" xfId="0" applyNumberFormat="1" applyBorder="1" applyAlignment="1">
      <alignment/>
    </xf>
    <xf numFmtId="0" fontId="0" fillId="0" borderId="89" xfId="0" applyFill="1" applyBorder="1" applyAlignment="1">
      <alignment/>
    </xf>
    <xf numFmtId="0" fontId="9" fillId="33" borderId="97" xfId="62" applyFont="1" applyFill="1" applyBorder="1" applyAlignment="1">
      <alignment horizontal="center" vertical="center"/>
      <protection/>
    </xf>
    <xf numFmtId="0" fontId="9" fillId="33" borderId="24" xfId="62" applyFont="1" applyFill="1" applyBorder="1" applyAlignment="1">
      <alignment vertical="center"/>
      <protection/>
    </xf>
    <xf numFmtId="3" fontId="9" fillId="33" borderId="25" xfId="62" applyNumberFormat="1" applyFont="1" applyFill="1" applyBorder="1" applyAlignment="1">
      <alignment vertical="center"/>
      <protection/>
    </xf>
    <xf numFmtId="4" fontId="9" fillId="33" borderId="25" xfId="62" applyNumberFormat="1" applyFont="1" applyFill="1" applyBorder="1" applyAlignment="1">
      <alignment vertical="center"/>
      <protection/>
    </xf>
    <xf numFmtId="0" fontId="9" fillId="38" borderId="80" xfId="62" applyFont="1" applyFill="1" applyBorder="1" applyAlignment="1">
      <alignment horizontal="center" vertical="center" wrapText="1"/>
      <protection/>
    </xf>
    <xf numFmtId="0" fontId="9" fillId="0" borderId="74" xfId="62" applyFont="1" applyFill="1" applyBorder="1" applyAlignment="1">
      <alignment vertical="center"/>
      <protection/>
    </xf>
    <xf numFmtId="3" fontId="9" fillId="0" borderId="87" xfId="62" applyNumberFormat="1" applyFont="1" applyFill="1" applyBorder="1" applyAlignment="1">
      <alignment vertical="center"/>
      <protection/>
    </xf>
    <xf numFmtId="3" fontId="9" fillId="0" borderId="77" xfId="62" applyNumberFormat="1" applyFont="1" applyFill="1" applyBorder="1" applyAlignment="1">
      <alignment vertical="center"/>
      <protection/>
    </xf>
    <xf numFmtId="3" fontId="9" fillId="0" borderId="86" xfId="62" applyNumberFormat="1" applyFont="1" applyFill="1" applyBorder="1" applyAlignment="1">
      <alignment vertical="center"/>
      <protection/>
    </xf>
    <xf numFmtId="3" fontId="9" fillId="0" borderId="53" xfId="62" applyNumberFormat="1" applyFont="1" applyFill="1" applyBorder="1" applyAlignment="1">
      <alignment vertical="center"/>
      <protection/>
    </xf>
    <xf numFmtId="0" fontId="9" fillId="0" borderId="36" xfId="62" applyFont="1" applyFill="1" applyBorder="1" applyAlignment="1">
      <alignment vertical="center"/>
      <protection/>
    </xf>
    <xf numFmtId="3" fontId="9" fillId="0" borderId="69" xfId="62" applyNumberFormat="1" applyFont="1" applyFill="1" applyBorder="1" applyAlignment="1">
      <alignment vertical="center"/>
      <protection/>
    </xf>
    <xf numFmtId="3" fontId="9" fillId="0" borderId="48" xfId="62" applyNumberFormat="1" applyFont="1" applyFill="1" applyBorder="1" applyAlignment="1">
      <alignment vertical="center"/>
      <protection/>
    </xf>
    <xf numFmtId="0" fontId="9" fillId="0" borderId="48" xfId="62" applyFont="1" applyFill="1" applyBorder="1" applyAlignment="1">
      <alignment vertical="center"/>
      <protection/>
    </xf>
    <xf numFmtId="3" fontId="9" fillId="33" borderId="43" xfId="62" applyNumberFormat="1" applyFont="1" applyFill="1" applyBorder="1" applyAlignment="1">
      <alignment vertical="center"/>
      <protection/>
    </xf>
    <xf numFmtId="0" fontId="9" fillId="38" borderId="16" xfId="0" applyFont="1" applyFill="1" applyBorder="1" applyAlignment="1">
      <alignment horizontal="center"/>
    </xf>
    <xf numFmtId="0" fontId="8" fillId="0" borderId="95" xfId="0" applyFont="1" applyBorder="1" applyAlignment="1">
      <alignment/>
    </xf>
    <xf numFmtId="0" fontId="8" fillId="0" borderId="80" xfId="0" applyFont="1" applyBorder="1" applyAlignment="1">
      <alignment/>
    </xf>
    <xf numFmtId="0" fontId="9" fillId="42" borderId="10" xfId="0" applyFont="1" applyFill="1" applyBorder="1" applyAlignment="1">
      <alignment/>
    </xf>
    <xf numFmtId="0" fontId="8" fillId="42" borderId="15" xfId="0" applyFont="1" applyFill="1" applyBorder="1" applyAlignment="1">
      <alignment/>
    </xf>
    <xf numFmtId="0" fontId="8" fillId="42" borderId="28" xfId="0" applyFont="1" applyFill="1" applyBorder="1" applyAlignment="1">
      <alignment/>
    </xf>
    <xf numFmtId="0" fontId="8" fillId="42" borderId="21" xfId="0" applyFont="1" applyFill="1" applyBorder="1" applyAlignment="1">
      <alignment/>
    </xf>
    <xf numFmtId="0" fontId="8" fillId="42" borderId="35" xfId="0" applyFont="1" applyFill="1" applyBorder="1" applyAlignment="1">
      <alignment/>
    </xf>
    <xf numFmtId="0" fontId="8" fillId="42" borderId="16" xfId="0" applyFont="1" applyFill="1" applyBorder="1" applyAlignment="1">
      <alignment/>
    </xf>
    <xf numFmtId="0" fontId="8" fillId="42" borderId="12" xfId="0" applyFont="1" applyFill="1" applyBorder="1" applyAlignment="1">
      <alignment/>
    </xf>
    <xf numFmtId="0" fontId="8" fillId="42" borderId="0" xfId="0" applyFont="1" applyFill="1" applyBorder="1" applyAlignment="1">
      <alignment/>
    </xf>
    <xf numFmtId="0" fontId="8" fillId="42" borderId="10" xfId="0" applyFont="1" applyFill="1" applyBorder="1" applyAlignment="1">
      <alignment/>
    </xf>
    <xf numFmtId="0" fontId="74" fillId="0" borderId="98" xfId="0" applyFont="1" applyBorder="1" applyAlignment="1">
      <alignment horizontal="center"/>
    </xf>
    <xf numFmtId="0" fontId="0" fillId="0" borderId="15" xfId="0" applyFont="1" applyBorder="1" applyAlignment="1">
      <alignment/>
    </xf>
    <xf numFmtId="3" fontId="0" fillId="0" borderId="28" xfId="0" applyNumberFormat="1" applyBorder="1" applyAlignment="1">
      <alignment/>
    </xf>
    <xf numFmtId="3" fontId="0" fillId="0" borderId="21" xfId="0" applyNumberFormat="1" applyBorder="1" applyAlignment="1">
      <alignment/>
    </xf>
    <xf numFmtId="0" fontId="0" fillId="0" borderId="21" xfId="0" applyBorder="1" applyAlignment="1">
      <alignment horizontal="left"/>
    </xf>
    <xf numFmtId="3" fontId="8" fillId="0" borderId="21" xfId="0" applyNumberFormat="1" applyFont="1" applyBorder="1" applyAlignment="1">
      <alignment/>
    </xf>
    <xf numFmtId="3" fontId="8" fillId="0" borderId="35" xfId="0" applyNumberFormat="1" applyFont="1" applyBorder="1" applyAlignment="1">
      <alignment/>
    </xf>
    <xf numFmtId="3" fontId="8" fillId="0" borderId="28" xfId="0" applyNumberFormat="1" applyFont="1" applyBorder="1" applyAlignment="1">
      <alignment/>
    </xf>
    <xf numFmtId="3" fontId="8" fillId="0" borderId="16" xfId="0" applyNumberFormat="1" applyFont="1" applyBorder="1" applyAlignment="1">
      <alignment/>
    </xf>
    <xf numFmtId="3" fontId="0" fillId="0" borderId="10" xfId="0" applyNumberFormat="1" applyBorder="1" applyAlignment="1">
      <alignment/>
    </xf>
    <xf numFmtId="3" fontId="8" fillId="0" borderId="12" xfId="0" applyNumberFormat="1" applyFont="1" applyBorder="1" applyAlignment="1">
      <alignment/>
    </xf>
    <xf numFmtId="3" fontId="8" fillId="0" borderId="0" xfId="0" applyNumberFormat="1" applyFont="1" applyBorder="1" applyAlignment="1">
      <alignment/>
    </xf>
    <xf numFmtId="3" fontId="8" fillId="0" borderId="15" xfId="0" applyNumberFormat="1" applyFont="1" applyBorder="1" applyAlignment="1">
      <alignment/>
    </xf>
    <xf numFmtId="1" fontId="8" fillId="0" borderId="12" xfId="0" applyNumberFormat="1" applyFont="1" applyBorder="1" applyAlignment="1">
      <alignment/>
    </xf>
    <xf numFmtId="0" fontId="9" fillId="0" borderId="10" xfId="0" applyFont="1" applyBorder="1" applyAlignment="1">
      <alignment horizontal="center"/>
    </xf>
    <xf numFmtId="0" fontId="0" fillId="0" borderId="21" xfId="0" applyNumberFormat="1" applyBorder="1" applyAlignment="1">
      <alignment/>
    </xf>
    <xf numFmtId="3" fontId="8" fillId="0" borderId="12" xfId="0" applyNumberFormat="1" applyFont="1" applyBorder="1" applyAlignment="1">
      <alignment horizontal="right"/>
    </xf>
    <xf numFmtId="3" fontId="8" fillId="42" borderId="15" xfId="0" applyNumberFormat="1" applyFont="1" applyFill="1" applyBorder="1" applyAlignment="1">
      <alignment/>
    </xf>
    <xf numFmtId="3" fontId="8" fillId="42" borderId="0" xfId="0" applyNumberFormat="1" applyFont="1" applyFill="1" applyBorder="1" applyAlignment="1">
      <alignment/>
    </xf>
    <xf numFmtId="0" fontId="0" fillId="0" borderId="10" xfId="0" applyBorder="1" applyAlignment="1">
      <alignment horizontal="center" vertical="center"/>
    </xf>
    <xf numFmtId="0" fontId="0" fillId="0" borderId="15" xfId="0" applyNumberFormat="1" applyFont="1" applyBorder="1" applyAlignment="1">
      <alignment/>
    </xf>
    <xf numFmtId="1" fontId="8" fillId="0" borderId="21" xfId="0" applyNumberFormat="1" applyFont="1" applyBorder="1" applyAlignment="1">
      <alignment/>
    </xf>
    <xf numFmtId="3" fontId="0" fillId="0" borderId="12" xfId="0" applyNumberFormat="1" applyFont="1" applyBorder="1" applyAlignment="1">
      <alignment/>
    </xf>
    <xf numFmtId="0" fontId="0" fillId="0" borderId="10" xfId="0" applyBorder="1" applyAlignment="1">
      <alignment horizontal="center"/>
    </xf>
    <xf numFmtId="0" fontId="0" fillId="0" borderId="28" xfId="0" applyBorder="1" applyAlignment="1">
      <alignment/>
    </xf>
    <xf numFmtId="0" fontId="81" fillId="0" borderId="21" xfId="0" applyFont="1" applyBorder="1" applyAlignment="1">
      <alignment/>
    </xf>
    <xf numFmtId="0" fontId="0" fillId="0" borderId="28" xfId="0" applyFont="1" applyBorder="1" applyAlignment="1">
      <alignment/>
    </xf>
    <xf numFmtId="0" fontId="82" fillId="0" borderId="21" xfId="0" applyFont="1" applyBorder="1" applyAlignment="1">
      <alignment/>
    </xf>
    <xf numFmtId="0" fontId="4" fillId="42" borderId="99" xfId="0" applyNumberFormat="1" applyFont="1" applyFill="1" applyBorder="1" applyAlignment="1">
      <alignment vertical="top"/>
    </xf>
    <xf numFmtId="3" fontId="8" fillId="42" borderId="16" xfId="0" applyNumberFormat="1" applyFont="1" applyFill="1" applyBorder="1" applyAlignment="1">
      <alignment/>
    </xf>
    <xf numFmtId="3" fontId="0" fillId="42" borderId="15" xfId="49" applyNumberFormat="1" applyFont="1" applyFill="1" applyBorder="1" applyAlignment="1">
      <alignment/>
    </xf>
    <xf numFmtId="0" fontId="4" fillId="42" borderId="100" xfId="0" applyNumberFormat="1" applyFont="1" applyFill="1" applyBorder="1" applyAlignment="1">
      <alignment vertical="top"/>
    </xf>
    <xf numFmtId="0" fontId="8" fillId="42" borderId="57" xfId="0" applyFont="1" applyFill="1" applyBorder="1" applyAlignment="1">
      <alignment/>
    </xf>
    <xf numFmtId="0" fontId="8" fillId="42" borderId="55" xfId="0" applyFont="1" applyFill="1" applyBorder="1" applyAlignment="1">
      <alignment/>
    </xf>
    <xf numFmtId="0" fontId="8" fillId="42" borderId="81" xfId="0" applyFont="1" applyFill="1" applyBorder="1" applyAlignment="1">
      <alignment/>
    </xf>
    <xf numFmtId="0" fontId="8" fillId="42" borderId="89" xfId="0" applyFont="1" applyFill="1" applyBorder="1" applyAlignment="1">
      <alignment/>
    </xf>
    <xf numFmtId="0" fontId="8" fillId="42" borderId="54" xfId="0" applyFont="1" applyFill="1" applyBorder="1" applyAlignment="1">
      <alignment/>
    </xf>
    <xf numFmtId="0" fontId="8" fillId="42" borderId="11" xfId="0" applyFont="1" applyFill="1" applyBorder="1" applyAlignment="1">
      <alignment/>
    </xf>
    <xf numFmtId="3" fontId="8" fillId="42" borderId="89" xfId="0" applyNumberFormat="1" applyFont="1" applyFill="1" applyBorder="1" applyAlignment="1">
      <alignment/>
    </xf>
    <xf numFmtId="0" fontId="8" fillId="42" borderId="27" xfId="0" applyFont="1" applyFill="1" applyBorder="1" applyAlignment="1">
      <alignment/>
    </xf>
    <xf numFmtId="0" fontId="8" fillId="42" borderId="22" xfId="0" applyFont="1" applyFill="1" applyBorder="1" applyAlignment="1">
      <alignment/>
    </xf>
    <xf numFmtId="3" fontId="0" fillId="42" borderId="27" xfId="49" applyNumberFormat="1" applyFont="1" applyFill="1" applyBorder="1" applyAlignment="1">
      <alignment/>
    </xf>
    <xf numFmtId="0" fontId="9" fillId="0" borderId="17" xfId="0" applyFont="1" applyBorder="1" applyAlignment="1">
      <alignment horizontal="center"/>
    </xf>
    <xf numFmtId="0" fontId="8" fillId="35" borderId="32" xfId="0" applyFont="1" applyFill="1" applyBorder="1" applyAlignment="1">
      <alignment/>
    </xf>
    <xf numFmtId="0" fontId="8" fillId="35" borderId="45" xfId="0" applyFont="1" applyFill="1" applyBorder="1" applyAlignment="1">
      <alignment/>
    </xf>
    <xf numFmtId="0" fontId="8" fillId="35" borderId="38" xfId="0" applyFont="1" applyFill="1" applyBorder="1" applyAlignment="1">
      <alignment/>
    </xf>
    <xf numFmtId="3" fontId="8" fillId="35" borderId="18" xfId="0" applyNumberFormat="1" applyFont="1" applyFill="1" applyBorder="1" applyAlignment="1">
      <alignment/>
    </xf>
    <xf numFmtId="0" fontId="8" fillId="35" borderId="17" xfId="0" applyFont="1" applyFill="1" applyBorder="1" applyAlignment="1">
      <alignment/>
    </xf>
    <xf numFmtId="0" fontId="8" fillId="35" borderId="33" xfId="0" applyFont="1" applyFill="1" applyBorder="1" applyAlignment="1">
      <alignment/>
    </xf>
    <xf numFmtId="0" fontId="8" fillId="35" borderId="11" xfId="0" applyFont="1" applyFill="1" applyBorder="1" applyAlignment="1">
      <alignment/>
    </xf>
    <xf numFmtId="3" fontId="8" fillId="35" borderId="17" xfId="0" applyNumberFormat="1" applyFont="1" applyFill="1" applyBorder="1" applyAlignment="1">
      <alignment/>
    </xf>
    <xf numFmtId="0" fontId="8" fillId="0" borderId="0" xfId="0" applyFont="1" applyBorder="1" applyAlignment="1">
      <alignment wrapText="1"/>
    </xf>
    <xf numFmtId="0" fontId="8" fillId="0" borderId="37" xfId="0" applyFont="1" applyBorder="1" applyAlignment="1">
      <alignment wrapText="1"/>
    </xf>
    <xf numFmtId="0" fontId="8" fillId="0" borderId="20" xfId="0" applyFont="1" applyBorder="1" applyAlignment="1">
      <alignment wrapText="1"/>
    </xf>
    <xf numFmtId="0" fontId="9" fillId="38" borderId="16" xfId="62" applyFont="1" applyFill="1" applyBorder="1" applyAlignment="1">
      <alignment horizontal="center" vertical="center" wrapText="1"/>
      <protection/>
    </xf>
    <xf numFmtId="0" fontId="8" fillId="35" borderId="42" xfId="62" applyFont="1" applyFill="1" applyBorder="1" applyAlignment="1">
      <alignment horizontal="center" vertical="center" wrapText="1"/>
      <protection/>
    </xf>
    <xf numFmtId="0" fontId="83" fillId="35" borderId="42" xfId="0" applyFont="1" applyFill="1" applyBorder="1" applyAlignment="1">
      <alignment horizontal="center" vertical="center" wrapText="1"/>
    </xf>
    <xf numFmtId="4" fontId="83" fillId="35" borderId="42" xfId="0" applyNumberFormat="1" applyFont="1" applyFill="1" applyBorder="1" applyAlignment="1">
      <alignment horizontal="center" vertical="center" wrapText="1"/>
    </xf>
    <xf numFmtId="0" fontId="9" fillId="35" borderId="42" xfId="62" applyFont="1" applyFill="1" applyBorder="1" applyAlignment="1">
      <alignment horizontal="center" vertical="center" wrapText="1"/>
      <protection/>
    </xf>
    <xf numFmtId="1" fontId="83" fillId="35" borderId="42" xfId="0" applyNumberFormat="1" applyFont="1" applyFill="1" applyBorder="1" applyAlignment="1">
      <alignment horizontal="center" vertical="center" wrapText="1"/>
    </xf>
    <xf numFmtId="0" fontId="84" fillId="35" borderId="42" xfId="55" applyFont="1" applyFill="1" applyBorder="1" applyAlignment="1">
      <alignment horizontal="center" vertical="center" wrapText="1"/>
      <protection/>
    </xf>
    <xf numFmtId="0" fontId="85" fillId="35" borderId="42" xfId="0" applyFont="1" applyFill="1" applyBorder="1" applyAlignment="1">
      <alignment horizontal="center" vertical="center" wrapText="1"/>
    </xf>
    <xf numFmtId="0" fontId="9" fillId="35" borderId="42" xfId="62" applyFont="1" applyFill="1" applyBorder="1" applyAlignment="1">
      <alignment vertical="center" wrapText="1"/>
      <protection/>
    </xf>
    <xf numFmtId="0" fontId="8" fillId="35" borderId="0" xfId="0" applyFont="1" applyFill="1" applyAlignment="1">
      <alignment wrapText="1"/>
    </xf>
    <xf numFmtId="0" fontId="8" fillId="35" borderId="42" xfId="0" applyFont="1" applyFill="1" applyBorder="1" applyAlignment="1">
      <alignment horizontal="center" vertical="center" wrapText="1"/>
    </xf>
    <xf numFmtId="0" fontId="8" fillId="35" borderId="0" xfId="0" applyFont="1" applyFill="1" applyAlignment="1">
      <alignment horizontal="center" vertical="center" wrapText="1"/>
    </xf>
    <xf numFmtId="0" fontId="8" fillId="40" borderId="42" xfId="62" applyFont="1" applyFill="1" applyBorder="1" applyAlignment="1">
      <alignment horizontal="center" vertical="center" wrapText="1"/>
      <protection/>
    </xf>
    <xf numFmtId="0" fontId="2" fillId="0" borderId="10" xfId="0" applyFont="1" applyBorder="1" applyAlignment="1">
      <alignment wrapText="1"/>
    </xf>
    <xf numFmtId="0" fontId="5" fillId="0" borderId="27" xfId="0" applyFont="1" applyFill="1" applyBorder="1" applyAlignment="1">
      <alignment horizontal="center" wrapText="1"/>
    </xf>
    <xf numFmtId="3" fontId="5" fillId="0" borderId="57" xfId="0" applyNumberFormat="1" applyFont="1" applyFill="1" applyBorder="1" applyAlignment="1">
      <alignment/>
    </xf>
    <xf numFmtId="3" fontId="5" fillId="0" borderId="89" xfId="0" applyNumberFormat="1" applyFont="1" applyFill="1" applyBorder="1" applyAlignment="1">
      <alignment/>
    </xf>
    <xf numFmtId="3" fontId="5" fillId="0" borderId="55" xfId="0" applyNumberFormat="1" applyFont="1" applyFill="1" applyBorder="1" applyAlignment="1">
      <alignment/>
    </xf>
    <xf numFmtId="3" fontId="5" fillId="0" borderId="11" xfId="0" applyNumberFormat="1" applyFont="1" applyFill="1" applyBorder="1" applyAlignment="1">
      <alignment/>
    </xf>
    <xf numFmtId="3" fontId="5" fillId="0" borderId="54" xfId="0" applyNumberFormat="1" applyFont="1" applyFill="1" applyBorder="1" applyAlignment="1">
      <alignment/>
    </xf>
    <xf numFmtId="3" fontId="5" fillId="0" borderId="81" xfId="0" applyNumberFormat="1" applyFont="1" applyFill="1" applyBorder="1" applyAlignment="1">
      <alignment/>
    </xf>
    <xf numFmtId="3" fontId="5" fillId="0" borderId="37" xfId="0" applyNumberFormat="1" applyFont="1" applyFill="1" applyBorder="1" applyAlignment="1">
      <alignment/>
    </xf>
    <xf numFmtId="4" fontId="2" fillId="0" borderId="10" xfId="0" applyNumberFormat="1" applyFont="1" applyBorder="1" applyAlignment="1">
      <alignment/>
    </xf>
    <xf numFmtId="4" fontId="2" fillId="0" borderId="44" xfId="0" applyNumberFormat="1" applyFont="1" applyBorder="1" applyAlignment="1">
      <alignment/>
    </xf>
    <xf numFmtId="0" fontId="9" fillId="38" borderId="26" xfId="0" applyFont="1" applyFill="1" applyBorder="1" applyAlignment="1">
      <alignment horizontal="center" vertical="center" wrapText="1"/>
    </xf>
    <xf numFmtId="0" fontId="9" fillId="38" borderId="27" xfId="0" applyFont="1" applyFill="1" applyBorder="1" applyAlignment="1">
      <alignment horizontal="center" vertical="center" wrapText="1"/>
    </xf>
    <xf numFmtId="0" fontId="9" fillId="38" borderId="19" xfId="62" applyFont="1" applyFill="1" applyBorder="1" applyAlignment="1">
      <alignment horizontal="center" vertical="center" wrapText="1"/>
      <protection/>
    </xf>
    <xf numFmtId="0" fontId="9" fillId="38" borderId="26" xfId="62" applyFont="1" applyFill="1" applyBorder="1" applyAlignment="1">
      <alignment horizontal="center" vertical="center"/>
      <protection/>
    </xf>
    <xf numFmtId="0" fontId="9" fillId="38" borderId="19" xfId="62" applyFont="1" applyFill="1" applyBorder="1" applyAlignment="1">
      <alignment horizontal="center" vertical="center"/>
      <protection/>
    </xf>
    <xf numFmtId="0" fontId="9" fillId="38" borderId="17" xfId="62" applyFont="1" applyFill="1" applyBorder="1" applyAlignment="1">
      <alignment horizontal="center" vertical="center"/>
      <protection/>
    </xf>
    <xf numFmtId="0" fontId="9" fillId="38" borderId="25" xfId="0" applyFont="1" applyFill="1" applyBorder="1" applyAlignment="1">
      <alignment horizontal="center" vertical="center" wrapText="1"/>
    </xf>
    <xf numFmtId="0" fontId="23" fillId="0" borderId="17" xfId="0" applyFont="1" applyBorder="1" applyAlignment="1">
      <alignment wrapText="1"/>
    </xf>
    <xf numFmtId="0" fontId="23" fillId="0" borderId="25" xfId="62" applyFont="1" applyFill="1" applyBorder="1" applyAlignment="1">
      <alignment horizontal="left" vertical="center"/>
      <protection/>
    </xf>
    <xf numFmtId="0" fontId="23" fillId="0" borderId="17" xfId="0" applyFont="1" applyBorder="1" applyAlignment="1">
      <alignment/>
    </xf>
    <xf numFmtId="0" fontId="23" fillId="0" borderId="15" xfId="0" applyFont="1" applyBorder="1" applyAlignment="1">
      <alignment wrapText="1"/>
    </xf>
    <xf numFmtId="0" fontId="23" fillId="0" borderId="0" xfId="62" applyFont="1" applyFill="1" applyBorder="1" applyAlignment="1">
      <alignment horizontal="left" vertical="center"/>
      <protection/>
    </xf>
    <xf numFmtId="0" fontId="23" fillId="0" borderId="15" xfId="0" applyFont="1" applyBorder="1" applyAlignment="1">
      <alignment/>
    </xf>
    <xf numFmtId="0" fontId="23" fillId="0" borderId="17" xfId="62" applyFont="1" applyBorder="1" applyAlignment="1">
      <alignment horizontal="center" vertical="center" wrapText="1"/>
      <protection/>
    </xf>
    <xf numFmtId="0" fontId="23" fillId="0" borderId="25" xfId="62" applyFont="1" applyBorder="1" applyAlignment="1">
      <alignment horizontal="center" vertical="center"/>
      <protection/>
    </xf>
    <xf numFmtId="0" fontId="23" fillId="35" borderId="27" xfId="62" applyFont="1" applyFill="1" applyBorder="1" applyAlignment="1">
      <alignment horizontal="center" vertical="center" wrapText="1"/>
      <protection/>
    </xf>
    <xf numFmtId="0" fontId="23" fillId="35" borderId="89" xfId="62" applyFont="1" applyFill="1" applyBorder="1" applyAlignment="1">
      <alignment horizontal="center" vertical="center"/>
      <protection/>
    </xf>
    <xf numFmtId="0" fontId="23" fillId="0" borderId="15" xfId="62" applyFont="1" applyFill="1" applyBorder="1" applyAlignment="1">
      <alignment horizontal="center" vertical="center" wrapText="1"/>
      <protection/>
    </xf>
    <xf numFmtId="0" fontId="23" fillId="0" borderId="0" xfId="62" applyFont="1" applyFill="1" applyBorder="1" applyAlignment="1">
      <alignment horizontal="center" vertical="center"/>
      <protection/>
    </xf>
    <xf numFmtId="14" fontId="23" fillId="0" borderId="25" xfId="0" applyNumberFormat="1" applyFont="1" applyBorder="1" applyAlignment="1">
      <alignment/>
    </xf>
    <xf numFmtId="14" fontId="23" fillId="0" borderId="0" xfId="0" applyNumberFormat="1" applyFont="1" applyAlignment="1">
      <alignment/>
    </xf>
    <xf numFmtId="14" fontId="23" fillId="0" borderId="17" xfId="0" applyNumberFormat="1" applyFont="1" applyBorder="1" applyAlignment="1">
      <alignment/>
    </xf>
    <xf numFmtId="0" fontId="23" fillId="0" borderId="0" xfId="62" applyFont="1" applyFill="1" applyBorder="1" applyAlignment="1">
      <alignment horizontal="left" vertical="center" wrapText="1"/>
      <protection/>
    </xf>
    <xf numFmtId="14" fontId="23" fillId="0" borderId="15" xfId="0" applyNumberFormat="1" applyFont="1" applyBorder="1" applyAlignment="1">
      <alignment/>
    </xf>
    <xf numFmtId="0" fontId="23" fillId="0" borderId="25" xfId="62" applyFont="1" applyFill="1" applyBorder="1" applyAlignment="1">
      <alignment horizontal="left" vertical="center" wrapText="1"/>
      <protection/>
    </xf>
    <xf numFmtId="0" fontId="23" fillId="0" borderId="27" xfId="0" applyFont="1" applyBorder="1" applyAlignment="1">
      <alignment wrapText="1"/>
    </xf>
    <xf numFmtId="0" fontId="23" fillId="0" borderId="89" xfId="62" applyFont="1" applyFill="1" applyBorder="1" applyAlignment="1">
      <alignment horizontal="left" vertical="center" wrapText="1"/>
      <protection/>
    </xf>
    <xf numFmtId="0" fontId="23" fillId="0" borderId="27" xfId="0" applyFont="1" applyBorder="1" applyAlignment="1">
      <alignment/>
    </xf>
    <xf numFmtId="0" fontId="23" fillId="0" borderId="89" xfId="0" applyFont="1" applyBorder="1" applyAlignment="1">
      <alignment/>
    </xf>
    <xf numFmtId="0" fontId="23" fillId="0" borderId="40" xfId="0" applyFont="1" applyBorder="1" applyAlignment="1">
      <alignment wrapText="1"/>
    </xf>
    <xf numFmtId="0" fontId="23" fillId="0" borderId="67" xfId="62" applyFont="1" applyFill="1" applyBorder="1" applyAlignment="1">
      <alignment horizontal="left" vertical="center" wrapText="1"/>
      <protection/>
    </xf>
    <xf numFmtId="0" fontId="23" fillId="0" borderId="40" xfId="0" applyFont="1" applyBorder="1" applyAlignment="1">
      <alignment/>
    </xf>
    <xf numFmtId="0" fontId="23" fillId="0" borderId="13" xfId="0" applyFont="1" applyBorder="1" applyAlignment="1">
      <alignment/>
    </xf>
    <xf numFmtId="0" fontId="23" fillId="0" borderId="25" xfId="62" applyFont="1" applyFill="1" applyBorder="1" applyAlignment="1">
      <alignment horizontal="center" vertical="center"/>
      <protection/>
    </xf>
    <xf numFmtId="0" fontId="23" fillId="0" borderId="17" xfId="62" applyFont="1" applyFill="1" applyBorder="1" applyAlignment="1">
      <alignment horizontal="center" vertical="center" wrapText="1"/>
      <protection/>
    </xf>
    <xf numFmtId="0" fontId="23" fillId="0" borderId="17" xfId="62" applyFont="1" applyFill="1" applyBorder="1" applyAlignment="1">
      <alignment horizontal="center" vertical="center"/>
      <protection/>
    </xf>
    <xf numFmtId="14" fontId="23" fillId="0" borderId="17" xfId="62" applyNumberFormat="1" applyFont="1" applyFill="1" applyBorder="1" applyAlignment="1">
      <alignment horizontal="center" vertical="center"/>
      <protection/>
    </xf>
    <xf numFmtId="14" fontId="23" fillId="0" borderId="15" xfId="62" applyNumberFormat="1" applyFont="1" applyFill="1" applyBorder="1" applyAlignment="1">
      <alignment horizontal="center" vertical="center"/>
      <protection/>
    </xf>
    <xf numFmtId="0" fontId="23" fillId="0" borderId="15" xfId="62" applyFont="1" applyFill="1" applyBorder="1" applyAlignment="1">
      <alignment horizontal="center" vertical="center"/>
      <protection/>
    </xf>
    <xf numFmtId="14" fontId="23" fillId="0" borderId="25" xfId="62" applyNumberFormat="1" applyFont="1" applyFill="1" applyBorder="1" applyAlignment="1">
      <alignment horizontal="center" vertical="center"/>
      <protection/>
    </xf>
    <xf numFmtId="14" fontId="23" fillId="0" borderId="0" xfId="62" applyNumberFormat="1" applyFont="1" applyFill="1" applyBorder="1" applyAlignment="1">
      <alignment horizontal="center" vertical="center"/>
      <protection/>
    </xf>
    <xf numFmtId="14" fontId="23" fillId="0" borderId="17" xfId="62" applyNumberFormat="1" applyFont="1" applyFill="1" applyBorder="1" applyAlignment="1">
      <alignment horizontal="center" vertical="center" wrapText="1"/>
      <protection/>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14" fontId="23" fillId="0" borderId="25" xfId="62" applyNumberFormat="1" applyFont="1" applyBorder="1" applyAlignment="1">
      <alignment horizontal="center" vertical="center"/>
      <protection/>
    </xf>
    <xf numFmtId="0" fontId="23" fillId="0" borderId="17" xfId="62" applyFont="1" applyBorder="1" applyAlignment="1">
      <alignment horizontal="center" vertical="center"/>
      <protection/>
    </xf>
    <xf numFmtId="0" fontId="23" fillId="35" borderId="15" xfId="0" applyFont="1" applyFill="1" applyBorder="1" applyAlignment="1">
      <alignment horizontal="center" vertical="center" wrapText="1"/>
    </xf>
    <xf numFmtId="14" fontId="23" fillId="35" borderId="89" xfId="62" applyNumberFormat="1" applyFont="1" applyFill="1" applyBorder="1" applyAlignment="1">
      <alignment horizontal="center" vertical="center"/>
      <protection/>
    </xf>
    <xf numFmtId="0" fontId="23" fillId="35" borderId="27" xfId="62" applyFont="1" applyFill="1" applyBorder="1" applyAlignment="1">
      <alignment horizontal="center" vertical="center"/>
      <protection/>
    </xf>
    <xf numFmtId="49" fontId="23" fillId="0" borderId="17" xfId="61" applyNumberFormat="1" applyFont="1" applyFill="1" applyBorder="1" applyAlignment="1">
      <alignment horizontal="center" vertical="center" wrapText="1"/>
      <protection/>
    </xf>
    <xf numFmtId="49" fontId="23" fillId="0" borderId="25" xfId="61" applyNumberFormat="1" applyFont="1" applyFill="1" applyBorder="1" applyAlignment="1">
      <alignment horizontal="center" vertical="center"/>
      <protection/>
    </xf>
    <xf numFmtId="0" fontId="23" fillId="0" borderId="17"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Alignment="1">
      <alignment horizontal="center" vertical="center"/>
    </xf>
    <xf numFmtId="14" fontId="23" fillId="0" borderId="25" xfId="0" applyNumberFormat="1" applyFont="1" applyBorder="1" applyAlignment="1">
      <alignment horizontal="center" vertical="center"/>
    </xf>
    <xf numFmtId="0" fontId="23" fillId="0" borderId="25" xfId="0" applyFont="1" applyBorder="1" applyAlignment="1">
      <alignment horizontal="center" vertical="center"/>
    </xf>
    <xf numFmtId="14" fontId="23" fillId="0" borderId="0" xfId="0" applyNumberFormat="1" applyFont="1" applyAlignment="1">
      <alignment horizontal="center" vertical="center"/>
    </xf>
    <xf numFmtId="3" fontId="8" fillId="0" borderId="42" xfId="0" applyNumberFormat="1" applyFont="1" applyBorder="1" applyAlignment="1">
      <alignment horizontal="center" wrapText="1"/>
    </xf>
    <xf numFmtId="12" fontId="8" fillId="0" borderId="42" xfId="0" applyNumberFormat="1" applyFont="1" applyBorder="1" applyAlignment="1">
      <alignment horizontal="center" wrapText="1"/>
    </xf>
    <xf numFmtId="0" fontId="8" fillId="0" borderId="42" xfId="0" applyFont="1" applyBorder="1" applyAlignment="1">
      <alignment horizontal="center" vertical="center" wrapText="1"/>
    </xf>
    <xf numFmtId="14" fontId="8" fillId="0" borderId="42" xfId="55" applyNumberFormat="1" applyFont="1" applyBorder="1" applyAlignment="1">
      <alignment horizontal="center" wrapText="1"/>
      <protection/>
    </xf>
    <xf numFmtId="3" fontId="8" fillId="0" borderId="42" xfId="62" applyNumberFormat="1" applyFont="1" applyBorder="1" applyAlignment="1">
      <alignment horizontal="center" vertical="center" wrapText="1"/>
      <protection/>
    </xf>
    <xf numFmtId="3" fontId="8" fillId="0" borderId="42" xfId="55" applyNumberFormat="1" applyFont="1" applyBorder="1" applyAlignment="1">
      <alignment horizontal="center" wrapText="1"/>
      <protection/>
    </xf>
    <xf numFmtId="49" fontId="8" fillId="0" borderId="42" xfId="0" applyNumberFormat="1" applyFont="1" applyBorder="1" applyAlignment="1">
      <alignment horizontal="center" wrapText="1"/>
    </xf>
    <xf numFmtId="172" fontId="8" fillId="0" borderId="42" xfId="0" applyNumberFormat="1" applyFont="1" applyBorder="1" applyAlignment="1">
      <alignment wrapText="1"/>
    </xf>
    <xf numFmtId="0" fontId="8" fillId="0" borderId="28" xfId="0" applyFont="1" applyBorder="1" applyAlignment="1">
      <alignment wrapText="1"/>
    </xf>
    <xf numFmtId="0" fontId="8" fillId="0" borderId="35" xfId="0" applyFont="1" applyBorder="1" applyAlignment="1">
      <alignment wrapText="1"/>
    </xf>
    <xf numFmtId="0" fontId="8" fillId="0" borderId="21" xfId="0" applyFont="1" applyBorder="1" applyAlignment="1">
      <alignment wrapText="1"/>
    </xf>
    <xf numFmtId="3" fontId="8" fillId="0" borderId="12" xfId="0" applyNumberFormat="1" applyFont="1" applyBorder="1" applyAlignment="1">
      <alignment wrapText="1"/>
    </xf>
    <xf numFmtId="0" fontId="8" fillId="0" borderId="16" xfId="0" applyFont="1" applyBorder="1" applyAlignment="1">
      <alignment wrapText="1"/>
    </xf>
    <xf numFmtId="3" fontId="8" fillId="0" borderId="16" xfId="0" applyNumberFormat="1" applyFont="1" applyBorder="1" applyAlignment="1">
      <alignment wrapText="1"/>
    </xf>
    <xf numFmtId="0" fontId="8" fillId="0" borderId="17" xfId="0" applyFont="1" applyBorder="1" applyAlignment="1">
      <alignment wrapText="1"/>
    </xf>
    <xf numFmtId="0" fontId="8" fillId="0" borderId="12" xfId="62" applyFont="1" applyBorder="1" applyAlignment="1">
      <alignment horizontal="left" vertical="center" wrapText="1"/>
      <protection/>
    </xf>
    <xf numFmtId="0" fontId="8" fillId="0" borderId="44" xfId="62" applyFont="1" applyBorder="1" applyAlignment="1">
      <alignment horizontal="left" vertical="center" wrapText="1"/>
      <protection/>
    </xf>
    <xf numFmtId="14" fontId="8" fillId="0" borderId="28" xfId="0" applyNumberFormat="1" applyFont="1" applyBorder="1" applyAlignment="1">
      <alignment wrapText="1"/>
    </xf>
    <xf numFmtId="0" fontId="8" fillId="0" borderId="23" xfId="0" applyFont="1" applyBorder="1" applyAlignment="1">
      <alignment horizontal="center" wrapText="1"/>
    </xf>
    <xf numFmtId="0" fontId="8" fillId="0" borderId="12" xfId="62" applyFont="1" applyBorder="1" applyAlignment="1">
      <alignment horizontal="center" vertical="center" wrapText="1"/>
      <protection/>
    </xf>
    <xf numFmtId="0" fontId="8" fillId="0" borderId="44" xfId="62" applyFont="1" applyBorder="1" applyAlignment="1">
      <alignment horizontal="center" vertical="center" wrapText="1"/>
      <protection/>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38" xfId="0" applyFont="1" applyBorder="1" applyAlignment="1">
      <alignment horizontal="center" wrapText="1"/>
    </xf>
    <xf numFmtId="0" fontId="9" fillId="0" borderId="18" xfId="0" applyFont="1" applyBorder="1" applyAlignment="1">
      <alignment horizontal="center" wrapText="1"/>
    </xf>
    <xf numFmtId="0" fontId="8" fillId="0" borderId="33" xfId="0" applyFont="1" applyBorder="1" applyAlignment="1">
      <alignment wrapText="1"/>
    </xf>
    <xf numFmtId="0" fontId="8" fillId="0" borderId="45" xfId="0" applyFont="1" applyBorder="1" applyAlignment="1">
      <alignment wrapText="1"/>
    </xf>
    <xf numFmtId="0" fontId="8" fillId="0" borderId="38" xfId="0" applyFont="1" applyBorder="1" applyAlignment="1">
      <alignment wrapText="1"/>
    </xf>
    <xf numFmtId="0" fontId="8" fillId="0" borderId="32" xfId="0" applyFont="1" applyBorder="1" applyAlignment="1">
      <alignment wrapText="1"/>
    </xf>
    <xf numFmtId="0" fontId="8" fillId="0" borderId="43" xfId="0" applyFont="1" applyBorder="1" applyAlignment="1">
      <alignment wrapText="1"/>
    </xf>
    <xf numFmtId="0" fontId="8" fillId="0" borderId="18" xfId="0" applyFont="1" applyBorder="1" applyAlignment="1">
      <alignment wrapText="1"/>
    </xf>
    <xf numFmtId="0" fontId="8" fillId="0" borderId="37" xfId="0" applyFont="1" applyBorder="1" applyAlignment="1">
      <alignment horizontal="center" wrapText="1"/>
    </xf>
    <xf numFmtId="0" fontId="8" fillId="0" borderId="3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4" xfId="0" applyFont="1" applyBorder="1" applyAlignment="1">
      <alignment horizontal="center" vertical="center" wrapText="1"/>
    </xf>
    <xf numFmtId="17" fontId="8" fillId="0" borderId="28" xfId="0" applyNumberFormat="1" applyFont="1" applyBorder="1" applyAlignment="1">
      <alignment horizontal="center" vertical="center" wrapText="1"/>
    </xf>
    <xf numFmtId="0" fontId="23" fillId="0" borderId="28"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1" xfId="0" applyFont="1" applyBorder="1" applyAlignment="1">
      <alignment horizontal="center" vertical="center" wrapText="1"/>
    </xf>
    <xf numFmtId="4" fontId="23" fillId="0" borderId="16" xfId="0" applyNumberFormat="1" applyFont="1" applyBorder="1" applyAlignment="1">
      <alignment horizontal="center" vertical="center" wrapText="1"/>
    </xf>
    <xf numFmtId="179" fontId="23" fillId="0" borderId="12" xfId="0" applyNumberFormat="1" applyFont="1" applyBorder="1" applyAlignment="1">
      <alignment horizontal="center" vertical="center" wrapText="1"/>
    </xf>
    <xf numFmtId="172" fontId="23" fillId="0" borderId="28" xfId="0" applyNumberFormat="1" applyFont="1" applyBorder="1" applyAlignment="1">
      <alignment horizontal="center" vertical="center" wrapText="1"/>
    </xf>
    <xf numFmtId="0" fontId="23" fillId="0" borderId="101" xfId="0" applyFont="1" applyBorder="1" applyAlignment="1">
      <alignment horizontal="center" vertical="center" wrapText="1"/>
    </xf>
    <xf numFmtId="0" fontId="23" fillId="0" borderId="16" xfId="0" applyFont="1" applyBorder="1" applyAlignment="1">
      <alignment horizontal="center" vertical="center" wrapText="1"/>
    </xf>
    <xf numFmtId="172" fontId="23" fillId="0" borderId="10" xfId="0" applyNumberFormat="1" applyFont="1" applyBorder="1" applyAlignment="1">
      <alignment horizontal="center" vertical="center" wrapText="1"/>
    </xf>
    <xf numFmtId="4" fontId="23" fillId="0" borderId="35" xfId="0" applyNumberFormat="1" applyFont="1" applyBorder="1" applyAlignment="1">
      <alignment horizontal="center" vertical="center" wrapText="1"/>
    </xf>
    <xf numFmtId="0" fontId="23" fillId="0" borderId="102" xfId="0" applyFont="1" applyBorder="1" applyAlignment="1">
      <alignment horizontal="center" vertical="center" wrapText="1"/>
    </xf>
    <xf numFmtId="172" fontId="23" fillId="0" borderId="21" xfId="0" applyNumberFormat="1" applyFont="1" applyBorder="1" applyAlignment="1">
      <alignment horizontal="center" vertical="center" wrapText="1"/>
    </xf>
    <xf numFmtId="0" fontId="23"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38" borderId="37" xfId="0" applyFont="1" applyFill="1" applyBorder="1" applyAlignment="1">
      <alignment horizontal="center" vertical="center" wrapText="1"/>
    </xf>
    <xf numFmtId="0" fontId="20" fillId="38" borderId="23" xfId="0" applyFont="1" applyFill="1" applyBorder="1" applyAlignment="1">
      <alignment horizontal="center" vertical="center" wrapText="1"/>
    </xf>
    <xf numFmtId="0" fontId="20" fillId="38" borderId="95" xfId="0" applyFont="1" applyFill="1" applyBorder="1" applyAlignment="1">
      <alignment horizontal="center" vertical="center" wrapText="1"/>
    </xf>
    <xf numFmtId="0" fontId="20" fillId="38" borderId="80" xfId="0" applyFont="1" applyFill="1" applyBorder="1" applyAlignment="1">
      <alignment horizontal="center" vertical="center" wrapText="1"/>
    </xf>
    <xf numFmtId="0" fontId="20" fillId="38" borderId="37" xfId="0" applyFont="1" applyFill="1" applyBorder="1" applyAlignment="1">
      <alignment horizontal="right" vertical="center" wrapText="1"/>
    </xf>
    <xf numFmtId="0" fontId="20" fillId="38" borderId="91" xfId="0" applyFont="1" applyFill="1" applyBorder="1" applyAlignment="1">
      <alignment horizontal="center" vertical="center" wrapText="1"/>
    </xf>
    <xf numFmtId="172" fontId="20" fillId="38" borderId="37" xfId="0" applyNumberFormat="1" applyFont="1" applyFill="1" applyBorder="1" applyAlignment="1">
      <alignment horizontal="center" textRotation="90" wrapText="1"/>
    </xf>
    <xf numFmtId="172" fontId="20" fillId="38" borderId="95" xfId="0" applyNumberFormat="1" applyFont="1" applyFill="1" applyBorder="1" applyAlignment="1">
      <alignment horizontal="center" textRotation="90" wrapText="1"/>
    </xf>
    <xf numFmtId="172" fontId="20" fillId="38" borderId="80" xfId="0" applyNumberFormat="1" applyFont="1" applyFill="1" applyBorder="1" applyAlignment="1">
      <alignment horizontal="center" textRotation="90" wrapText="1"/>
    </xf>
    <xf numFmtId="4" fontId="20" fillId="38" borderId="80" xfId="0" applyNumberFormat="1" applyFont="1" applyFill="1" applyBorder="1" applyAlignment="1">
      <alignment horizontal="center" textRotation="90" wrapText="1"/>
    </xf>
    <xf numFmtId="0" fontId="23" fillId="0" borderId="42" xfId="0" applyFont="1" applyBorder="1" applyAlignment="1">
      <alignment horizontal="center" vertical="center" wrapText="1"/>
    </xf>
    <xf numFmtId="0" fontId="23" fillId="0" borderId="42" xfId="62" applyFont="1" applyBorder="1" applyAlignment="1">
      <alignment horizontal="center" vertical="center" wrapText="1"/>
      <protection/>
    </xf>
    <xf numFmtId="1" fontId="23" fillId="0" borderId="42" xfId="0" applyNumberFormat="1" applyFont="1" applyBorder="1" applyAlignment="1">
      <alignment horizontal="center" vertical="center" wrapText="1"/>
    </xf>
    <xf numFmtId="4" fontId="23" fillId="0" borderId="42" xfId="0" applyNumberFormat="1" applyFont="1" applyBorder="1" applyAlignment="1">
      <alignment horizontal="center" vertical="center" wrapText="1"/>
    </xf>
    <xf numFmtId="0" fontId="23" fillId="35" borderId="42" xfId="62" applyFont="1" applyFill="1" applyBorder="1" applyAlignment="1">
      <alignment horizontal="center" vertical="center" wrapText="1"/>
      <protection/>
    </xf>
    <xf numFmtId="0" fontId="8" fillId="0" borderId="42" xfId="62" applyFont="1" applyBorder="1" applyAlignment="1">
      <alignment horizontal="center" vertical="center" wrapText="1"/>
      <protection/>
    </xf>
    <xf numFmtId="1" fontId="8" fillId="0" borderId="42" xfId="0" applyNumberFormat="1" applyFont="1" applyBorder="1" applyAlignment="1">
      <alignment horizontal="center" vertical="center" wrapText="1"/>
    </xf>
    <xf numFmtId="4" fontId="8" fillId="0" borderId="42" xfId="0" applyNumberFormat="1" applyFont="1" applyBorder="1" applyAlignment="1">
      <alignment horizontal="center" vertical="center" wrapText="1"/>
    </xf>
    <xf numFmtId="4" fontId="8" fillId="0" borderId="42" xfId="0" applyNumberFormat="1" applyFont="1" applyBorder="1" applyAlignment="1">
      <alignment horizontal="center" wrapText="1"/>
    </xf>
    <xf numFmtId="0" fontId="8" fillId="0" borderId="33" xfId="0" applyFont="1" applyBorder="1" applyAlignment="1">
      <alignment horizontal="center" wrapText="1"/>
    </xf>
    <xf numFmtId="0" fontId="8" fillId="0" borderId="31" xfId="0" applyFont="1" applyBorder="1" applyAlignment="1">
      <alignment horizontal="center" wrapText="1"/>
    </xf>
    <xf numFmtId="0" fontId="8" fillId="0" borderId="42" xfId="62" applyFont="1" applyBorder="1" applyAlignment="1">
      <alignment vertical="center" wrapText="1"/>
      <protection/>
    </xf>
    <xf numFmtId="172" fontId="8" fillId="0" borderId="42" xfId="0" applyNumberFormat="1" applyFont="1" applyBorder="1" applyAlignment="1">
      <alignment horizontal="center" wrapText="1"/>
    </xf>
    <xf numFmtId="172" fontId="8" fillId="0" borderId="31" xfId="0" applyNumberFormat="1" applyFont="1" applyBorder="1" applyAlignment="1">
      <alignment horizontal="center" wrapText="1"/>
    </xf>
    <xf numFmtId="0" fontId="8" fillId="0" borderId="42" xfId="62" applyFont="1" applyBorder="1" applyAlignment="1">
      <alignment horizontal="center" wrapText="1"/>
      <protection/>
    </xf>
    <xf numFmtId="1" fontId="8" fillId="0" borderId="42" xfId="0" applyNumberFormat="1" applyFont="1" applyBorder="1" applyAlignment="1">
      <alignment horizontal="center" wrapText="1"/>
    </xf>
    <xf numFmtId="4" fontId="8" fillId="0" borderId="53" xfId="0" applyNumberFormat="1" applyFont="1" applyBorder="1" applyAlignment="1">
      <alignment horizontal="center" wrapText="1"/>
    </xf>
    <xf numFmtId="0" fontId="8" fillId="0" borderId="38" xfId="0" applyFont="1" applyBorder="1" applyAlignment="1">
      <alignment horizontal="center" wrapText="1"/>
    </xf>
    <xf numFmtId="1" fontId="8" fillId="0" borderId="31" xfId="0" applyNumberFormat="1" applyFont="1" applyBorder="1" applyAlignment="1">
      <alignment horizontal="center" wrapText="1"/>
    </xf>
    <xf numFmtId="4" fontId="8" fillId="0" borderId="48" xfId="0" applyNumberFormat="1" applyFont="1" applyBorder="1" applyAlignment="1">
      <alignment horizontal="center" wrapText="1"/>
    </xf>
    <xf numFmtId="0" fontId="8" fillId="0" borderId="42" xfId="62" applyFont="1" applyFill="1" applyBorder="1" applyAlignment="1">
      <alignment horizontal="center" vertical="center" wrapText="1"/>
      <protection/>
    </xf>
    <xf numFmtId="0" fontId="22" fillId="0" borderId="42" xfId="0" applyFont="1" applyBorder="1" applyAlignment="1">
      <alignment horizontal="center" vertical="center" wrapText="1"/>
    </xf>
    <xf numFmtId="49" fontId="12" fillId="0" borderId="42" xfId="0" applyNumberFormat="1" applyFont="1" applyBorder="1" applyAlignment="1">
      <alignment horizontal="center" vertical="center" wrapText="1"/>
    </xf>
    <xf numFmtId="180" fontId="12" fillId="0" borderId="42" xfId="0" applyNumberFormat="1" applyFont="1" applyBorder="1" applyAlignment="1">
      <alignment horizontal="center" vertical="center" wrapText="1"/>
    </xf>
    <xf numFmtId="180" fontId="12" fillId="0" borderId="65" xfId="0" applyNumberFormat="1" applyFont="1" applyFill="1" applyBorder="1" applyAlignment="1">
      <alignment horizontal="center" vertical="center" wrapText="1"/>
    </xf>
    <xf numFmtId="181" fontId="12" fillId="0" borderId="42" xfId="0" applyNumberFormat="1" applyFont="1" applyFill="1" applyBorder="1" applyAlignment="1">
      <alignment horizontal="center" vertical="center" wrapText="1"/>
    </xf>
    <xf numFmtId="180" fontId="12" fillId="0" borderId="42" xfId="0" applyNumberFormat="1" applyFont="1" applyFill="1" applyBorder="1" applyAlignment="1">
      <alignment horizontal="center" vertical="center" wrapText="1"/>
    </xf>
    <xf numFmtId="181" fontId="12" fillId="0" borderId="65" xfId="0" applyNumberFormat="1" applyFont="1" applyFill="1" applyBorder="1" applyAlignment="1">
      <alignment horizontal="center" vertical="center" wrapText="1"/>
    </xf>
    <xf numFmtId="180" fontId="8" fillId="0" borderId="42" xfId="0" applyNumberFormat="1" applyFont="1" applyFill="1" applyBorder="1" applyAlignment="1">
      <alignment horizontal="center" vertical="center" wrapText="1"/>
    </xf>
    <xf numFmtId="0" fontId="8" fillId="0" borderId="42" xfId="0" applyFont="1" applyFill="1" applyBorder="1" applyAlignment="1">
      <alignment horizontal="center" vertical="center" wrapText="1"/>
    </xf>
    <xf numFmtId="0" fontId="9" fillId="0" borderId="42" xfId="0" applyFont="1" applyBorder="1" applyAlignment="1">
      <alignment horizontal="center" vertical="center" wrapText="1"/>
    </xf>
    <xf numFmtId="4" fontId="2" fillId="0" borderId="42" xfId="0" applyNumberFormat="1" applyFont="1" applyBorder="1" applyAlignment="1">
      <alignment horizontal="center" vertical="center" wrapText="1"/>
    </xf>
    <xf numFmtId="0" fontId="2" fillId="0" borderId="42" xfId="0" applyFont="1" applyBorder="1" applyAlignment="1">
      <alignment horizontal="center" vertical="center" wrapText="1"/>
    </xf>
    <xf numFmtId="49" fontId="8" fillId="0" borderId="42" xfId="0" applyNumberFormat="1" applyFont="1" applyBorder="1" applyAlignment="1">
      <alignment horizontal="center" vertical="center" wrapText="1"/>
    </xf>
    <xf numFmtId="0" fontId="86" fillId="0" borderId="42" xfId="0" applyFont="1" applyBorder="1" applyAlignment="1">
      <alignment horizontal="center" vertical="center" wrapText="1"/>
    </xf>
    <xf numFmtId="172" fontId="2" fillId="0" borderId="42" xfId="0" applyNumberFormat="1" applyFont="1" applyBorder="1" applyAlignment="1">
      <alignment horizontal="center" vertical="center" wrapText="1"/>
    </xf>
    <xf numFmtId="4" fontId="9" fillId="0" borderId="42" xfId="62" applyNumberFormat="1" applyFont="1" applyBorder="1" applyAlignment="1">
      <alignment horizontal="center" vertical="center" wrapText="1"/>
      <protection/>
    </xf>
    <xf numFmtId="172" fontId="8" fillId="0" borderId="42" xfId="0" applyNumberFormat="1" applyFont="1" applyBorder="1" applyAlignment="1">
      <alignment horizontal="center" vertical="center" wrapText="1"/>
    </xf>
    <xf numFmtId="0" fontId="5" fillId="0" borderId="42" xfId="0" applyFont="1" applyBorder="1" applyAlignment="1">
      <alignment horizontal="center" vertical="center" wrapText="1"/>
    </xf>
    <xf numFmtId="4" fontId="86" fillId="0" borderId="42" xfId="0" applyNumberFormat="1" applyFont="1" applyBorder="1" applyAlignment="1">
      <alignment horizontal="center" vertical="center" wrapText="1"/>
    </xf>
    <xf numFmtId="0" fontId="0" fillId="0" borderId="42" xfId="0" applyBorder="1" applyAlignment="1">
      <alignment horizontal="center" vertical="center" wrapText="1"/>
    </xf>
    <xf numFmtId="0" fontId="23" fillId="0" borderId="103"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105" xfId="0" applyFont="1" applyBorder="1" applyAlignment="1">
      <alignment horizontal="center" vertical="center" wrapText="1"/>
    </xf>
    <xf numFmtId="4" fontId="23" fillId="0" borderId="106" xfId="0" applyNumberFormat="1" applyFont="1" applyBorder="1" applyAlignment="1">
      <alignment horizontal="center" vertical="center" wrapText="1"/>
    </xf>
    <xf numFmtId="0" fontId="23" fillId="0" borderId="107" xfId="0" applyFont="1" applyBorder="1" applyAlignment="1">
      <alignment horizontal="center" vertical="center" wrapText="1"/>
    </xf>
    <xf numFmtId="4" fontId="23" fillId="0" borderId="108" xfId="0" applyNumberFormat="1" applyFont="1" applyBorder="1" applyAlignment="1">
      <alignment horizontal="center" vertical="center" wrapText="1"/>
    </xf>
    <xf numFmtId="0" fontId="23" fillId="0" borderId="109" xfId="0" applyFont="1" applyBorder="1" applyAlignment="1">
      <alignment horizontal="center" vertical="center" wrapText="1"/>
    </xf>
    <xf numFmtId="0" fontId="23" fillId="0" borderId="110" xfId="0" applyFont="1" applyBorder="1" applyAlignment="1">
      <alignment horizontal="center" vertical="center" wrapText="1"/>
    </xf>
    <xf numFmtId="4" fontId="23" fillId="0" borderId="111" xfId="0" applyNumberFormat="1" applyFont="1" applyBorder="1" applyAlignment="1">
      <alignment horizontal="center" vertical="center" wrapText="1"/>
    </xf>
    <xf numFmtId="0" fontId="23" fillId="0" borderId="10" xfId="0" applyFont="1" applyBorder="1" applyAlignment="1">
      <alignment horizontal="center" vertical="center" wrapText="1"/>
    </xf>
    <xf numFmtId="4" fontId="23" fillId="0" borderId="112" xfId="0" applyNumberFormat="1" applyFont="1" applyBorder="1" applyAlignment="1">
      <alignment horizontal="center" vertical="center" wrapText="1"/>
    </xf>
    <xf numFmtId="172" fontId="23" fillId="0" borderId="57" xfId="0" applyNumberFormat="1" applyFont="1" applyBorder="1" applyAlignment="1">
      <alignment horizontal="center" vertical="center" wrapText="1"/>
    </xf>
    <xf numFmtId="0" fontId="23" fillId="0" borderId="113" xfId="0" applyFont="1" applyBorder="1" applyAlignment="1">
      <alignment horizontal="center" vertical="center" wrapText="1"/>
    </xf>
    <xf numFmtId="4" fontId="23" fillId="0" borderId="114" xfId="0" applyNumberFormat="1" applyFont="1" applyBorder="1" applyAlignment="1">
      <alignment horizontal="center" vertical="center" wrapText="1"/>
    </xf>
    <xf numFmtId="180" fontId="12" fillId="35" borderId="42" xfId="0" applyNumberFormat="1" applyFont="1" applyFill="1" applyBorder="1" applyAlignment="1">
      <alignment horizontal="center" vertical="center" wrapText="1"/>
    </xf>
    <xf numFmtId="180" fontId="12" fillId="35" borderId="65" xfId="0" applyNumberFormat="1" applyFont="1" applyFill="1" applyBorder="1" applyAlignment="1">
      <alignment horizontal="center" vertical="center" wrapText="1"/>
    </xf>
    <xf numFmtId="180" fontId="8" fillId="35" borderId="42" xfId="0" applyNumberFormat="1" applyFont="1" applyFill="1" applyBorder="1" applyAlignment="1">
      <alignment horizontal="center" vertical="center" wrapText="1"/>
    </xf>
    <xf numFmtId="0" fontId="87" fillId="0" borderId="42" xfId="0" applyFont="1" applyBorder="1" applyAlignment="1">
      <alignment wrapText="1"/>
    </xf>
    <xf numFmtId="43" fontId="8" fillId="0" borderId="42" xfId="50" applyFont="1" applyFill="1" applyBorder="1" applyAlignment="1">
      <alignment vertical="center" wrapText="1"/>
    </xf>
    <xf numFmtId="0" fontId="8" fillId="0" borderId="42" xfId="62" applyFont="1" applyFill="1" applyBorder="1" applyAlignment="1">
      <alignment vertical="center" wrapText="1"/>
      <protection/>
    </xf>
    <xf numFmtId="4" fontId="8" fillId="0" borderId="42" xfId="62" applyNumberFormat="1" applyFont="1" applyFill="1" applyBorder="1" applyAlignment="1">
      <alignment horizontal="right" vertical="center" wrapText="1"/>
      <protection/>
    </xf>
    <xf numFmtId="4" fontId="8" fillId="0" borderId="42" xfId="62" applyNumberFormat="1" applyFont="1" applyFill="1" applyBorder="1" applyAlignment="1">
      <alignment vertical="center" wrapText="1"/>
      <protection/>
    </xf>
    <xf numFmtId="0" fontId="9" fillId="0" borderId="10" xfId="62" applyFont="1" applyBorder="1" applyAlignment="1">
      <alignment vertical="center"/>
      <protection/>
    </xf>
    <xf numFmtId="0" fontId="9" fillId="0" borderId="0" xfId="57" applyFont="1">
      <alignment/>
      <protection/>
    </xf>
    <xf numFmtId="0" fontId="9" fillId="0" borderId="0" xfId="57" applyFont="1" applyAlignment="1">
      <alignment horizontal="left"/>
      <protection/>
    </xf>
    <xf numFmtId="49" fontId="11" fillId="0" borderId="0" xfId="61" applyNumberFormat="1" applyFont="1" applyAlignment="1" quotePrefix="1">
      <alignment horizontal="left" vertical="center"/>
      <protection/>
    </xf>
    <xf numFmtId="0" fontId="8" fillId="0" borderId="0" xfId="57" applyFont="1">
      <alignment/>
      <protection/>
    </xf>
    <xf numFmtId="0" fontId="8" fillId="0" borderId="16" xfId="57" applyFont="1" applyBorder="1">
      <alignment/>
      <protection/>
    </xf>
    <xf numFmtId="0" fontId="9" fillId="33" borderId="18" xfId="62" applyFont="1" applyFill="1" applyBorder="1" applyAlignment="1">
      <alignment horizontal="left" vertical="center"/>
      <protection/>
    </xf>
    <xf numFmtId="0" fontId="9" fillId="0" borderId="15" xfId="62" applyFont="1" applyBorder="1" applyAlignment="1">
      <alignment vertical="center"/>
      <protection/>
    </xf>
    <xf numFmtId="14" fontId="8" fillId="0" borderId="16" xfId="62" applyNumberFormat="1" applyFont="1" applyBorder="1" applyAlignment="1">
      <alignment horizontal="center" vertical="center"/>
      <protection/>
    </xf>
    <xf numFmtId="0" fontId="9" fillId="33" borderId="11" xfId="62" applyFont="1" applyFill="1" applyBorder="1" applyAlignment="1">
      <alignment horizontal="left" vertical="center"/>
      <protection/>
    </xf>
    <xf numFmtId="0" fontId="9" fillId="33" borderId="27" xfId="62" applyFont="1" applyFill="1" applyBorder="1" applyAlignment="1">
      <alignment horizontal="left" vertical="center"/>
      <protection/>
    </xf>
    <xf numFmtId="49" fontId="9" fillId="0" borderId="42" xfId="57" applyNumberFormat="1" applyFont="1" applyBorder="1" applyAlignment="1">
      <alignment horizontal="center" vertical="top" wrapText="1"/>
      <protection/>
    </xf>
    <xf numFmtId="0" fontId="9" fillId="0" borderId="42" xfId="62" applyFont="1" applyBorder="1" applyAlignment="1">
      <alignment horizontal="left" vertical="center" wrapText="1"/>
      <protection/>
    </xf>
    <xf numFmtId="0" fontId="9" fillId="0" borderId="42" xfId="62" applyFont="1" applyBorder="1" applyAlignment="1">
      <alignment horizontal="center" vertical="center" wrapText="1"/>
      <protection/>
    </xf>
    <xf numFmtId="171" fontId="8" fillId="0" borderId="42" xfId="51" applyFont="1" applyBorder="1" applyAlignment="1">
      <alignment horizontal="center" vertical="center" wrapText="1"/>
    </xf>
    <xf numFmtId="0" fontId="3" fillId="0" borderId="42" xfId="62" applyFont="1" applyBorder="1" applyAlignment="1">
      <alignment horizontal="left" vertical="center" wrapText="1"/>
      <protection/>
    </xf>
    <xf numFmtId="14" fontId="9" fillId="0" borderId="42" xfId="62" applyNumberFormat="1" applyFont="1" applyBorder="1" applyAlignment="1">
      <alignment vertical="center" wrapText="1"/>
      <protection/>
    </xf>
    <xf numFmtId="0" fontId="9" fillId="0" borderId="42" xfId="62" applyFont="1" applyBorder="1" applyAlignment="1">
      <alignment vertical="center" wrapText="1"/>
      <protection/>
    </xf>
    <xf numFmtId="49" fontId="8" fillId="0" borderId="42" xfId="59" applyNumberFormat="1" applyFont="1" applyBorder="1" applyAlignment="1">
      <alignment horizontal="left" vertical="top" wrapText="1"/>
      <protection/>
    </xf>
    <xf numFmtId="0" fontId="2" fillId="0" borderId="42" xfId="62" applyFont="1" applyBorder="1" applyAlignment="1">
      <alignment horizontal="left" vertical="center" wrapText="1"/>
      <protection/>
    </xf>
    <xf numFmtId="15" fontId="8" fillId="0" borderId="42" xfId="62" applyNumberFormat="1" applyFont="1" applyBorder="1" applyAlignment="1">
      <alignment horizontal="center" vertical="center" wrapText="1"/>
      <protection/>
    </xf>
    <xf numFmtId="14" fontId="8" fillId="0" borderId="42" xfId="62" applyNumberFormat="1" applyFont="1" applyBorder="1" applyAlignment="1">
      <alignment horizontal="center" vertical="center" wrapText="1"/>
      <protection/>
    </xf>
    <xf numFmtId="43" fontId="8" fillId="0" borderId="42" xfId="50" applyFont="1" applyBorder="1" applyAlignment="1">
      <alignment vertical="center" wrapText="1"/>
    </xf>
    <xf numFmtId="0" fontId="9" fillId="36" borderId="42" xfId="62" applyFont="1" applyFill="1" applyBorder="1" applyAlignment="1">
      <alignment horizontal="center" vertical="center" wrapText="1"/>
      <protection/>
    </xf>
    <xf numFmtId="0" fontId="9" fillId="36" borderId="42" xfId="62" applyFont="1" applyFill="1" applyBorder="1" applyAlignment="1">
      <alignment horizontal="left" vertical="center" wrapText="1"/>
      <protection/>
    </xf>
    <xf numFmtId="171" fontId="9" fillId="36" borderId="42" xfId="51" applyFont="1" applyFill="1" applyBorder="1" applyAlignment="1">
      <alignment horizontal="center" vertical="center" wrapText="1"/>
    </xf>
    <xf numFmtId="0" fontId="3" fillId="36" borderId="42" xfId="57" applyFont="1" applyFill="1" applyBorder="1" applyAlignment="1">
      <alignment horizontal="left" wrapText="1"/>
      <protection/>
    </xf>
    <xf numFmtId="14" fontId="9" fillId="36" borderId="42" xfId="62" applyNumberFormat="1" applyFont="1" applyFill="1" applyBorder="1" applyAlignment="1">
      <alignment vertical="center" wrapText="1"/>
      <protection/>
    </xf>
    <xf numFmtId="14" fontId="9" fillId="36" borderId="42" xfId="62" applyNumberFormat="1" applyFont="1" applyFill="1" applyBorder="1" applyAlignment="1">
      <alignment horizontal="center" vertical="center" wrapText="1"/>
      <protection/>
    </xf>
    <xf numFmtId="0" fontId="8" fillId="36" borderId="42" xfId="62" applyFont="1" applyFill="1" applyBorder="1" applyAlignment="1">
      <alignment vertical="center" wrapText="1"/>
      <protection/>
    </xf>
    <xf numFmtId="49" fontId="9" fillId="35" borderId="42" xfId="57" applyNumberFormat="1" applyFont="1" applyFill="1" applyBorder="1" applyAlignment="1">
      <alignment horizontal="center" vertical="top" wrapText="1"/>
      <protection/>
    </xf>
    <xf numFmtId="0" fontId="8" fillId="0" borderId="42" xfId="55" applyFont="1" applyBorder="1" applyAlignment="1">
      <alignment wrapText="1"/>
      <protection/>
    </xf>
    <xf numFmtId="43" fontId="8" fillId="0" borderId="42" xfId="50" applyFont="1" applyBorder="1" applyAlignment="1">
      <alignment horizontal="center" vertical="center" wrapText="1"/>
    </xf>
    <xf numFmtId="0" fontId="4" fillId="0" borderId="0" xfId="62" applyFont="1" applyFill="1" applyAlignment="1">
      <alignment vertical="center"/>
      <protection/>
    </xf>
    <xf numFmtId="0" fontId="4" fillId="0" borderId="0" xfId="0" applyFont="1" applyBorder="1" applyAlignment="1">
      <alignment/>
    </xf>
    <xf numFmtId="0" fontId="4" fillId="0" borderId="0" xfId="0" applyFont="1" applyAlignment="1">
      <alignment/>
    </xf>
    <xf numFmtId="49" fontId="25" fillId="0" borderId="0" xfId="61" applyNumberFormat="1" applyFont="1" applyFill="1" applyAlignment="1" quotePrefix="1">
      <alignment horizontal="left" vertical="center"/>
      <protection/>
    </xf>
    <xf numFmtId="0" fontId="4" fillId="38" borderId="19" xfId="62" applyFont="1" applyFill="1" applyBorder="1" applyAlignment="1">
      <alignment horizontal="center" vertical="center"/>
      <protection/>
    </xf>
    <xf numFmtId="0" fontId="4" fillId="0" borderId="42" xfId="62" applyFont="1" applyFill="1" applyBorder="1" applyAlignment="1">
      <alignment horizontal="left" vertical="center" wrapText="1"/>
      <protection/>
    </xf>
    <xf numFmtId="178" fontId="4" fillId="0" borderId="42" xfId="62" applyNumberFormat="1" applyFont="1" applyFill="1" applyBorder="1" applyAlignment="1">
      <alignment horizontal="center" vertical="center" wrapText="1"/>
      <protection/>
    </xf>
    <xf numFmtId="0" fontId="4" fillId="0" borderId="42" xfId="62" applyFont="1" applyFill="1" applyBorder="1" applyAlignment="1">
      <alignment vertical="center" wrapText="1"/>
      <protection/>
    </xf>
    <xf numFmtId="14" fontId="4" fillId="0" borderId="42" xfId="62" applyNumberFormat="1" applyFont="1" applyFill="1" applyBorder="1" applyAlignment="1">
      <alignment vertical="center" wrapText="1"/>
      <protection/>
    </xf>
    <xf numFmtId="0" fontId="4" fillId="0" borderId="42" xfId="62" applyFont="1" applyBorder="1" applyAlignment="1">
      <alignment horizontal="left" vertical="center" wrapText="1"/>
      <protection/>
    </xf>
    <xf numFmtId="0" fontId="4" fillId="0" borderId="42" xfId="62" applyFont="1" applyBorder="1" applyAlignment="1">
      <alignment horizontal="center" vertical="center" wrapText="1"/>
      <protection/>
    </xf>
    <xf numFmtId="178" fontId="4" fillId="0" borderId="42" xfId="62" applyNumberFormat="1" applyFont="1" applyBorder="1" applyAlignment="1">
      <alignment horizontal="center" vertical="center" wrapText="1"/>
      <protection/>
    </xf>
    <xf numFmtId="0" fontId="4" fillId="0" borderId="42" xfId="62" applyFont="1" applyBorder="1" applyAlignment="1">
      <alignment vertical="center" wrapText="1"/>
      <protection/>
    </xf>
    <xf numFmtId="0" fontId="4" fillId="33" borderId="42" xfId="62" applyFont="1" applyFill="1" applyBorder="1" applyAlignment="1">
      <alignment horizontal="center" vertical="center"/>
      <protection/>
    </xf>
    <xf numFmtId="178" fontId="4" fillId="33" borderId="42" xfId="62" applyNumberFormat="1" applyFont="1" applyFill="1" applyBorder="1" applyAlignment="1">
      <alignment horizontal="center" vertical="center"/>
      <protection/>
    </xf>
    <xf numFmtId="0" fontId="4" fillId="33" borderId="42" xfId="62" applyFont="1" applyFill="1" applyBorder="1" applyAlignment="1">
      <alignment vertical="center"/>
      <protection/>
    </xf>
    <xf numFmtId="0" fontId="4" fillId="33" borderId="42" xfId="62" applyFont="1" applyFill="1" applyBorder="1" applyAlignment="1">
      <alignment horizontal="center" vertical="center" wrapText="1"/>
      <protection/>
    </xf>
    <xf numFmtId="0" fontId="4" fillId="0" borderId="42" xfId="62" applyFont="1" applyFill="1" applyBorder="1" applyAlignment="1">
      <alignment horizontal="center" vertical="center" wrapText="1"/>
      <protection/>
    </xf>
    <xf numFmtId="170" fontId="4" fillId="0" borderId="42" xfId="62" applyNumberFormat="1" applyFont="1" applyFill="1" applyBorder="1" applyAlignment="1">
      <alignment horizontal="center" vertical="center" wrapText="1"/>
      <protection/>
    </xf>
    <xf numFmtId="17" fontId="4" fillId="0" borderId="42" xfId="62" applyNumberFormat="1" applyFont="1" applyFill="1" applyBorder="1" applyAlignment="1">
      <alignment horizontal="center" vertical="center" wrapText="1"/>
      <protection/>
    </xf>
    <xf numFmtId="14" fontId="4" fillId="0" borderId="42" xfId="62" applyNumberFormat="1" applyFont="1" applyFill="1" applyBorder="1" applyAlignment="1">
      <alignment horizontal="center" vertical="center" wrapText="1"/>
      <protection/>
    </xf>
    <xf numFmtId="0" fontId="4" fillId="0" borderId="42" xfId="0" applyFont="1" applyBorder="1" applyAlignment="1">
      <alignment horizontal="center" vertical="center" wrapText="1"/>
    </xf>
    <xf numFmtId="0" fontId="4" fillId="0" borderId="42" xfId="62" applyFont="1" applyFill="1" applyBorder="1" applyAlignment="1">
      <alignment horizontal="center" vertical="center"/>
      <protection/>
    </xf>
    <xf numFmtId="182" fontId="4" fillId="0" borderId="42" xfId="62" applyNumberFormat="1" applyFont="1" applyFill="1" applyBorder="1" applyAlignment="1">
      <alignment horizontal="center" vertical="center"/>
      <protection/>
    </xf>
    <xf numFmtId="14" fontId="4" fillId="0" borderId="42" xfId="62" applyNumberFormat="1" applyFont="1" applyFill="1" applyBorder="1" applyAlignment="1">
      <alignment horizontal="center" vertical="center"/>
      <protection/>
    </xf>
    <xf numFmtId="0" fontId="8" fillId="0" borderId="15" xfId="62" applyFont="1" applyBorder="1" applyAlignment="1">
      <alignment horizontal="justify" vertical="center"/>
      <protection/>
    </xf>
    <xf numFmtId="0" fontId="8" fillId="0" borderId="16" xfId="62" applyFont="1" applyBorder="1" applyAlignment="1">
      <alignment horizontal="justify" vertical="center"/>
      <protection/>
    </xf>
    <xf numFmtId="0" fontId="8" fillId="0" borderId="0" xfId="62" applyFont="1" applyAlignment="1">
      <alignment horizontal="justify" vertical="center"/>
      <protection/>
    </xf>
    <xf numFmtId="178" fontId="8" fillId="0" borderId="10" xfId="62" applyNumberFormat="1" applyFont="1" applyBorder="1" applyAlignment="1">
      <alignment horizontal="right" vertical="center"/>
      <protection/>
    </xf>
    <xf numFmtId="0" fontId="8" fillId="0" borderId="10" xfId="62" applyFont="1" applyBorder="1" applyAlignment="1">
      <alignment horizontal="justify" vertical="center"/>
      <protection/>
    </xf>
    <xf numFmtId="0" fontId="8" fillId="0" borderId="0" xfId="62" applyFont="1" applyAlignment="1">
      <alignment horizontal="center" vertical="center"/>
      <protection/>
    </xf>
    <xf numFmtId="0" fontId="8" fillId="0" borderId="27" xfId="62" applyFont="1" applyBorder="1" applyAlignment="1">
      <alignment horizontal="justify" vertical="center"/>
      <protection/>
    </xf>
    <xf numFmtId="178" fontId="9" fillId="40" borderId="24" xfId="62" applyNumberFormat="1" applyFont="1" applyFill="1" applyBorder="1" applyAlignment="1">
      <alignment horizontal="center" vertical="center"/>
      <protection/>
    </xf>
    <xf numFmtId="14" fontId="4" fillId="0" borderId="42" xfId="62" applyNumberFormat="1" applyFont="1" applyBorder="1" applyAlignment="1">
      <alignment horizontal="center" vertical="center" wrapText="1"/>
      <protection/>
    </xf>
    <xf numFmtId="0" fontId="26" fillId="0" borderId="42" xfId="62" applyFont="1" applyBorder="1" applyAlignment="1">
      <alignment horizontal="center" vertical="center" wrapText="1"/>
      <protection/>
    </xf>
    <xf numFmtId="178" fontId="9" fillId="40" borderId="22" xfId="62" applyNumberFormat="1" applyFont="1" applyFill="1" applyBorder="1" applyAlignment="1">
      <alignment horizontal="center" vertical="center"/>
      <protection/>
    </xf>
    <xf numFmtId="0" fontId="8" fillId="0" borderId="42" xfId="62" applyFont="1" applyBorder="1" applyAlignment="1">
      <alignment horizontal="justify" vertical="center"/>
      <protection/>
    </xf>
    <xf numFmtId="178" fontId="8" fillId="0" borderId="42" xfId="62" applyNumberFormat="1" applyFont="1" applyBorder="1" applyAlignment="1">
      <alignment horizontal="right" vertical="center"/>
      <protection/>
    </xf>
    <xf numFmtId="14" fontId="8" fillId="0" borderId="42" xfId="62" applyNumberFormat="1" applyFont="1" applyBorder="1" applyAlignment="1">
      <alignment horizontal="center" vertical="center"/>
      <protection/>
    </xf>
    <xf numFmtId="0" fontId="9" fillId="0" borderId="42" xfId="62" applyFont="1" applyBorder="1" applyAlignment="1">
      <alignment vertical="center"/>
      <protection/>
    </xf>
    <xf numFmtId="0" fontId="8" fillId="0" borderId="42" xfId="55" applyFont="1" applyBorder="1">
      <alignment/>
      <protection/>
    </xf>
    <xf numFmtId="0" fontId="26" fillId="0" borderId="0" xfId="62" applyFont="1" applyFill="1" applyAlignment="1">
      <alignment vertical="center"/>
      <protection/>
    </xf>
    <xf numFmtId="0" fontId="4" fillId="33" borderId="89" xfId="62" applyFont="1" applyFill="1" applyBorder="1" applyAlignment="1">
      <alignment horizontal="center" vertical="center"/>
      <protection/>
    </xf>
    <xf numFmtId="0" fontId="4" fillId="35" borderId="0" xfId="62" applyFont="1" applyFill="1" applyBorder="1" applyAlignment="1">
      <alignment horizontal="center" vertical="center"/>
      <protection/>
    </xf>
    <xf numFmtId="0" fontId="4" fillId="0" borderId="47" xfId="62" applyFont="1" applyFill="1" applyBorder="1" applyAlignment="1">
      <alignment horizontal="left" vertical="center" wrapText="1"/>
      <protection/>
    </xf>
    <xf numFmtId="178" fontId="4" fillId="0" borderId="47" xfId="62" applyNumberFormat="1" applyFont="1" applyFill="1" applyBorder="1" applyAlignment="1">
      <alignment horizontal="center" vertical="center" wrapText="1"/>
      <protection/>
    </xf>
    <xf numFmtId="0" fontId="4" fillId="0" borderId="47" xfId="62" applyFont="1" applyFill="1" applyBorder="1" applyAlignment="1">
      <alignment vertical="center" wrapText="1"/>
      <protection/>
    </xf>
    <xf numFmtId="14" fontId="4" fillId="0" borderId="47" xfId="62" applyNumberFormat="1" applyFont="1" applyFill="1" applyBorder="1" applyAlignment="1">
      <alignment vertical="center" wrapText="1"/>
      <protection/>
    </xf>
    <xf numFmtId="0" fontId="4" fillId="38" borderId="17" xfId="62" applyFont="1" applyFill="1" applyBorder="1" applyAlignment="1">
      <alignment horizontal="center" vertical="center" wrapText="1"/>
      <protection/>
    </xf>
    <xf numFmtId="0" fontId="4" fillId="38" borderId="18" xfId="62" applyFont="1" applyFill="1" applyBorder="1" applyAlignment="1">
      <alignment horizontal="center" vertical="center" wrapText="1"/>
      <protection/>
    </xf>
    <xf numFmtId="0" fontId="9" fillId="33" borderId="0" xfId="62" applyFont="1" applyFill="1" applyBorder="1" applyAlignment="1">
      <alignment horizontal="center" vertical="center"/>
      <protection/>
    </xf>
    <xf numFmtId="0" fontId="9" fillId="38" borderId="15" xfId="62" applyFont="1" applyFill="1" applyBorder="1" applyAlignment="1">
      <alignment horizontal="center" vertical="center" wrapText="1"/>
      <protection/>
    </xf>
    <xf numFmtId="0" fontId="9" fillId="38" borderId="42" xfId="62" applyFont="1" applyFill="1" applyBorder="1" applyAlignment="1">
      <alignment horizontal="center" vertical="center" wrapText="1"/>
      <protection/>
    </xf>
    <xf numFmtId="0" fontId="4" fillId="0" borderId="0" xfId="55" applyFont="1" applyBorder="1" applyAlignment="1">
      <alignment horizontal="center" wrapText="1"/>
      <protection/>
    </xf>
    <xf numFmtId="178" fontId="4" fillId="0" borderId="52" xfId="62" applyNumberFormat="1" applyFont="1" applyBorder="1" applyAlignment="1">
      <alignment horizontal="center" vertical="center" wrapText="1"/>
      <protection/>
    </xf>
    <xf numFmtId="178" fontId="26" fillId="40" borderId="52" xfId="62" applyNumberFormat="1" applyFont="1" applyFill="1" applyBorder="1" applyAlignment="1">
      <alignment horizontal="center" vertical="center" wrapText="1"/>
      <protection/>
    </xf>
    <xf numFmtId="178" fontId="26" fillId="38" borderId="26" xfId="62" applyNumberFormat="1" applyFont="1" applyFill="1" applyBorder="1" applyAlignment="1">
      <alignment horizontal="right" vertical="center"/>
      <protection/>
    </xf>
    <xf numFmtId="15" fontId="26" fillId="38" borderId="26" xfId="62" applyNumberFormat="1" applyFont="1" applyFill="1" applyBorder="1" applyAlignment="1">
      <alignment horizontal="center" vertical="center"/>
      <protection/>
    </xf>
    <xf numFmtId="0" fontId="26" fillId="38" borderId="26" xfId="62" applyFont="1" applyFill="1" applyBorder="1" applyAlignment="1">
      <alignment horizontal="center" vertical="center"/>
      <protection/>
    </xf>
    <xf numFmtId="178" fontId="26" fillId="38" borderId="15" xfId="62" applyNumberFormat="1" applyFont="1" applyFill="1" applyBorder="1" applyAlignment="1">
      <alignment horizontal="right" vertical="center"/>
      <protection/>
    </xf>
    <xf numFmtId="0" fontId="26" fillId="38" borderId="15" xfId="62" applyFont="1" applyFill="1" applyBorder="1" applyAlignment="1">
      <alignment horizontal="center" vertical="center"/>
      <protection/>
    </xf>
    <xf numFmtId="0" fontId="4" fillId="0" borderId="17" xfId="62" applyFont="1" applyBorder="1" applyAlignment="1">
      <alignment horizontal="center" vertical="center"/>
      <protection/>
    </xf>
    <xf numFmtId="0" fontId="4" fillId="35" borderId="17"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4" fontId="4" fillId="0" borderId="17" xfId="62"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0" fontId="4" fillId="0" borderId="24" xfId="0" applyFont="1" applyBorder="1" applyAlignment="1">
      <alignment horizontal="center" vertical="center" wrapText="1"/>
    </xf>
    <xf numFmtId="178" fontId="4" fillId="0" borderId="17" xfId="0" applyNumberFormat="1" applyFont="1" applyBorder="1" applyAlignment="1">
      <alignment horizontal="center" vertical="center"/>
    </xf>
    <xf numFmtId="0" fontId="4" fillId="35" borderId="24" xfId="0" applyFont="1" applyFill="1" applyBorder="1" applyAlignment="1">
      <alignment horizontal="center" vertical="center" wrapText="1"/>
    </xf>
    <xf numFmtId="178" fontId="4" fillId="35" borderId="17" xfId="0" applyNumberFormat="1" applyFont="1" applyFill="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wrapText="1"/>
    </xf>
    <xf numFmtId="0" fontId="4" fillId="0" borderId="15" xfId="0" applyFont="1" applyBorder="1" applyAlignment="1">
      <alignment horizontal="center" vertical="center"/>
    </xf>
    <xf numFmtId="178" fontId="4" fillId="0" borderId="15" xfId="0" applyNumberFormat="1" applyFont="1" applyBorder="1" applyAlignment="1">
      <alignment horizontal="center" vertical="center"/>
    </xf>
    <xf numFmtId="0" fontId="4" fillId="0" borderId="10" xfId="0" applyFont="1" applyBorder="1" applyAlignment="1">
      <alignment horizontal="center" vertical="center"/>
    </xf>
    <xf numFmtId="0" fontId="88" fillId="35" borderId="42" xfId="0" applyFont="1" applyFill="1" applyBorder="1" applyAlignment="1">
      <alignment horizontal="center" vertical="center" wrapText="1"/>
    </xf>
    <xf numFmtId="0" fontId="74" fillId="35" borderId="42" xfId="0" applyFont="1" applyFill="1" applyBorder="1" applyAlignment="1">
      <alignment horizontal="center" vertical="center" wrapText="1"/>
    </xf>
    <xf numFmtId="3" fontId="8" fillId="0" borderId="0" xfId="62" applyNumberFormat="1" applyFont="1" applyBorder="1" applyAlignment="1">
      <alignment vertical="center"/>
      <protection/>
    </xf>
    <xf numFmtId="3" fontId="0" fillId="0" borderId="0" xfId="62" applyNumberFormat="1" applyFont="1" applyBorder="1" applyAlignment="1">
      <alignment vertical="center"/>
      <protection/>
    </xf>
    <xf numFmtId="3" fontId="3" fillId="33" borderId="0" xfId="62" applyNumberFormat="1" applyFont="1" applyFill="1" applyBorder="1" applyAlignment="1">
      <alignment vertical="center"/>
      <protection/>
    </xf>
    <xf numFmtId="3" fontId="3" fillId="33" borderId="25" xfId="62" applyNumberFormat="1" applyFont="1" applyFill="1" applyBorder="1" applyAlignment="1">
      <alignment vertical="center"/>
      <protection/>
    </xf>
    <xf numFmtId="0" fontId="0" fillId="35" borderId="52" xfId="0" applyFont="1" applyFill="1" applyBorder="1" applyAlignment="1">
      <alignment horizontal="left" vertical="center" wrapText="1"/>
    </xf>
    <xf numFmtId="0" fontId="0" fillId="35" borderId="68" xfId="0" applyFont="1" applyFill="1" applyBorder="1" applyAlignment="1">
      <alignment horizontal="left" vertical="center" wrapText="1"/>
    </xf>
    <xf numFmtId="0" fontId="0" fillId="35" borderId="51" xfId="0" applyFont="1" applyFill="1" applyBorder="1" applyAlignment="1">
      <alignment horizontal="left" vertical="center" wrapText="1"/>
    </xf>
    <xf numFmtId="0" fontId="2" fillId="0" borderId="9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92" xfId="0" applyFont="1" applyBorder="1" applyAlignment="1">
      <alignment horizontal="center" vertical="center"/>
    </xf>
    <xf numFmtId="0" fontId="2" fillId="0" borderId="15" xfId="0" applyFont="1" applyBorder="1" applyAlignment="1">
      <alignment horizontal="center" vertical="center"/>
    </xf>
    <xf numFmtId="0" fontId="2" fillId="0" borderId="40" xfId="0" applyFont="1" applyBorder="1" applyAlignment="1">
      <alignment horizontal="center" vertical="center"/>
    </xf>
    <xf numFmtId="0" fontId="2" fillId="0" borderId="7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90" xfId="0" applyFont="1" applyBorder="1" applyAlignment="1">
      <alignment horizontal="center" vertical="center" wrapText="1"/>
    </xf>
    <xf numFmtId="0" fontId="5" fillId="38" borderId="116" xfId="0" applyFont="1" applyFill="1" applyBorder="1" applyAlignment="1">
      <alignment horizontal="center" vertical="center" wrapText="1"/>
    </xf>
    <xf numFmtId="0" fontId="5" fillId="38" borderId="75" xfId="0" applyFont="1" applyFill="1" applyBorder="1" applyAlignment="1">
      <alignment horizontal="center" vertical="center" wrapText="1"/>
    </xf>
    <xf numFmtId="0" fontId="5" fillId="38" borderId="37" xfId="0" applyFont="1" applyFill="1" applyBorder="1" applyAlignment="1">
      <alignment horizontal="center" vertical="center" wrapText="1"/>
    </xf>
    <xf numFmtId="0" fontId="5" fillId="38" borderId="29" xfId="0" applyFont="1" applyFill="1" applyBorder="1" applyAlignment="1">
      <alignment horizontal="center" vertical="center" wrapText="1"/>
    </xf>
    <xf numFmtId="0" fontId="5" fillId="38" borderId="95" xfId="0" applyFont="1" applyFill="1" applyBorder="1" applyAlignment="1">
      <alignment horizontal="center" vertical="center" wrapText="1"/>
    </xf>
    <xf numFmtId="0" fontId="5" fillId="38" borderId="47" xfId="0" applyFont="1" applyFill="1" applyBorder="1" applyAlignment="1">
      <alignment horizontal="center" vertical="center" wrapText="1"/>
    </xf>
    <xf numFmtId="49" fontId="5" fillId="38" borderId="26" xfId="63" applyNumberFormat="1" applyFont="1" applyFill="1" applyBorder="1" applyAlignment="1" applyProtection="1">
      <alignment horizontal="center" vertical="center" textRotation="90" wrapText="1"/>
      <protection/>
    </xf>
    <xf numFmtId="49" fontId="5" fillId="38" borderId="27" xfId="63" applyNumberFormat="1" applyFont="1" applyFill="1" applyBorder="1" applyAlignment="1" applyProtection="1">
      <alignment horizontal="center" vertical="center" textRotation="90" wrapText="1"/>
      <protection/>
    </xf>
    <xf numFmtId="49" fontId="5" fillId="38" borderId="19" xfId="63" applyFont="1" applyFill="1" applyBorder="1" applyAlignment="1">
      <alignment horizontal="center" vertical="center" wrapText="1"/>
      <protection/>
    </xf>
    <xf numFmtId="49" fontId="5" fillId="38" borderId="91" xfId="63" applyFont="1" applyFill="1" applyBorder="1" applyAlignment="1">
      <alignment horizontal="center" vertical="center" wrapText="1"/>
      <protection/>
    </xf>
    <xf numFmtId="49" fontId="5" fillId="38" borderId="20" xfId="63" applyFont="1" applyFill="1" applyBorder="1" applyAlignment="1">
      <alignment horizontal="center" vertical="center" wrapText="1"/>
      <protection/>
    </xf>
    <xf numFmtId="49" fontId="5" fillId="38" borderId="20" xfId="63" applyNumberFormat="1" applyFont="1" applyFill="1" applyBorder="1" applyAlignment="1" applyProtection="1">
      <alignment horizontal="center" vertical="center" wrapText="1"/>
      <protection/>
    </xf>
    <xf numFmtId="49" fontId="5" fillId="38" borderId="11" xfId="63" applyNumberFormat="1" applyFont="1" applyFill="1" applyBorder="1" applyAlignment="1" applyProtection="1">
      <alignment horizontal="center" vertical="center" wrapText="1"/>
      <protection/>
    </xf>
    <xf numFmtId="49" fontId="5" fillId="0" borderId="26" xfId="63" applyFont="1" applyBorder="1" applyAlignment="1">
      <alignment horizontal="center" vertical="center" textRotation="90" wrapText="1"/>
      <protection/>
    </xf>
    <xf numFmtId="49" fontId="5" fillId="0" borderId="15" xfId="63" applyFont="1" applyBorder="1" applyAlignment="1">
      <alignment horizontal="center" vertical="center" textRotation="90" wrapText="1"/>
      <protection/>
    </xf>
    <xf numFmtId="49" fontId="5" fillId="0" borderId="27" xfId="63" applyFont="1" applyBorder="1" applyAlignment="1">
      <alignment horizontal="center" vertical="center" textRotation="90" wrapText="1"/>
      <protection/>
    </xf>
    <xf numFmtId="0" fontId="5" fillId="38" borderId="26" xfId="0" applyFont="1" applyFill="1" applyBorder="1" applyAlignment="1">
      <alignment horizontal="center" vertical="center"/>
    </xf>
    <xf numFmtId="0" fontId="5" fillId="38" borderId="27" xfId="0" applyFont="1" applyFill="1" applyBorder="1" applyAlignment="1">
      <alignment horizontal="center" vertical="center"/>
    </xf>
    <xf numFmtId="0" fontId="5" fillId="38" borderId="19" xfId="0" applyFont="1" applyFill="1" applyBorder="1" applyAlignment="1">
      <alignment horizontal="center" wrapText="1"/>
    </xf>
    <xf numFmtId="0" fontId="5" fillId="38" borderId="91" xfId="0" applyFont="1" applyFill="1" applyBorder="1" applyAlignment="1">
      <alignment horizontal="center" wrapText="1"/>
    </xf>
    <xf numFmtId="0" fontId="5" fillId="38" borderId="24" xfId="0" applyFont="1" applyFill="1" applyBorder="1" applyAlignment="1">
      <alignment horizontal="center" wrapText="1"/>
    </xf>
    <xf numFmtId="0" fontId="5" fillId="38" borderId="25" xfId="0" applyFont="1" applyFill="1" applyBorder="1" applyAlignment="1">
      <alignment horizontal="center" wrapText="1"/>
    </xf>
    <xf numFmtId="0" fontId="5" fillId="38" borderId="18" xfId="0" applyFont="1" applyFill="1" applyBorder="1" applyAlignment="1">
      <alignment horizontal="center" wrapText="1"/>
    </xf>
    <xf numFmtId="0" fontId="5" fillId="38" borderId="16" xfId="0" applyFont="1" applyFill="1" applyBorder="1" applyAlignment="1">
      <alignment horizontal="center" vertical="center"/>
    </xf>
    <xf numFmtId="0" fontId="27" fillId="38" borderId="24" xfId="0" applyFont="1" applyFill="1" applyBorder="1" applyAlignment="1">
      <alignment horizontal="center"/>
    </xf>
    <xf numFmtId="0" fontId="27" fillId="38" borderId="18" xfId="0" applyFont="1" applyFill="1" applyBorder="1" applyAlignment="1">
      <alignment horizontal="center"/>
    </xf>
    <xf numFmtId="0" fontId="27" fillId="38" borderId="17" xfId="0" applyFont="1" applyFill="1" applyBorder="1" applyAlignment="1">
      <alignment horizontal="center"/>
    </xf>
    <xf numFmtId="0" fontId="27" fillId="38" borderId="25" xfId="0" applyFont="1" applyFill="1" applyBorder="1" applyAlignment="1">
      <alignment horizontal="center"/>
    </xf>
    <xf numFmtId="0" fontId="27" fillId="38" borderId="17" xfId="0" applyFont="1" applyFill="1" applyBorder="1" applyAlignment="1">
      <alignment horizontal="center" vertical="center"/>
    </xf>
    <xf numFmtId="0" fontId="27" fillId="38" borderId="27" xfId="0" applyFont="1" applyFill="1" applyBorder="1" applyAlignment="1">
      <alignment horizontal="center" vertical="center"/>
    </xf>
    <xf numFmtId="49" fontId="9" fillId="38" borderId="46" xfId="63" applyFont="1" applyFill="1" applyBorder="1" applyAlignment="1">
      <alignment horizontal="center" vertical="center" wrapText="1"/>
      <protection/>
    </xf>
    <xf numFmtId="49" fontId="9" fillId="38" borderId="77" xfId="63" applyFont="1" applyFill="1" applyBorder="1" applyAlignment="1">
      <alignment horizontal="center" vertical="center" wrapText="1"/>
      <protection/>
    </xf>
    <xf numFmtId="0" fontId="9" fillId="38" borderId="26" xfId="0" applyFont="1" applyFill="1" applyBorder="1" applyAlignment="1">
      <alignment horizontal="center" vertical="center"/>
    </xf>
    <xf numFmtId="0" fontId="9" fillId="38" borderId="27" xfId="0" applyFont="1" applyFill="1" applyBorder="1" applyAlignment="1">
      <alignment horizontal="center" vertical="center"/>
    </xf>
    <xf numFmtId="49" fontId="9" fillId="38" borderId="74" xfId="63" applyFont="1" applyFill="1" applyBorder="1" applyAlignment="1">
      <alignment horizontal="center" vertical="center"/>
      <protection/>
    </xf>
    <xf numFmtId="49" fontId="9" fillId="38" borderId="46" xfId="63" applyFont="1" applyFill="1" applyBorder="1" applyAlignment="1">
      <alignment horizontal="center" vertical="center"/>
      <protection/>
    </xf>
    <xf numFmtId="49" fontId="9" fillId="38" borderId="77" xfId="63" applyFont="1" applyFill="1" applyBorder="1" applyAlignment="1">
      <alignment horizontal="center" vertical="center"/>
      <protection/>
    </xf>
    <xf numFmtId="49" fontId="9" fillId="38" borderId="74" xfId="63" applyFont="1" applyFill="1" applyBorder="1" applyAlignment="1">
      <alignment horizontal="center" vertical="center" wrapText="1"/>
      <protection/>
    </xf>
    <xf numFmtId="49" fontId="9" fillId="38" borderId="75" xfId="63" applyFont="1" applyFill="1" applyBorder="1" applyAlignment="1">
      <alignment horizontal="center" vertical="center" wrapText="1"/>
      <protection/>
    </xf>
    <xf numFmtId="0" fontId="9" fillId="38" borderId="26" xfId="0" applyFont="1" applyFill="1" applyBorder="1" applyAlignment="1">
      <alignment horizontal="center" vertical="center" wrapText="1"/>
    </xf>
    <xf numFmtId="0" fontId="9" fillId="38" borderId="27" xfId="0" applyFont="1" applyFill="1" applyBorder="1" applyAlignment="1">
      <alignment horizontal="center" vertical="center" wrapText="1"/>
    </xf>
    <xf numFmtId="0" fontId="5" fillId="38" borderId="88" xfId="62" applyFont="1" applyFill="1" applyBorder="1" applyAlignment="1">
      <alignment horizontal="center" vertical="center"/>
      <protection/>
    </xf>
    <xf numFmtId="0" fontId="5" fillId="38" borderId="67" xfId="62" applyFont="1" applyFill="1" applyBorder="1" applyAlignment="1">
      <alignment horizontal="center" vertical="center"/>
      <protection/>
    </xf>
    <xf numFmtId="0" fontId="5" fillId="38" borderId="87" xfId="62" applyFont="1" applyFill="1" applyBorder="1" applyAlignment="1">
      <alignment horizontal="center" vertical="center"/>
      <protection/>
    </xf>
    <xf numFmtId="0" fontId="9" fillId="38" borderId="91" xfId="62" applyFont="1" applyFill="1" applyBorder="1" applyAlignment="1">
      <alignment horizontal="center" vertical="center"/>
      <protection/>
    </xf>
    <xf numFmtId="0" fontId="9" fillId="38" borderId="24" xfId="62" applyFont="1" applyFill="1" applyBorder="1" applyAlignment="1">
      <alignment horizontal="center" vertical="center"/>
      <protection/>
    </xf>
    <xf numFmtId="0" fontId="9" fillId="38" borderId="25" xfId="62" applyFont="1" applyFill="1" applyBorder="1" applyAlignment="1">
      <alignment horizontal="center" vertical="center"/>
      <protection/>
    </xf>
    <xf numFmtId="0" fontId="9" fillId="38" borderId="18" xfId="62" applyFont="1" applyFill="1" applyBorder="1" applyAlignment="1">
      <alignment horizontal="center" vertical="center"/>
      <protection/>
    </xf>
    <xf numFmtId="0" fontId="9" fillId="38" borderId="15" xfId="0" applyFont="1" applyFill="1" applyBorder="1" applyAlignment="1">
      <alignment horizontal="center" vertical="center" wrapText="1"/>
    </xf>
    <xf numFmtId="0" fontId="8" fillId="38" borderId="15" xfId="0" applyFont="1" applyFill="1" applyBorder="1" applyAlignment="1">
      <alignment horizontal="center" vertical="center" wrapText="1"/>
    </xf>
    <xf numFmtId="0" fontId="9" fillId="38" borderId="25" xfId="0" applyFont="1" applyFill="1" applyBorder="1" applyAlignment="1">
      <alignment horizontal="center"/>
    </xf>
    <xf numFmtId="0" fontId="9" fillId="38" borderId="24" xfId="0" applyFont="1" applyFill="1" applyBorder="1" applyAlignment="1">
      <alignment horizontal="center"/>
    </xf>
    <xf numFmtId="0" fontId="9" fillId="38" borderId="18" xfId="0" applyFont="1" applyFill="1" applyBorder="1" applyAlignment="1">
      <alignment horizontal="center"/>
    </xf>
    <xf numFmtId="0" fontId="9" fillId="38" borderId="24" xfId="0" applyFont="1" applyFill="1" applyBorder="1" applyAlignment="1">
      <alignment horizontal="center" wrapText="1"/>
    </xf>
    <xf numFmtId="0" fontId="9" fillId="38" borderId="18" xfId="0" applyFont="1" applyFill="1" applyBorder="1" applyAlignment="1">
      <alignment horizontal="center" wrapText="1"/>
    </xf>
    <xf numFmtId="0" fontId="9" fillId="38" borderId="26" xfId="55" applyFont="1" applyFill="1" applyBorder="1" applyAlignment="1">
      <alignment horizontal="center" vertical="center" wrapText="1"/>
      <protection/>
    </xf>
    <xf numFmtId="0" fontId="9" fillId="38" borderId="15" xfId="55" applyFont="1" applyFill="1" applyBorder="1" applyAlignment="1">
      <alignment horizontal="center" vertical="center" wrapText="1"/>
      <protection/>
    </xf>
    <xf numFmtId="0" fontId="8" fillId="38" borderId="27" xfId="55" applyFont="1" applyFill="1" applyBorder="1" applyAlignment="1">
      <alignment horizontal="center" vertical="center" wrapText="1"/>
      <protection/>
    </xf>
    <xf numFmtId="0" fontId="9" fillId="38" borderId="25" xfId="55" applyFont="1" applyFill="1" applyBorder="1" applyAlignment="1">
      <alignment horizontal="center"/>
      <protection/>
    </xf>
    <xf numFmtId="0" fontId="9" fillId="38" borderId="24" xfId="55" applyFont="1" applyFill="1" applyBorder="1" applyAlignment="1">
      <alignment horizontal="center"/>
      <protection/>
    </xf>
    <xf numFmtId="0" fontId="9" fillId="38" borderId="18" xfId="55" applyFont="1" applyFill="1" applyBorder="1" applyAlignment="1">
      <alignment horizontal="center"/>
      <protection/>
    </xf>
    <xf numFmtId="0" fontId="9" fillId="38" borderId="24" xfId="55" applyFont="1" applyFill="1" applyBorder="1" applyAlignment="1">
      <alignment horizontal="center" wrapText="1"/>
      <protection/>
    </xf>
    <xf numFmtId="0" fontId="9" fillId="38" borderId="18" xfId="55" applyFont="1" applyFill="1" applyBorder="1" applyAlignment="1">
      <alignment horizontal="center" wrapText="1"/>
      <protection/>
    </xf>
    <xf numFmtId="0" fontId="8" fillId="38" borderId="27" xfId="0" applyFont="1" applyFill="1" applyBorder="1" applyAlignment="1">
      <alignment horizontal="center" vertical="center" wrapText="1"/>
    </xf>
    <xf numFmtId="0" fontId="9" fillId="38" borderId="19" xfId="62" applyFont="1" applyFill="1" applyBorder="1" applyAlignment="1">
      <alignment horizontal="center" vertical="center" wrapText="1"/>
      <protection/>
    </xf>
    <xf numFmtId="0" fontId="9" fillId="38" borderId="24" xfId="62" applyFont="1" applyFill="1" applyBorder="1" applyAlignment="1">
      <alignment horizontal="center" vertical="center" wrapText="1"/>
      <protection/>
    </xf>
    <xf numFmtId="0" fontId="9" fillId="38" borderId="74" xfId="62" applyFont="1" applyFill="1" applyBorder="1" applyAlignment="1">
      <alignment horizontal="center" vertical="center" wrapText="1"/>
      <protection/>
    </xf>
    <xf numFmtId="0" fontId="9" fillId="38" borderId="36" xfId="62" applyFont="1" applyFill="1" applyBorder="1" applyAlignment="1">
      <alignment horizontal="center" vertical="center" wrapText="1"/>
      <protection/>
    </xf>
    <xf numFmtId="0" fontId="9" fillId="38" borderId="116" xfId="62" applyFont="1" applyFill="1" applyBorder="1" applyAlignment="1">
      <alignment horizontal="center" vertical="center" wrapText="1"/>
      <protection/>
    </xf>
    <xf numFmtId="0" fontId="9" fillId="38" borderId="34" xfId="62" applyFont="1" applyFill="1" applyBorder="1" applyAlignment="1">
      <alignment horizontal="center" vertical="center" wrapText="1"/>
      <protection/>
    </xf>
    <xf numFmtId="0" fontId="9" fillId="38" borderId="77" xfId="62" applyFont="1" applyFill="1" applyBorder="1" applyAlignment="1">
      <alignment horizontal="center" vertical="center" wrapText="1"/>
      <protection/>
    </xf>
    <xf numFmtId="0" fontId="9" fillId="38" borderId="48" xfId="62" applyFont="1" applyFill="1" applyBorder="1" applyAlignment="1">
      <alignment horizontal="center" vertical="center" wrapText="1"/>
      <protection/>
    </xf>
    <xf numFmtId="0" fontId="9" fillId="38" borderId="49" xfId="62" applyFont="1" applyFill="1" applyBorder="1" applyAlignment="1">
      <alignment horizontal="center" vertical="center" wrapText="1"/>
      <protection/>
    </xf>
    <xf numFmtId="0" fontId="9" fillId="38" borderId="41" xfId="62" applyFont="1" applyFill="1" applyBorder="1" applyAlignment="1">
      <alignment horizontal="center" vertical="center" wrapText="1"/>
      <protection/>
    </xf>
    <xf numFmtId="0" fontId="9" fillId="38" borderId="88" xfId="62" applyFont="1" applyFill="1" applyBorder="1" applyAlignment="1">
      <alignment horizontal="center" vertical="center" wrapText="1"/>
      <protection/>
    </xf>
    <xf numFmtId="0" fontId="9" fillId="38" borderId="75" xfId="62" applyFont="1" applyFill="1" applyBorder="1" applyAlignment="1">
      <alignment horizontal="center" vertical="center" wrapText="1"/>
      <protection/>
    </xf>
    <xf numFmtId="0" fontId="9" fillId="38" borderId="39" xfId="62" applyFont="1" applyFill="1" applyBorder="1" applyAlignment="1">
      <alignment horizontal="center" vertical="center" wrapText="1"/>
      <protection/>
    </xf>
    <xf numFmtId="0" fontId="9" fillId="0" borderId="19" xfId="62" applyFont="1" applyFill="1" applyBorder="1" applyAlignment="1">
      <alignment horizontal="center" vertical="center"/>
      <protection/>
    </xf>
    <xf numFmtId="0" fontId="9" fillId="0" borderId="91" xfId="62" applyFont="1" applyFill="1" applyBorder="1" applyAlignment="1">
      <alignment horizontal="center" vertical="center"/>
      <protection/>
    </xf>
    <xf numFmtId="0" fontId="9" fillId="0" borderId="20" xfId="62" applyFont="1" applyFill="1" applyBorder="1" applyAlignment="1">
      <alignment horizontal="center" vertical="center"/>
      <protection/>
    </xf>
    <xf numFmtId="0" fontId="89" fillId="35" borderId="44" xfId="0" applyFont="1" applyFill="1" applyBorder="1" applyAlignment="1">
      <alignment horizontal="center" vertical="center" wrapText="1"/>
    </xf>
    <xf numFmtId="0" fontId="89" fillId="35" borderId="0" xfId="0" applyFont="1" applyFill="1" applyBorder="1" applyAlignment="1">
      <alignment horizontal="center" vertical="center" wrapText="1"/>
    </xf>
    <xf numFmtId="0" fontId="9" fillId="40" borderId="22" xfId="62" applyFont="1" applyFill="1" applyBorder="1" applyAlignment="1">
      <alignment horizontal="right" vertical="center"/>
      <protection/>
    </xf>
    <xf numFmtId="0" fontId="9" fillId="40" borderId="89" xfId="62" applyFont="1" applyFill="1" applyBorder="1" applyAlignment="1">
      <alignment horizontal="right" vertical="center"/>
      <protection/>
    </xf>
    <xf numFmtId="0" fontId="9" fillId="40" borderId="11" xfId="62" applyFont="1" applyFill="1" applyBorder="1" applyAlignment="1">
      <alignment horizontal="right" vertical="center"/>
      <protection/>
    </xf>
    <xf numFmtId="0" fontId="19" fillId="40" borderId="22" xfId="62" applyFont="1" applyFill="1" applyBorder="1" applyAlignment="1">
      <alignment horizontal="left" vertical="center"/>
      <protection/>
    </xf>
    <xf numFmtId="0" fontId="19" fillId="40" borderId="89" xfId="62" applyFont="1" applyFill="1" applyBorder="1" applyAlignment="1">
      <alignment horizontal="left" vertical="center"/>
      <protection/>
    </xf>
    <xf numFmtId="0" fontId="19" fillId="40" borderId="11" xfId="62" applyFont="1" applyFill="1" applyBorder="1" applyAlignment="1">
      <alignment horizontal="left" vertical="center"/>
      <protection/>
    </xf>
    <xf numFmtId="0" fontId="9" fillId="40" borderId="24" xfId="62" applyFont="1" applyFill="1" applyBorder="1" applyAlignment="1">
      <alignment horizontal="right" vertical="center"/>
      <protection/>
    </xf>
    <xf numFmtId="0" fontId="9" fillId="40" borderId="25" xfId="62" applyFont="1" applyFill="1" applyBorder="1" applyAlignment="1">
      <alignment horizontal="right" vertical="center"/>
      <protection/>
    </xf>
    <xf numFmtId="0" fontId="9" fillId="40" borderId="18" xfId="62" applyFont="1" applyFill="1" applyBorder="1" applyAlignment="1">
      <alignment horizontal="right" vertical="center"/>
      <protection/>
    </xf>
    <xf numFmtId="0" fontId="19" fillId="40" borderId="24" xfId="62" applyFont="1" applyFill="1" applyBorder="1" applyAlignment="1">
      <alignment horizontal="left" vertical="center"/>
      <protection/>
    </xf>
    <xf numFmtId="0" fontId="19" fillId="40" borderId="25" xfId="62" applyFont="1" applyFill="1" applyBorder="1" applyAlignment="1">
      <alignment horizontal="left" vertical="center"/>
      <protection/>
    </xf>
    <xf numFmtId="0" fontId="19" fillId="40" borderId="18" xfId="62" applyFont="1" applyFill="1" applyBorder="1" applyAlignment="1">
      <alignment horizontal="left" vertical="center"/>
      <protection/>
    </xf>
    <xf numFmtId="0" fontId="9" fillId="38" borderId="10" xfId="62" applyFont="1" applyFill="1" applyBorder="1" applyAlignment="1">
      <alignment horizontal="center" vertical="center"/>
      <protection/>
    </xf>
    <xf numFmtId="0" fontId="9" fillId="38" borderId="0" xfId="62" applyFont="1" applyFill="1" applyBorder="1" applyAlignment="1">
      <alignment horizontal="center" vertical="center"/>
      <protection/>
    </xf>
    <xf numFmtId="0" fontId="3" fillId="0" borderId="42" xfId="57" applyFont="1" applyBorder="1" applyAlignment="1">
      <alignment horizontal="center" wrapText="1"/>
      <protection/>
    </xf>
    <xf numFmtId="0" fontId="26" fillId="40" borderId="42" xfId="62" applyFont="1" applyFill="1" applyBorder="1" applyAlignment="1">
      <alignment horizontal="center" vertical="center" wrapText="1"/>
      <protection/>
    </xf>
    <xf numFmtId="0" fontId="26" fillId="38" borderId="26" xfId="62" applyFont="1" applyFill="1" applyBorder="1" applyAlignment="1">
      <alignment horizontal="center" vertical="center"/>
      <protection/>
    </xf>
    <xf numFmtId="0" fontId="26" fillId="38" borderId="17" xfId="62" applyFont="1" applyFill="1" applyBorder="1" applyAlignment="1">
      <alignment horizontal="center" vertical="center"/>
      <protection/>
    </xf>
    <xf numFmtId="0" fontId="26" fillId="38" borderId="27" xfId="62" applyFont="1" applyFill="1" applyBorder="1" applyAlignment="1">
      <alignment horizontal="center" vertical="center"/>
      <protection/>
    </xf>
    <xf numFmtId="0" fontId="26" fillId="38" borderId="19" xfId="62" applyFont="1" applyFill="1" applyBorder="1" applyAlignment="1">
      <alignment horizontal="center" vertical="center"/>
      <protection/>
    </xf>
    <xf numFmtId="0" fontId="26" fillId="38" borderId="24" xfId="62" applyFont="1" applyFill="1" applyBorder="1" applyAlignment="1">
      <alignment horizontal="center" vertical="center"/>
      <protection/>
    </xf>
    <xf numFmtId="0" fontId="21" fillId="28" borderId="17" xfId="55" applyFont="1" applyFill="1" applyBorder="1" applyAlignment="1">
      <alignment horizontal="center" vertical="center"/>
      <protection/>
    </xf>
    <xf numFmtId="0" fontId="21" fillId="28" borderId="15" xfId="55" applyFont="1" applyFill="1" applyBorder="1" applyAlignment="1">
      <alignment horizontal="center" vertical="center"/>
      <protection/>
    </xf>
    <xf numFmtId="0" fontId="21" fillId="28" borderId="24" xfId="55" applyFont="1" applyFill="1" applyBorder="1" applyAlignment="1">
      <alignment horizontal="center"/>
      <protection/>
    </xf>
    <xf numFmtId="0" fontId="21" fillId="28" borderId="25" xfId="55" applyFont="1" applyFill="1" applyBorder="1" applyAlignment="1">
      <alignment horizontal="center"/>
      <protection/>
    </xf>
    <xf numFmtId="0" fontId="21" fillId="0" borderId="44" xfId="55" applyFont="1" applyBorder="1" applyAlignment="1">
      <alignment horizontal="left" vertical="center"/>
      <protection/>
    </xf>
    <xf numFmtId="49" fontId="22" fillId="0" borderId="15" xfId="55" applyNumberFormat="1" applyFont="1" applyBorder="1" applyAlignment="1">
      <alignment horizontal="center" vertical="center"/>
      <protection/>
    </xf>
    <xf numFmtId="3" fontId="22" fillId="0" borderId="15" xfId="55" applyNumberFormat="1" applyFont="1" applyBorder="1" applyAlignment="1">
      <alignment horizontal="left" vertical="center" wrapText="1"/>
      <protection/>
    </xf>
    <xf numFmtId="0" fontId="22" fillId="0" borderId="15" xfId="0" applyFont="1" applyBorder="1" applyAlignment="1">
      <alignment horizontal="left" vertical="center" wrapText="1"/>
    </xf>
    <xf numFmtId="49" fontId="22" fillId="0" borderId="15" xfId="55" applyNumberFormat="1" applyFont="1" applyBorder="1" applyAlignment="1">
      <alignment horizontal="center" vertical="center" wrapText="1"/>
      <protection/>
    </xf>
    <xf numFmtId="0" fontId="22" fillId="0" borderId="15" xfId="0" applyFont="1" applyBorder="1" applyAlignment="1">
      <alignment horizontal="center" vertical="center" wrapText="1"/>
    </xf>
    <xf numFmtId="49" fontId="22" fillId="0" borderId="15" xfId="55" applyNumberFormat="1" applyFont="1" applyBorder="1" applyAlignment="1">
      <alignment horizontal="right" vertical="center" wrapText="1"/>
      <protection/>
    </xf>
    <xf numFmtId="0" fontId="21" fillId="0" borderId="15" xfId="55" applyFont="1" applyBorder="1" applyAlignment="1">
      <alignment horizontal="center" vertical="center"/>
      <protection/>
    </xf>
    <xf numFmtId="3" fontId="22" fillId="0" borderId="15" xfId="55" applyNumberFormat="1" applyFont="1" applyBorder="1" applyAlignment="1">
      <alignment horizontal="center" vertical="center"/>
      <protection/>
    </xf>
    <xf numFmtId="1" fontId="22" fillId="0" borderId="15" xfId="55" applyNumberFormat="1" applyFont="1" applyBorder="1" applyAlignment="1">
      <alignment horizontal="center" vertical="center"/>
      <protection/>
    </xf>
    <xf numFmtId="172" fontId="9" fillId="38" borderId="24" xfId="0" applyNumberFormat="1" applyFont="1" applyFill="1" applyBorder="1" applyAlignment="1">
      <alignment horizontal="center" vertical="center" wrapText="1"/>
    </xf>
    <xf numFmtId="172" fontId="9" fillId="38" borderId="25" xfId="0" applyNumberFormat="1" applyFont="1" applyFill="1" applyBorder="1" applyAlignment="1">
      <alignment horizontal="center" vertical="center" wrapText="1"/>
    </xf>
    <xf numFmtId="172" fontId="9" fillId="38" borderId="18" xfId="0" applyNumberFormat="1" applyFont="1" applyFill="1" applyBorder="1" applyAlignment="1">
      <alignment horizontal="center" vertical="center" wrapText="1"/>
    </xf>
    <xf numFmtId="0" fontId="9" fillId="38" borderId="24" xfId="0" applyFont="1" applyFill="1" applyBorder="1" applyAlignment="1">
      <alignment horizontal="center" vertical="center" wrapText="1"/>
    </xf>
    <xf numFmtId="0" fontId="9" fillId="38" borderId="25" xfId="0" applyFont="1" applyFill="1" applyBorder="1" applyAlignment="1">
      <alignment horizontal="center" vertical="center" wrapText="1"/>
    </xf>
    <xf numFmtId="0" fontId="9" fillId="38" borderId="18" xfId="0" applyFont="1" applyFill="1" applyBorder="1" applyAlignment="1">
      <alignment horizontal="center" vertical="center" wrapText="1"/>
    </xf>
    <xf numFmtId="0" fontId="9" fillId="38" borderId="38" xfId="0" applyFont="1" applyFill="1" applyBorder="1" applyAlignment="1">
      <alignment horizontal="center" vertical="center" wrapText="1"/>
    </xf>
    <xf numFmtId="0" fontId="9" fillId="38" borderId="32" xfId="0" applyFont="1" applyFill="1" applyBorder="1" applyAlignment="1">
      <alignment horizontal="center" vertical="center" wrapText="1"/>
    </xf>
    <xf numFmtId="0" fontId="9" fillId="38" borderId="45" xfId="0" applyFont="1" applyFill="1" applyBorder="1" applyAlignment="1">
      <alignment horizontal="center" vertical="center" wrapText="1"/>
    </xf>
    <xf numFmtId="0" fontId="9" fillId="38" borderId="43" xfId="0" applyFont="1" applyFill="1" applyBorder="1" applyAlignment="1">
      <alignment horizontal="center" vertical="center" wrapText="1"/>
    </xf>
    <xf numFmtId="0" fontId="20" fillId="38" borderId="24" xfId="0" applyFont="1" applyFill="1" applyBorder="1" applyAlignment="1">
      <alignment horizontal="center" vertical="center" wrapText="1"/>
    </xf>
    <xf numFmtId="0" fontId="20" fillId="38" borderId="25" xfId="0" applyFont="1" applyFill="1" applyBorder="1" applyAlignment="1">
      <alignment horizontal="center" vertical="center" wrapText="1"/>
    </xf>
    <xf numFmtId="0" fontId="20" fillId="38" borderId="18" xfId="0" applyFont="1" applyFill="1" applyBorder="1" applyAlignment="1">
      <alignment horizontal="center" vertical="center" wrapText="1"/>
    </xf>
    <xf numFmtId="0" fontId="20" fillId="38" borderId="38" xfId="0" applyFont="1" applyFill="1" applyBorder="1" applyAlignment="1">
      <alignment horizontal="center" vertical="center" wrapText="1"/>
    </xf>
    <xf numFmtId="0" fontId="20" fillId="38" borderId="32" xfId="0" applyFont="1" applyFill="1" applyBorder="1" applyAlignment="1">
      <alignment horizontal="center" vertical="center" wrapText="1"/>
    </xf>
    <xf numFmtId="0" fontId="20" fillId="38" borderId="45" xfId="0" applyFont="1" applyFill="1" applyBorder="1" applyAlignment="1">
      <alignment horizontal="center" vertical="center" wrapText="1"/>
    </xf>
    <xf numFmtId="0" fontId="20" fillId="38" borderId="43" xfId="0" applyFont="1" applyFill="1" applyBorder="1" applyAlignment="1">
      <alignment horizontal="center" vertical="center" wrapText="1"/>
    </xf>
    <xf numFmtId="172" fontId="20" fillId="38" borderId="24" xfId="0" applyNumberFormat="1" applyFont="1" applyFill="1" applyBorder="1" applyAlignment="1">
      <alignment horizontal="center" vertical="center" wrapText="1"/>
    </xf>
    <xf numFmtId="172" fontId="20" fillId="38" borderId="25" xfId="0" applyNumberFormat="1" applyFont="1" applyFill="1" applyBorder="1" applyAlignment="1">
      <alignment horizontal="center" vertical="center" wrapText="1"/>
    </xf>
    <xf numFmtId="172" fontId="20" fillId="38" borderId="18" xfId="0" applyNumberFormat="1" applyFont="1" applyFill="1" applyBorder="1" applyAlignment="1">
      <alignment horizontal="center" vertical="center" wrapText="1"/>
    </xf>
    <xf numFmtId="0" fontId="20" fillId="38" borderId="33" xfId="0" applyFont="1" applyFill="1" applyBorder="1" applyAlignment="1">
      <alignment horizontal="center" vertical="center" wrapText="1"/>
    </xf>
    <xf numFmtId="172" fontId="21" fillId="38" borderId="24" xfId="0" applyNumberFormat="1" applyFont="1" applyFill="1" applyBorder="1" applyAlignment="1">
      <alignment horizontal="center" vertical="center" wrapText="1"/>
    </xf>
    <xf numFmtId="172" fontId="21" fillId="38" borderId="25" xfId="0" applyNumberFormat="1" applyFont="1" applyFill="1" applyBorder="1" applyAlignment="1">
      <alignment horizontal="center" vertical="center" wrapText="1"/>
    </xf>
    <xf numFmtId="172" fontId="21" fillId="38" borderId="18" xfId="0" applyNumberFormat="1" applyFont="1" applyFill="1" applyBorder="1" applyAlignment="1">
      <alignment horizontal="center" vertical="center" wrapText="1"/>
    </xf>
    <xf numFmtId="0" fontId="21" fillId="38" borderId="24" xfId="0" applyFont="1" applyFill="1" applyBorder="1" applyAlignment="1">
      <alignment horizontal="center" vertical="center" wrapText="1"/>
    </xf>
    <xf numFmtId="0" fontId="21" fillId="38" borderId="25" xfId="0" applyFont="1" applyFill="1" applyBorder="1" applyAlignment="1">
      <alignment horizontal="center" vertical="center" wrapText="1"/>
    </xf>
    <xf numFmtId="0" fontId="21" fillId="38" borderId="18" xfId="0" applyFont="1" applyFill="1" applyBorder="1" applyAlignment="1">
      <alignment horizontal="center" vertical="center" wrapText="1"/>
    </xf>
    <xf numFmtId="0" fontId="21" fillId="38" borderId="38" xfId="0" applyFont="1" applyFill="1" applyBorder="1" applyAlignment="1">
      <alignment horizontal="center" vertical="center" wrapText="1"/>
    </xf>
    <xf numFmtId="0" fontId="21" fillId="38" borderId="32" xfId="0" applyFont="1" applyFill="1" applyBorder="1" applyAlignment="1">
      <alignment horizontal="center" vertical="center" wrapText="1"/>
    </xf>
    <xf numFmtId="0" fontId="21" fillId="38" borderId="45" xfId="0" applyFont="1" applyFill="1" applyBorder="1" applyAlignment="1">
      <alignment horizontal="center" vertical="center" wrapText="1"/>
    </xf>
    <xf numFmtId="0" fontId="21" fillId="38" borderId="43" xfId="0" applyFont="1" applyFill="1" applyBorder="1" applyAlignment="1">
      <alignment horizontal="center" vertical="center" wrapText="1"/>
    </xf>
    <xf numFmtId="0" fontId="9" fillId="38" borderId="20" xfId="0" applyFont="1" applyFill="1" applyBorder="1" applyAlignment="1">
      <alignment horizontal="center" vertical="center" wrapText="1"/>
    </xf>
    <xf numFmtId="0" fontId="9" fillId="38" borderId="11"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6" xfId="51"/>
    <cellStyle name="Currency" xfId="52"/>
    <cellStyle name="Currency [0]" xfId="53"/>
    <cellStyle name="Neutral" xfId="54"/>
    <cellStyle name="Normal 2" xfId="55"/>
    <cellStyle name="Normal 3" xfId="56"/>
    <cellStyle name="Normal 3 2" xfId="57"/>
    <cellStyle name="Normal 4" xfId="58"/>
    <cellStyle name="Normal 4 2" xfId="59"/>
    <cellStyle name="Normal 6" xfId="60"/>
    <cellStyle name="Normal_ESTR98" xfId="61"/>
    <cellStyle name="Normal_PLAZAS98" xfId="62"/>
    <cellStyle name="Normal_SPGG98"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V34"/>
  <sheetViews>
    <sheetView view="pageLayout" zoomScaleSheetLayoutView="100" workbookViewId="0" topLeftCell="A1">
      <selection activeCell="B27" sqref="B27:E27"/>
    </sheetView>
  </sheetViews>
  <sheetFormatPr defaultColWidth="11.421875" defaultRowHeight="12.75"/>
  <cols>
    <col min="1" max="1" width="19.8515625" style="89" customWidth="1"/>
    <col min="2" max="2" width="69.8515625" style="90" customWidth="1"/>
    <col min="3" max="5" width="8.7109375" style="89" customWidth="1"/>
    <col min="6" max="16384" width="11.421875" style="89" customWidth="1"/>
  </cols>
  <sheetData>
    <row r="1" spans="1:256" s="88" customFormat="1" ht="15.75">
      <c r="A1" s="86" t="s">
        <v>366</v>
      </c>
      <c r="B1" s="87"/>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row>
    <row r="2" spans="3:6" ht="12.75">
      <c r="C2" s="91"/>
      <c r="D2" s="91"/>
      <c r="E2" s="95"/>
      <c r="F2" s="94"/>
    </row>
    <row r="3" spans="1:6" ht="12.75">
      <c r="A3" s="92" t="s">
        <v>386</v>
      </c>
      <c r="E3" s="94"/>
      <c r="F3" s="94"/>
    </row>
    <row r="4" spans="5:6" ht="12.75">
      <c r="E4" s="94"/>
      <c r="F4" s="94"/>
    </row>
    <row r="5" spans="1:6" s="252" customFormat="1" ht="27" customHeight="1">
      <c r="A5" s="257" t="s">
        <v>368</v>
      </c>
      <c r="B5" s="1490" t="s">
        <v>367</v>
      </c>
      <c r="C5" s="1491"/>
      <c r="D5" s="1491"/>
      <c r="E5" s="1492"/>
      <c r="F5" s="253"/>
    </row>
    <row r="6" spans="1:6" ht="12.75">
      <c r="A6" s="92"/>
      <c r="B6" s="251"/>
      <c r="C6" s="252"/>
      <c r="D6" s="252"/>
      <c r="E6" s="253"/>
      <c r="F6" s="94"/>
    </row>
    <row r="7" spans="1:6" ht="12.75">
      <c r="A7" s="92" t="s">
        <v>387</v>
      </c>
      <c r="B7" s="251"/>
      <c r="C7" s="252"/>
      <c r="D7" s="252"/>
      <c r="E7" s="253"/>
      <c r="F7" s="94"/>
    </row>
    <row r="8" spans="1:6" ht="12.75">
      <c r="A8" s="92"/>
      <c r="B8" s="251"/>
      <c r="C8" s="252"/>
      <c r="D8" s="252"/>
      <c r="E8" s="253"/>
      <c r="F8" s="94"/>
    </row>
    <row r="9" spans="1:6" s="252" customFormat="1" ht="27" customHeight="1">
      <c r="A9" s="257" t="s">
        <v>369</v>
      </c>
      <c r="B9" s="1490" t="s">
        <v>437</v>
      </c>
      <c r="C9" s="1491"/>
      <c r="D9" s="1491"/>
      <c r="E9" s="1492"/>
      <c r="F9" s="253"/>
    </row>
    <row r="10" spans="1:6" s="252" customFormat="1" ht="27" customHeight="1">
      <c r="A10" s="257" t="s">
        <v>370</v>
      </c>
      <c r="B10" s="1490" t="s">
        <v>438</v>
      </c>
      <c r="C10" s="1491"/>
      <c r="D10" s="1491"/>
      <c r="E10" s="1492"/>
      <c r="F10" s="253"/>
    </row>
    <row r="11" spans="1:6" s="252" customFormat="1" ht="27" customHeight="1">
      <c r="A11" s="257" t="s">
        <v>371</v>
      </c>
      <c r="B11" s="1490" t="s">
        <v>439</v>
      </c>
      <c r="C11" s="1491"/>
      <c r="D11" s="1491"/>
      <c r="E11" s="1492"/>
      <c r="F11" s="253"/>
    </row>
    <row r="12" spans="1:6" s="252" customFormat="1" ht="27" customHeight="1">
      <c r="A12" s="257" t="s">
        <v>372</v>
      </c>
      <c r="B12" s="1490" t="s">
        <v>440</v>
      </c>
      <c r="C12" s="1491"/>
      <c r="D12" s="1491"/>
      <c r="E12" s="1492"/>
      <c r="F12" s="253"/>
    </row>
    <row r="13" spans="1:6" s="252" customFormat="1" ht="27" customHeight="1">
      <c r="A13" s="257" t="s">
        <v>373</v>
      </c>
      <c r="B13" s="1490" t="s">
        <v>441</v>
      </c>
      <c r="C13" s="1491"/>
      <c r="D13" s="1491"/>
      <c r="E13" s="1492"/>
      <c r="F13" s="253"/>
    </row>
    <row r="14" spans="1:6" s="252" customFormat="1" ht="27" customHeight="1">
      <c r="A14" s="257" t="s">
        <v>374</v>
      </c>
      <c r="B14" s="1490" t="s">
        <v>442</v>
      </c>
      <c r="C14" s="1491"/>
      <c r="D14" s="1491"/>
      <c r="E14" s="1492"/>
      <c r="F14" s="253"/>
    </row>
    <row r="15" spans="1:6" s="252" customFormat="1" ht="27" customHeight="1">
      <c r="A15" s="257" t="s">
        <v>375</v>
      </c>
      <c r="B15" s="1490" t="s">
        <v>443</v>
      </c>
      <c r="C15" s="1491"/>
      <c r="D15" s="1491"/>
      <c r="E15" s="1492"/>
      <c r="F15" s="253"/>
    </row>
    <row r="16" spans="1:6" ht="12.75">
      <c r="A16" s="92"/>
      <c r="B16" s="251"/>
      <c r="C16" s="252"/>
      <c r="D16" s="252"/>
      <c r="E16" s="253"/>
      <c r="F16" s="94"/>
    </row>
    <row r="17" spans="1:6" ht="12.75">
      <c r="A17" s="92" t="s">
        <v>388</v>
      </c>
      <c r="B17" s="251"/>
      <c r="C17" s="252"/>
      <c r="D17" s="252"/>
      <c r="E17" s="253"/>
      <c r="F17" s="94"/>
    </row>
    <row r="18" spans="1:6" ht="12.75">
      <c r="A18" s="92"/>
      <c r="B18" s="251"/>
      <c r="C18" s="252"/>
      <c r="D18" s="252"/>
      <c r="E18" s="253"/>
      <c r="F18" s="94"/>
    </row>
    <row r="19" spans="1:6" s="252" customFormat="1" ht="27" customHeight="1">
      <c r="A19" s="257" t="s">
        <v>376</v>
      </c>
      <c r="B19" s="1490" t="s">
        <v>444</v>
      </c>
      <c r="C19" s="1491"/>
      <c r="D19" s="1491"/>
      <c r="E19" s="1492"/>
      <c r="F19" s="253"/>
    </row>
    <row r="20" spans="1:6" s="252" customFormat="1" ht="27" customHeight="1">
      <c r="A20" s="257" t="s">
        <v>377</v>
      </c>
      <c r="B20" s="1490" t="s">
        <v>445</v>
      </c>
      <c r="C20" s="1491"/>
      <c r="D20" s="1491"/>
      <c r="E20" s="1492"/>
      <c r="F20" s="253"/>
    </row>
    <row r="21" spans="1:6" s="252" customFormat="1" ht="27" customHeight="1">
      <c r="A21" s="257" t="s">
        <v>378</v>
      </c>
      <c r="B21" s="1490" t="s">
        <v>446</v>
      </c>
      <c r="C21" s="1491"/>
      <c r="D21" s="1491"/>
      <c r="E21" s="1492"/>
      <c r="F21" s="253"/>
    </row>
    <row r="22" spans="1:6" ht="12.75">
      <c r="A22" s="92"/>
      <c r="B22" s="251"/>
      <c r="C22" s="252"/>
      <c r="D22" s="252"/>
      <c r="E22" s="253"/>
      <c r="F22" s="94"/>
    </row>
    <row r="23" spans="1:6" ht="12.75">
      <c r="A23" s="92" t="s">
        <v>389</v>
      </c>
      <c r="B23" s="251"/>
      <c r="C23" s="252"/>
      <c r="D23" s="252"/>
      <c r="E23" s="253"/>
      <c r="F23" s="94"/>
    </row>
    <row r="24" spans="1:6" ht="12.75">
      <c r="A24" s="92"/>
      <c r="B24" s="251"/>
      <c r="C24" s="252"/>
      <c r="D24" s="252"/>
      <c r="E24" s="253"/>
      <c r="F24" s="94"/>
    </row>
    <row r="25" spans="1:6" s="252" customFormat="1" ht="27" customHeight="1">
      <c r="A25" s="257" t="s">
        <v>379</v>
      </c>
      <c r="B25" s="1490" t="s">
        <v>447</v>
      </c>
      <c r="C25" s="1491"/>
      <c r="D25" s="1491"/>
      <c r="E25" s="1492"/>
      <c r="F25" s="253"/>
    </row>
    <row r="26" spans="1:6" s="252" customFormat="1" ht="27" customHeight="1">
      <c r="A26" s="257" t="s">
        <v>380</v>
      </c>
      <c r="B26" s="1490" t="s">
        <v>448</v>
      </c>
      <c r="C26" s="1491"/>
      <c r="D26" s="1491"/>
      <c r="E26" s="1492"/>
      <c r="F26" s="253"/>
    </row>
    <row r="27" spans="1:6" s="252" customFormat="1" ht="27" customHeight="1">
      <c r="A27" s="257" t="s">
        <v>381</v>
      </c>
      <c r="B27" s="1490" t="s">
        <v>449</v>
      </c>
      <c r="C27" s="1491"/>
      <c r="D27" s="1491"/>
      <c r="E27" s="1492"/>
      <c r="F27" s="253"/>
    </row>
    <row r="28" spans="1:6" s="252" customFormat="1" ht="27" customHeight="1">
      <c r="A28" s="257" t="s">
        <v>382</v>
      </c>
      <c r="B28" s="1490" t="s">
        <v>450</v>
      </c>
      <c r="C28" s="1491"/>
      <c r="D28" s="1491"/>
      <c r="E28" s="1492"/>
      <c r="F28" s="253"/>
    </row>
    <row r="29" spans="1:6" s="252" customFormat="1" ht="27" customHeight="1">
      <c r="A29" s="257" t="s">
        <v>383</v>
      </c>
      <c r="B29" s="1490" t="s">
        <v>451</v>
      </c>
      <c r="C29" s="1491"/>
      <c r="D29" s="1491"/>
      <c r="E29" s="1492"/>
      <c r="F29" s="253"/>
    </row>
    <row r="30" spans="1:6" ht="12.75">
      <c r="A30" s="92"/>
      <c r="B30" s="251"/>
      <c r="C30" s="252"/>
      <c r="D30" s="252"/>
      <c r="E30" s="253"/>
      <c r="F30" s="94"/>
    </row>
    <row r="31" spans="1:6" ht="12.75">
      <c r="A31" s="92" t="s">
        <v>25</v>
      </c>
      <c r="B31" s="251"/>
      <c r="C31" s="252"/>
      <c r="D31" s="252"/>
      <c r="E31" s="253"/>
      <c r="F31" s="94"/>
    </row>
    <row r="32" spans="1:6" ht="12.75">
      <c r="A32" s="92"/>
      <c r="B32" s="251"/>
      <c r="C32" s="252"/>
      <c r="D32" s="252"/>
      <c r="E32" s="253"/>
      <c r="F32" s="94"/>
    </row>
    <row r="33" spans="1:6" s="252" customFormat="1" ht="27" customHeight="1">
      <c r="A33" s="257" t="s">
        <v>384</v>
      </c>
      <c r="B33" s="1490" t="s">
        <v>452</v>
      </c>
      <c r="C33" s="1491"/>
      <c r="D33" s="1491"/>
      <c r="E33" s="1492"/>
      <c r="F33" s="253"/>
    </row>
    <row r="34" spans="1:6" s="252" customFormat="1" ht="27" customHeight="1">
      <c r="A34" s="257" t="s">
        <v>385</v>
      </c>
      <c r="B34" s="1490" t="s">
        <v>453</v>
      </c>
      <c r="C34" s="1491"/>
      <c r="D34" s="1491"/>
      <c r="E34" s="1492"/>
      <c r="F34" s="253"/>
    </row>
  </sheetData>
  <sheetProtection/>
  <mergeCells count="18">
    <mergeCell ref="B28:E28"/>
    <mergeCell ref="B29:E29"/>
    <mergeCell ref="B20:E20"/>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s>
  <printOptions/>
  <pageMargins left="0.8203125" right="0.7086614173228347" top="0.7480314960629921" bottom="0.7480314960629921" header="0.31496062992125984" footer="0.31496062992125984"/>
  <pageSetup horizontalDpi="600" verticalDpi="600" orientation="portrait" paperSize="9" scale="75"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sheetPr>
    <tabColor theme="9" tint="-0.24997000396251678"/>
    <pageSetUpPr fitToPage="1"/>
  </sheetPr>
  <dimension ref="A1:AB550"/>
  <sheetViews>
    <sheetView zoomScaleSheetLayoutView="90" zoomScalePageLayoutView="85" workbookViewId="0" topLeftCell="A1">
      <selection activeCell="R15" sqref="R15"/>
    </sheetView>
  </sheetViews>
  <sheetFormatPr defaultColWidth="11.421875" defaultRowHeight="12.75"/>
  <cols>
    <col min="1" max="1" width="41.28125" style="29" customWidth="1"/>
    <col min="2" max="10" width="7.00390625" style="29" customWidth="1"/>
    <col min="11" max="11" width="11.8515625" style="29" bestFit="1" customWidth="1"/>
    <col min="12" max="12" width="13.421875" style="29" bestFit="1" customWidth="1"/>
    <col min="13" max="21" width="7.00390625" style="29" customWidth="1"/>
    <col min="22" max="22" width="11.8515625" style="29" bestFit="1" customWidth="1"/>
    <col min="23" max="23" width="13.7109375" style="29" bestFit="1" customWidth="1"/>
    <col min="24" max="24" width="1.7109375" style="77" customWidth="1"/>
    <col min="25" max="28" width="10.7109375" style="0" customWidth="1"/>
    <col min="29" max="16384" width="11.421875" style="3" customWidth="1"/>
  </cols>
  <sheetData>
    <row r="1" spans="1:24" s="100" customFormat="1" ht="15.75">
      <c r="A1" s="248" t="s">
        <v>414</v>
      </c>
      <c r="B1" s="99"/>
      <c r="C1" s="99"/>
      <c r="D1" s="99"/>
      <c r="E1" s="99"/>
      <c r="F1" s="99"/>
      <c r="G1" s="99"/>
      <c r="H1" s="99"/>
      <c r="I1" s="99"/>
      <c r="J1" s="99"/>
      <c r="K1" s="99"/>
      <c r="L1" s="99"/>
      <c r="M1" s="99"/>
      <c r="N1" s="99"/>
      <c r="O1" s="99"/>
      <c r="P1" s="99"/>
      <c r="Q1" s="99"/>
      <c r="R1" s="99"/>
      <c r="S1" s="99"/>
      <c r="T1" s="99"/>
      <c r="U1" s="99"/>
      <c r="V1" s="99"/>
      <c r="W1" s="99"/>
      <c r="X1" s="101"/>
    </row>
    <row r="2" spans="1:24" s="100" customFormat="1" ht="15.75">
      <c r="A2" s="248" t="s">
        <v>490</v>
      </c>
      <c r="B2" s="99"/>
      <c r="C2" s="99"/>
      <c r="D2" s="99"/>
      <c r="E2" s="99"/>
      <c r="F2" s="99"/>
      <c r="G2" s="99"/>
      <c r="H2" s="99"/>
      <c r="I2" s="99"/>
      <c r="J2" s="99"/>
      <c r="K2" s="99"/>
      <c r="L2" s="99"/>
      <c r="M2" s="99"/>
      <c r="N2" s="99"/>
      <c r="O2" s="99"/>
      <c r="P2" s="99"/>
      <c r="Q2" s="99"/>
      <c r="R2" s="99"/>
      <c r="S2" s="99"/>
      <c r="T2" s="99"/>
      <c r="U2" s="99"/>
      <c r="V2" s="99"/>
      <c r="W2" s="99"/>
      <c r="X2" s="101"/>
    </row>
    <row r="3" spans="1:24" s="81" customFormat="1" ht="15.75">
      <c r="A3" s="249" t="s">
        <v>597</v>
      </c>
      <c r="X3" s="76"/>
    </row>
    <row r="4" spans="12:23" ht="13.5" thickBot="1">
      <c r="L4" s="30"/>
      <c r="W4" s="30"/>
    </row>
    <row r="5" spans="1:24" s="67" customFormat="1" ht="26.25" customHeight="1">
      <c r="A5" s="164" t="s">
        <v>10</v>
      </c>
      <c r="B5" s="1545" t="s">
        <v>412</v>
      </c>
      <c r="C5" s="1546"/>
      <c r="D5" s="1546"/>
      <c r="E5" s="1546"/>
      <c r="F5" s="1546"/>
      <c r="G5" s="1546"/>
      <c r="H5" s="1546"/>
      <c r="I5" s="1546"/>
      <c r="J5" s="1546"/>
      <c r="K5" s="1546"/>
      <c r="L5" s="1547"/>
      <c r="M5" s="1545" t="s">
        <v>413</v>
      </c>
      <c r="N5" s="1546"/>
      <c r="O5" s="1546"/>
      <c r="P5" s="1546"/>
      <c r="Q5" s="1546"/>
      <c r="R5" s="1546"/>
      <c r="S5" s="1546"/>
      <c r="T5" s="1546"/>
      <c r="U5" s="1546"/>
      <c r="V5" s="1546"/>
      <c r="W5" s="1547"/>
      <c r="X5" s="78"/>
    </row>
    <row r="6" spans="1:24" s="68" customFormat="1" ht="99.75" customHeight="1">
      <c r="A6" s="165" t="s">
        <v>9</v>
      </c>
      <c r="B6" s="166" t="s">
        <v>335</v>
      </c>
      <c r="C6" s="166" t="s">
        <v>127</v>
      </c>
      <c r="D6" s="167" t="s">
        <v>296</v>
      </c>
      <c r="E6" s="167" t="s">
        <v>291</v>
      </c>
      <c r="F6" s="167" t="s">
        <v>298</v>
      </c>
      <c r="G6" s="167" t="s">
        <v>299</v>
      </c>
      <c r="H6" s="167" t="s">
        <v>300</v>
      </c>
      <c r="I6" s="167" t="s">
        <v>307</v>
      </c>
      <c r="J6" s="168" t="s">
        <v>302</v>
      </c>
      <c r="K6" s="169" t="s">
        <v>304</v>
      </c>
      <c r="L6" s="170" t="s">
        <v>306</v>
      </c>
      <c r="M6" s="166" t="s">
        <v>335</v>
      </c>
      <c r="N6" s="166" t="s">
        <v>127</v>
      </c>
      <c r="O6" s="167" t="s">
        <v>296</v>
      </c>
      <c r="P6" s="167" t="s">
        <v>291</v>
      </c>
      <c r="Q6" s="167" t="s">
        <v>298</v>
      </c>
      <c r="R6" s="167" t="s">
        <v>299</v>
      </c>
      <c r="S6" s="167" t="s">
        <v>300</v>
      </c>
      <c r="T6" s="167" t="s">
        <v>307</v>
      </c>
      <c r="U6" s="168" t="s">
        <v>302</v>
      </c>
      <c r="V6" s="169" t="s">
        <v>304</v>
      </c>
      <c r="W6" s="170" t="s">
        <v>305</v>
      </c>
      <c r="X6" s="79"/>
    </row>
    <row r="7" spans="1:28" ht="12.75">
      <c r="A7" s="34"/>
      <c r="B7" s="1486"/>
      <c r="C7" s="1486"/>
      <c r="D7" s="1486"/>
      <c r="E7" s="1486"/>
      <c r="F7" s="1486"/>
      <c r="G7" s="1486"/>
      <c r="H7" s="1486"/>
      <c r="I7" s="1486"/>
      <c r="J7" s="1486"/>
      <c r="K7" s="1486"/>
      <c r="L7" s="420"/>
      <c r="M7" s="1486"/>
      <c r="N7" s="1486"/>
      <c r="O7" s="1486"/>
      <c r="P7" s="1486"/>
      <c r="Q7" s="1486"/>
      <c r="R7" s="1486"/>
      <c r="S7" s="1486"/>
      <c r="T7" s="1486"/>
      <c r="U7" s="1486"/>
      <c r="V7" s="1486"/>
      <c r="W7" s="420"/>
      <c r="AA7" s="3"/>
      <c r="AB7" s="3"/>
    </row>
    <row r="8" spans="1:28" ht="12.75">
      <c r="A8" s="35" t="s">
        <v>7</v>
      </c>
      <c r="B8" s="448">
        <f>SUM(B9:B18)</f>
        <v>62</v>
      </c>
      <c r="C8" s="448">
        <f aca="true" t="shared" si="0" ref="C8:W8">SUM(C9:C18)</f>
        <v>0</v>
      </c>
      <c r="D8" s="448">
        <f t="shared" si="0"/>
        <v>0</v>
      </c>
      <c r="E8" s="448">
        <f t="shared" si="0"/>
        <v>0</v>
      </c>
      <c r="F8" s="448">
        <f t="shared" si="0"/>
        <v>0</v>
      </c>
      <c r="G8" s="448">
        <f t="shared" si="0"/>
        <v>0</v>
      </c>
      <c r="H8" s="448">
        <f t="shared" si="0"/>
        <v>0</v>
      </c>
      <c r="I8" s="448">
        <f t="shared" si="0"/>
        <v>0</v>
      </c>
      <c r="J8" s="448">
        <f t="shared" si="0"/>
        <v>0</v>
      </c>
      <c r="K8" s="448">
        <f t="shared" si="0"/>
        <v>62</v>
      </c>
      <c r="L8" s="448">
        <f t="shared" si="0"/>
        <v>2980319.61</v>
      </c>
      <c r="M8" s="448">
        <f t="shared" si="0"/>
        <v>62</v>
      </c>
      <c r="N8" s="448">
        <f t="shared" si="0"/>
        <v>0</v>
      </c>
      <c r="O8" s="448">
        <f t="shared" si="0"/>
        <v>0</v>
      </c>
      <c r="P8" s="448">
        <f t="shared" si="0"/>
        <v>0</v>
      </c>
      <c r="Q8" s="448">
        <f t="shared" si="0"/>
        <v>0</v>
      </c>
      <c r="R8" s="448">
        <f t="shared" si="0"/>
        <v>0</v>
      </c>
      <c r="S8" s="448">
        <f t="shared" si="0"/>
        <v>0</v>
      </c>
      <c r="T8" s="448">
        <f t="shared" si="0"/>
        <v>0</v>
      </c>
      <c r="U8" s="448">
        <f t="shared" si="0"/>
        <v>0</v>
      </c>
      <c r="V8" s="448">
        <f t="shared" si="0"/>
        <v>62</v>
      </c>
      <c r="W8" s="448">
        <f t="shared" si="0"/>
        <v>2980319.61</v>
      </c>
      <c r="X8" s="80"/>
      <c r="AA8" s="3"/>
      <c r="AB8" s="3"/>
    </row>
    <row r="9" spans="1:28" ht="12.75">
      <c r="A9" s="34" t="s">
        <v>3</v>
      </c>
      <c r="B9" s="1486"/>
      <c r="C9" s="1486"/>
      <c r="D9" s="1486"/>
      <c r="E9" s="1486"/>
      <c r="F9" s="1486"/>
      <c r="G9" s="1486"/>
      <c r="H9" s="1486"/>
      <c r="I9" s="1486"/>
      <c r="J9" s="1486"/>
      <c r="K9" s="1486"/>
      <c r="L9" s="420"/>
      <c r="M9" s="1486"/>
      <c r="N9" s="1486"/>
      <c r="O9" s="1486"/>
      <c r="P9" s="1486"/>
      <c r="Q9" s="1486"/>
      <c r="R9" s="1486"/>
      <c r="S9" s="1486"/>
      <c r="T9" s="1486"/>
      <c r="U9" s="1486"/>
      <c r="V9" s="1486"/>
      <c r="W9" s="420"/>
      <c r="AA9" s="3"/>
      <c r="AB9" s="3"/>
    </row>
    <row r="10" spans="1:28" ht="12.75">
      <c r="A10" s="34" t="s">
        <v>565</v>
      </c>
      <c r="B10" s="1487">
        <v>1</v>
      </c>
      <c r="C10" s="1486"/>
      <c r="D10" s="1486"/>
      <c r="E10" s="1486"/>
      <c r="F10" s="1486"/>
      <c r="G10" s="1486"/>
      <c r="H10" s="1486"/>
      <c r="I10" s="1486"/>
      <c r="J10" s="1486"/>
      <c r="K10" s="1486">
        <f>SUM(B10:J10)</f>
        <v>1</v>
      </c>
      <c r="L10" s="420">
        <v>173959.76</v>
      </c>
      <c r="M10" s="1487">
        <v>1</v>
      </c>
      <c r="N10" s="1486"/>
      <c r="O10" s="1486"/>
      <c r="P10" s="1486"/>
      <c r="Q10" s="1486"/>
      <c r="R10" s="1486"/>
      <c r="S10" s="1486"/>
      <c r="T10" s="1486"/>
      <c r="U10" s="1486"/>
      <c r="V10" s="1486">
        <f>SUM(M10:U10)</f>
        <v>1</v>
      </c>
      <c r="W10" s="420">
        <v>173959.76</v>
      </c>
      <c r="AA10" s="3"/>
      <c r="AB10" s="3"/>
    </row>
    <row r="11" spans="1:28" ht="12.75">
      <c r="A11" s="34" t="s">
        <v>564</v>
      </c>
      <c r="B11" s="1487">
        <v>1</v>
      </c>
      <c r="C11" s="1486"/>
      <c r="D11" s="1486"/>
      <c r="E11" s="1486"/>
      <c r="F11" s="1486"/>
      <c r="G11" s="1486"/>
      <c r="H11" s="1486"/>
      <c r="I11" s="1486"/>
      <c r="J11" s="1486"/>
      <c r="K11" s="1486">
        <f aca="true" t="shared" si="1" ref="K11:K17">SUM(B11:J11)</f>
        <v>1</v>
      </c>
      <c r="L11" s="420">
        <v>102135.33</v>
      </c>
      <c r="M11" s="1487">
        <v>1</v>
      </c>
      <c r="N11" s="1486"/>
      <c r="O11" s="1486"/>
      <c r="P11" s="1486"/>
      <c r="Q11" s="1486"/>
      <c r="R11" s="1486"/>
      <c r="S11" s="1486"/>
      <c r="T11" s="1486"/>
      <c r="U11" s="1486"/>
      <c r="V11" s="1486">
        <f aca="true" t="shared" si="2" ref="V11:V17">SUM(M11:U11)</f>
        <v>1</v>
      </c>
      <c r="W11" s="420">
        <v>102135.33</v>
      </c>
      <c r="AA11" s="3"/>
      <c r="AB11" s="3"/>
    </row>
    <row r="12" spans="1:28" ht="12.75">
      <c r="A12" s="34" t="s">
        <v>564</v>
      </c>
      <c r="B12" s="1487">
        <v>1</v>
      </c>
      <c r="C12" s="1486"/>
      <c r="D12" s="1486"/>
      <c r="E12" s="1486"/>
      <c r="F12" s="1486"/>
      <c r="G12" s="1486"/>
      <c r="H12" s="1486"/>
      <c r="I12" s="1486"/>
      <c r="J12" s="1486"/>
      <c r="K12" s="1486">
        <f t="shared" si="1"/>
        <v>1</v>
      </c>
      <c r="L12" s="420">
        <v>17179.48</v>
      </c>
      <c r="M12" s="1487">
        <v>1</v>
      </c>
      <c r="N12" s="1486"/>
      <c r="O12" s="1486"/>
      <c r="P12" s="1486"/>
      <c r="Q12" s="1486"/>
      <c r="R12" s="1486"/>
      <c r="S12" s="1486"/>
      <c r="T12" s="1486"/>
      <c r="U12" s="1486"/>
      <c r="V12" s="1486">
        <f t="shared" si="2"/>
        <v>1</v>
      </c>
      <c r="W12" s="420">
        <v>17179.48</v>
      </c>
      <c r="AA12" s="3"/>
      <c r="AB12" s="3"/>
    </row>
    <row r="13" spans="1:28" ht="12.75">
      <c r="A13" s="34" t="s">
        <v>563</v>
      </c>
      <c r="B13" s="1487">
        <v>14</v>
      </c>
      <c r="C13" s="1486"/>
      <c r="D13" s="1486"/>
      <c r="E13" s="1486"/>
      <c r="F13" s="1486"/>
      <c r="G13" s="1486"/>
      <c r="H13" s="1486"/>
      <c r="I13" s="1486"/>
      <c r="J13" s="1486"/>
      <c r="K13" s="1486">
        <f t="shared" si="1"/>
        <v>14</v>
      </c>
      <c r="L13" s="420">
        <v>699135.83</v>
      </c>
      <c r="M13" s="1487">
        <v>14</v>
      </c>
      <c r="N13" s="1486"/>
      <c r="O13" s="1486"/>
      <c r="P13" s="1486"/>
      <c r="Q13" s="1486"/>
      <c r="R13" s="1486"/>
      <c r="S13" s="1486"/>
      <c r="T13" s="1486"/>
      <c r="U13" s="1486"/>
      <c r="V13" s="1486">
        <f t="shared" si="2"/>
        <v>14</v>
      </c>
      <c r="W13" s="420">
        <v>699135.83</v>
      </c>
      <c r="AA13" s="3"/>
      <c r="AB13" s="3"/>
    </row>
    <row r="14" spans="1:28" ht="12.75">
      <c r="A14" s="34" t="s">
        <v>562</v>
      </c>
      <c r="B14" s="1487">
        <v>20</v>
      </c>
      <c r="C14" s="1486"/>
      <c r="D14" s="1486"/>
      <c r="E14" s="1486"/>
      <c r="F14" s="1486"/>
      <c r="G14" s="1486"/>
      <c r="H14" s="1486"/>
      <c r="I14" s="1486"/>
      <c r="J14" s="1486"/>
      <c r="K14" s="1486">
        <f t="shared" si="1"/>
        <v>20</v>
      </c>
      <c r="L14" s="420">
        <v>959338.31</v>
      </c>
      <c r="M14" s="1487">
        <v>20</v>
      </c>
      <c r="N14" s="1486"/>
      <c r="O14" s="1486"/>
      <c r="P14" s="1486"/>
      <c r="Q14" s="1486"/>
      <c r="R14" s="1486"/>
      <c r="S14" s="1486"/>
      <c r="T14" s="1486"/>
      <c r="U14" s="1486"/>
      <c r="V14" s="1486">
        <f t="shared" si="2"/>
        <v>20</v>
      </c>
      <c r="W14" s="420">
        <v>959338.31</v>
      </c>
      <c r="AA14" s="3"/>
      <c r="AB14" s="3"/>
    </row>
    <row r="15" spans="1:28" ht="12.75">
      <c r="A15" s="34" t="s">
        <v>561</v>
      </c>
      <c r="B15" s="1487">
        <v>1</v>
      </c>
      <c r="C15" s="1486"/>
      <c r="D15" s="1486"/>
      <c r="E15" s="1486"/>
      <c r="F15" s="1486"/>
      <c r="G15" s="1486"/>
      <c r="H15" s="1486"/>
      <c r="I15" s="1486"/>
      <c r="J15" s="1486"/>
      <c r="K15" s="1486">
        <f t="shared" si="1"/>
        <v>1</v>
      </c>
      <c r="L15" s="420">
        <v>54256.52</v>
      </c>
      <c r="M15" s="1487">
        <v>1</v>
      </c>
      <c r="N15" s="1486"/>
      <c r="O15" s="1486"/>
      <c r="P15" s="1486"/>
      <c r="Q15" s="1486"/>
      <c r="R15" s="1486"/>
      <c r="S15" s="1486"/>
      <c r="T15" s="1486"/>
      <c r="U15" s="1486"/>
      <c r="V15" s="1486">
        <f t="shared" si="2"/>
        <v>1</v>
      </c>
      <c r="W15" s="420">
        <v>54256.52</v>
      </c>
      <c r="AA15" s="3"/>
      <c r="AB15" s="3"/>
    </row>
    <row r="16" spans="1:28" ht="12.75">
      <c r="A16" s="34" t="s">
        <v>560</v>
      </c>
      <c r="B16" s="1487">
        <v>7</v>
      </c>
      <c r="C16" s="1486"/>
      <c r="D16" s="1486"/>
      <c r="E16" s="1486"/>
      <c r="F16" s="1486"/>
      <c r="G16" s="1486"/>
      <c r="H16" s="1486"/>
      <c r="I16" s="1486"/>
      <c r="J16" s="1486"/>
      <c r="K16" s="1486">
        <f t="shared" si="1"/>
        <v>7</v>
      </c>
      <c r="L16" s="420">
        <v>317289.29</v>
      </c>
      <c r="M16" s="1487">
        <v>7</v>
      </c>
      <c r="N16" s="1486"/>
      <c r="O16" s="1486"/>
      <c r="P16" s="1486"/>
      <c r="Q16" s="1486"/>
      <c r="R16" s="1486"/>
      <c r="S16" s="1486"/>
      <c r="T16" s="1486"/>
      <c r="U16" s="1486"/>
      <c r="V16" s="1486">
        <f t="shared" si="2"/>
        <v>7</v>
      </c>
      <c r="W16" s="420">
        <v>317289.29</v>
      </c>
      <c r="AA16" s="3"/>
      <c r="AB16" s="3"/>
    </row>
    <row r="17" spans="1:28" ht="12.75">
      <c r="A17" s="34" t="s">
        <v>12</v>
      </c>
      <c r="B17" s="1487">
        <v>17</v>
      </c>
      <c r="C17" s="1486"/>
      <c r="D17" s="1486"/>
      <c r="E17" s="1486"/>
      <c r="F17" s="1486"/>
      <c r="G17" s="1486"/>
      <c r="H17" s="1486"/>
      <c r="I17" s="1486"/>
      <c r="J17" s="1486"/>
      <c r="K17" s="1486">
        <f t="shared" si="1"/>
        <v>17</v>
      </c>
      <c r="L17" s="420">
        <v>657025.09</v>
      </c>
      <c r="M17" s="1487">
        <v>17</v>
      </c>
      <c r="N17" s="1486"/>
      <c r="O17" s="1486"/>
      <c r="P17" s="1486"/>
      <c r="Q17" s="1486"/>
      <c r="R17" s="1486"/>
      <c r="S17" s="1486"/>
      <c r="T17" s="1486"/>
      <c r="U17" s="1486"/>
      <c r="V17" s="1486">
        <f t="shared" si="2"/>
        <v>17</v>
      </c>
      <c r="W17" s="420">
        <v>657025.09</v>
      </c>
      <c r="AA17" s="3"/>
      <c r="AB17" s="3"/>
    </row>
    <row r="18" spans="1:28" ht="12.75">
      <c r="A18" s="71"/>
      <c r="B18" s="1486"/>
      <c r="C18" s="1486"/>
      <c r="D18" s="1486"/>
      <c r="E18" s="1486"/>
      <c r="F18" s="1486"/>
      <c r="G18" s="1486"/>
      <c r="H18" s="1486"/>
      <c r="I18" s="1486"/>
      <c r="J18" s="1486"/>
      <c r="K18" s="1486"/>
      <c r="L18" s="420"/>
      <c r="M18" s="1486"/>
      <c r="N18" s="1486"/>
      <c r="O18" s="1486"/>
      <c r="P18" s="1486"/>
      <c r="Q18" s="1486"/>
      <c r="R18" s="1486"/>
      <c r="S18" s="1486"/>
      <c r="T18" s="1486"/>
      <c r="U18" s="1486"/>
      <c r="V18" s="1486"/>
      <c r="W18" s="420"/>
      <c r="AA18" s="3"/>
      <c r="AB18" s="3"/>
    </row>
    <row r="19" spans="1:28" ht="12.75">
      <c r="A19" s="35" t="s">
        <v>4</v>
      </c>
      <c r="B19" s="1488">
        <f>SUM(B20:B24)</f>
        <v>48</v>
      </c>
      <c r="C19" s="1488">
        <f aca="true" t="shared" si="3" ref="C19:L19">SUM(C20:C24)</f>
        <v>0</v>
      </c>
      <c r="D19" s="1488">
        <f t="shared" si="3"/>
        <v>0</v>
      </c>
      <c r="E19" s="1488">
        <f t="shared" si="3"/>
        <v>0</v>
      </c>
      <c r="F19" s="1488">
        <f t="shared" si="3"/>
        <v>0</v>
      </c>
      <c r="G19" s="1488">
        <f t="shared" si="3"/>
        <v>0</v>
      </c>
      <c r="H19" s="1488">
        <f t="shared" si="3"/>
        <v>0</v>
      </c>
      <c r="I19" s="1488">
        <f t="shared" si="3"/>
        <v>0</v>
      </c>
      <c r="J19" s="1488">
        <f t="shared" si="3"/>
        <v>0</v>
      </c>
      <c r="K19" s="1488">
        <f t="shared" si="3"/>
        <v>48</v>
      </c>
      <c r="L19" s="1488">
        <f t="shared" si="3"/>
        <v>1962356.15</v>
      </c>
      <c r="M19" s="1488">
        <f>SUM(M20:M24)</f>
        <v>48</v>
      </c>
      <c r="N19" s="1488">
        <f aca="true" t="shared" si="4" ref="N19:W19">SUM(N20:N24)</f>
        <v>0</v>
      </c>
      <c r="O19" s="1488">
        <f t="shared" si="4"/>
        <v>0</v>
      </c>
      <c r="P19" s="1488">
        <f t="shared" si="4"/>
        <v>0</v>
      </c>
      <c r="Q19" s="1488">
        <f t="shared" si="4"/>
        <v>0</v>
      </c>
      <c r="R19" s="1488">
        <f t="shared" si="4"/>
        <v>0</v>
      </c>
      <c r="S19" s="1488">
        <f t="shared" si="4"/>
        <v>0</v>
      </c>
      <c r="T19" s="1488">
        <f t="shared" si="4"/>
        <v>0</v>
      </c>
      <c r="U19" s="1488">
        <f t="shared" si="4"/>
        <v>0</v>
      </c>
      <c r="V19" s="1488">
        <f t="shared" si="4"/>
        <v>48</v>
      </c>
      <c r="W19" s="1488">
        <f t="shared" si="4"/>
        <v>1962356.15</v>
      </c>
      <c r="X19" s="80"/>
      <c r="AA19" s="3"/>
      <c r="AB19" s="3"/>
    </row>
    <row r="20" spans="1:28" ht="12.75">
      <c r="A20" s="412" t="s">
        <v>13</v>
      </c>
      <c r="B20" s="1487">
        <v>5</v>
      </c>
      <c r="C20" s="1486"/>
      <c r="D20" s="1486"/>
      <c r="E20" s="1486"/>
      <c r="F20" s="1486"/>
      <c r="G20" s="1486"/>
      <c r="H20" s="1486"/>
      <c r="I20" s="1486"/>
      <c r="J20" s="1486"/>
      <c r="K20" s="1486">
        <f>SUM(B20:J20)</f>
        <v>5</v>
      </c>
      <c r="L20" s="420">
        <v>218244.12</v>
      </c>
      <c r="M20" s="1487">
        <v>5</v>
      </c>
      <c r="N20" s="1486"/>
      <c r="O20" s="1486"/>
      <c r="P20" s="1486"/>
      <c r="Q20" s="1486"/>
      <c r="R20" s="1486"/>
      <c r="S20" s="1486"/>
      <c r="T20" s="1486"/>
      <c r="U20" s="1486"/>
      <c r="V20" s="1486">
        <f>SUM(M20:U20)</f>
        <v>5</v>
      </c>
      <c r="W20" s="420">
        <v>218244.12</v>
      </c>
      <c r="AA20" s="3"/>
      <c r="AB20" s="3"/>
    </row>
    <row r="21" spans="1:28" ht="12.75">
      <c r="A21" s="412" t="s">
        <v>566</v>
      </c>
      <c r="B21" s="1487">
        <v>5</v>
      </c>
      <c r="C21" s="1486"/>
      <c r="D21" s="1486"/>
      <c r="E21" s="1486"/>
      <c r="F21" s="1486"/>
      <c r="G21" s="1486"/>
      <c r="H21" s="1486"/>
      <c r="I21" s="1486"/>
      <c r="J21" s="1486"/>
      <c r="K21" s="1486">
        <f>SUM(B21:J21)</f>
        <v>5</v>
      </c>
      <c r="L21" s="420">
        <v>192039.9</v>
      </c>
      <c r="M21" s="1487">
        <v>5</v>
      </c>
      <c r="N21" s="1486"/>
      <c r="O21" s="1486"/>
      <c r="P21" s="1486"/>
      <c r="Q21" s="1486"/>
      <c r="R21" s="1486"/>
      <c r="S21" s="1486"/>
      <c r="T21" s="1486"/>
      <c r="U21" s="1486"/>
      <c r="V21" s="1486">
        <f>SUM(M21:U21)</f>
        <v>5</v>
      </c>
      <c r="W21" s="420">
        <v>192039.9</v>
      </c>
      <c r="AA21" s="3"/>
      <c r="AB21" s="3"/>
    </row>
    <row r="22" spans="1:28" ht="12.75">
      <c r="A22" s="412" t="s">
        <v>567</v>
      </c>
      <c r="B22" s="1487">
        <v>10</v>
      </c>
      <c r="C22" s="1486"/>
      <c r="D22" s="1486"/>
      <c r="E22" s="1486"/>
      <c r="F22" s="1486"/>
      <c r="G22" s="1486"/>
      <c r="H22" s="1486"/>
      <c r="I22" s="1486"/>
      <c r="J22" s="1486"/>
      <c r="K22" s="1486">
        <f>SUM(B22:J22)</f>
        <v>10</v>
      </c>
      <c r="L22" s="420">
        <v>402653.41</v>
      </c>
      <c r="M22" s="1487">
        <v>10</v>
      </c>
      <c r="N22" s="1486"/>
      <c r="O22" s="1486"/>
      <c r="P22" s="1486"/>
      <c r="Q22" s="1486"/>
      <c r="R22" s="1486"/>
      <c r="S22" s="1486"/>
      <c r="T22" s="1486"/>
      <c r="U22" s="1486"/>
      <c r="V22" s="1486">
        <f>SUM(M22:U22)</f>
        <v>10</v>
      </c>
      <c r="W22" s="420">
        <v>402653.41</v>
      </c>
      <c r="AA22" s="3"/>
      <c r="AB22" s="3"/>
    </row>
    <row r="23" spans="1:28" ht="12.75">
      <c r="A23" s="412" t="s">
        <v>568</v>
      </c>
      <c r="B23" s="1487">
        <v>4</v>
      </c>
      <c r="C23" s="1486"/>
      <c r="D23" s="1486"/>
      <c r="E23" s="1486"/>
      <c r="F23" s="1486"/>
      <c r="G23" s="1486"/>
      <c r="H23" s="1486"/>
      <c r="I23" s="1486"/>
      <c r="J23" s="1486"/>
      <c r="K23" s="1486">
        <f>SUM(B23:J23)</f>
        <v>4</v>
      </c>
      <c r="L23" s="420">
        <v>169171.6</v>
      </c>
      <c r="M23" s="1487">
        <v>4</v>
      </c>
      <c r="N23" s="1486"/>
      <c r="O23" s="1486"/>
      <c r="P23" s="1486"/>
      <c r="Q23" s="1486"/>
      <c r="R23" s="1486"/>
      <c r="S23" s="1486"/>
      <c r="T23" s="1486"/>
      <c r="U23" s="1486"/>
      <c r="V23" s="1486">
        <f>SUM(M23:U23)</f>
        <v>4</v>
      </c>
      <c r="W23" s="420">
        <v>169171.6</v>
      </c>
      <c r="AA23" s="3"/>
      <c r="AB23" s="3"/>
    </row>
    <row r="24" spans="1:28" ht="12.75">
      <c r="A24" s="412" t="s">
        <v>15</v>
      </c>
      <c r="B24" s="1487">
        <v>24</v>
      </c>
      <c r="C24" s="1486"/>
      <c r="D24" s="1486"/>
      <c r="E24" s="1486"/>
      <c r="F24" s="1486"/>
      <c r="G24" s="1486"/>
      <c r="H24" s="1486"/>
      <c r="I24" s="1486"/>
      <c r="J24" s="1486"/>
      <c r="K24" s="1486">
        <f>SUM(B24:J24)</f>
        <v>24</v>
      </c>
      <c r="L24" s="420">
        <v>980247.12</v>
      </c>
      <c r="M24" s="1487">
        <v>24</v>
      </c>
      <c r="N24" s="1486"/>
      <c r="O24" s="1486"/>
      <c r="P24" s="1486"/>
      <c r="Q24" s="1486"/>
      <c r="R24" s="1486"/>
      <c r="S24" s="1486"/>
      <c r="T24" s="1486"/>
      <c r="U24" s="1486"/>
      <c r="V24" s="1486">
        <f>SUM(M24:U24)</f>
        <v>24</v>
      </c>
      <c r="W24" s="420">
        <v>980247.12</v>
      </c>
      <c r="AA24" s="3"/>
      <c r="AB24" s="3"/>
    </row>
    <row r="25" spans="1:28" ht="12.75">
      <c r="A25" s="35" t="s">
        <v>5</v>
      </c>
      <c r="B25" s="1488">
        <f>SUM(B26:B30)</f>
        <v>26</v>
      </c>
      <c r="C25" s="1488">
        <f aca="true" t="shared" si="5" ref="C25:K25">SUM(C26:C30)</f>
        <v>0</v>
      </c>
      <c r="D25" s="1488">
        <f t="shared" si="5"/>
        <v>0</v>
      </c>
      <c r="E25" s="1488">
        <f t="shared" si="5"/>
        <v>0</v>
      </c>
      <c r="F25" s="1488">
        <f t="shared" si="5"/>
        <v>0</v>
      </c>
      <c r="G25" s="1488">
        <f t="shared" si="5"/>
        <v>0</v>
      </c>
      <c r="H25" s="1488">
        <f t="shared" si="5"/>
        <v>0</v>
      </c>
      <c r="I25" s="1488">
        <f t="shared" si="5"/>
        <v>0</v>
      </c>
      <c r="J25" s="1488">
        <f t="shared" si="5"/>
        <v>0</v>
      </c>
      <c r="K25" s="1488">
        <f t="shared" si="5"/>
        <v>26</v>
      </c>
      <c r="L25" s="1488">
        <f>SUM(L26:L30)</f>
        <v>956843.1200000001</v>
      </c>
      <c r="M25" s="1488">
        <f>SUM(M26:M30)</f>
        <v>26</v>
      </c>
      <c r="N25" s="1488">
        <f aca="true" t="shared" si="6" ref="N25:V25">SUM(N26:N30)</f>
        <v>0</v>
      </c>
      <c r="O25" s="1488">
        <f t="shared" si="6"/>
        <v>0</v>
      </c>
      <c r="P25" s="1488">
        <f t="shared" si="6"/>
        <v>0</v>
      </c>
      <c r="Q25" s="1488">
        <f t="shared" si="6"/>
        <v>0</v>
      </c>
      <c r="R25" s="1488">
        <f t="shared" si="6"/>
        <v>0</v>
      </c>
      <c r="S25" s="1488">
        <f t="shared" si="6"/>
        <v>0</v>
      </c>
      <c r="T25" s="1488">
        <f t="shared" si="6"/>
        <v>0</v>
      </c>
      <c r="U25" s="1488">
        <f t="shared" si="6"/>
        <v>0</v>
      </c>
      <c r="V25" s="1488">
        <f t="shared" si="6"/>
        <v>26</v>
      </c>
      <c r="W25" s="1488">
        <f>SUM(W26:W30)</f>
        <v>956843.1200000001</v>
      </c>
      <c r="X25" s="80"/>
      <c r="AA25" s="3"/>
      <c r="AB25" s="3"/>
    </row>
    <row r="26" spans="1:28" ht="12.75">
      <c r="A26" s="412" t="s">
        <v>16</v>
      </c>
      <c r="B26" s="1487">
        <v>11</v>
      </c>
      <c r="C26" s="1486"/>
      <c r="D26" s="1486"/>
      <c r="E26" s="1486"/>
      <c r="F26" s="1486"/>
      <c r="G26" s="1486"/>
      <c r="H26" s="1486"/>
      <c r="I26" s="1486"/>
      <c r="J26" s="1486"/>
      <c r="K26" s="1486">
        <f>SUM(B26:J26)</f>
        <v>11</v>
      </c>
      <c r="L26" s="420">
        <v>403469.96</v>
      </c>
      <c r="M26" s="1487">
        <v>11</v>
      </c>
      <c r="N26" s="1486"/>
      <c r="O26" s="1486"/>
      <c r="P26" s="1486"/>
      <c r="Q26" s="1486"/>
      <c r="R26" s="1486"/>
      <c r="S26" s="1486"/>
      <c r="T26" s="1486"/>
      <c r="U26" s="1486"/>
      <c r="V26" s="1486">
        <f>SUM(M26:U26)</f>
        <v>11</v>
      </c>
      <c r="W26" s="420">
        <v>403469.96</v>
      </c>
      <c r="AA26" s="3"/>
      <c r="AB26" s="3"/>
    </row>
    <row r="27" spans="1:28" ht="12.75">
      <c r="A27" s="412" t="s">
        <v>569</v>
      </c>
      <c r="B27" s="1487">
        <v>7</v>
      </c>
      <c r="C27" s="1486"/>
      <c r="D27" s="1486"/>
      <c r="E27" s="1486"/>
      <c r="F27" s="1486"/>
      <c r="G27" s="1486"/>
      <c r="H27" s="1486"/>
      <c r="I27" s="1486"/>
      <c r="J27" s="1486"/>
      <c r="K27" s="1486">
        <f>SUM(B27:J27)</f>
        <v>7</v>
      </c>
      <c r="L27" s="420">
        <v>242960.08</v>
      </c>
      <c r="M27" s="1487">
        <v>7</v>
      </c>
      <c r="N27" s="1486"/>
      <c r="O27" s="1486"/>
      <c r="P27" s="1486"/>
      <c r="Q27" s="1486"/>
      <c r="R27" s="1486"/>
      <c r="S27" s="1486"/>
      <c r="T27" s="1486"/>
      <c r="U27" s="1486"/>
      <c r="V27" s="1486">
        <f>SUM(M27:U27)</f>
        <v>7</v>
      </c>
      <c r="W27" s="420">
        <v>242960.08</v>
      </c>
      <c r="AA27" s="3"/>
      <c r="AB27" s="3"/>
    </row>
    <row r="28" spans="1:28" ht="12.75">
      <c r="A28" s="412" t="s">
        <v>570</v>
      </c>
      <c r="B28" s="1487">
        <v>6</v>
      </c>
      <c r="C28" s="1486"/>
      <c r="D28" s="1486"/>
      <c r="E28" s="1486"/>
      <c r="F28" s="1486"/>
      <c r="G28" s="1486"/>
      <c r="H28" s="1486"/>
      <c r="I28" s="1486"/>
      <c r="J28" s="1486"/>
      <c r="K28" s="1486">
        <f>SUM(B28:J28)</f>
        <v>6</v>
      </c>
      <c r="L28" s="420">
        <v>233047.8</v>
      </c>
      <c r="M28" s="1487">
        <v>6</v>
      </c>
      <c r="N28" s="1486"/>
      <c r="O28" s="1486"/>
      <c r="P28" s="1486"/>
      <c r="Q28" s="1486"/>
      <c r="R28" s="1486"/>
      <c r="S28" s="1486"/>
      <c r="T28" s="1486"/>
      <c r="U28" s="1486"/>
      <c r="V28" s="1486">
        <f>SUM(M28:U28)</f>
        <v>6</v>
      </c>
      <c r="W28" s="420">
        <v>233047.8</v>
      </c>
      <c r="AA28" s="3"/>
      <c r="AB28" s="3"/>
    </row>
    <row r="29" spans="1:28" ht="12.75">
      <c r="A29" s="412" t="s">
        <v>571</v>
      </c>
      <c r="B29" s="1487">
        <v>2</v>
      </c>
      <c r="C29" s="1486"/>
      <c r="D29" s="1486"/>
      <c r="E29" s="1486"/>
      <c r="F29" s="1486"/>
      <c r="G29" s="1486"/>
      <c r="H29" s="1486"/>
      <c r="I29" s="1486"/>
      <c r="J29" s="1486"/>
      <c r="K29" s="1486">
        <f>SUM(B29:J29)</f>
        <v>2</v>
      </c>
      <c r="L29" s="420">
        <v>77365.28</v>
      </c>
      <c r="M29" s="1487">
        <v>2</v>
      </c>
      <c r="N29" s="1486"/>
      <c r="O29" s="1486"/>
      <c r="P29" s="1486"/>
      <c r="Q29" s="1486"/>
      <c r="R29" s="1486"/>
      <c r="S29" s="1486"/>
      <c r="T29" s="1486"/>
      <c r="U29" s="1486"/>
      <c r="V29" s="1486">
        <f>SUM(M29:U29)</f>
        <v>2</v>
      </c>
      <c r="W29" s="420">
        <v>77365.28</v>
      </c>
      <c r="AA29" s="3"/>
      <c r="AB29" s="3"/>
    </row>
    <row r="30" spans="1:28" ht="12.75">
      <c r="A30" s="412" t="s">
        <v>17</v>
      </c>
      <c r="B30" s="1487"/>
      <c r="C30" s="1486"/>
      <c r="D30" s="1486"/>
      <c r="E30" s="1486"/>
      <c r="F30" s="1486"/>
      <c r="G30" s="1486"/>
      <c r="H30" s="1486"/>
      <c r="I30" s="1486"/>
      <c r="J30" s="1486"/>
      <c r="K30" s="1486"/>
      <c r="L30" s="420"/>
      <c r="M30" s="1487"/>
      <c r="N30" s="1486"/>
      <c r="O30" s="1486"/>
      <c r="P30" s="1486"/>
      <c r="Q30" s="1486"/>
      <c r="R30" s="1486"/>
      <c r="S30" s="1486"/>
      <c r="T30" s="1486"/>
      <c r="U30" s="1486"/>
      <c r="V30" s="1486"/>
      <c r="W30" s="420"/>
      <c r="AA30" s="3"/>
      <c r="AB30" s="3"/>
    </row>
    <row r="31" spans="1:28" ht="12.75">
      <c r="A31" s="34"/>
      <c r="B31" s="1487"/>
      <c r="C31" s="1486"/>
      <c r="D31" s="1486"/>
      <c r="E31" s="1486"/>
      <c r="F31" s="1486"/>
      <c r="G31" s="1486"/>
      <c r="H31" s="1486"/>
      <c r="I31" s="1486"/>
      <c r="J31" s="1486"/>
      <c r="K31" s="1486"/>
      <c r="L31" s="420"/>
      <c r="M31" s="1487"/>
      <c r="N31" s="1486"/>
      <c r="O31" s="1486"/>
      <c r="P31" s="1486"/>
      <c r="Q31" s="1486"/>
      <c r="R31" s="1486"/>
      <c r="S31" s="1486"/>
      <c r="T31" s="1486"/>
      <c r="U31" s="1486"/>
      <c r="V31" s="1486"/>
      <c r="W31" s="420"/>
      <c r="AA31" s="3"/>
      <c r="AB31" s="3"/>
    </row>
    <row r="32" spans="1:28" ht="12.75">
      <c r="A32" s="35" t="s">
        <v>6</v>
      </c>
      <c r="B32" s="1488">
        <f>SUM(B33:B37)</f>
        <v>1</v>
      </c>
      <c r="C32" s="1488">
        <f aca="true" t="shared" si="7" ref="C32:L32">SUM(C33:C37)</f>
        <v>0</v>
      </c>
      <c r="D32" s="1488">
        <f t="shared" si="7"/>
        <v>0</v>
      </c>
      <c r="E32" s="1488">
        <f t="shared" si="7"/>
        <v>0</v>
      </c>
      <c r="F32" s="1488">
        <f t="shared" si="7"/>
        <v>0</v>
      </c>
      <c r="G32" s="1488">
        <f t="shared" si="7"/>
        <v>0</v>
      </c>
      <c r="H32" s="1488">
        <f t="shared" si="7"/>
        <v>0</v>
      </c>
      <c r="I32" s="1488">
        <f t="shared" si="7"/>
        <v>0</v>
      </c>
      <c r="J32" s="1488">
        <f t="shared" si="7"/>
        <v>0</v>
      </c>
      <c r="K32" s="1488">
        <f t="shared" si="7"/>
        <v>1</v>
      </c>
      <c r="L32" s="1488">
        <f t="shared" si="7"/>
        <v>38549.56</v>
      </c>
      <c r="M32" s="1488">
        <f>SUM(M33:M37)</f>
        <v>1</v>
      </c>
      <c r="N32" s="1488">
        <f aca="true" t="shared" si="8" ref="N32:W32">SUM(N33:N37)</f>
        <v>0</v>
      </c>
      <c r="O32" s="1488">
        <f t="shared" si="8"/>
        <v>0</v>
      </c>
      <c r="P32" s="1488">
        <f t="shared" si="8"/>
        <v>0</v>
      </c>
      <c r="Q32" s="1488">
        <f t="shared" si="8"/>
        <v>0</v>
      </c>
      <c r="R32" s="1488">
        <f t="shared" si="8"/>
        <v>0</v>
      </c>
      <c r="S32" s="1488">
        <f t="shared" si="8"/>
        <v>0</v>
      </c>
      <c r="T32" s="1488">
        <f t="shared" si="8"/>
        <v>0</v>
      </c>
      <c r="U32" s="1488">
        <f t="shared" si="8"/>
        <v>0</v>
      </c>
      <c r="V32" s="1488">
        <f t="shared" si="8"/>
        <v>1</v>
      </c>
      <c r="W32" s="1488">
        <f t="shared" si="8"/>
        <v>38549.56</v>
      </c>
      <c r="X32" s="80"/>
      <c r="AA32" s="3"/>
      <c r="AB32" s="3"/>
    </row>
    <row r="33" spans="1:28" ht="12.75">
      <c r="A33" s="412" t="s">
        <v>18</v>
      </c>
      <c r="B33" s="1487"/>
      <c r="C33" s="1486"/>
      <c r="D33" s="1486"/>
      <c r="E33" s="1486"/>
      <c r="F33" s="1486"/>
      <c r="G33" s="1486"/>
      <c r="H33" s="1486"/>
      <c r="I33" s="1486"/>
      <c r="J33" s="1486"/>
      <c r="K33" s="1486"/>
      <c r="L33" s="420"/>
      <c r="M33" s="1487"/>
      <c r="N33" s="1486"/>
      <c r="O33" s="1486"/>
      <c r="P33" s="1486"/>
      <c r="Q33" s="1486"/>
      <c r="R33" s="1486"/>
      <c r="S33" s="1486"/>
      <c r="T33" s="1486"/>
      <c r="U33" s="1486"/>
      <c r="V33" s="1486"/>
      <c r="W33" s="420"/>
      <c r="AA33" s="3"/>
      <c r="AB33" s="3"/>
    </row>
    <row r="34" spans="1:28" ht="12.75">
      <c r="A34" s="412" t="s">
        <v>572</v>
      </c>
      <c r="B34" s="1487"/>
      <c r="C34" s="1486"/>
      <c r="D34" s="1486"/>
      <c r="E34" s="1486"/>
      <c r="F34" s="1486"/>
      <c r="G34" s="1486"/>
      <c r="H34" s="1486"/>
      <c r="I34" s="1486"/>
      <c r="J34" s="1486"/>
      <c r="K34" s="1486"/>
      <c r="L34" s="420"/>
      <c r="M34" s="1487"/>
      <c r="N34" s="1486"/>
      <c r="O34" s="1486"/>
      <c r="P34" s="1486"/>
      <c r="Q34" s="1486"/>
      <c r="R34" s="1486"/>
      <c r="S34" s="1486"/>
      <c r="T34" s="1486"/>
      <c r="U34" s="1486"/>
      <c r="V34" s="1486"/>
      <c r="W34" s="420"/>
      <c r="AA34" s="3"/>
      <c r="AB34" s="3"/>
    </row>
    <row r="35" spans="1:28" ht="12.75">
      <c r="A35" s="412" t="s">
        <v>573</v>
      </c>
      <c r="B35" s="1487">
        <v>1</v>
      </c>
      <c r="C35" s="1486"/>
      <c r="D35" s="1486"/>
      <c r="E35" s="1486"/>
      <c r="F35" s="1486"/>
      <c r="G35" s="1486"/>
      <c r="H35" s="1486"/>
      <c r="I35" s="1486"/>
      <c r="J35" s="1486"/>
      <c r="K35" s="1486">
        <f>SUM(B35:J35)</f>
        <v>1</v>
      </c>
      <c r="L35" s="420">
        <v>38549.56</v>
      </c>
      <c r="M35" s="1487">
        <v>1</v>
      </c>
      <c r="N35" s="1486"/>
      <c r="O35" s="1486"/>
      <c r="P35" s="1486"/>
      <c r="Q35" s="1486"/>
      <c r="R35" s="1486"/>
      <c r="S35" s="1486"/>
      <c r="T35" s="1486"/>
      <c r="U35" s="1486"/>
      <c r="V35" s="1486">
        <f>SUM(M35:U35)</f>
        <v>1</v>
      </c>
      <c r="W35" s="420">
        <v>38549.56</v>
      </c>
      <c r="AA35" s="3"/>
      <c r="AB35" s="3"/>
    </row>
    <row r="36" spans="1:28" ht="12.75">
      <c r="A36" s="412" t="s">
        <v>574</v>
      </c>
      <c r="B36" s="1487"/>
      <c r="C36" s="1486"/>
      <c r="D36" s="1486"/>
      <c r="E36" s="1486"/>
      <c r="F36" s="1486"/>
      <c r="G36" s="1486"/>
      <c r="H36" s="1486"/>
      <c r="I36" s="1486"/>
      <c r="J36" s="1486"/>
      <c r="K36" s="1486"/>
      <c r="L36" s="420"/>
      <c r="M36" s="1487"/>
      <c r="N36" s="1486"/>
      <c r="O36" s="1486"/>
      <c r="P36" s="1486"/>
      <c r="Q36" s="1486"/>
      <c r="R36" s="1486"/>
      <c r="S36" s="1486"/>
      <c r="T36" s="1486"/>
      <c r="U36" s="1486"/>
      <c r="V36" s="1486"/>
      <c r="W36" s="420"/>
      <c r="AA36" s="3"/>
      <c r="AB36" s="3"/>
    </row>
    <row r="37" spans="1:28" ht="12.75">
      <c r="A37" s="412" t="s">
        <v>19</v>
      </c>
      <c r="B37" s="1487"/>
      <c r="C37" s="1486"/>
      <c r="D37" s="1486"/>
      <c r="E37" s="1486"/>
      <c r="F37" s="1486"/>
      <c r="G37" s="1486"/>
      <c r="H37" s="1486"/>
      <c r="I37" s="1486"/>
      <c r="J37" s="1486"/>
      <c r="K37" s="1486"/>
      <c r="L37" s="420"/>
      <c r="M37" s="1487"/>
      <c r="N37" s="1486"/>
      <c r="O37" s="1486"/>
      <c r="P37" s="1486"/>
      <c r="Q37" s="1486"/>
      <c r="R37" s="1486"/>
      <c r="S37" s="1486"/>
      <c r="T37" s="1486"/>
      <c r="U37" s="1486"/>
      <c r="V37" s="1486"/>
      <c r="W37" s="420"/>
      <c r="AA37" s="3"/>
      <c r="AB37" s="3"/>
    </row>
    <row r="38" spans="1:28" ht="12.75">
      <c r="A38" s="35" t="s">
        <v>575</v>
      </c>
      <c r="B38" s="1488">
        <f>SUM(B39:B40)</f>
        <v>0</v>
      </c>
      <c r="C38" s="1488">
        <f aca="true" t="shared" si="9" ref="C38:J38">SUM(C39:C39)</f>
        <v>0</v>
      </c>
      <c r="D38" s="1488">
        <f t="shared" si="9"/>
        <v>165</v>
      </c>
      <c r="E38" s="1488">
        <f t="shared" si="9"/>
        <v>0</v>
      </c>
      <c r="F38" s="1488">
        <f t="shared" si="9"/>
        <v>0</v>
      </c>
      <c r="G38" s="1488">
        <f t="shared" si="9"/>
        <v>0</v>
      </c>
      <c r="H38" s="1488">
        <f t="shared" si="9"/>
        <v>0</v>
      </c>
      <c r="I38" s="1488">
        <f t="shared" si="9"/>
        <v>0</v>
      </c>
      <c r="J38" s="1488">
        <f t="shared" si="9"/>
        <v>0</v>
      </c>
      <c r="K38" s="1488">
        <f>SUM(K39:K40)</f>
        <v>187</v>
      </c>
      <c r="L38" s="1488">
        <f>SUM(L39:L40)</f>
        <v>3524251.6</v>
      </c>
      <c r="M38" s="1488">
        <f>SUM(M39:M40)</f>
        <v>0</v>
      </c>
      <c r="N38" s="1488">
        <f aca="true" t="shared" si="10" ref="N38:U38">SUM(N39:N39)</f>
        <v>0</v>
      </c>
      <c r="O38" s="1488">
        <f t="shared" si="10"/>
        <v>350</v>
      </c>
      <c r="P38" s="1488">
        <f t="shared" si="10"/>
        <v>0</v>
      </c>
      <c r="Q38" s="1488">
        <f t="shared" si="10"/>
        <v>0</v>
      </c>
      <c r="R38" s="1488">
        <f t="shared" si="10"/>
        <v>0</v>
      </c>
      <c r="S38" s="1488">
        <f t="shared" si="10"/>
        <v>0</v>
      </c>
      <c r="T38" s="1488">
        <f t="shared" si="10"/>
        <v>0</v>
      </c>
      <c r="U38" s="1488">
        <f t="shared" si="10"/>
        <v>0</v>
      </c>
      <c r="V38" s="1488">
        <f>SUM(V39:V40)</f>
        <v>390</v>
      </c>
      <c r="W38" s="1488">
        <f>SUM(W39:W40)</f>
        <v>7192000</v>
      </c>
      <c r="AA38" s="3"/>
      <c r="AB38" s="3"/>
    </row>
    <row r="39" spans="1:28" ht="12.75">
      <c r="A39" s="412" t="s">
        <v>576</v>
      </c>
      <c r="B39" s="1487"/>
      <c r="C39" s="1486"/>
      <c r="D39" s="1486">
        <v>165</v>
      </c>
      <c r="E39" s="1486"/>
      <c r="F39" s="1486"/>
      <c r="G39" s="1486"/>
      <c r="H39" s="1486"/>
      <c r="I39" s="1486"/>
      <c r="J39" s="1486"/>
      <c r="K39" s="1486">
        <f>SUM(B39:J39)</f>
        <v>165</v>
      </c>
      <c r="L39" s="420">
        <v>3452251.6</v>
      </c>
      <c r="M39" s="1487"/>
      <c r="N39" s="1486"/>
      <c r="O39" s="1486">
        <v>350</v>
      </c>
      <c r="P39" s="1486"/>
      <c r="Q39" s="1486"/>
      <c r="R39" s="1486"/>
      <c r="S39" s="1486"/>
      <c r="T39" s="1486"/>
      <c r="U39" s="1486"/>
      <c r="V39" s="1486">
        <f>SUM(M39:U39)</f>
        <v>350</v>
      </c>
      <c r="W39" s="420">
        <v>7000000</v>
      </c>
      <c r="AA39" s="3"/>
      <c r="AB39" s="3"/>
    </row>
    <row r="40" spans="1:28" ht="13.5" thickBot="1">
      <c r="A40" s="412" t="s">
        <v>577</v>
      </c>
      <c r="B40" s="1487"/>
      <c r="C40" s="1486"/>
      <c r="D40" s="1486"/>
      <c r="E40" s="1486"/>
      <c r="F40" s="1486"/>
      <c r="G40" s="1486"/>
      <c r="H40" s="1486"/>
      <c r="I40" s="1486">
        <v>22</v>
      </c>
      <c r="J40" s="1486"/>
      <c r="K40" s="1486">
        <f>SUM(B40:J40)</f>
        <v>22</v>
      </c>
      <c r="L40" s="1486">
        <v>72000</v>
      </c>
      <c r="M40" s="1487"/>
      <c r="N40" s="1486"/>
      <c r="O40" s="1486"/>
      <c r="P40" s="1486"/>
      <c r="Q40" s="1486"/>
      <c r="R40" s="1486"/>
      <c r="S40" s="1486"/>
      <c r="T40" s="1486">
        <v>40</v>
      </c>
      <c r="U40" s="1486"/>
      <c r="V40" s="1486">
        <f>SUM(M40:U40)</f>
        <v>40</v>
      </c>
      <c r="W40" s="1486">
        <f>(V40*400)*12</f>
        <v>192000</v>
      </c>
      <c r="AA40" s="3"/>
      <c r="AB40" s="3"/>
    </row>
    <row r="41" spans="1:28" ht="13.5" thickBot="1">
      <c r="A41" s="38" t="s">
        <v>24</v>
      </c>
      <c r="B41" s="1489">
        <f>B38+B32+B25+B19+B8</f>
        <v>137</v>
      </c>
      <c r="C41" s="1489">
        <f aca="true" t="shared" si="11" ref="C41:W41">C38+C32+C25+C19+C8</f>
        <v>0</v>
      </c>
      <c r="D41" s="1489">
        <f t="shared" si="11"/>
        <v>165</v>
      </c>
      <c r="E41" s="1489">
        <f t="shared" si="11"/>
        <v>0</v>
      </c>
      <c r="F41" s="1489">
        <f t="shared" si="11"/>
        <v>0</v>
      </c>
      <c r="G41" s="1489">
        <f t="shared" si="11"/>
        <v>0</v>
      </c>
      <c r="H41" s="1489">
        <f t="shared" si="11"/>
        <v>0</v>
      </c>
      <c r="I41" s="1489">
        <f t="shared" si="11"/>
        <v>0</v>
      </c>
      <c r="J41" s="1489">
        <f t="shared" si="11"/>
        <v>0</v>
      </c>
      <c r="K41" s="1489">
        <f t="shared" si="11"/>
        <v>324</v>
      </c>
      <c r="L41" s="1489">
        <f t="shared" si="11"/>
        <v>9462320.04</v>
      </c>
      <c r="M41" s="1489">
        <f t="shared" si="11"/>
        <v>137</v>
      </c>
      <c r="N41" s="1489">
        <f t="shared" si="11"/>
        <v>0</v>
      </c>
      <c r="O41" s="1489">
        <f t="shared" si="11"/>
        <v>350</v>
      </c>
      <c r="P41" s="1489">
        <f t="shared" si="11"/>
        <v>0</v>
      </c>
      <c r="Q41" s="1489">
        <f t="shared" si="11"/>
        <v>0</v>
      </c>
      <c r="R41" s="1489">
        <f t="shared" si="11"/>
        <v>0</v>
      </c>
      <c r="S41" s="1489">
        <f t="shared" si="11"/>
        <v>0</v>
      </c>
      <c r="T41" s="1489">
        <f t="shared" si="11"/>
        <v>0</v>
      </c>
      <c r="U41" s="1489">
        <f t="shared" si="11"/>
        <v>0</v>
      </c>
      <c r="V41" s="1489">
        <f t="shared" si="11"/>
        <v>527</v>
      </c>
      <c r="W41" s="1489">
        <f t="shared" si="11"/>
        <v>13130068.44</v>
      </c>
      <c r="X41" s="80"/>
      <c r="AA41" s="3"/>
      <c r="AB41" s="3"/>
    </row>
    <row r="43" spans="1:23" ht="15.75">
      <c r="A43" s="249" t="s">
        <v>598</v>
      </c>
      <c r="B43" s="81"/>
      <c r="C43" s="81"/>
      <c r="D43" s="81"/>
      <c r="E43" s="81"/>
      <c r="F43" s="81"/>
      <c r="G43" s="81"/>
      <c r="H43" s="81"/>
      <c r="I43" s="81"/>
      <c r="J43" s="81"/>
      <c r="K43" s="81"/>
      <c r="L43" s="81"/>
      <c r="M43" s="81"/>
      <c r="N43" s="81"/>
      <c r="O43" s="81"/>
      <c r="P43" s="81"/>
      <c r="Q43" s="81"/>
      <c r="R43" s="81"/>
      <c r="S43" s="81"/>
      <c r="T43" s="81"/>
      <c r="U43" s="81"/>
      <c r="V43" s="81"/>
      <c r="W43" s="81"/>
    </row>
    <row r="44" spans="12:23" ht="13.5" thickBot="1">
      <c r="L44" s="30"/>
      <c r="W44" s="30"/>
    </row>
    <row r="45" spans="1:23" ht="12.75">
      <c r="A45" s="481" t="s">
        <v>10</v>
      </c>
      <c r="B45" s="1545" t="s">
        <v>412</v>
      </c>
      <c r="C45" s="1546"/>
      <c r="D45" s="1546"/>
      <c r="E45" s="1546"/>
      <c r="F45" s="1546"/>
      <c r="G45" s="1546"/>
      <c r="H45" s="1546"/>
      <c r="I45" s="1546"/>
      <c r="J45" s="1546"/>
      <c r="K45" s="1546"/>
      <c r="L45" s="1547"/>
      <c r="M45" s="1545" t="s">
        <v>413</v>
      </c>
      <c r="N45" s="1546"/>
      <c r="O45" s="1546"/>
      <c r="P45" s="1546"/>
      <c r="Q45" s="1546"/>
      <c r="R45" s="1546"/>
      <c r="S45" s="1546"/>
      <c r="T45" s="1546"/>
      <c r="U45" s="1546"/>
      <c r="V45" s="1546"/>
      <c r="W45" s="1547"/>
    </row>
    <row r="46" spans="1:23" ht="134.25">
      <c r="A46" s="482" t="s">
        <v>9</v>
      </c>
      <c r="B46" s="483" t="s">
        <v>335</v>
      </c>
      <c r="C46" s="483" t="s">
        <v>127</v>
      </c>
      <c r="D46" s="484" t="s">
        <v>296</v>
      </c>
      <c r="E46" s="484" t="s">
        <v>291</v>
      </c>
      <c r="F46" s="484" t="s">
        <v>298</v>
      </c>
      <c r="G46" s="484" t="s">
        <v>299</v>
      </c>
      <c r="H46" s="484" t="s">
        <v>300</v>
      </c>
      <c r="I46" s="484" t="s">
        <v>307</v>
      </c>
      <c r="J46" s="485" t="s">
        <v>302</v>
      </c>
      <c r="K46" s="486" t="s">
        <v>304</v>
      </c>
      <c r="L46" s="170" t="s">
        <v>306</v>
      </c>
      <c r="M46" s="483" t="s">
        <v>335</v>
      </c>
      <c r="N46" s="483" t="s">
        <v>127</v>
      </c>
      <c r="O46" s="484" t="s">
        <v>296</v>
      </c>
      <c r="P46" s="484" t="s">
        <v>291</v>
      </c>
      <c r="Q46" s="484" t="s">
        <v>298</v>
      </c>
      <c r="R46" s="484" t="s">
        <v>299</v>
      </c>
      <c r="S46" s="484" t="s">
        <v>300</v>
      </c>
      <c r="T46" s="484" t="s">
        <v>307</v>
      </c>
      <c r="U46" s="485" t="s">
        <v>302</v>
      </c>
      <c r="V46" s="486" t="s">
        <v>304</v>
      </c>
      <c r="W46" s="170" t="s">
        <v>305</v>
      </c>
    </row>
    <row r="47" spans="1:23" ht="12.75">
      <c r="A47" s="34"/>
      <c r="B47" s="1486"/>
      <c r="C47" s="1486"/>
      <c r="D47" s="1486"/>
      <c r="E47" s="1486"/>
      <c r="F47" s="1486"/>
      <c r="G47" s="1486"/>
      <c r="H47" s="1486"/>
      <c r="I47" s="1486"/>
      <c r="J47" s="1486"/>
      <c r="K47" s="1486"/>
      <c r="L47" s="420"/>
      <c r="M47" s="1486"/>
      <c r="N47" s="1486"/>
      <c r="O47" s="1486"/>
      <c r="P47" s="1486"/>
      <c r="Q47" s="1486"/>
      <c r="R47" s="1486"/>
      <c r="S47" s="1486"/>
      <c r="T47" s="1486"/>
      <c r="U47" s="1486"/>
      <c r="V47" s="1486"/>
      <c r="W47" s="420"/>
    </row>
    <row r="48" spans="1:23" ht="12.75">
      <c r="A48" s="35" t="s">
        <v>7</v>
      </c>
      <c r="B48" s="448">
        <f>+SUM(B49:B51)</f>
        <v>7</v>
      </c>
      <c r="C48" s="448">
        <f aca="true" t="shared" si="12" ref="C48:L48">+SUM(C49:C51)</f>
        <v>0</v>
      </c>
      <c r="D48" s="448">
        <f t="shared" si="12"/>
        <v>0</v>
      </c>
      <c r="E48" s="448">
        <f t="shared" si="12"/>
        <v>0</v>
      </c>
      <c r="F48" s="448">
        <f t="shared" si="12"/>
        <v>0</v>
      </c>
      <c r="G48" s="448">
        <f t="shared" si="12"/>
        <v>0</v>
      </c>
      <c r="H48" s="448">
        <f t="shared" si="12"/>
        <v>0</v>
      </c>
      <c r="I48" s="448">
        <f t="shared" si="12"/>
        <v>0</v>
      </c>
      <c r="J48" s="448">
        <f t="shared" si="12"/>
        <v>0</v>
      </c>
      <c r="K48" s="448">
        <f t="shared" si="12"/>
        <v>7</v>
      </c>
      <c r="L48" s="448">
        <f t="shared" si="12"/>
        <v>349493.68</v>
      </c>
      <c r="M48" s="448">
        <f>+SUM(M49:M51)</f>
        <v>8</v>
      </c>
      <c r="N48" s="448">
        <f aca="true" t="shared" si="13" ref="N48:W48">+SUM(N49:N51)</f>
        <v>0</v>
      </c>
      <c r="O48" s="448">
        <f t="shared" si="13"/>
        <v>0</v>
      </c>
      <c r="P48" s="448">
        <f t="shared" si="13"/>
        <v>0</v>
      </c>
      <c r="Q48" s="448">
        <f t="shared" si="13"/>
        <v>0</v>
      </c>
      <c r="R48" s="448">
        <f t="shared" si="13"/>
        <v>0</v>
      </c>
      <c r="S48" s="448">
        <f t="shared" si="13"/>
        <v>0</v>
      </c>
      <c r="T48" s="448">
        <f t="shared" si="13"/>
        <v>0</v>
      </c>
      <c r="U48" s="448">
        <f t="shared" si="13"/>
        <v>0</v>
      </c>
      <c r="V48" s="448">
        <f t="shared" si="13"/>
        <v>8</v>
      </c>
      <c r="W48" s="448">
        <f t="shared" si="13"/>
        <v>397556.24</v>
      </c>
    </row>
    <row r="49" spans="1:23" ht="12.75">
      <c r="A49" s="34" t="s">
        <v>562</v>
      </c>
      <c r="B49" s="1486">
        <v>1</v>
      </c>
      <c r="C49" s="1486"/>
      <c r="D49" s="1486"/>
      <c r="E49" s="1486"/>
      <c r="F49" s="1486"/>
      <c r="G49" s="1486"/>
      <c r="H49" s="1486"/>
      <c r="I49" s="1486"/>
      <c r="J49" s="1486"/>
      <c r="K49" s="1486">
        <v>1</v>
      </c>
      <c r="L49" s="420">
        <v>54512.2</v>
      </c>
      <c r="M49" s="1486">
        <v>1</v>
      </c>
      <c r="N49" s="1486"/>
      <c r="O49" s="1486"/>
      <c r="P49" s="1486"/>
      <c r="Q49" s="1486"/>
      <c r="R49" s="1486"/>
      <c r="S49" s="1486"/>
      <c r="T49" s="1486"/>
      <c r="U49" s="1486"/>
      <c r="V49" s="1486">
        <v>1</v>
      </c>
      <c r="W49" s="420">
        <v>54512.2</v>
      </c>
    </row>
    <row r="50" spans="1:23" ht="12.75">
      <c r="A50" s="34" t="s">
        <v>560</v>
      </c>
      <c r="B50" s="1486">
        <v>2</v>
      </c>
      <c r="C50" s="1486"/>
      <c r="D50" s="1486"/>
      <c r="E50" s="1486"/>
      <c r="F50" s="1486"/>
      <c r="G50" s="1486"/>
      <c r="H50" s="1486"/>
      <c r="I50" s="1486"/>
      <c r="J50" s="1486"/>
      <c r="K50" s="1486">
        <v>2</v>
      </c>
      <c r="L50" s="420">
        <v>98825.36</v>
      </c>
      <c r="M50" s="1486">
        <v>2</v>
      </c>
      <c r="N50" s="1486"/>
      <c r="O50" s="1486"/>
      <c r="P50" s="1486"/>
      <c r="Q50" s="1486"/>
      <c r="R50" s="1486"/>
      <c r="S50" s="1486"/>
      <c r="T50" s="1486"/>
      <c r="U50" s="1486"/>
      <c r="V50" s="1486">
        <v>2</v>
      </c>
      <c r="W50" s="420">
        <v>98825.36</v>
      </c>
    </row>
    <row r="51" spans="1:23" ht="12.75">
      <c r="A51" s="34" t="s">
        <v>12</v>
      </c>
      <c r="B51" s="1486">
        <v>4</v>
      </c>
      <c r="C51" s="1486"/>
      <c r="D51" s="1486"/>
      <c r="E51" s="1486"/>
      <c r="F51" s="1486"/>
      <c r="G51" s="1486"/>
      <c r="H51" s="1486"/>
      <c r="I51" s="1486"/>
      <c r="J51" s="1486"/>
      <c r="K51" s="1486">
        <v>4</v>
      </c>
      <c r="L51" s="420">
        <v>196156.12</v>
      </c>
      <c r="M51" s="1486">
        <v>5</v>
      </c>
      <c r="N51" s="1486"/>
      <c r="O51" s="1486"/>
      <c r="P51" s="1486"/>
      <c r="Q51" s="1486"/>
      <c r="R51" s="1486"/>
      <c r="S51" s="1486"/>
      <c r="T51" s="1486"/>
      <c r="U51" s="1486"/>
      <c r="V51" s="1486">
        <v>5</v>
      </c>
      <c r="W51" s="420">
        <v>244218.68</v>
      </c>
    </row>
    <row r="52" spans="1:23" ht="12.75">
      <c r="A52" s="35" t="s">
        <v>4</v>
      </c>
      <c r="B52" s="448">
        <f>+SUM(B53:B55)</f>
        <v>4</v>
      </c>
      <c r="C52" s="448">
        <f aca="true" t="shared" si="14" ref="C52:L52">+SUM(C53:C55)</f>
        <v>0</v>
      </c>
      <c r="D52" s="448">
        <f t="shared" si="14"/>
        <v>0</v>
      </c>
      <c r="E52" s="448">
        <f t="shared" si="14"/>
        <v>0</v>
      </c>
      <c r="F52" s="448">
        <f t="shared" si="14"/>
        <v>0</v>
      </c>
      <c r="G52" s="448">
        <f t="shared" si="14"/>
        <v>0</v>
      </c>
      <c r="H52" s="448">
        <f t="shared" si="14"/>
        <v>0</v>
      </c>
      <c r="I52" s="448">
        <f t="shared" si="14"/>
        <v>0</v>
      </c>
      <c r="J52" s="448">
        <f t="shared" si="14"/>
        <v>0</v>
      </c>
      <c r="K52" s="448">
        <f t="shared" si="14"/>
        <v>4</v>
      </c>
      <c r="L52" s="448">
        <f t="shared" si="14"/>
        <v>173359.36000000002</v>
      </c>
      <c r="M52" s="448">
        <f>+SUM(M53:M55)</f>
        <v>4</v>
      </c>
      <c r="N52" s="448">
        <f aca="true" t="shared" si="15" ref="N52:W52">+SUM(N53:N55)</f>
        <v>0</v>
      </c>
      <c r="O52" s="448">
        <f t="shared" si="15"/>
        <v>0</v>
      </c>
      <c r="P52" s="448">
        <f t="shared" si="15"/>
        <v>0</v>
      </c>
      <c r="Q52" s="448">
        <f t="shared" si="15"/>
        <v>0</v>
      </c>
      <c r="R52" s="448">
        <f t="shared" si="15"/>
        <v>0</v>
      </c>
      <c r="S52" s="448">
        <f t="shared" si="15"/>
        <v>0</v>
      </c>
      <c r="T52" s="448">
        <f t="shared" si="15"/>
        <v>0</v>
      </c>
      <c r="U52" s="448">
        <f t="shared" si="15"/>
        <v>0</v>
      </c>
      <c r="V52" s="448">
        <f t="shared" si="15"/>
        <v>4</v>
      </c>
      <c r="W52" s="448">
        <f t="shared" si="15"/>
        <v>173359.36000000002</v>
      </c>
    </row>
    <row r="53" spans="1:23" ht="12.75">
      <c r="A53" s="34" t="s">
        <v>567</v>
      </c>
      <c r="B53" s="1486">
        <v>2</v>
      </c>
      <c r="C53" s="1486"/>
      <c r="D53" s="1486"/>
      <c r="E53" s="1486"/>
      <c r="F53" s="1486"/>
      <c r="G53" s="1486"/>
      <c r="H53" s="1486"/>
      <c r="I53" s="1486"/>
      <c r="J53" s="1486"/>
      <c r="K53" s="1486">
        <v>2</v>
      </c>
      <c r="L53" s="420">
        <v>87106.88</v>
      </c>
      <c r="M53" s="1486">
        <v>2</v>
      </c>
      <c r="N53" s="1486"/>
      <c r="O53" s="1486"/>
      <c r="P53" s="1486"/>
      <c r="Q53" s="1486"/>
      <c r="R53" s="1486"/>
      <c r="S53" s="1486"/>
      <c r="T53" s="1486"/>
      <c r="U53" s="1486"/>
      <c r="V53" s="1486">
        <v>2</v>
      </c>
      <c r="W53" s="420">
        <v>87106.88</v>
      </c>
    </row>
    <row r="54" spans="1:23" ht="12.75">
      <c r="A54" s="34" t="s">
        <v>568</v>
      </c>
      <c r="B54" s="1486">
        <v>1</v>
      </c>
      <c r="C54" s="1486"/>
      <c r="D54" s="1486"/>
      <c r="E54" s="1486"/>
      <c r="F54" s="1486"/>
      <c r="G54" s="1486"/>
      <c r="H54" s="1486"/>
      <c r="I54" s="1486"/>
      <c r="J54" s="1486"/>
      <c r="K54" s="1486">
        <v>1</v>
      </c>
      <c r="L54" s="420">
        <v>43267.36</v>
      </c>
      <c r="M54" s="1486">
        <v>1</v>
      </c>
      <c r="N54" s="1486"/>
      <c r="O54" s="1486"/>
      <c r="P54" s="1486"/>
      <c r="Q54" s="1486"/>
      <c r="R54" s="1486"/>
      <c r="S54" s="1486"/>
      <c r="T54" s="1486"/>
      <c r="U54" s="1486"/>
      <c r="V54" s="1486">
        <v>1</v>
      </c>
      <c r="W54" s="420">
        <v>43267.36</v>
      </c>
    </row>
    <row r="55" spans="1:23" ht="12.75">
      <c r="A55" s="34" t="s">
        <v>15</v>
      </c>
      <c r="B55" s="1486">
        <v>1</v>
      </c>
      <c r="C55" s="1486"/>
      <c r="D55" s="1486"/>
      <c r="E55" s="1486"/>
      <c r="F55" s="1486"/>
      <c r="G55" s="1486"/>
      <c r="H55" s="1486"/>
      <c r="I55" s="1486"/>
      <c r="J55" s="1486"/>
      <c r="K55" s="1486">
        <v>1</v>
      </c>
      <c r="L55" s="420">
        <v>42985.12</v>
      </c>
      <c r="M55" s="1486">
        <v>1</v>
      </c>
      <c r="N55" s="1486"/>
      <c r="O55" s="1486"/>
      <c r="P55" s="1486"/>
      <c r="Q55" s="1486"/>
      <c r="R55" s="1486"/>
      <c r="S55" s="1486"/>
      <c r="T55" s="1486"/>
      <c r="U55" s="1486"/>
      <c r="V55" s="1486">
        <v>1</v>
      </c>
      <c r="W55" s="420">
        <v>42985.12</v>
      </c>
    </row>
    <row r="56" spans="1:23" ht="12.75">
      <c r="A56" s="35" t="s">
        <v>5</v>
      </c>
      <c r="B56" s="448">
        <f>+SUM(B57:B58)</f>
        <v>3</v>
      </c>
      <c r="C56" s="448">
        <f aca="true" t="shared" si="16" ref="C56:L56">+SUM(C57:C58)</f>
        <v>0</v>
      </c>
      <c r="D56" s="448">
        <f t="shared" si="16"/>
        <v>0</v>
      </c>
      <c r="E56" s="448">
        <f t="shared" si="16"/>
        <v>0</v>
      </c>
      <c r="F56" s="448">
        <f t="shared" si="16"/>
        <v>0</v>
      </c>
      <c r="G56" s="448">
        <f t="shared" si="16"/>
        <v>0</v>
      </c>
      <c r="H56" s="448">
        <f t="shared" si="16"/>
        <v>0</v>
      </c>
      <c r="I56" s="448">
        <f t="shared" si="16"/>
        <v>0</v>
      </c>
      <c r="J56" s="448">
        <f t="shared" si="16"/>
        <v>0</v>
      </c>
      <c r="K56" s="448">
        <f t="shared" si="16"/>
        <v>3</v>
      </c>
      <c r="L56" s="448">
        <f t="shared" si="16"/>
        <v>120975.6</v>
      </c>
      <c r="M56" s="448">
        <f>+SUM(M57:M58)</f>
        <v>3</v>
      </c>
      <c r="N56" s="448">
        <f aca="true" t="shared" si="17" ref="N56:W56">+SUM(N57:N58)</f>
        <v>0</v>
      </c>
      <c r="O56" s="448">
        <f t="shared" si="17"/>
        <v>0</v>
      </c>
      <c r="P56" s="448">
        <f t="shared" si="17"/>
        <v>0</v>
      </c>
      <c r="Q56" s="448">
        <f t="shared" si="17"/>
        <v>0</v>
      </c>
      <c r="R56" s="448">
        <f t="shared" si="17"/>
        <v>0</v>
      </c>
      <c r="S56" s="448">
        <f t="shared" si="17"/>
        <v>0</v>
      </c>
      <c r="T56" s="448">
        <f t="shared" si="17"/>
        <v>0</v>
      </c>
      <c r="U56" s="448">
        <f t="shared" si="17"/>
        <v>0</v>
      </c>
      <c r="V56" s="448">
        <f t="shared" si="17"/>
        <v>3</v>
      </c>
      <c r="W56" s="448">
        <f t="shared" si="17"/>
        <v>120975.6</v>
      </c>
    </row>
    <row r="57" spans="1:23" ht="12.75">
      <c r="A57" s="34" t="s">
        <v>16</v>
      </c>
      <c r="B57" s="1486">
        <v>2</v>
      </c>
      <c r="C57" s="1486"/>
      <c r="D57" s="1486"/>
      <c r="E57" s="1486"/>
      <c r="F57" s="1486"/>
      <c r="G57" s="1486"/>
      <c r="H57" s="1486"/>
      <c r="I57" s="1486"/>
      <c r="J57" s="1486"/>
      <c r="K57" s="1486">
        <v>2</v>
      </c>
      <c r="L57" s="420">
        <v>80715.08</v>
      </c>
      <c r="M57" s="1486">
        <v>2</v>
      </c>
      <c r="N57" s="1486"/>
      <c r="O57" s="1486"/>
      <c r="P57" s="1486"/>
      <c r="Q57" s="1486"/>
      <c r="R57" s="1486"/>
      <c r="S57" s="1486"/>
      <c r="T57" s="1486"/>
      <c r="U57" s="1486"/>
      <c r="V57" s="1486">
        <v>2</v>
      </c>
      <c r="W57" s="420">
        <v>80715.08</v>
      </c>
    </row>
    <row r="58" spans="1:23" ht="12.75">
      <c r="A58" s="34" t="s">
        <v>569</v>
      </c>
      <c r="B58" s="1486">
        <v>1</v>
      </c>
      <c r="C58" s="1486"/>
      <c r="D58" s="1486"/>
      <c r="E58" s="1486"/>
      <c r="F58" s="1486"/>
      <c r="G58" s="1486"/>
      <c r="H58" s="1486"/>
      <c r="I58" s="1486"/>
      <c r="J58" s="1486"/>
      <c r="K58" s="1486">
        <v>1</v>
      </c>
      <c r="L58" s="420">
        <v>40260.52</v>
      </c>
      <c r="M58" s="1486">
        <v>1</v>
      </c>
      <c r="N58" s="1486"/>
      <c r="O58" s="1486"/>
      <c r="P58" s="1486"/>
      <c r="Q58" s="1486"/>
      <c r="R58" s="1486"/>
      <c r="S58" s="1486"/>
      <c r="T58" s="1486"/>
      <c r="U58" s="1486"/>
      <c r="V58" s="1486">
        <v>1</v>
      </c>
      <c r="W58" s="420">
        <v>40260.52</v>
      </c>
    </row>
    <row r="59" spans="1:23" ht="12.75">
      <c r="A59" s="35" t="s">
        <v>6</v>
      </c>
      <c r="B59" s="448">
        <f>+SUM(B60:B63)</f>
        <v>0</v>
      </c>
      <c r="C59" s="448">
        <f aca="true" t="shared" si="18" ref="C59:L59">+SUM(C60:C63)</f>
        <v>0</v>
      </c>
      <c r="D59" s="448">
        <f t="shared" si="18"/>
        <v>0</v>
      </c>
      <c r="E59" s="448">
        <f t="shared" si="18"/>
        <v>0</v>
      </c>
      <c r="F59" s="448">
        <f t="shared" si="18"/>
        <v>0</v>
      </c>
      <c r="G59" s="448">
        <f t="shared" si="18"/>
        <v>0</v>
      </c>
      <c r="H59" s="448">
        <f t="shared" si="18"/>
        <v>0</v>
      </c>
      <c r="I59" s="448">
        <f t="shared" si="18"/>
        <v>0</v>
      </c>
      <c r="J59" s="448">
        <f t="shared" si="18"/>
        <v>0</v>
      </c>
      <c r="K59" s="448">
        <f t="shared" si="18"/>
        <v>0</v>
      </c>
      <c r="L59" s="448">
        <f t="shared" si="18"/>
        <v>0</v>
      </c>
      <c r="M59" s="448">
        <f>+SUM(M60:M63)</f>
        <v>0</v>
      </c>
      <c r="N59" s="448">
        <f aca="true" t="shared" si="19" ref="N59:W59">+SUM(N60:N63)</f>
        <v>0</v>
      </c>
      <c r="O59" s="448">
        <f t="shared" si="19"/>
        <v>0</v>
      </c>
      <c r="P59" s="448">
        <f t="shared" si="19"/>
        <v>0</v>
      </c>
      <c r="Q59" s="448">
        <f t="shared" si="19"/>
        <v>0</v>
      </c>
      <c r="R59" s="448">
        <f t="shared" si="19"/>
        <v>0</v>
      </c>
      <c r="S59" s="448">
        <f t="shared" si="19"/>
        <v>0</v>
      </c>
      <c r="T59" s="448">
        <f t="shared" si="19"/>
        <v>0</v>
      </c>
      <c r="U59" s="448">
        <f t="shared" si="19"/>
        <v>0</v>
      </c>
      <c r="V59" s="448">
        <f t="shared" si="19"/>
        <v>0</v>
      </c>
      <c r="W59" s="448">
        <f t="shared" si="19"/>
        <v>0</v>
      </c>
    </row>
    <row r="60" spans="1:23" ht="12.75">
      <c r="A60" s="34" t="s">
        <v>18</v>
      </c>
      <c r="B60" s="1486"/>
      <c r="C60" s="1486"/>
      <c r="D60" s="1486"/>
      <c r="E60" s="1486"/>
      <c r="F60" s="1486"/>
      <c r="G60" s="1486"/>
      <c r="H60" s="1486"/>
      <c r="I60" s="1486"/>
      <c r="J60" s="1486"/>
      <c r="K60" s="1486"/>
      <c r="L60" s="420"/>
      <c r="M60" s="1486"/>
      <c r="N60" s="1486"/>
      <c r="O60" s="1486"/>
      <c r="P60" s="1486"/>
      <c r="Q60" s="1486"/>
      <c r="R60" s="1486"/>
      <c r="S60" s="1486"/>
      <c r="T60" s="1486"/>
      <c r="U60" s="1486"/>
      <c r="V60" s="1486"/>
      <c r="W60" s="420"/>
    </row>
    <row r="61" spans="1:23" ht="12.75">
      <c r="A61" s="34" t="s">
        <v>584</v>
      </c>
      <c r="B61" s="1486"/>
      <c r="C61" s="1486"/>
      <c r="D61" s="1486"/>
      <c r="E61" s="1486"/>
      <c r="F61" s="1486"/>
      <c r="G61" s="1486"/>
      <c r="H61" s="1486"/>
      <c r="I61" s="1486"/>
      <c r="J61" s="1486"/>
      <c r="K61" s="1486"/>
      <c r="L61" s="420"/>
      <c r="M61" s="1486"/>
      <c r="N61" s="1486"/>
      <c r="O61" s="1486"/>
      <c r="P61" s="1486"/>
      <c r="Q61" s="1486"/>
      <c r="R61" s="1486"/>
      <c r="S61" s="1486"/>
      <c r="T61" s="1486"/>
      <c r="U61" s="1486"/>
      <c r="V61" s="1486"/>
      <c r="W61" s="420"/>
    </row>
    <row r="62" spans="1:23" ht="12.75">
      <c r="A62" s="34" t="s">
        <v>19</v>
      </c>
      <c r="B62" s="1486"/>
      <c r="C62" s="1486"/>
      <c r="D62" s="1486"/>
      <c r="E62" s="1486"/>
      <c r="F62" s="1486"/>
      <c r="G62" s="1486"/>
      <c r="H62" s="1486"/>
      <c r="I62" s="1486"/>
      <c r="J62" s="1486"/>
      <c r="K62" s="1486"/>
      <c r="L62" s="420"/>
      <c r="M62" s="1486"/>
      <c r="N62" s="1486"/>
      <c r="O62" s="1486"/>
      <c r="P62" s="1486"/>
      <c r="Q62" s="1486"/>
      <c r="R62" s="1486"/>
      <c r="S62" s="1486"/>
      <c r="T62" s="1486"/>
      <c r="U62" s="1486"/>
      <c r="V62" s="1486"/>
      <c r="W62" s="420"/>
    </row>
    <row r="63" spans="1:23" ht="13.5" thickBot="1">
      <c r="A63" s="34"/>
      <c r="B63" s="1486"/>
      <c r="C63" s="1486"/>
      <c r="D63" s="1486"/>
      <c r="E63" s="1486"/>
      <c r="F63" s="1486"/>
      <c r="G63" s="1486"/>
      <c r="H63" s="1486"/>
      <c r="I63" s="1486"/>
      <c r="J63" s="1486"/>
      <c r="K63" s="1486"/>
      <c r="L63" s="420"/>
      <c r="M63" s="1486"/>
      <c r="N63" s="1486"/>
      <c r="O63" s="1486"/>
      <c r="P63" s="1486"/>
      <c r="Q63" s="1486"/>
      <c r="R63" s="1486"/>
      <c r="S63" s="1486"/>
      <c r="T63" s="1486"/>
      <c r="U63" s="1486"/>
      <c r="V63" s="1486"/>
      <c r="W63" s="420"/>
    </row>
    <row r="64" spans="1:23" ht="13.5" thickBot="1">
      <c r="A64" s="38" t="s">
        <v>24</v>
      </c>
      <c r="B64" s="1090">
        <f>+B48+B52+B56+B59</f>
        <v>14</v>
      </c>
      <c r="C64" s="1090">
        <f aca="true" t="shared" si="20" ref="C64:L64">+C48+C52+C56+C59</f>
        <v>0</v>
      </c>
      <c r="D64" s="1090">
        <f t="shared" si="20"/>
        <v>0</v>
      </c>
      <c r="E64" s="1090">
        <f t="shared" si="20"/>
        <v>0</v>
      </c>
      <c r="F64" s="1090">
        <f t="shared" si="20"/>
        <v>0</v>
      </c>
      <c r="G64" s="1090">
        <f t="shared" si="20"/>
        <v>0</v>
      </c>
      <c r="H64" s="1090">
        <f t="shared" si="20"/>
        <v>0</v>
      </c>
      <c r="I64" s="1090">
        <f t="shared" si="20"/>
        <v>0</v>
      </c>
      <c r="J64" s="1090">
        <f t="shared" si="20"/>
        <v>0</v>
      </c>
      <c r="K64" s="1090">
        <f t="shared" si="20"/>
        <v>14</v>
      </c>
      <c r="L64" s="1090">
        <f t="shared" si="20"/>
        <v>643828.64</v>
      </c>
      <c r="M64" s="1090">
        <f>+M48+M52+M56+M59</f>
        <v>15</v>
      </c>
      <c r="N64" s="1090">
        <f aca="true" t="shared" si="21" ref="N64:W64">+N48+N52+N56+N59</f>
        <v>0</v>
      </c>
      <c r="O64" s="1090">
        <f t="shared" si="21"/>
        <v>0</v>
      </c>
      <c r="P64" s="1090">
        <f t="shared" si="21"/>
        <v>0</v>
      </c>
      <c r="Q64" s="1090">
        <f t="shared" si="21"/>
        <v>0</v>
      </c>
      <c r="R64" s="1090">
        <f t="shared" si="21"/>
        <v>0</v>
      </c>
      <c r="S64" s="1090">
        <f t="shared" si="21"/>
        <v>0</v>
      </c>
      <c r="T64" s="1090">
        <f t="shared" si="21"/>
        <v>0</v>
      </c>
      <c r="U64" s="1090">
        <f t="shared" si="21"/>
        <v>0</v>
      </c>
      <c r="V64" s="1090">
        <f t="shared" si="21"/>
        <v>15</v>
      </c>
      <c r="W64" s="1090">
        <f t="shared" si="21"/>
        <v>691891.2</v>
      </c>
    </row>
    <row r="66" spans="1:23" ht="15.75">
      <c r="A66" s="249" t="s">
        <v>599</v>
      </c>
      <c r="B66" s="81"/>
      <c r="C66" s="81"/>
      <c r="D66" s="81"/>
      <c r="E66" s="81"/>
      <c r="F66" s="81"/>
      <c r="G66" s="81"/>
      <c r="H66" s="81"/>
      <c r="I66" s="81"/>
      <c r="J66" s="81"/>
      <c r="K66" s="81"/>
      <c r="L66" s="81"/>
      <c r="M66" s="81"/>
      <c r="N66" s="81"/>
      <c r="O66" s="81"/>
      <c r="P66" s="81"/>
      <c r="Q66" s="81"/>
      <c r="R66" s="81"/>
      <c r="S66" s="81"/>
      <c r="T66" s="81"/>
      <c r="U66" s="81"/>
      <c r="V66" s="81"/>
      <c r="W66" s="81"/>
    </row>
    <row r="67" spans="12:23" ht="13.5" thickBot="1">
      <c r="L67" s="30"/>
      <c r="W67" s="30"/>
    </row>
    <row r="68" spans="1:23" ht="12.75">
      <c r="A68" s="164" t="s">
        <v>10</v>
      </c>
      <c r="B68" s="1545" t="s">
        <v>412</v>
      </c>
      <c r="C68" s="1546"/>
      <c r="D68" s="1546"/>
      <c r="E68" s="1546"/>
      <c r="F68" s="1546"/>
      <c r="G68" s="1546"/>
      <c r="H68" s="1546"/>
      <c r="I68" s="1546"/>
      <c r="J68" s="1546"/>
      <c r="K68" s="1546"/>
      <c r="L68" s="1547"/>
      <c r="M68" s="1545" t="s">
        <v>413</v>
      </c>
      <c r="N68" s="1546"/>
      <c r="O68" s="1546"/>
      <c r="P68" s="1546"/>
      <c r="Q68" s="1546"/>
      <c r="R68" s="1546"/>
      <c r="S68" s="1546"/>
      <c r="T68" s="1546"/>
      <c r="U68" s="1546"/>
      <c r="V68" s="1546"/>
      <c r="W68" s="1547"/>
    </row>
    <row r="69" spans="1:23" ht="134.25">
      <c r="A69" s="165" t="s">
        <v>9</v>
      </c>
      <c r="B69" s="166" t="s">
        <v>335</v>
      </c>
      <c r="C69" s="166" t="s">
        <v>127</v>
      </c>
      <c r="D69" s="167" t="s">
        <v>296</v>
      </c>
      <c r="E69" s="167" t="s">
        <v>291</v>
      </c>
      <c r="F69" s="167" t="s">
        <v>298</v>
      </c>
      <c r="G69" s="167" t="s">
        <v>299</v>
      </c>
      <c r="H69" s="167" t="s">
        <v>300</v>
      </c>
      <c r="I69" s="167" t="s">
        <v>307</v>
      </c>
      <c r="J69" s="168" t="s">
        <v>302</v>
      </c>
      <c r="K69" s="169" t="s">
        <v>304</v>
      </c>
      <c r="L69" s="170" t="s">
        <v>306</v>
      </c>
      <c r="M69" s="166" t="s">
        <v>335</v>
      </c>
      <c r="N69" s="166" t="s">
        <v>127</v>
      </c>
      <c r="O69" s="167" t="s">
        <v>296</v>
      </c>
      <c r="P69" s="167" t="s">
        <v>291</v>
      </c>
      <c r="Q69" s="167" t="s">
        <v>298</v>
      </c>
      <c r="R69" s="167" t="s">
        <v>299</v>
      </c>
      <c r="S69" s="167" t="s">
        <v>300</v>
      </c>
      <c r="T69" s="167" t="s">
        <v>307</v>
      </c>
      <c r="U69" s="168" t="s">
        <v>302</v>
      </c>
      <c r="V69" s="169" t="s">
        <v>304</v>
      </c>
      <c r="W69" s="170" t="s">
        <v>305</v>
      </c>
    </row>
    <row r="70" spans="1:23" ht="12.75">
      <c r="A70" s="34"/>
      <c r="B70" s="31"/>
      <c r="C70" s="31"/>
      <c r="D70" s="31"/>
      <c r="E70" s="31"/>
      <c r="F70" s="31"/>
      <c r="G70" s="31"/>
      <c r="H70" s="31"/>
      <c r="I70" s="31"/>
      <c r="J70" s="31"/>
      <c r="K70" s="31"/>
      <c r="L70" s="37"/>
      <c r="M70" s="31"/>
      <c r="N70" s="31"/>
      <c r="O70" s="31"/>
      <c r="P70" s="31"/>
      <c r="Q70" s="31"/>
      <c r="R70" s="31"/>
      <c r="S70" s="31"/>
      <c r="T70" s="31"/>
      <c r="U70" s="31"/>
      <c r="V70" s="31"/>
      <c r="W70" s="411"/>
    </row>
    <row r="71" spans="1:23" ht="12.75">
      <c r="A71" s="35" t="s">
        <v>7</v>
      </c>
      <c r="B71" s="36">
        <f>SUM(B72:B78)</f>
        <v>6</v>
      </c>
      <c r="C71" s="36">
        <f aca="true" t="shared" si="22" ref="C71:L71">SUM(C72:C78)</f>
        <v>0</v>
      </c>
      <c r="D71" s="36">
        <f t="shared" si="22"/>
        <v>0</v>
      </c>
      <c r="E71" s="36">
        <f t="shared" si="22"/>
        <v>0</v>
      </c>
      <c r="F71" s="36">
        <f t="shared" si="22"/>
        <v>0</v>
      </c>
      <c r="G71" s="36">
        <f t="shared" si="22"/>
        <v>0</v>
      </c>
      <c r="H71" s="36">
        <f t="shared" si="22"/>
        <v>0</v>
      </c>
      <c r="I71" s="36">
        <f t="shared" si="22"/>
        <v>0</v>
      </c>
      <c r="J71" s="36">
        <f t="shared" si="22"/>
        <v>0</v>
      </c>
      <c r="K71" s="36">
        <f t="shared" si="22"/>
        <v>6</v>
      </c>
      <c r="L71" s="410">
        <f t="shared" si="22"/>
        <v>301212.80000000005</v>
      </c>
      <c r="M71" s="36">
        <f>SUM(M72:M78)</f>
        <v>6</v>
      </c>
      <c r="N71" s="36">
        <f aca="true" t="shared" si="23" ref="N71:W71">SUM(N72:N78)</f>
        <v>0</v>
      </c>
      <c r="O71" s="36">
        <f t="shared" si="23"/>
        <v>0</v>
      </c>
      <c r="P71" s="36">
        <f t="shared" si="23"/>
        <v>0</v>
      </c>
      <c r="Q71" s="36">
        <f t="shared" si="23"/>
        <v>0</v>
      </c>
      <c r="R71" s="36">
        <f t="shared" si="23"/>
        <v>0</v>
      </c>
      <c r="S71" s="36">
        <f t="shared" si="23"/>
        <v>0</v>
      </c>
      <c r="T71" s="36">
        <f t="shared" si="23"/>
        <v>0</v>
      </c>
      <c r="U71" s="36">
        <f t="shared" si="23"/>
        <v>0</v>
      </c>
      <c r="V71" s="36">
        <f t="shared" si="23"/>
        <v>6</v>
      </c>
      <c r="W71" s="410">
        <f t="shared" si="23"/>
        <v>301212.80000000005</v>
      </c>
    </row>
    <row r="72" spans="1:23" ht="12.75">
      <c r="A72" s="34" t="s">
        <v>562</v>
      </c>
      <c r="B72" s="414">
        <v>1</v>
      </c>
      <c r="C72" s="414"/>
      <c r="D72" s="414"/>
      <c r="E72" s="414"/>
      <c r="F72" s="414"/>
      <c r="G72" s="31"/>
      <c r="H72" s="31"/>
      <c r="I72" s="31"/>
      <c r="J72" s="31"/>
      <c r="K72" s="414">
        <f>SUM(B72:J72)</f>
        <v>1</v>
      </c>
      <c r="L72" s="411">
        <v>54653.52</v>
      </c>
      <c r="M72" s="414">
        <v>1</v>
      </c>
      <c r="N72" s="414"/>
      <c r="O72" s="414"/>
      <c r="P72" s="414"/>
      <c r="Q72" s="414"/>
      <c r="R72" s="414"/>
      <c r="S72" s="414"/>
      <c r="T72" s="414"/>
      <c r="U72" s="414"/>
      <c r="V72" s="414">
        <f>SUM(M72:U72)</f>
        <v>1</v>
      </c>
      <c r="W72" s="411">
        <v>54653.52</v>
      </c>
    </row>
    <row r="73" spans="1:23" ht="12.75">
      <c r="A73" s="34" t="s">
        <v>560</v>
      </c>
      <c r="B73" s="414">
        <v>2</v>
      </c>
      <c r="C73" s="414"/>
      <c r="D73" s="414"/>
      <c r="E73" s="414"/>
      <c r="F73" s="414"/>
      <c r="G73" s="31"/>
      <c r="H73" s="31"/>
      <c r="I73" s="31"/>
      <c r="J73" s="31"/>
      <c r="K73" s="414">
        <f>SUM(B73:J73)</f>
        <v>2</v>
      </c>
      <c r="L73" s="411">
        <v>98787.8</v>
      </c>
      <c r="M73" s="414">
        <v>2</v>
      </c>
      <c r="N73" s="414"/>
      <c r="O73" s="414"/>
      <c r="P73" s="414"/>
      <c r="Q73" s="414"/>
      <c r="R73" s="414"/>
      <c r="S73" s="414"/>
      <c r="T73" s="414"/>
      <c r="U73" s="414"/>
      <c r="V73" s="414">
        <f>SUM(M73:U73)</f>
        <v>2</v>
      </c>
      <c r="W73" s="411">
        <v>98787.8</v>
      </c>
    </row>
    <row r="74" spans="1:23" ht="12.75">
      <c r="A74" s="34" t="s">
        <v>12</v>
      </c>
      <c r="B74" s="414">
        <v>3</v>
      </c>
      <c r="C74" s="414"/>
      <c r="D74" s="414"/>
      <c r="E74" s="414"/>
      <c r="F74" s="414"/>
      <c r="G74" s="31"/>
      <c r="H74" s="31"/>
      <c r="I74" s="31"/>
      <c r="J74" s="31"/>
      <c r="K74" s="414">
        <f>SUM(B74:J74)</f>
        <v>3</v>
      </c>
      <c r="L74" s="411">
        <v>147771.48</v>
      </c>
      <c r="M74" s="414">
        <v>3</v>
      </c>
      <c r="N74" s="414"/>
      <c r="O74" s="414"/>
      <c r="P74" s="414"/>
      <c r="Q74" s="414"/>
      <c r="R74" s="414"/>
      <c r="S74" s="414"/>
      <c r="T74" s="414"/>
      <c r="U74" s="414"/>
      <c r="V74" s="414">
        <f>SUM(M74:U74)</f>
        <v>3</v>
      </c>
      <c r="W74" s="411">
        <v>147771.48</v>
      </c>
    </row>
    <row r="75" spans="1:23" ht="12.75">
      <c r="A75" s="34"/>
      <c r="B75" s="414"/>
      <c r="C75" s="414"/>
      <c r="D75" s="414"/>
      <c r="E75" s="414"/>
      <c r="F75" s="414"/>
      <c r="G75" s="31"/>
      <c r="H75" s="31"/>
      <c r="I75" s="31"/>
      <c r="J75" s="31"/>
      <c r="K75" s="414"/>
      <c r="L75" s="411"/>
      <c r="M75" s="414"/>
      <c r="N75" s="414"/>
      <c r="O75" s="414"/>
      <c r="P75" s="414"/>
      <c r="Q75" s="414"/>
      <c r="R75" s="414"/>
      <c r="S75" s="414"/>
      <c r="T75" s="414"/>
      <c r="U75" s="414"/>
      <c r="V75" s="414"/>
      <c r="W75" s="415"/>
    </row>
    <row r="76" spans="1:23" ht="12.75">
      <c r="A76" s="34"/>
      <c r="B76" s="414"/>
      <c r="C76" s="414"/>
      <c r="D76" s="414"/>
      <c r="E76" s="414"/>
      <c r="F76" s="414"/>
      <c r="G76" s="31"/>
      <c r="H76" s="31"/>
      <c r="I76" s="31"/>
      <c r="J76" s="31"/>
      <c r="K76" s="31"/>
      <c r="L76" s="411"/>
      <c r="M76" s="414"/>
      <c r="N76" s="414"/>
      <c r="O76" s="414"/>
      <c r="P76" s="414"/>
      <c r="Q76" s="414"/>
      <c r="R76" s="414"/>
      <c r="S76" s="414"/>
      <c r="T76" s="414"/>
      <c r="U76" s="414"/>
      <c r="V76" s="414"/>
      <c r="W76" s="415"/>
    </row>
    <row r="77" spans="1:23" ht="12.75">
      <c r="A77" s="34"/>
      <c r="B77" s="414"/>
      <c r="C77" s="414"/>
      <c r="D77" s="414"/>
      <c r="E77" s="414"/>
      <c r="F77" s="414"/>
      <c r="G77" s="31"/>
      <c r="H77" s="31"/>
      <c r="I77" s="31"/>
      <c r="J77" s="31"/>
      <c r="K77" s="31"/>
      <c r="L77" s="411"/>
      <c r="M77" s="414"/>
      <c r="N77" s="414"/>
      <c r="O77" s="414"/>
      <c r="P77" s="414"/>
      <c r="Q77" s="414"/>
      <c r="R77" s="414"/>
      <c r="S77" s="414"/>
      <c r="T77" s="414"/>
      <c r="U77" s="414"/>
      <c r="V77" s="414"/>
      <c r="W77" s="415"/>
    </row>
    <row r="78" spans="1:23" ht="12.75">
      <c r="A78" s="71"/>
      <c r="B78" s="414"/>
      <c r="C78" s="414"/>
      <c r="D78" s="414"/>
      <c r="E78" s="414"/>
      <c r="F78" s="414"/>
      <c r="G78" s="31"/>
      <c r="H78" s="31"/>
      <c r="I78" s="31"/>
      <c r="J78" s="31"/>
      <c r="K78" s="31"/>
      <c r="L78" s="411"/>
      <c r="M78" s="414"/>
      <c r="N78" s="414"/>
      <c r="O78" s="414"/>
      <c r="P78" s="414"/>
      <c r="Q78" s="414"/>
      <c r="R78" s="414"/>
      <c r="S78" s="414"/>
      <c r="T78" s="414"/>
      <c r="U78" s="414"/>
      <c r="V78" s="414"/>
      <c r="W78" s="415"/>
    </row>
    <row r="79" spans="1:23" ht="12.75">
      <c r="A79" s="35" t="s">
        <v>4</v>
      </c>
      <c r="B79" s="36">
        <f>SUM(B80:B84)</f>
        <v>5</v>
      </c>
      <c r="C79" s="36">
        <f aca="true" t="shared" si="24" ref="C79:L79">SUM(C80:C84)</f>
        <v>0</v>
      </c>
      <c r="D79" s="36">
        <f t="shared" si="24"/>
        <v>5</v>
      </c>
      <c r="E79" s="36">
        <f t="shared" si="24"/>
        <v>0</v>
      </c>
      <c r="F79" s="36">
        <f t="shared" si="24"/>
        <v>0</v>
      </c>
      <c r="G79" s="36">
        <f t="shared" si="24"/>
        <v>0</v>
      </c>
      <c r="H79" s="36">
        <f t="shared" si="24"/>
        <v>0</v>
      </c>
      <c r="I79" s="36">
        <f t="shared" si="24"/>
        <v>0</v>
      </c>
      <c r="J79" s="36">
        <f t="shared" si="24"/>
        <v>0</v>
      </c>
      <c r="K79" s="36">
        <f t="shared" si="24"/>
        <v>10</v>
      </c>
      <c r="L79" s="410">
        <f t="shared" si="24"/>
        <v>362782.1400000001</v>
      </c>
      <c r="M79" s="36">
        <f>SUM(M80:M84)</f>
        <v>5</v>
      </c>
      <c r="N79" s="36">
        <f aca="true" t="shared" si="25" ref="N79:W79">SUM(N80:N84)</f>
        <v>0</v>
      </c>
      <c r="O79" s="36">
        <f t="shared" si="25"/>
        <v>5</v>
      </c>
      <c r="P79" s="36">
        <f t="shared" si="25"/>
        <v>0</v>
      </c>
      <c r="Q79" s="36">
        <f t="shared" si="25"/>
        <v>0</v>
      </c>
      <c r="R79" s="36">
        <f t="shared" si="25"/>
        <v>0</v>
      </c>
      <c r="S79" s="36">
        <f t="shared" si="25"/>
        <v>0</v>
      </c>
      <c r="T79" s="36">
        <f t="shared" si="25"/>
        <v>0</v>
      </c>
      <c r="U79" s="36">
        <f t="shared" si="25"/>
        <v>0</v>
      </c>
      <c r="V79" s="36">
        <f t="shared" si="25"/>
        <v>10</v>
      </c>
      <c r="W79" s="410">
        <f t="shared" si="25"/>
        <v>362782.1400000001</v>
      </c>
    </row>
    <row r="80" spans="1:23" ht="12.75">
      <c r="A80" s="416" t="s">
        <v>96</v>
      </c>
      <c r="B80" s="414"/>
      <c r="C80" s="414"/>
      <c r="D80" s="414">
        <v>5</v>
      </c>
      <c r="E80" s="414"/>
      <c r="F80" s="414"/>
      <c r="G80" s="31"/>
      <c r="H80" s="31"/>
      <c r="I80" s="31"/>
      <c r="J80" s="31"/>
      <c r="K80" s="414">
        <f>SUM(B80:J80)</f>
        <v>5</v>
      </c>
      <c r="L80" s="411">
        <v>146172</v>
      </c>
      <c r="M80" s="414"/>
      <c r="N80" s="414"/>
      <c r="O80" s="414">
        <v>5</v>
      </c>
      <c r="P80" s="414"/>
      <c r="Q80" s="414"/>
      <c r="R80" s="414"/>
      <c r="S80" s="414"/>
      <c r="T80" s="414"/>
      <c r="U80" s="414"/>
      <c r="V80" s="414">
        <f>SUM(M80:U80)</f>
        <v>5</v>
      </c>
      <c r="W80" s="411">
        <v>146172</v>
      </c>
    </row>
    <row r="81" spans="1:23" ht="12.75">
      <c r="A81" s="34" t="s">
        <v>567</v>
      </c>
      <c r="B81" s="414">
        <v>3</v>
      </c>
      <c r="C81" s="414"/>
      <c r="D81" s="414"/>
      <c r="E81" s="414"/>
      <c r="F81" s="414"/>
      <c r="G81" s="31"/>
      <c r="H81" s="31"/>
      <c r="I81" s="31"/>
      <c r="J81" s="31"/>
      <c r="K81" s="414">
        <f>SUM(B81:J81)</f>
        <v>3</v>
      </c>
      <c r="L81" s="411">
        <v>130466.16</v>
      </c>
      <c r="M81" s="414">
        <v>3</v>
      </c>
      <c r="N81" s="414"/>
      <c r="O81" s="414"/>
      <c r="P81" s="414"/>
      <c r="Q81" s="414"/>
      <c r="R81" s="414"/>
      <c r="S81" s="414"/>
      <c r="T81" s="414"/>
      <c r="U81" s="414"/>
      <c r="V81" s="414">
        <f>SUM(M81:U81)</f>
        <v>3</v>
      </c>
      <c r="W81" s="411">
        <v>130466.16</v>
      </c>
    </row>
    <row r="82" spans="1:23" ht="12.75">
      <c r="A82" s="34" t="s">
        <v>568</v>
      </c>
      <c r="B82" s="414">
        <v>1</v>
      </c>
      <c r="C82" s="414"/>
      <c r="D82" s="414"/>
      <c r="E82" s="414"/>
      <c r="F82" s="414"/>
      <c r="G82" s="31"/>
      <c r="H82" s="31"/>
      <c r="I82" s="31"/>
      <c r="J82" s="31"/>
      <c r="K82" s="414">
        <f>SUM(B82:J82)</f>
        <v>1</v>
      </c>
      <c r="L82" s="411">
        <v>43278.4</v>
      </c>
      <c r="M82" s="414">
        <v>1</v>
      </c>
      <c r="N82" s="414"/>
      <c r="O82" s="414"/>
      <c r="P82" s="414"/>
      <c r="Q82" s="414"/>
      <c r="R82" s="414"/>
      <c r="S82" s="414"/>
      <c r="T82" s="414"/>
      <c r="U82" s="414"/>
      <c r="V82" s="414">
        <f>SUM(M82:U82)</f>
        <v>1</v>
      </c>
      <c r="W82" s="411">
        <v>43278.4</v>
      </c>
    </row>
    <row r="83" spans="1:23" ht="12.75">
      <c r="A83" s="34" t="s">
        <v>15</v>
      </c>
      <c r="B83" s="414">
        <v>1</v>
      </c>
      <c r="C83" s="414"/>
      <c r="D83" s="414"/>
      <c r="E83" s="414"/>
      <c r="F83" s="414"/>
      <c r="G83" s="31"/>
      <c r="H83" s="31"/>
      <c r="I83" s="31"/>
      <c r="J83" s="31"/>
      <c r="K83" s="414">
        <f>SUM(B83:J83)</f>
        <v>1</v>
      </c>
      <c r="L83" s="411">
        <v>42865.58</v>
      </c>
      <c r="M83" s="414">
        <v>1</v>
      </c>
      <c r="N83" s="414"/>
      <c r="O83" s="414"/>
      <c r="P83" s="414"/>
      <c r="Q83" s="414"/>
      <c r="R83" s="414"/>
      <c r="S83" s="414"/>
      <c r="T83" s="414"/>
      <c r="U83" s="414"/>
      <c r="V83" s="414">
        <f>SUM(M83:U83)</f>
        <v>1</v>
      </c>
      <c r="W83" s="411">
        <v>42865.58</v>
      </c>
    </row>
    <row r="84" spans="1:23" ht="12.75">
      <c r="A84" s="34"/>
      <c r="B84" s="414"/>
      <c r="C84" s="414"/>
      <c r="D84" s="414"/>
      <c r="E84" s="414"/>
      <c r="F84" s="414"/>
      <c r="G84" s="31"/>
      <c r="H84" s="31"/>
      <c r="I84" s="31"/>
      <c r="J84" s="31"/>
      <c r="K84" s="31"/>
      <c r="L84" s="411"/>
      <c r="M84" s="414"/>
      <c r="N84" s="414"/>
      <c r="O84" s="414"/>
      <c r="P84" s="414"/>
      <c r="Q84" s="414"/>
      <c r="R84" s="414"/>
      <c r="S84" s="414"/>
      <c r="T84" s="414"/>
      <c r="U84" s="414"/>
      <c r="V84" s="414"/>
      <c r="W84" s="415"/>
    </row>
    <row r="85" spans="1:23" ht="12.75">
      <c r="A85" s="35" t="s">
        <v>5</v>
      </c>
      <c r="B85" s="36">
        <f>SUM(B86:B91)</f>
        <v>6</v>
      </c>
      <c r="C85" s="36">
        <f aca="true" t="shared" si="26" ref="C85:L85">SUM(C86:C91)</f>
        <v>0</v>
      </c>
      <c r="D85" s="36">
        <f t="shared" si="26"/>
        <v>2</v>
      </c>
      <c r="E85" s="36">
        <f t="shared" si="26"/>
        <v>0</v>
      </c>
      <c r="F85" s="36">
        <f t="shared" si="26"/>
        <v>0</v>
      </c>
      <c r="G85" s="36">
        <f t="shared" si="26"/>
        <v>0</v>
      </c>
      <c r="H85" s="36">
        <f t="shared" si="26"/>
        <v>0</v>
      </c>
      <c r="I85" s="36">
        <f t="shared" si="26"/>
        <v>0</v>
      </c>
      <c r="J85" s="36">
        <f t="shared" si="26"/>
        <v>0</v>
      </c>
      <c r="K85" s="36">
        <f t="shared" si="26"/>
        <v>8</v>
      </c>
      <c r="L85" s="410">
        <f t="shared" si="26"/>
        <v>275580</v>
      </c>
      <c r="M85" s="36">
        <f>SUM(M86:M91)</f>
        <v>6</v>
      </c>
      <c r="N85" s="36">
        <f aca="true" t="shared" si="27" ref="N85:W85">SUM(N86:N91)</f>
        <v>0</v>
      </c>
      <c r="O85" s="36">
        <f t="shared" si="27"/>
        <v>2</v>
      </c>
      <c r="P85" s="36">
        <f t="shared" si="27"/>
        <v>0</v>
      </c>
      <c r="Q85" s="36">
        <f t="shared" si="27"/>
        <v>0</v>
      </c>
      <c r="R85" s="36">
        <f t="shared" si="27"/>
        <v>0</v>
      </c>
      <c r="S85" s="36">
        <f t="shared" si="27"/>
        <v>0</v>
      </c>
      <c r="T85" s="36">
        <f t="shared" si="27"/>
        <v>0</v>
      </c>
      <c r="U85" s="36">
        <f t="shared" si="27"/>
        <v>0</v>
      </c>
      <c r="V85" s="36">
        <f t="shared" si="27"/>
        <v>8</v>
      </c>
      <c r="W85" s="410">
        <f t="shared" si="27"/>
        <v>275580</v>
      </c>
    </row>
    <row r="86" spans="1:23" ht="12.75">
      <c r="A86" s="416" t="s">
        <v>96</v>
      </c>
      <c r="B86" s="414"/>
      <c r="C86" s="414"/>
      <c r="D86" s="414">
        <v>2</v>
      </c>
      <c r="E86" s="414"/>
      <c r="F86" s="414"/>
      <c r="G86" s="31"/>
      <c r="H86" s="31"/>
      <c r="I86" s="31"/>
      <c r="J86" s="31"/>
      <c r="K86" s="414">
        <f aca="true" t="shared" si="28" ref="K86:K94">SUM(B86:J86)</f>
        <v>2</v>
      </c>
      <c r="L86" s="411">
        <v>35208</v>
      </c>
      <c r="M86" s="414"/>
      <c r="N86" s="414"/>
      <c r="O86" s="414">
        <v>2</v>
      </c>
      <c r="P86" s="414"/>
      <c r="Q86" s="414"/>
      <c r="R86" s="414"/>
      <c r="S86" s="414"/>
      <c r="T86" s="414"/>
      <c r="U86" s="414"/>
      <c r="V86" s="414">
        <f>SUM(M86:U86)</f>
        <v>2</v>
      </c>
      <c r="W86" s="411">
        <v>35208</v>
      </c>
    </row>
    <row r="87" spans="1:23" ht="12.75">
      <c r="A87" s="34" t="s">
        <v>16</v>
      </c>
      <c r="B87" s="414">
        <v>2</v>
      </c>
      <c r="C87" s="414"/>
      <c r="D87" s="414"/>
      <c r="E87" s="414"/>
      <c r="F87" s="414"/>
      <c r="G87" s="31"/>
      <c r="H87" s="31"/>
      <c r="I87" s="31"/>
      <c r="J87" s="31"/>
      <c r="K87" s="414">
        <f t="shared" si="28"/>
        <v>2</v>
      </c>
      <c r="L87" s="411">
        <v>80582.48</v>
      </c>
      <c r="M87" s="414">
        <v>2</v>
      </c>
      <c r="N87" s="414"/>
      <c r="O87" s="414"/>
      <c r="P87" s="414"/>
      <c r="Q87" s="414"/>
      <c r="R87" s="414"/>
      <c r="S87" s="414"/>
      <c r="T87" s="414"/>
      <c r="U87" s="414"/>
      <c r="V87" s="414">
        <f aca="true" t="shared" si="29" ref="V87:V94">SUM(M87:U87)</f>
        <v>2</v>
      </c>
      <c r="W87" s="411">
        <v>80582.48</v>
      </c>
    </row>
    <row r="88" spans="1:23" ht="12.75">
      <c r="A88" s="34" t="s">
        <v>569</v>
      </c>
      <c r="B88" s="414">
        <v>1</v>
      </c>
      <c r="C88" s="414"/>
      <c r="D88" s="414"/>
      <c r="E88" s="414"/>
      <c r="F88" s="414"/>
      <c r="G88" s="31"/>
      <c r="H88" s="31"/>
      <c r="I88" s="31"/>
      <c r="J88" s="31"/>
      <c r="K88" s="414">
        <f t="shared" si="28"/>
        <v>1</v>
      </c>
      <c r="L88" s="411">
        <v>40057.96</v>
      </c>
      <c r="M88" s="414">
        <v>1</v>
      </c>
      <c r="N88" s="414"/>
      <c r="O88" s="414"/>
      <c r="P88" s="414"/>
      <c r="Q88" s="414"/>
      <c r="R88" s="414"/>
      <c r="S88" s="414"/>
      <c r="T88" s="414"/>
      <c r="U88" s="414"/>
      <c r="V88" s="414">
        <f t="shared" si="29"/>
        <v>1</v>
      </c>
      <c r="W88" s="411">
        <v>40057.96</v>
      </c>
    </row>
    <row r="89" spans="1:23" ht="12.75">
      <c r="A89" s="34" t="s">
        <v>570</v>
      </c>
      <c r="B89" s="414">
        <v>1</v>
      </c>
      <c r="C89" s="414"/>
      <c r="D89" s="414"/>
      <c r="E89" s="414"/>
      <c r="F89" s="414"/>
      <c r="G89" s="31"/>
      <c r="H89" s="31"/>
      <c r="I89" s="31"/>
      <c r="J89" s="31"/>
      <c r="K89" s="414">
        <f t="shared" si="28"/>
        <v>1</v>
      </c>
      <c r="L89" s="411">
        <v>40051.36</v>
      </c>
      <c r="M89" s="414">
        <v>1</v>
      </c>
      <c r="N89" s="414"/>
      <c r="O89" s="414"/>
      <c r="P89" s="414"/>
      <c r="Q89" s="414"/>
      <c r="R89" s="414"/>
      <c r="S89" s="414"/>
      <c r="T89" s="414"/>
      <c r="U89" s="414"/>
      <c r="V89" s="414">
        <f t="shared" si="29"/>
        <v>1</v>
      </c>
      <c r="W89" s="411">
        <v>40051.36</v>
      </c>
    </row>
    <row r="90" spans="1:23" ht="12.75">
      <c r="A90" s="34" t="s">
        <v>571</v>
      </c>
      <c r="B90" s="414">
        <v>1</v>
      </c>
      <c r="C90" s="414"/>
      <c r="D90" s="414"/>
      <c r="E90" s="414"/>
      <c r="F90" s="414"/>
      <c r="G90" s="31"/>
      <c r="H90" s="31"/>
      <c r="I90" s="31"/>
      <c r="J90" s="31"/>
      <c r="K90" s="414">
        <f t="shared" si="28"/>
        <v>1</v>
      </c>
      <c r="L90" s="411">
        <v>39967.24</v>
      </c>
      <c r="M90" s="414">
        <v>1</v>
      </c>
      <c r="N90" s="414"/>
      <c r="O90" s="414"/>
      <c r="P90" s="414"/>
      <c r="Q90" s="414"/>
      <c r="R90" s="414"/>
      <c r="S90" s="414"/>
      <c r="T90" s="414"/>
      <c r="U90" s="414"/>
      <c r="V90" s="414">
        <f t="shared" si="29"/>
        <v>1</v>
      </c>
      <c r="W90" s="411">
        <v>39967.24</v>
      </c>
    </row>
    <row r="91" spans="1:23" ht="12.75">
      <c r="A91" s="34" t="s">
        <v>17</v>
      </c>
      <c r="B91" s="414">
        <v>1</v>
      </c>
      <c r="C91" s="414"/>
      <c r="D91" s="414"/>
      <c r="E91" s="414"/>
      <c r="F91" s="414"/>
      <c r="G91" s="31"/>
      <c r="H91" s="31"/>
      <c r="I91" s="31"/>
      <c r="J91" s="31"/>
      <c r="K91" s="414">
        <f t="shared" si="28"/>
        <v>1</v>
      </c>
      <c r="L91" s="411">
        <v>39712.96</v>
      </c>
      <c r="M91" s="414">
        <v>1</v>
      </c>
      <c r="N91" s="414"/>
      <c r="O91" s="414"/>
      <c r="P91" s="414"/>
      <c r="Q91" s="414"/>
      <c r="R91" s="414"/>
      <c r="S91" s="414"/>
      <c r="T91" s="414"/>
      <c r="U91" s="414"/>
      <c r="V91" s="414">
        <f t="shared" si="29"/>
        <v>1</v>
      </c>
      <c r="W91" s="411">
        <v>39712.96</v>
      </c>
    </row>
    <row r="92" spans="1:23" ht="12.75">
      <c r="A92" s="35" t="s">
        <v>6</v>
      </c>
      <c r="B92" s="36">
        <f>SUM(B93:B96)</f>
        <v>1</v>
      </c>
      <c r="C92" s="36">
        <f aca="true" t="shared" si="30" ref="C92:L92">SUM(C93:C96)</f>
        <v>0</v>
      </c>
      <c r="D92" s="36">
        <f t="shared" si="30"/>
        <v>1</v>
      </c>
      <c r="E92" s="36">
        <f t="shared" si="30"/>
        <v>0</v>
      </c>
      <c r="F92" s="36">
        <f t="shared" si="30"/>
        <v>0</v>
      </c>
      <c r="G92" s="36">
        <f t="shared" si="30"/>
        <v>0</v>
      </c>
      <c r="H92" s="36">
        <f t="shared" si="30"/>
        <v>0</v>
      </c>
      <c r="I92" s="36">
        <f t="shared" si="30"/>
        <v>0</v>
      </c>
      <c r="J92" s="36">
        <f t="shared" si="30"/>
        <v>0</v>
      </c>
      <c r="K92" s="36">
        <f t="shared" si="30"/>
        <v>2</v>
      </c>
      <c r="L92" s="410">
        <f t="shared" si="30"/>
        <v>55989.4</v>
      </c>
      <c r="M92" s="36">
        <f>SUM(M93:M96)</f>
        <v>1</v>
      </c>
      <c r="N92" s="36">
        <f aca="true" t="shared" si="31" ref="N92:W92">SUM(N93:N96)</f>
        <v>0</v>
      </c>
      <c r="O92" s="36">
        <f t="shared" si="31"/>
        <v>1</v>
      </c>
      <c r="P92" s="36">
        <f t="shared" si="31"/>
        <v>0</v>
      </c>
      <c r="Q92" s="36">
        <f t="shared" si="31"/>
        <v>0</v>
      </c>
      <c r="R92" s="36">
        <f t="shared" si="31"/>
        <v>0</v>
      </c>
      <c r="S92" s="36">
        <f t="shared" si="31"/>
        <v>0</v>
      </c>
      <c r="T92" s="36">
        <f t="shared" si="31"/>
        <v>0</v>
      </c>
      <c r="U92" s="36">
        <f t="shared" si="31"/>
        <v>0</v>
      </c>
      <c r="V92" s="36">
        <f t="shared" si="31"/>
        <v>2</v>
      </c>
      <c r="W92" s="410">
        <f t="shared" si="31"/>
        <v>55989.4</v>
      </c>
    </row>
    <row r="93" spans="1:23" ht="12.75">
      <c r="A93" s="416" t="s">
        <v>96</v>
      </c>
      <c r="B93" s="414"/>
      <c r="C93" s="414"/>
      <c r="D93" s="414">
        <v>1</v>
      </c>
      <c r="E93" s="414"/>
      <c r="F93" s="414"/>
      <c r="G93" s="31"/>
      <c r="H93" s="31"/>
      <c r="I93" s="31"/>
      <c r="J93" s="31"/>
      <c r="K93" s="414">
        <f t="shared" si="28"/>
        <v>1</v>
      </c>
      <c r="L93" s="411">
        <v>16296</v>
      </c>
      <c r="M93" s="414"/>
      <c r="N93" s="414"/>
      <c r="O93" s="414">
        <v>1</v>
      </c>
      <c r="P93" s="414"/>
      <c r="Q93" s="414"/>
      <c r="R93" s="414"/>
      <c r="S93" s="414"/>
      <c r="T93" s="414"/>
      <c r="U93" s="414"/>
      <c r="V93" s="414">
        <f t="shared" si="29"/>
        <v>1</v>
      </c>
      <c r="W93" s="411">
        <v>16296</v>
      </c>
    </row>
    <row r="94" spans="1:23" ht="12.75">
      <c r="A94" s="34" t="s">
        <v>572</v>
      </c>
      <c r="B94" s="414">
        <v>1</v>
      </c>
      <c r="C94" s="414"/>
      <c r="D94" s="414"/>
      <c r="E94" s="414"/>
      <c r="F94" s="414"/>
      <c r="G94" s="31"/>
      <c r="H94" s="31"/>
      <c r="I94" s="31"/>
      <c r="J94" s="31"/>
      <c r="K94" s="414">
        <f t="shared" si="28"/>
        <v>1</v>
      </c>
      <c r="L94" s="411">
        <v>39693.4</v>
      </c>
      <c r="M94" s="414">
        <v>1</v>
      </c>
      <c r="N94" s="414"/>
      <c r="O94" s="414"/>
      <c r="P94" s="414"/>
      <c r="Q94" s="414"/>
      <c r="R94" s="414"/>
      <c r="S94" s="414"/>
      <c r="T94" s="414"/>
      <c r="U94" s="414"/>
      <c r="V94" s="414">
        <f t="shared" si="29"/>
        <v>1</v>
      </c>
      <c r="W94" s="411">
        <v>39693.4</v>
      </c>
    </row>
    <row r="95" spans="1:23" ht="12.75">
      <c r="A95" s="34"/>
      <c r="B95" s="414"/>
      <c r="C95" s="414"/>
      <c r="D95" s="414"/>
      <c r="E95" s="414"/>
      <c r="F95" s="414"/>
      <c r="G95" s="31"/>
      <c r="H95" s="31"/>
      <c r="I95" s="31"/>
      <c r="J95" s="31"/>
      <c r="K95" s="31"/>
      <c r="L95" s="411"/>
      <c r="M95" s="414"/>
      <c r="N95" s="414"/>
      <c r="O95" s="414"/>
      <c r="P95" s="414"/>
      <c r="Q95" s="414"/>
      <c r="R95" s="414"/>
      <c r="S95" s="414"/>
      <c r="T95" s="414"/>
      <c r="U95" s="414"/>
      <c r="V95" s="414"/>
      <c r="W95" s="415"/>
    </row>
    <row r="96" spans="1:23" ht="13.5" thickBot="1">
      <c r="A96" s="34"/>
      <c r="B96" s="414"/>
      <c r="C96" s="414"/>
      <c r="D96" s="414"/>
      <c r="E96" s="414"/>
      <c r="F96" s="414"/>
      <c r="G96" s="31"/>
      <c r="H96" s="31"/>
      <c r="I96" s="31"/>
      <c r="J96" s="31"/>
      <c r="K96" s="31"/>
      <c r="L96" s="411"/>
      <c r="M96" s="414"/>
      <c r="N96" s="414"/>
      <c r="O96" s="414"/>
      <c r="P96" s="414"/>
      <c r="Q96" s="414"/>
      <c r="R96" s="414"/>
      <c r="S96" s="414"/>
      <c r="T96" s="414"/>
      <c r="U96" s="414"/>
      <c r="V96" s="414"/>
      <c r="W96" s="415"/>
    </row>
    <row r="97" spans="1:23" ht="13.5" thickBot="1">
      <c r="A97" s="38" t="s">
        <v>24</v>
      </c>
      <c r="B97" s="39">
        <f>SUM(B72:B96)</f>
        <v>30</v>
      </c>
      <c r="C97" s="39"/>
      <c r="D97" s="39">
        <f>SUM(D72:D96)</f>
        <v>16</v>
      </c>
      <c r="E97" s="39"/>
      <c r="F97" s="39"/>
      <c r="G97" s="39"/>
      <c r="H97" s="39"/>
      <c r="I97" s="39"/>
      <c r="J97" s="39"/>
      <c r="K97" s="39">
        <f>SUM(K72:K96)</f>
        <v>46</v>
      </c>
      <c r="L97" s="417">
        <f>L71+L79+L85+L92</f>
        <v>995564.3400000002</v>
      </c>
      <c r="M97" s="39">
        <f>SUM(M72:M95)</f>
        <v>30</v>
      </c>
      <c r="N97" s="39"/>
      <c r="O97" s="39">
        <f>SUM(O72:O95)</f>
        <v>16</v>
      </c>
      <c r="P97" s="39"/>
      <c r="Q97" s="39"/>
      <c r="R97" s="39"/>
      <c r="S97" s="39"/>
      <c r="T97" s="39"/>
      <c r="U97" s="39"/>
      <c r="V97" s="39">
        <f>SUM(V72:V95)</f>
        <v>46</v>
      </c>
      <c r="W97" s="417">
        <f>W71+W79+W85+W92</f>
        <v>995564.3400000002</v>
      </c>
    </row>
    <row r="99" spans="1:23" ht="15.75">
      <c r="A99" s="249" t="s">
        <v>600</v>
      </c>
      <c r="B99" s="81"/>
      <c r="C99" s="81"/>
      <c r="D99" s="81"/>
      <c r="E99" s="81"/>
      <c r="F99" s="81"/>
      <c r="G99" s="81"/>
      <c r="H99" s="81"/>
      <c r="I99" s="81"/>
      <c r="J99" s="81"/>
      <c r="K99" s="81"/>
      <c r="L99" s="81"/>
      <c r="M99" s="81"/>
      <c r="N99" s="81"/>
      <c r="O99" s="81"/>
      <c r="P99" s="81"/>
      <c r="Q99" s="81"/>
      <c r="R99" s="81"/>
      <c r="S99" s="81"/>
      <c r="T99" s="81"/>
      <c r="U99" s="81"/>
      <c r="V99" s="81"/>
      <c r="W99" s="81"/>
    </row>
    <row r="100" spans="12:23" ht="13.5" thickBot="1">
      <c r="L100" s="30"/>
      <c r="W100" s="30"/>
    </row>
    <row r="101" spans="1:23" ht="12.75">
      <c r="A101" s="164" t="s">
        <v>10</v>
      </c>
      <c r="B101" s="1545" t="s">
        <v>412</v>
      </c>
      <c r="C101" s="1546"/>
      <c r="D101" s="1546"/>
      <c r="E101" s="1546"/>
      <c r="F101" s="1546"/>
      <c r="G101" s="1546"/>
      <c r="H101" s="1546"/>
      <c r="I101" s="1546"/>
      <c r="J101" s="1546"/>
      <c r="K101" s="1546"/>
      <c r="L101" s="1547"/>
      <c r="M101" s="1545" t="s">
        <v>413</v>
      </c>
      <c r="N101" s="1546"/>
      <c r="O101" s="1546"/>
      <c r="P101" s="1546"/>
      <c r="Q101" s="1546"/>
      <c r="R101" s="1546"/>
      <c r="S101" s="1546"/>
      <c r="T101" s="1546"/>
      <c r="U101" s="1546"/>
      <c r="V101" s="1546"/>
      <c r="W101" s="1547"/>
    </row>
    <row r="102" spans="1:23" ht="134.25">
      <c r="A102" s="165" t="s">
        <v>9</v>
      </c>
      <c r="B102" s="166" t="s">
        <v>335</v>
      </c>
      <c r="C102" s="166" t="s">
        <v>127</v>
      </c>
      <c r="D102" s="167" t="s">
        <v>296</v>
      </c>
      <c r="E102" s="167" t="s">
        <v>291</v>
      </c>
      <c r="F102" s="167" t="s">
        <v>298</v>
      </c>
      <c r="G102" s="167" t="s">
        <v>299</v>
      </c>
      <c r="H102" s="167" t="s">
        <v>300</v>
      </c>
      <c r="I102" s="167" t="s">
        <v>307</v>
      </c>
      <c r="J102" s="168" t="s">
        <v>302</v>
      </c>
      <c r="K102" s="169" t="s">
        <v>304</v>
      </c>
      <c r="L102" s="170" t="s">
        <v>306</v>
      </c>
      <c r="M102" s="166" t="s">
        <v>335</v>
      </c>
      <c r="N102" s="166" t="s">
        <v>127</v>
      </c>
      <c r="O102" s="167" t="s">
        <v>296</v>
      </c>
      <c r="P102" s="167" t="s">
        <v>291</v>
      </c>
      <c r="Q102" s="167" t="s">
        <v>298</v>
      </c>
      <c r="R102" s="167" t="s">
        <v>299</v>
      </c>
      <c r="S102" s="167" t="s">
        <v>300</v>
      </c>
      <c r="T102" s="167" t="s">
        <v>307</v>
      </c>
      <c r="U102" s="168" t="s">
        <v>302</v>
      </c>
      <c r="V102" s="169" t="s">
        <v>304</v>
      </c>
      <c r="W102" s="170" t="s">
        <v>305</v>
      </c>
    </row>
    <row r="103" spans="1:23" ht="12.75">
      <c r="A103" s="34"/>
      <c r="L103" s="37"/>
      <c r="W103" s="37"/>
    </row>
    <row r="104" spans="1:23" ht="12.75">
      <c r="A104" s="35" t="s">
        <v>7</v>
      </c>
      <c r="B104" s="418">
        <f>SUM(B105:B110)</f>
        <v>5</v>
      </c>
      <c r="C104" s="418"/>
      <c r="D104" s="418"/>
      <c r="E104" s="418"/>
      <c r="F104" s="418"/>
      <c r="G104" s="418"/>
      <c r="H104" s="418"/>
      <c r="I104" s="418"/>
      <c r="J104" s="418"/>
      <c r="K104" s="418">
        <f>SUM(K105:K110)</f>
        <v>6</v>
      </c>
      <c r="L104" s="419">
        <f>SUM(L105:L111)</f>
        <v>161263.72</v>
      </c>
      <c r="M104" s="418">
        <f>SUM(M105:M110)</f>
        <v>5</v>
      </c>
      <c r="N104" s="418"/>
      <c r="O104" s="418"/>
      <c r="P104" s="418"/>
      <c r="Q104" s="418"/>
      <c r="R104" s="418"/>
      <c r="S104" s="418"/>
      <c r="T104" s="418"/>
      <c r="U104" s="418"/>
      <c r="V104" s="418">
        <f>SUM(V105:V110)</f>
        <v>5</v>
      </c>
      <c r="W104" s="419">
        <f>SUM(W105:W111)</f>
        <v>201609.16</v>
      </c>
    </row>
    <row r="105" spans="1:23" ht="12.75">
      <c r="A105" s="34" t="s">
        <v>3</v>
      </c>
      <c r="L105" s="420"/>
      <c r="W105" s="420"/>
    </row>
    <row r="106" spans="1:23" ht="12.75">
      <c r="A106" s="34" t="s">
        <v>578</v>
      </c>
      <c r="L106" s="420"/>
      <c r="W106" s="420"/>
    </row>
    <row r="107" spans="1:23" ht="12.75">
      <c r="A107" s="34" t="s">
        <v>563</v>
      </c>
      <c r="B107" s="29">
        <v>1</v>
      </c>
      <c r="K107" s="29">
        <v>1</v>
      </c>
      <c r="L107" s="411">
        <f>(1028.95*12+3060*12+1000)*1</f>
        <v>50067.4</v>
      </c>
      <c r="M107" s="29">
        <v>1</v>
      </c>
      <c r="V107" s="29">
        <v>1</v>
      </c>
      <c r="W107" s="411">
        <f>(1028.95*12+3060*12+1000)*1</f>
        <v>50067.4</v>
      </c>
    </row>
    <row r="108" spans="1:23" ht="12.75">
      <c r="A108" s="34" t="s">
        <v>561</v>
      </c>
      <c r="B108" s="29">
        <v>1</v>
      </c>
      <c r="K108" s="29">
        <v>0</v>
      </c>
      <c r="L108" s="411">
        <v>0</v>
      </c>
      <c r="M108" s="29">
        <v>1</v>
      </c>
      <c r="V108" s="29">
        <v>1</v>
      </c>
      <c r="W108" s="411">
        <f>(462.12*12+2900*12)*1</f>
        <v>40345.44</v>
      </c>
    </row>
    <row r="109" spans="1:23" ht="12.75">
      <c r="A109" s="34" t="s">
        <v>560</v>
      </c>
      <c r="B109" s="29">
        <v>1</v>
      </c>
      <c r="K109" s="29">
        <v>2</v>
      </c>
      <c r="L109" s="411">
        <f>(438.36*12+2740*12)*1</f>
        <v>38140.32</v>
      </c>
      <c r="M109" s="29">
        <v>1</v>
      </c>
      <c r="V109" s="29">
        <v>1</v>
      </c>
      <c r="W109" s="411">
        <f>(438.36*12+2740*12)*1</f>
        <v>38140.32</v>
      </c>
    </row>
    <row r="110" spans="1:23" ht="12.75">
      <c r="A110" s="34" t="s">
        <v>12</v>
      </c>
      <c r="B110" s="29">
        <v>2</v>
      </c>
      <c r="K110" s="29">
        <v>3</v>
      </c>
      <c r="L110" s="411">
        <f>(384*12+2660*12)*2</f>
        <v>73056</v>
      </c>
      <c r="M110" s="29">
        <v>2</v>
      </c>
      <c r="V110" s="29">
        <v>2</v>
      </c>
      <c r="W110" s="411">
        <f>(384*12+2660*12)*2</f>
        <v>73056</v>
      </c>
    </row>
    <row r="111" spans="1:23" ht="12.75">
      <c r="A111" s="71"/>
      <c r="L111" s="420"/>
      <c r="W111" s="420"/>
    </row>
    <row r="112" spans="1:23" ht="12.75">
      <c r="A112" s="35" t="s">
        <v>4</v>
      </c>
      <c r="B112" s="418">
        <f>SUM(B113:B116)</f>
        <v>1</v>
      </c>
      <c r="C112" s="418"/>
      <c r="D112" s="418"/>
      <c r="E112" s="418"/>
      <c r="F112" s="418"/>
      <c r="G112" s="418"/>
      <c r="H112" s="418"/>
      <c r="I112" s="418"/>
      <c r="J112" s="418"/>
      <c r="K112" s="418">
        <f>SUM(K113:K116)</f>
        <v>1</v>
      </c>
      <c r="L112" s="419">
        <f>SUM(L113:L116)</f>
        <v>43431.04</v>
      </c>
      <c r="M112" s="418">
        <f>SUM(M113:M116)</f>
        <v>1</v>
      </c>
      <c r="N112" s="418"/>
      <c r="O112" s="418"/>
      <c r="P112" s="418"/>
      <c r="Q112" s="418"/>
      <c r="R112" s="418"/>
      <c r="S112" s="418"/>
      <c r="T112" s="418"/>
      <c r="U112" s="418"/>
      <c r="V112" s="418">
        <f>SUM(V113:V116)</f>
        <v>1</v>
      </c>
      <c r="W112" s="419">
        <f>SUM(W113:W116)</f>
        <v>43431.04</v>
      </c>
    </row>
    <row r="113" spans="1:23" ht="12.75">
      <c r="A113" s="34" t="s">
        <v>13</v>
      </c>
      <c r="L113" s="420"/>
      <c r="W113" s="420"/>
    </row>
    <row r="114" spans="1:23" ht="12.75">
      <c r="A114" s="34" t="s">
        <v>14</v>
      </c>
      <c r="L114" s="420"/>
      <c r="W114" s="420"/>
    </row>
    <row r="115" spans="1:23" ht="12.75">
      <c r="A115" s="34" t="s">
        <v>567</v>
      </c>
      <c r="B115" s="29">
        <v>1</v>
      </c>
      <c r="K115" s="29">
        <f>+B115</f>
        <v>1</v>
      </c>
      <c r="L115" s="411">
        <f>(955.92*12+2580*12+1000)</f>
        <v>43431.04</v>
      </c>
      <c r="M115" s="29">
        <v>1</v>
      </c>
      <c r="V115" s="29">
        <f>+M115</f>
        <v>1</v>
      </c>
      <c r="W115" s="411">
        <f>(955.92*12+2580*12+1000)</f>
        <v>43431.04</v>
      </c>
    </row>
    <row r="116" spans="1:23" ht="12.75">
      <c r="A116" s="34"/>
      <c r="L116" s="420"/>
      <c r="W116" s="420"/>
    </row>
    <row r="117" spans="1:23" ht="12.75">
      <c r="A117" s="35" t="s">
        <v>5</v>
      </c>
      <c r="B117" s="418">
        <f>SUM(B118:B121)</f>
        <v>28</v>
      </c>
      <c r="C117" s="418"/>
      <c r="D117" s="418"/>
      <c r="E117" s="418"/>
      <c r="F117" s="418"/>
      <c r="G117" s="418"/>
      <c r="H117" s="418"/>
      <c r="I117" s="418"/>
      <c r="J117" s="418"/>
      <c r="K117" s="418">
        <f>SUM(K118:K121)</f>
        <v>36</v>
      </c>
      <c r="L117" s="419">
        <f>SUM(L118:L121)</f>
        <v>848284</v>
      </c>
      <c r="M117" s="418">
        <f>SUM(M118:M121)</f>
        <v>28</v>
      </c>
      <c r="N117" s="418"/>
      <c r="O117" s="418"/>
      <c r="P117" s="418"/>
      <c r="Q117" s="418"/>
      <c r="R117" s="418"/>
      <c r="S117" s="418"/>
      <c r="T117" s="418"/>
      <c r="U117" s="418"/>
      <c r="V117" s="418">
        <f>SUM(V118:V121)</f>
        <v>28</v>
      </c>
      <c r="W117" s="419">
        <f>SUM(W118:W121)</f>
        <v>848284</v>
      </c>
    </row>
    <row r="118" spans="1:23" ht="12.75">
      <c r="A118" s="34" t="s">
        <v>16</v>
      </c>
      <c r="B118" s="29">
        <v>11</v>
      </c>
      <c r="K118" s="29">
        <f>+B118</f>
        <v>11</v>
      </c>
      <c r="L118" s="411">
        <f>(980.16*12+2500*12+1000)*11</f>
        <v>470381.12</v>
      </c>
      <c r="M118" s="29">
        <v>11</v>
      </c>
      <c r="V118" s="29">
        <f>+M118</f>
        <v>11</v>
      </c>
      <c r="W118" s="411">
        <f>(980.16*12+2500*12+1000)*11</f>
        <v>470381.12</v>
      </c>
    </row>
    <row r="119" spans="1:23" ht="12.75">
      <c r="A119" s="34" t="s">
        <v>569</v>
      </c>
      <c r="B119" s="29">
        <v>5</v>
      </c>
      <c r="K119" s="29">
        <v>13</v>
      </c>
      <c r="L119" s="421">
        <f>(887.88*12+2500*12+1000)*5</f>
        <v>208272.8</v>
      </c>
      <c r="M119" s="29">
        <v>5</v>
      </c>
      <c r="V119" s="29">
        <v>5</v>
      </c>
      <c r="W119" s="421">
        <f>(887.88*12+2500*12+1000)*5</f>
        <v>208272.8</v>
      </c>
    </row>
    <row r="120" spans="1:23" ht="12.75">
      <c r="A120" s="34" t="s">
        <v>570</v>
      </c>
      <c r="B120" s="29">
        <v>12</v>
      </c>
      <c r="K120" s="29">
        <f>+B120</f>
        <v>12</v>
      </c>
      <c r="L120" s="411">
        <f>(886.32*12+2500+1000)*12</f>
        <v>169630.08000000002</v>
      </c>
      <c r="M120" s="29">
        <v>12</v>
      </c>
      <c r="V120" s="29">
        <f>+M120</f>
        <v>12</v>
      </c>
      <c r="W120" s="411">
        <f>(886.32*12+2500+1000)*12</f>
        <v>169630.08000000002</v>
      </c>
    </row>
    <row r="121" spans="1:23" ht="12.75">
      <c r="A121" s="34"/>
      <c r="L121" s="420"/>
      <c r="W121" s="420"/>
    </row>
    <row r="122" spans="1:23" ht="12.75">
      <c r="A122" s="35" t="s">
        <v>6</v>
      </c>
      <c r="B122" s="418">
        <f>SUM(B123:B126)</f>
        <v>0</v>
      </c>
      <c r="C122" s="418"/>
      <c r="D122" s="418"/>
      <c r="E122" s="418"/>
      <c r="F122" s="418"/>
      <c r="G122" s="418"/>
      <c r="H122" s="418"/>
      <c r="I122" s="418"/>
      <c r="J122" s="418"/>
      <c r="K122" s="418">
        <f>SUM(K123:K125)</f>
        <v>0</v>
      </c>
      <c r="L122" s="422">
        <f>SUM(L123:L126)</f>
        <v>1319583.25</v>
      </c>
      <c r="M122" s="418">
        <f>SUM(M123:M126)</f>
        <v>0</v>
      </c>
      <c r="N122" s="418"/>
      <c r="O122" s="418"/>
      <c r="P122" s="418"/>
      <c r="Q122" s="418"/>
      <c r="R122" s="418"/>
      <c r="S122" s="418"/>
      <c r="T122" s="418"/>
      <c r="U122" s="418"/>
      <c r="V122" s="418">
        <f>SUM(V123:V125)</f>
        <v>0</v>
      </c>
      <c r="W122" s="422">
        <f>SUM(W123:W126)</f>
        <v>1319583.25</v>
      </c>
    </row>
    <row r="123" spans="1:23" ht="12.75">
      <c r="A123" s="34"/>
      <c r="L123" s="420"/>
      <c r="W123" s="420"/>
    </row>
    <row r="124" spans="1:23" ht="12.75">
      <c r="A124" s="34"/>
      <c r="L124" s="420"/>
      <c r="W124" s="420"/>
    </row>
    <row r="125" spans="1:23" ht="12.75">
      <c r="A125" s="34"/>
      <c r="L125" s="420"/>
      <c r="W125" s="420"/>
    </row>
    <row r="126" spans="1:23" ht="13.5" thickBot="1">
      <c r="A126" s="423" t="s">
        <v>579</v>
      </c>
      <c r="B126" s="424"/>
      <c r="C126" s="424"/>
      <c r="D126" s="424">
        <v>25</v>
      </c>
      <c r="E126" s="424"/>
      <c r="F126" s="424"/>
      <c r="G126" s="424"/>
      <c r="H126" s="424"/>
      <c r="I126" s="424"/>
      <c r="J126" s="424"/>
      <c r="K126" s="425">
        <v>25</v>
      </c>
      <c r="L126" s="419">
        <f>(38000+11183.33+300*12)*25</f>
        <v>1319583.25</v>
      </c>
      <c r="M126" s="424"/>
      <c r="N126" s="424"/>
      <c r="O126" s="424">
        <v>25</v>
      </c>
      <c r="P126" s="424"/>
      <c r="Q126" s="424"/>
      <c r="R126" s="424"/>
      <c r="S126" s="424"/>
      <c r="T126" s="424"/>
      <c r="U126" s="424"/>
      <c r="V126" s="425">
        <v>25</v>
      </c>
      <c r="W126" s="419">
        <f>(38000+11183.33+300*12)*25</f>
        <v>1319583.25</v>
      </c>
    </row>
    <row r="127" spans="1:23" ht="13.5" thickBot="1">
      <c r="A127" s="38" t="s">
        <v>24</v>
      </c>
      <c r="B127" s="39">
        <f>B112+B117+B122+B104</f>
        <v>34</v>
      </c>
      <c r="C127" s="39"/>
      <c r="D127" s="39">
        <f>D126</f>
        <v>25</v>
      </c>
      <c r="E127" s="39"/>
      <c r="F127" s="39"/>
      <c r="G127" s="39"/>
      <c r="H127" s="39"/>
      <c r="I127" s="39"/>
      <c r="J127" s="39"/>
      <c r="K127" s="39">
        <f>K112+K117+K122+K126+K104</f>
        <v>68</v>
      </c>
      <c r="L127" s="417">
        <f>L112+L117+L122+L104</f>
        <v>2372562.0100000002</v>
      </c>
      <c r="M127" s="39">
        <f>M112+M117+M122+M104</f>
        <v>34</v>
      </c>
      <c r="N127" s="39"/>
      <c r="O127" s="39">
        <f>O126</f>
        <v>25</v>
      </c>
      <c r="P127" s="39"/>
      <c r="Q127" s="39"/>
      <c r="R127" s="39"/>
      <c r="S127" s="39"/>
      <c r="T127" s="39"/>
      <c r="U127" s="39"/>
      <c r="V127" s="39">
        <f>V112+V117+V122+V126</f>
        <v>54</v>
      </c>
      <c r="W127" s="417">
        <f>W112+W117+W122+W104</f>
        <v>2412907.45</v>
      </c>
    </row>
    <row r="129" spans="1:23" ht="15.75">
      <c r="A129" s="249" t="s">
        <v>601</v>
      </c>
      <c r="B129" s="81"/>
      <c r="C129" s="81"/>
      <c r="D129" s="81"/>
      <c r="E129" s="81"/>
      <c r="F129" s="81"/>
      <c r="G129" s="81"/>
      <c r="H129" s="81"/>
      <c r="I129" s="81"/>
      <c r="J129" s="81"/>
      <c r="K129" s="81"/>
      <c r="L129" s="81"/>
      <c r="M129" s="81"/>
      <c r="N129" s="81"/>
      <c r="O129" s="81"/>
      <c r="P129" s="81"/>
      <c r="Q129" s="81"/>
      <c r="R129" s="81"/>
      <c r="S129" s="81"/>
      <c r="T129" s="81"/>
      <c r="U129" s="81"/>
      <c r="V129" s="81"/>
      <c r="W129" s="81"/>
    </row>
    <row r="130" spans="12:23" ht="12.75">
      <c r="L130" s="30"/>
      <c r="W130" s="30"/>
    </row>
    <row r="131" spans="12:23" ht="13.5" thickBot="1">
      <c r="L131" s="426"/>
      <c r="W131" s="426"/>
    </row>
    <row r="132" spans="1:23" ht="12.75">
      <c r="A132" s="164" t="s">
        <v>10</v>
      </c>
      <c r="B132" s="1545" t="s">
        <v>412</v>
      </c>
      <c r="C132" s="1546"/>
      <c r="D132" s="1546"/>
      <c r="E132" s="1546"/>
      <c r="F132" s="1546"/>
      <c r="G132" s="1546"/>
      <c r="H132" s="1546"/>
      <c r="I132" s="1546"/>
      <c r="J132" s="1546"/>
      <c r="K132" s="1546"/>
      <c r="L132" s="1547"/>
      <c r="M132" s="1545" t="s">
        <v>413</v>
      </c>
      <c r="N132" s="1546"/>
      <c r="O132" s="1546"/>
      <c r="P132" s="1546"/>
      <c r="Q132" s="1546"/>
      <c r="R132" s="1546"/>
      <c r="S132" s="1546"/>
      <c r="T132" s="1546"/>
      <c r="U132" s="1546"/>
      <c r="V132" s="1546"/>
      <c r="W132" s="1547"/>
    </row>
    <row r="133" spans="1:23" ht="134.25">
      <c r="A133" s="165" t="s">
        <v>9</v>
      </c>
      <c r="B133" s="166" t="s">
        <v>335</v>
      </c>
      <c r="C133" s="166" t="s">
        <v>127</v>
      </c>
      <c r="D133" s="167" t="s">
        <v>296</v>
      </c>
      <c r="E133" s="167" t="s">
        <v>291</v>
      </c>
      <c r="F133" s="167" t="s">
        <v>298</v>
      </c>
      <c r="G133" s="167" t="s">
        <v>299</v>
      </c>
      <c r="H133" s="167" t="s">
        <v>300</v>
      </c>
      <c r="I133" s="167" t="s">
        <v>307</v>
      </c>
      <c r="J133" s="168" t="s">
        <v>302</v>
      </c>
      <c r="K133" s="169" t="s">
        <v>304</v>
      </c>
      <c r="L133" s="170" t="s">
        <v>306</v>
      </c>
      <c r="M133" s="166" t="s">
        <v>335</v>
      </c>
      <c r="N133" s="166" t="s">
        <v>127</v>
      </c>
      <c r="O133" s="167" t="s">
        <v>296</v>
      </c>
      <c r="P133" s="167" t="s">
        <v>291</v>
      </c>
      <c r="Q133" s="167" t="s">
        <v>298</v>
      </c>
      <c r="R133" s="167" t="s">
        <v>299</v>
      </c>
      <c r="S133" s="167" t="s">
        <v>300</v>
      </c>
      <c r="T133" s="167" t="s">
        <v>307</v>
      </c>
      <c r="U133" s="168" t="s">
        <v>302</v>
      </c>
      <c r="V133" s="169" t="s">
        <v>304</v>
      </c>
      <c r="W133" s="170" t="s">
        <v>305</v>
      </c>
    </row>
    <row r="134" spans="1:23" ht="12.75">
      <c r="A134" s="34"/>
      <c r="L134" s="37"/>
      <c r="W134" s="37"/>
    </row>
    <row r="135" spans="1:23" ht="12.75">
      <c r="A135" s="427" t="s">
        <v>7</v>
      </c>
      <c r="B135" s="428">
        <f>SUM(B139:B143)</f>
        <v>27</v>
      </c>
      <c r="C135" s="428"/>
      <c r="D135" s="428"/>
      <c r="E135" s="428"/>
      <c r="F135" s="428"/>
      <c r="G135" s="428"/>
      <c r="H135" s="428"/>
      <c r="I135" s="428"/>
      <c r="J135" s="428"/>
      <c r="K135" s="428"/>
      <c r="L135" s="428">
        <f>SUM(L137:L143)</f>
        <v>27</v>
      </c>
      <c r="M135" s="428">
        <f>SUM(M139:M143)</f>
        <v>27</v>
      </c>
      <c r="N135" s="428"/>
      <c r="O135" s="428"/>
      <c r="P135" s="428"/>
      <c r="Q135" s="428"/>
      <c r="R135" s="428"/>
      <c r="S135" s="428"/>
      <c r="T135" s="428"/>
      <c r="U135" s="428"/>
      <c r="V135" s="428"/>
      <c r="W135" s="428">
        <f>SUM(W137:W143)</f>
        <v>27</v>
      </c>
    </row>
    <row r="136" spans="1:23" ht="12.75">
      <c r="A136" s="429" t="s">
        <v>3</v>
      </c>
      <c r="B136" s="430"/>
      <c r="C136" s="430"/>
      <c r="D136" s="430"/>
      <c r="E136" s="430"/>
      <c r="F136" s="430"/>
      <c r="G136" s="430"/>
      <c r="H136" s="430"/>
      <c r="I136" s="430"/>
      <c r="J136" s="430"/>
      <c r="K136" s="430"/>
      <c r="L136" s="430">
        <f>SUM(B136:J136)</f>
        <v>0</v>
      </c>
      <c r="M136" s="430"/>
      <c r="N136" s="430"/>
      <c r="O136" s="430"/>
      <c r="P136" s="430"/>
      <c r="Q136" s="430"/>
      <c r="R136" s="430"/>
      <c r="S136" s="430"/>
      <c r="T136" s="430"/>
      <c r="U136" s="430"/>
      <c r="V136" s="430"/>
      <c r="W136" s="430">
        <f>SUM(M136:U136)</f>
        <v>0</v>
      </c>
    </row>
    <row r="137" spans="1:23" ht="12.75">
      <c r="A137" s="429" t="s">
        <v>565</v>
      </c>
      <c r="B137" s="430"/>
      <c r="C137" s="430"/>
      <c r="D137" s="430"/>
      <c r="E137" s="430"/>
      <c r="F137" s="430"/>
      <c r="G137" s="430"/>
      <c r="H137" s="430"/>
      <c r="I137" s="430"/>
      <c r="J137" s="430"/>
      <c r="K137" s="430"/>
      <c r="L137" s="430">
        <f aca="true" t="shared" si="32" ref="L137:L157">SUM(B137:J137)</f>
        <v>0</v>
      </c>
      <c r="M137" s="430"/>
      <c r="N137" s="430"/>
      <c r="O137" s="430"/>
      <c r="P137" s="430"/>
      <c r="Q137" s="430"/>
      <c r="R137" s="430"/>
      <c r="S137" s="430"/>
      <c r="T137" s="430"/>
      <c r="U137" s="430"/>
      <c r="V137" s="430"/>
      <c r="W137" s="430">
        <f aca="true" t="shared" si="33" ref="W137:W143">SUM(M137:U137)</f>
        <v>0</v>
      </c>
    </row>
    <row r="138" spans="1:23" ht="12.75">
      <c r="A138" s="429" t="s">
        <v>564</v>
      </c>
      <c r="B138" s="430"/>
      <c r="C138" s="430"/>
      <c r="D138" s="430"/>
      <c r="E138" s="430"/>
      <c r="F138" s="430"/>
      <c r="G138" s="430"/>
      <c r="H138" s="430"/>
      <c r="I138" s="430"/>
      <c r="J138" s="430"/>
      <c r="K138" s="430"/>
      <c r="L138" s="430">
        <f t="shared" si="32"/>
        <v>0</v>
      </c>
      <c r="M138" s="430"/>
      <c r="N138" s="430"/>
      <c r="O138" s="430"/>
      <c r="P138" s="430"/>
      <c r="Q138" s="430"/>
      <c r="R138" s="430"/>
      <c r="S138" s="430"/>
      <c r="T138" s="430"/>
      <c r="U138" s="430"/>
      <c r="V138" s="430"/>
      <c r="W138" s="430">
        <f t="shared" si="33"/>
        <v>0</v>
      </c>
    </row>
    <row r="139" spans="1:23" ht="12.75">
      <c r="A139" s="429" t="s">
        <v>563</v>
      </c>
      <c r="B139" s="431">
        <v>1</v>
      </c>
      <c r="C139" s="432"/>
      <c r="D139" s="430"/>
      <c r="E139" s="430"/>
      <c r="F139" s="430"/>
      <c r="G139" s="430"/>
      <c r="H139" s="430"/>
      <c r="I139" s="430"/>
      <c r="J139" s="430"/>
      <c r="K139" s="430"/>
      <c r="L139" s="430">
        <f t="shared" si="32"/>
        <v>1</v>
      </c>
      <c r="M139" s="431">
        <v>1</v>
      </c>
      <c r="N139" s="432"/>
      <c r="O139" s="430"/>
      <c r="P139" s="430"/>
      <c r="Q139" s="430"/>
      <c r="R139" s="430"/>
      <c r="S139" s="430"/>
      <c r="T139" s="430"/>
      <c r="U139" s="430"/>
      <c r="V139" s="430"/>
      <c r="W139" s="430">
        <f t="shared" si="33"/>
        <v>1</v>
      </c>
    </row>
    <row r="140" spans="1:23" ht="12.75">
      <c r="A140" s="429" t="s">
        <v>562</v>
      </c>
      <c r="B140" s="431">
        <v>9</v>
      </c>
      <c r="C140" s="432"/>
      <c r="D140" s="430"/>
      <c r="E140" s="430"/>
      <c r="F140" s="430"/>
      <c r="G140" s="430"/>
      <c r="H140" s="430"/>
      <c r="I140" s="430"/>
      <c r="J140" s="430"/>
      <c r="K140" s="430"/>
      <c r="L140" s="430">
        <f t="shared" si="32"/>
        <v>9</v>
      </c>
      <c r="M140" s="431">
        <v>9</v>
      </c>
      <c r="N140" s="432"/>
      <c r="O140" s="430"/>
      <c r="P140" s="430"/>
      <c r="Q140" s="430"/>
      <c r="R140" s="430"/>
      <c r="S140" s="430"/>
      <c r="T140" s="430"/>
      <c r="U140" s="430"/>
      <c r="V140" s="430"/>
      <c r="W140" s="430">
        <f t="shared" si="33"/>
        <v>9</v>
      </c>
    </row>
    <row r="141" spans="1:23" ht="12.75">
      <c r="A141" s="429" t="s">
        <v>561</v>
      </c>
      <c r="B141" s="431">
        <v>0</v>
      </c>
      <c r="C141" s="432"/>
      <c r="D141" s="430"/>
      <c r="E141" s="430"/>
      <c r="F141" s="430"/>
      <c r="G141" s="430"/>
      <c r="H141" s="430"/>
      <c r="I141" s="430"/>
      <c r="J141" s="430"/>
      <c r="K141" s="430"/>
      <c r="L141" s="430">
        <f t="shared" si="32"/>
        <v>0</v>
      </c>
      <c r="M141" s="431">
        <v>0</v>
      </c>
      <c r="N141" s="432"/>
      <c r="O141" s="430"/>
      <c r="P141" s="430"/>
      <c r="Q141" s="430"/>
      <c r="R141" s="430"/>
      <c r="S141" s="430"/>
      <c r="T141" s="430"/>
      <c r="U141" s="430"/>
      <c r="V141" s="430"/>
      <c r="W141" s="430">
        <f t="shared" si="33"/>
        <v>0</v>
      </c>
    </row>
    <row r="142" spans="1:23" ht="12.75">
      <c r="A142" s="429" t="s">
        <v>560</v>
      </c>
      <c r="B142" s="431">
        <v>13</v>
      </c>
      <c r="C142" s="432"/>
      <c r="D142" s="430"/>
      <c r="E142" s="430"/>
      <c r="F142" s="430"/>
      <c r="G142" s="430"/>
      <c r="H142" s="430"/>
      <c r="I142" s="430"/>
      <c r="J142" s="430"/>
      <c r="K142" s="430"/>
      <c r="L142" s="430">
        <f t="shared" si="32"/>
        <v>13</v>
      </c>
      <c r="M142" s="431">
        <v>13</v>
      </c>
      <c r="N142" s="432"/>
      <c r="O142" s="430"/>
      <c r="P142" s="430"/>
      <c r="Q142" s="430"/>
      <c r="R142" s="430"/>
      <c r="S142" s="430"/>
      <c r="T142" s="430"/>
      <c r="U142" s="430"/>
      <c r="V142" s="430"/>
      <c r="W142" s="430">
        <f t="shared" si="33"/>
        <v>13</v>
      </c>
    </row>
    <row r="143" spans="1:23" ht="12.75">
      <c r="A143" s="429" t="s">
        <v>12</v>
      </c>
      <c r="B143" s="431">
        <v>4</v>
      </c>
      <c r="C143" s="432"/>
      <c r="D143" s="430"/>
      <c r="E143" s="430"/>
      <c r="F143" s="430"/>
      <c r="G143" s="430"/>
      <c r="H143" s="430"/>
      <c r="I143" s="430"/>
      <c r="J143" s="430"/>
      <c r="K143" s="430"/>
      <c r="L143" s="430">
        <f t="shared" si="32"/>
        <v>4</v>
      </c>
      <c r="M143" s="431">
        <v>4</v>
      </c>
      <c r="N143" s="432"/>
      <c r="O143" s="430"/>
      <c r="P143" s="430"/>
      <c r="Q143" s="430"/>
      <c r="R143" s="430"/>
      <c r="S143" s="430"/>
      <c r="T143" s="430"/>
      <c r="U143" s="430"/>
      <c r="V143" s="430"/>
      <c r="W143" s="430">
        <f t="shared" si="33"/>
        <v>4</v>
      </c>
    </row>
    <row r="144" spans="1:23" ht="12.75">
      <c r="A144" s="433" t="s">
        <v>4</v>
      </c>
      <c r="B144" s="434">
        <f>SUM(B145:B150)</f>
        <v>13</v>
      </c>
      <c r="C144" s="434">
        <f aca="true" t="shared" si="34" ref="C144:L144">SUM(C145:C150)</f>
        <v>0</v>
      </c>
      <c r="D144" s="434">
        <f t="shared" si="34"/>
        <v>41</v>
      </c>
      <c r="E144" s="434">
        <f t="shared" si="34"/>
        <v>0</v>
      </c>
      <c r="F144" s="434">
        <f t="shared" si="34"/>
        <v>0</v>
      </c>
      <c r="G144" s="434">
        <f t="shared" si="34"/>
        <v>27</v>
      </c>
      <c r="H144" s="434">
        <f t="shared" si="34"/>
        <v>0</v>
      </c>
      <c r="I144" s="434">
        <f t="shared" si="34"/>
        <v>0</v>
      </c>
      <c r="J144" s="434">
        <f t="shared" si="34"/>
        <v>0</v>
      </c>
      <c r="K144" s="434">
        <f t="shared" si="34"/>
        <v>0</v>
      </c>
      <c r="L144" s="434">
        <f t="shared" si="34"/>
        <v>81</v>
      </c>
      <c r="M144" s="434">
        <f>SUM(M145:M150)</f>
        <v>13</v>
      </c>
      <c r="N144" s="434">
        <f aca="true" t="shared" si="35" ref="N144:W144">SUM(N145:N150)</f>
        <v>0</v>
      </c>
      <c r="O144" s="434">
        <f t="shared" si="35"/>
        <v>41</v>
      </c>
      <c r="P144" s="434">
        <f t="shared" si="35"/>
        <v>0</v>
      </c>
      <c r="Q144" s="434">
        <f t="shared" si="35"/>
        <v>0</v>
      </c>
      <c r="R144" s="434">
        <f t="shared" si="35"/>
        <v>27</v>
      </c>
      <c r="S144" s="434">
        <f t="shared" si="35"/>
        <v>0</v>
      </c>
      <c r="T144" s="434">
        <f t="shared" si="35"/>
        <v>0</v>
      </c>
      <c r="U144" s="434">
        <f t="shared" si="35"/>
        <v>0</v>
      </c>
      <c r="V144" s="434">
        <f t="shared" si="35"/>
        <v>0</v>
      </c>
      <c r="W144" s="434">
        <f t="shared" si="35"/>
        <v>81</v>
      </c>
    </row>
    <row r="145" spans="1:23" ht="14.25">
      <c r="A145" s="435" t="s">
        <v>13</v>
      </c>
      <c r="B145" s="436">
        <v>3</v>
      </c>
      <c r="C145" s="432"/>
      <c r="D145" s="430">
        <v>41</v>
      </c>
      <c r="E145" s="430"/>
      <c r="F145" s="430"/>
      <c r="G145" s="430">
        <v>27</v>
      </c>
      <c r="H145" s="430"/>
      <c r="I145" s="430"/>
      <c r="J145" s="430"/>
      <c r="K145" s="430"/>
      <c r="L145" s="430">
        <f t="shared" si="32"/>
        <v>71</v>
      </c>
      <c r="M145" s="436">
        <v>3</v>
      </c>
      <c r="N145" s="432"/>
      <c r="O145" s="430">
        <v>41</v>
      </c>
      <c r="P145" s="430"/>
      <c r="Q145" s="430"/>
      <c r="R145" s="430">
        <v>27</v>
      </c>
      <c r="S145" s="430"/>
      <c r="T145" s="430"/>
      <c r="U145" s="430"/>
      <c r="V145" s="430"/>
      <c r="W145" s="430">
        <f aca="true" t="shared" si="36" ref="W145:W150">SUM(M145:U145)</f>
        <v>71</v>
      </c>
    </row>
    <row r="146" spans="1:23" ht="14.25">
      <c r="A146" s="435" t="s">
        <v>566</v>
      </c>
      <c r="B146" s="436"/>
      <c r="C146" s="432"/>
      <c r="D146" s="430"/>
      <c r="E146" s="430"/>
      <c r="F146" s="430"/>
      <c r="G146" s="430"/>
      <c r="H146" s="430"/>
      <c r="I146" s="430"/>
      <c r="J146" s="430"/>
      <c r="K146" s="430"/>
      <c r="L146" s="430">
        <f t="shared" si="32"/>
        <v>0</v>
      </c>
      <c r="M146" s="436"/>
      <c r="N146" s="432"/>
      <c r="O146" s="430"/>
      <c r="P146" s="430"/>
      <c r="Q146" s="430"/>
      <c r="R146" s="430"/>
      <c r="S146" s="430"/>
      <c r="T146" s="430"/>
      <c r="U146" s="430"/>
      <c r="V146" s="430"/>
      <c r="W146" s="430">
        <f t="shared" si="36"/>
        <v>0</v>
      </c>
    </row>
    <row r="147" spans="1:23" ht="14.25">
      <c r="A147" s="435" t="s">
        <v>567</v>
      </c>
      <c r="B147" s="436">
        <v>2</v>
      </c>
      <c r="C147" s="432"/>
      <c r="D147" s="430"/>
      <c r="E147" s="430"/>
      <c r="F147" s="430"/>
      <c r="G147" s="430"/>
      <c r="H147" s="430"/>
      <c r="I147" s="430"/>
      <c r="J147" s="430"/>
      <c r="K147" s="430"/>
      <c r="L147" s="430">
        <f t="shared" si="32"/>
        <v>2</v>
      </c>
      <c r="M147" s="436">
        <v>2</v>
      </c>
      <c r="N147" s="432"/>
      <c r="O147" s="430"/>
      <c r="P147" s="430"/>
      <c r="Q147" s="430"/>
      <c r="R147" s="430"/>
      <c r="S147" s="430"/>
      <c r="T147" s="430"/>
      <c r="U147" s="430"/>
      <c r="V147" s="430"/>
      <c r="W147" s="430">
        <f t="shared" si="36"/>
        <v>2</v>
      </c>
    </row>
    <row r="148" spans="1:23" ht="14.25">
      <c r="A148" s="435" t="s">
        <v>568</v>
      </c>
      <c r="B148" s="436">
        <v>0</v>
      </c>
      <c r="C148" s="432"/>
      <c r="D148" s="430"/>
      <c r="E148" s="430"/>
      <c r="F148" s="430"/>
      <c r="G148" s="430"/>
      <c r="H148" s="430"/>
      <c r="I148" s="430"/>
      <c r="J148" s="430"/>
      <c r="K148" s="430"/>
      <c r="L148" s="430">
        <f t="shared" si="32"/>
        <v>0</v>
      </c>
      <c r="M148" s="436">
        <v>0</v>
      </c>
      <c r="N148" s="432"/>
      <c r="O148" s="430"/>
      <c r="P148" s="430"/>
      <c r="Q148" s="430"/>
      <c r="R148" s="430"/>
      <c r="S148" s="430"/>
      <c r="T148" s="430"/>
      <c r="U148" s="430"/>
      <c r="V148" s="430"/>
      <c r="W148" s="430">
        <f t="shared" si="36"/>
        <v>0</v>
      </c>
    </row>
    <row r="149" spans="1:23" ht="14.25">
      <c r="A149" s="435" t="s">
        <v>15</v>
      </c>
      <c r="B149" s="436">
        <v>8</v>
      </c>
      <c r="C149" s="432"/>
      <c r="D149" s="430"/>
      <c r="E149" s="430"/>
      <c r="F149" s="430"/>
      <c r="G149" s="430"/>
      <c r="H149" s="430"/>
      <c r="I149" s="430"/>
      <c r="J149" s="430"/>
      <c r="K149" s="430"/>
      <c r="L149" s="430">
        <f t="shared" si="32"/>
        <v>8</v>
      </c>
      <c r="M149" s="436">
        <v>8</v>
      </c>
      <c r="N149" s="432"/>
      <c r="O149" s="430"/>
      <c r="P149" s="430"/>
      <c r="Q149" s="430"/>
      <c r="R149" s="430"/>
      <c r="S149" s="430"/>
      <c r="T149" s="430"/>
      <c r="U149" s="430"/>
      <c r="V149" s="430"/>
      <c r="W149" s="430">
        <f t="shared" si="36"/>
        <v>8</v>
      </c>
    </row>
    <row r="150" spans="1:23" ht="14.25">
      <c r="A150" s="435" t="s">
        <v>580</v>
      </c>
      <c r="B150" s="436">
        <v>0</v>
      </c>
      <c r="C150" s="432"/>
      <c r="D150" s="430"/>
      <c r="E150" s="430"/>
      <c r="F150" s="430"/>
      <c r="G150" s="430"/>
      <c r="H150" s="430"/>
      <c r="I150" s="430"/>
      <c r="J150" s="430"/>
      <c r="K150" s="430"/>
      <c r="L150" s="430">
        <f t="shared" si="32"/>
        <v>0</v>
      </c>
      <c r="M150" s="436">
        <v>0</v>
      </c>
      <c r="N150" s="432"/>
      <c r="O150" s="430"/>
      <c r="P150" s="430"/>
      <c r="Q150" s="430"/>
      <c r="R150" s="430"/>
      <c r="S150" s="430"/>
      <c r="T150" s="430"/>
      <c r="U150" s="430"/>
      <c r="V150" s="430"/>
      <c r="W150" s="430">
        <f t="shared" si="36"/>
        <v>0</v>
      </c>
    </row>
    <row r="151" spans="1:23" ht="12.75">
      <c r="A151" s="433" t="s">
        <v>5</v>
      </c>
      <c r="B151" s="437">
        <f>SUM(B152:B157)</f>
        <v>15</v>
      </c>
      <c r="C151" s="437">
        <f aca="true" t="shared" si="37" ref="C151:L151">SUM(C152:C157)</f>
        <v>0</v>
      </c>
      <c r="D151" s="437">
        <f t="shared" si="37"/>
        <v>0</v>
      </c>
      <c r="E151" s="437">
        <f t="shared" si="37"/>
        <v>0</v>
      </c>
      <c r="F151" s="437">
        <f t="shared" si="37"/>
        <v>0</v>
      </c>
      <c r="G151" s="437">
        <f t="shared" si="37"/>
        <v>0</v>
      </c>
      <c r="H151" s="437">
        <f t="shared" si="37"/>
        <v>0</v>
      </c>
      <c r="I151" s="437">
        <f t="shared" si="37"/>
        <v>0</v>
      </c>
      <c r="J151" s="437">
        <f t="shared" si="37"/>
        <v>0</v>
      </c>
      <c r="K151" s="437">
        <f t="shared" si="37"/>
        <v>0</v>
      </c>
      <c r="L151" s="437">
        <f t="shared" si="37"/>
        <v>15</v>
      </c>
      <c r="M151" s="437">
        <f>SUM(M152:M157)</f>
        <v>15</v>
      </c>
      <c r="N151" s="437">
        <f aca="true" t="shared" si="38" ref="N151:W151">SUM(N152:N157)</f>
        <v>0</v>
      </c>
      <c r="O151" s="437">
        <f t="shared" si="38"/>
        <v>0</v>
      </c>
      <c r="P151" s="437">
        <f t="shared" si="38"/>
        <v>0</v>
      </c>
      <c r="Q151" s="437">
        <f t="shared" si="38"/>
        <v>0</v>
      </c>
      <c r="R151" s="437">
        <f t="shared" si="38"/>
        <v>0</v>
      </c>
      <c r="S151" s="437">
        <f t="shared" si="38"/>
        <v>0</v>
      </c>
      <c r="T151" s="437">
        <f t="shared" si="38"/>
        <v>0</v>
      </c>
      <c r="U151" s="437">
        <f t="shared" si="38"/>
        <v>0</v>
      </c>
      <c r="V151" s="437">
        <f t="shared" si="38"/>
        <v>0</v>
      </c>
      <c r="W151" s="437">
        <f t="shared" si="38"/>
        <v>15</v>
      </c>
    </row>
    <row r="152" spans="1:23" ht="14.25">
      <c r="A152" s="435" t="s">
        <v>16</v>
      </c>
      <c r="B152" s="436">
        <v>11</v>
      </c>
      <c r="C152" s="432"/>
      <c r="D152" s="430"/>
      <c r="E152" s="430"/>
      <c r="F152" s="430"/>
      <c r="G152" s="430"/>
      <c r="H152" s="430"/>
      <c r="I152" s="430"/>
      <c r="J152" s="430"/>
      <c r="K152" s="430"/>
      <c r="L152" s="430">
        <f t="shared" si="32"/>
        <v>11</v>
      </c>
      <c r="M152" s="436">
        <v>11</v>
      </c>
      <c r="N152" s="432"/>
      <c r="O152" s="430"/>
      <c r="P152" s="430"/>
      <c r="Q152" s="430"/>
      <c r="R152" s="430"/>
      <c r="S152" s="430"/>
      <c r="T152" s="430"/>
      <c r="U152" s="430"/>
      <c r="V152" s="430"/>
      <c r="W152" s="430">
        <f aca="true" t="shared" si="39" ref="W152:W157">SUM(M152:U152)</f>
        <v>11</v>
      </c>
    </row>
    <row r="153" spans="1:23" ht="14.25">
      <c r="A153" s="435" t="s">
        <v>569</v>
      </c>
      <c r="B153" s="436">
        <v>0</v>
      </c>
      <c r="C153" s="432"/>
      <c r="D153" s="430"/>
      <c r="E153" s="430"/>
      <c r="F153" s="430"/>
      <c r="G153" s="430"/>
      <c r="H153" s="430"/>
      <c r="I153" s="430"/>
      <c r="J153" s="430"/>
      <c r="K153" s="430"/>
      <c r="L153" s="430">
        <f t="shared" si="32"/>
        <v>0</v>
      </c>
      <c r="M153" s="436">
        <v>0</v>
      </c>
      <c r="N153" s="432"/>
      <c r="O153" s="430"/>
      <c r="P153" s="430"/>
      <c r="Q153" s="430"/>
      <c r="R153" s="430"/>
      <c r="S153" s="430"/>
      <c r="T153" s="430"/>
      <c r="U153" s="430"/>
      <c r="V153" s="430"/>
      <c r="W153" s="430">
        <f t="shared" si="39"/>
        <v>0</v>
      </c>
    </row>
    <row r="154" spans="1:23" ht="14.25">
      <c r="A154" s="435" t="s">
        <v>570</v>
      </c>
      <c r="B154" s="436">
        <v>1</v>
      </c>
      <c r="C154" s="432"/>
      <c r="D154" s="430"/>
      <c r="E154" s="430"/>
      <c r="F154" s="430"/>
      <c r="G154" s="430"/>
      <c r="H154" s="430"/>
      <c r="I154" s="430"/>
      <c r="J154" s="430"/>
      <c r="K154" s="430"/>
      <c r="L154" s="430">
        <f t="shared" si="32"/>
        <v>1</v>
      </c>
      <c r="M154" s="436">
        <v>1</v>
      </c>
      <c r="N154" s="432"/>
      <c r="O154" s="430"/>
      <c r="P154" s="430"/>
      <c r="Q154" s="430"/>
      <c r="R154" s="430"/>
      <c r="S154" s="430"/>
      <c r="T154" s="430"/>
      <c r="U154" s="430"/>
      <c r="V154" s="430"/>
      <c r="W154" s="430">
        <f t="shared" si="39"/>
        <v>1</v>
      </c>
    </row>
    <row r="155" spans="1:23" ht="14.25">
      <c r="A155" s="435" t="s">
        <v>571</v>
      </c>
      <c r="B155" s="436">
        <v>2</v>
      </c>
      <c r="C155" s="432"/>
      <c r="D155" s="430"/>
      <c r="E155" s="430"/>
      <c r="F155" s="430"/>
      <c r="G155" s="430"/>
      <c r="H155" s="430"/>
      <c r="I155" s="430"/>
      <c r="J155" s="430"/>
      <c r="K155" s="430"/>
      <c r="L155" s="430">
        <f t="shared" si="32"/>
        <v>2</v>
      </c>
      <c r="M155" s="436">
        <v>2</v>
      </c>
      <c r="N155" s="432"/>
      <c r="O155" s="430"/>
      <c r="P155" s="430"/>
      <c r="Q155" s="430"/>
      <c r="R155" s="430"/>
      <c r="S155" s="430"/>
      <c r="T155" s="430"/>
      <c r="U155" s="430"/>
      <c r="V155" s="430"/>
      <c r="W155" s="430">
        <f t="shared" si="39"/>
        <v>2</v>
      </c>
    </row>
    <row r="156" spans="1:23" ht="14.25">
      <c r="A156" s="435" t="s">
        <v>17</v>
      </c>
      <c r="B156" s="436">
        <v>1</v>
      </c>
      <c r="C156" s="432"/>
      <c r="D156" s="430"/>
      <c r="E156" s="430"/>
      <c r="F156" s="430"/>
      <c r="G156" s="430"/>
      <c r="H156" s="430"/>
      <c r="I156" s="430"/>
      <c r="J156" s="430"/>
      <c r="K156" s="430"/>
      <c r="L156" s="430">
        <f t="shared" si="32"/>
        <v>1</v>
      </c>
      <c r="M156" s="436">
        <v>1</v>
      </c>
      <c r="N156" s="432"/>
      <c r="O156" s="430"/>
      <c r="P156" s="430"/>
      <c r="Q156" s="430"/>
      <c r="R156" s="430"/>
      <c r="S156" s="430"/>
      <c r="T156" s="430"/>
      <c r="U156" s="430"/>
      <c r="V156" s="430"/>
      <c r="W156" s="430">
        <f t="shared" si="39"/>
        <v>1</v>
      </c>
    </row>
    <row r="157" spans="1:23" ht="15" thickBot="1">
      <c r="A157" s="435" t="s">
        <v>581</v>
      </c>
      <c r="B157" s="436"/>
      <c r="C157" s="432"/>
      <c r="D157" s="430"/>
      <c r="E157" s="430"/>
      <c r="F157" s="430"/>
      <c r="G157" s="430"/>
      <c r="H157" s="430"/>
      <c r="I157" s="430"/>
      <c r="J157" s="430"/>
      <c r="K157" s="430"/>
      <c r="L157" s="430">
        <f t="shared" si="32"/>
        <v>0</v>
      </c>
      <c r="M157" s="436"/>
      <c r="N157" s="432"/>
      <c r="O157" s="430"/>
      <c r="P157" s="430"/>
      <c r="Q157" s="430"/>
      <c r="R157" s="430"/>
      <c r="S157" s="430"/>
      <c r="T157" s="430"/>
      <c r="U157" s="430"/>
      <c r="V157" s="430"/>
      <c r="W157" s="430">
        <f t="shared" si="39"/>
        <v>0</v>
      </c>
    </row>
    <row r="158" spans="1:23" ht="13.5" thickBot="1">
      <c r="A158" s="32" t="s">
        <v>24</v>
      </c>
      <c r="B158" s="438">
        <f>B135+B144+B151</f>
        <v>55</v>
      </c>
      <c r="C158" s="438">
        <f aca="true" t="shared" si="40" ref="C158:W158">C135+C144+C151</f>
        <v>0</v>
      </c>
      <c r="D158" s="438">
        <f t="shared" si="40"/>
        <v>41</v>
      </c>
      <c r="E158" s="438">
        <f t="shared" si="40"/>
        <v>0</v>
      </c>
      <c r="F158" s="438">
        <f t="shared" si="40"/>
        <v>0</v>
      </c>
      <c r="G158" s="438">
        <f t="shared" si="40"/>
        <v>27</v>
      </c>
      <c r="H158" s="438">
        <f t="shared" si="40"/>
        <v>0</v>
      </c>
      <c r="I158" s="438">
        <f t="shared" si="40"/>
        <v>0</v>
      </c>
      <c r="J158" s="438">
        <f t="shared" si="40"/>
        <v>0</v>
      </c>
      <c r="K158" s="438">
        <f t="shared" si="40"/>
        <v>0</v>
      </c>
      <c r="L158" s="438">
        <f t="shared" si="40"/>
        <v>123</v>
      </c>
      <c r="M158" s="438">
        <f t="shared" si="40"/>
        <v>55</v>
      </c>
      <c r="N158" s="438">
        <f t="shared" si="40"/>
        <v>0</v>
      </c>
      <c r="O158" s="438">
        <f t="shared" si="40"/>
        <v>41</v>
      </c>
      <c r="P158" s="438">
        <f t="shared" si="40"/>
        <v>0</v>
      </c>
      <c r="Q158" s="438">
        <f t="shared" si="40"/>
        <v>0</v>
      </c>
      <c r="R158" s="438">
        <f t="shared" si="40"/>
        <v>27</v>
      </c>
      <c r="S158" s="438">
        <f t="shared" si="40"/>
        <v>0</v>
      </c>
      <c r="T158" s="438">
        <f t="shared" si="40"/>
        <v>0</v>
      </c>
      <c r="U158" s="438">
        <f t="shared" si="40"/>
        <v>0</v>
      </c>
      <c r="V158" s="438">
        <f t="shared" si="40"/>
        <v>0</v>
      </c>
      <c r="W158" s="438">
        <f t="shared" si="40"/>
        <v>123</v>
      </c>
    </row>
    <row r="160" spans="1:23" ht="16.5" thickBot="1">
      <c r="A160" s="106" t="s">
        <v>602</v>
      </c>
      <c r="B160" s="99"/>
      <c r="C160" s="99"/>
      <c r="D160" s="99"/>
      <c r="E160" s="99"/>
      <c r="F160" s="99"/>
      <c r="G160" s="99"/>
      <c r="H160" s="99"/>
      <c r="I160" s="99"/>
      <c r="J160" s="99"/>
      <c r="K160" s="99"/>
      <c r="L160" s="441"/>
      <c r="M160" s="99"/>
      <c r="N160" s="99"/>
      <c r="O160" s="99"/>
      <c r="P160" s="99"/>
      <c r="Q160" s="99"/>
      <c r="R160" s="99"/>
      <c r="S160" s="99"/>
      <c r="T160" s="99"/>
      <c r="U160" s="99"/>
      <c r="V160" s="99"/>
      <c r="W160" s="99"/>
    </row>
    <row r="161" spans="1:23" ht="12.75">
      <c r="A161" s="164" t="s">
        <v>10</v>
      </c>
      <c r="B161" s="1545" t="s">
        <v>412</v>
      </c>
      <c r="C161" s="1546"/>
      <c r="D161" s="1546"/>
      <c r="E161" s="1546"/>
      <c r="F161" s="1546"/>
      <c r="G161" s="1546"/>
      <c r="H161" s="1546"/>
      <c r="I161" s="1546"/>
      <c r="J161" s="1546"/>
      <c r="K161" s="1546"/>
      <c r="L161" s="1547"/>
      <c r="M161" s="1545" t="s">
        <v>413</v>
      </c>
      <c r="N161" s="1546"/>
      <c r="O161" s="1546"/>
      <c r="P161" s="1546"/>
      <c r="Q161" s="1546"/>
      <c r="R161" s="1546"/>
      <c r="S161" s="1546"/>
      <c r="T161" s="1546"/>
      <c r="U161" s="1546"/>
      <c r="V161" s="1546"/>
      <c r="W161" s="1547"/>
    </row>
    <row r="162" spans="1:23" ht="134.25">
      <c r="A162" s="165" t="s">
        <v>9</v>
      </c>
      <c r="B162" s="166" t="s">
        <v>335</v>
      </c>
      <c r="C162" s="166" t="s">
        <v>127</v>
      </c>
      <c r="D162" s="167" t="s">
        <v>296</v>
      </c>
      <c r="E162" s="167" t="s">
        <v>291</v>
      </c>
      <c r="F162" s="167" t="s">
        <v>298</v>
      </c>
      <c r="G162" s="167" t="s">
        <v>299</v>
      </c>
      <c r="H162" s="167" t="s">
        <v>300</v>
      </c>
      <c r="I162" s="167" t="s">
        <v>307</v>
      </c>
      <c r="J162" s="168" t="s">
        <v>302</v>
      </c>
      <c r="K162" s="169" t="s">
        <v>304</v>
      </c>
      <c r="L162" s="442" t="s">
        <v>306</v>
      </c>
      <c r="M162" s="166" t="s">
        <v>335</v>
      </c>
      <c r="N162" s="166" t="s">
        <v>127</v>
      </c>
      <c r="O162" s="167" t="s">
        <v>296</v>
      </c>
      <c r="P162" s="167" t="s">
        <v>291</v>
      </c>
      <c r="Q162" s="167" t="s">
        <v>298</v>
      </c>
      <c r="R162" s="167" t="s">
        <v>299</v>
      </c>
      <c r="S162" s="167" t="s">
        <v>300</v>
      </c>
      <c r="T162" s="167" t="s">
        <v>307</v>
      </c>
      <c r="U162" s="168" t="s">
        <v>302</v>
      </c>
      <c r="V162" s="169" t="s">
        <v>304</v>
      </c>
      <c r="W162" s="170" t="s">
        <v>305</v>
      </c>
    </row>
    <row r="163" spans="1:23" ht="12.75">
      <c r="A163" s="34"/>
      <c r="B163" s="31"/>
      <c r="C163" s="31"/>
      <c r="D163" s="31"/>
      <c r="E163" s="31"/>
      <c r="F163" s="31"/>
      <c r="G163" s="31"/>
      <c r="H163" s="31"/>
      <c r="I163" s="31"/>
      <c r="J163" s="31"/>
      <c r="K163" s="31"/>
      <c r="L163" s="411"/>
      <c r="M163" s="31"/>
      <c r="N163" s="31"/>
      <c r="O163" s="31"/>
      <c r="P163" s="31"/>
      <c r="Q163" s="31"/>
      <c r="R163" s="31"/>
      <c r="S163" s="31"/>
      <c r="T163" s="31"/>
      <c r="U163" s="31"/>
      <c r="V163" s="31"/>
      <c r="W163" s="37"/>
    </row>
    <row r="164" spans="1:23" ht="12.75">
      <c r="A164" s="35" t="s">
        <v>7</v>
      </c>
      <c r="B164" s="36">
        <f>+B165+B166</f>
        <v>5</v>
      </c>
      <c r="C164" s="36"/>
      <c r="D164" s="36">
        <f>+D167</f>
        <v>0</v>
      </c>
      <c r="E164" s="36"/>
      <c r="F164" s="36"/>
      <c r="G164" s="36"/>
      <c r="H164" s="36"/>
      <c r="I164" s="36"/>
      <c r="J164" s="36"/>
      <c r="K164" s="36">
        <f>SUM(B164:J164)</f>
        <v>5</v>
      </c>
      <c r="L164" s="443">
        <f>SUM(L165:L167)</f>
        <v>381087.43999999994</v>
      </c>
      <c r="M164" s="36">
        <f>+M165+M166</f>
        <v>5</v>
      </c>
      <c r="N164" s="36"/>
      <c r="O164" s="36">
        <f>+O167</f>
        <v>0</v>
      </c>
      <c r="P164" s="36"/>
      <c r="Q164" s="36"/>
      <c r="R164" s="36"/>
      <c r="S164" s="36"/>
      <c r="T164" s="36"/>
      <c r="U164" s="36"/>
      <c r="V164" s="36">
        <f>SUM(M164:U164)</f>
        <v>5</v>
      </c>
      <c r="W164" s="443">
        <f>SUM(W165:W167)</f>
        <v>381087.43999999994</v>
      </c>
    </row>
    <row r="165" spans="1:23" ht="12.75">
      <c r="A165" s="34" t="s">
        <v>563</v>
      </c>
      <c r="B165" s="31">
        <v>1</v>
      </c>
      <c r="C165" s="31"/>
      <c r="D165" s="31"/>
      <c r="E165" s="31"/>
      <c r="F165" s="31"/>
      <c r="G165" s="31"/>
      <c r="H165" s="31"/>
      <c r="I165" s="31"/>
      <c r="J165" s="31"/>
      <c r="K165" s="31">
        <f>SUM(B165:J165)</f>
        <v>1</v>
      </c>
      <c r="L165" s="411">
        <v>96772.24</v>
      </c>
      <c r="M165" s="31">
        <v>1</v>
      </c>
      <c r="N165" s="31"/>
      <c r="O165" s="31"/>
      <c r="P165" s="31"/>
      <c r="Q165" s="31"/>
      <c r="R165" s="31"/>
      <c r="S165" s="31"/>
      <c r="T165" s="31"/>
      <c r="U165" s="31"/>
      <c r="V165" s="31">
        <f>SUM(M165:U165)</f>
        <v>1</v>
      </c>
      <c r="W165" s="411">
        <v>96772.24</v>
      </c>
    </row>
    <row r="166" spans="1:23" ht="12.75">
      <c r="A166" s="34" t="s">
        <v>562</v>
      </c>
      <c r="B166" s="31">
        <v>4</v>
      </c>
      <c r="C166" s="31"/>
      <c r="D166" s="31"/>
      <c r="E166" s="31"/>
      <c r="F166" s="31"/>
      <c r="G166" s="31"/>
      <c r="H166" s="31"/>
      <c r="I166" s="31"/>
      <c r="J166" s="31"/>
      <c r="K166" s="31">
        <f>SUM(B166:J166)</f>
        <v>4</v>
      </c>
      <c r="L166" s="411">
        <v>284315.19999999995</v>
      </c>
      <c r="M166" s="31">
        <v>4</v>
      </c>
      <c r="N166" s="31"/>
      <c r="O166" s="31"/>
      <c r="P166" s="31"/>
      <c r="Q166" s="31"/>
      <c r="R166" s="31"/>
      <c r="S166" s="31"/>
      <c r="T166" s="31"/>
      <c r="U166" s="31"/>
      <c r="V166" s="31">
        <f>SUM(M166:U166)</f>
        <v>4</v>
      </c>
      <c r="W166" s="411">
        <v>284315.19999999995</v>
      </c>
    </row>
    <row r="167" spans="1:23" ht="12.75">
      <c r="A167" s="34" t="s">
        <v>96</v>
      </c>
      <c r="B167" s="31"/>
      <c r="C167" s="31"/>
      <c r="D167" s="31"/>
      <c r="E167" s="31"/>
      <c r="F167" s="31"/>
      <c r="G167" s="31"/>
      <c r="H167" s="31"/>
      <c r="I167" s="31"/>
      <c r="J167" s="31"/>
      <c r="K167" s="31"/>
      <c r="L167" s="411"/>
      <c r="M167" s="31"/>
      <c r="N167" s="31"/>
      <c r="O167" s="31"/>
      <c r="P167" s="31"/>
      <c r="Q167" s="31"/>
      <c r="R167" s="31"/>
      <c r="S167" s="31"/>
      <c r="T167" s="31"/>
      <c r="U167" s="31"/>
      <c r="V167" s="31"/>
      <c r="W167" s="37"/>
    </row>
    <row r="168" spans="1:23" ht="12.75">
      <c r="A168" s="35" t="s">
        <v>4</v>
      </c>
      <c r="B168" s="36">
        <f>SUM(B169:B174)</f>
        <v>26</v>
      </c>
      <c r="C168" s="36"/>
      <c r="D168" s="36">
        <f>+D175</f>
        <v>9</v>
      </c>
      <c r="E168" s="36"/>
      <c r="F168" s="36"/>
      <c r="G168" s="36"/>
      <c r="H168" s="36"/>
      <c r="I168" s="36"/>
      <c r="J168" s="36"/>
      <c r="K168" s="36">
        <f>SUM(B168:J168)</f>
        <v>35</v>
      </c>
      <c r="L168" s="443">
        <f>SUM(L169:L175)</f>
        <v>1117055.24</v>
      </c>
      <c r="M168" s="36">
        <f>SUM(M169:M174)</f>
        <v>26</v>
      </c>
      <c r="N168" s="36"/>
      <c r="O168" s="36">
        <f>+O175</f>
        <v>9</v>
      </c>
      <c r="P168" s="36"/>
      <c r="Q168" s="36"/>
      <c r="R168" s="36"/>
      <c r="S168" s="36"/>
      <c r="T168" s="36"/>
      <c r="U168" s="36"/>
      <c r="V168" s="36">
        <f>SUM(M168:U168)</f>
        <v>35</v>
      </c>
      <c r="W168" s="443">
        <f>SUM(W169:W175)</f>
        <v>1117055.24</v>
      </c>
    </row>
    <row r="169" spans="1:23" ht="12.75">
      <c r="A169" s="34" t="s">
        <v>13</v>
      </c>
      <c r="B169" s="31">
        <v>6</v>
      </c>
      <c r="C169" s="31"/>
      <c r="D169" s="31"/>
      <c r="E169" s="31"/>
      <c r="F169" s="31"/>
      <c r="G169" s="31"/>
      <c r="H169" s="31"/>
      <c r="I169" s="31"/>
      <c r="J169" s="31"/>
      <c r="K169" s="31">
        <f>SUM(B169:J169)</f>
        <v>6</v>
      </c>
      <c r="L169" s="411">
        <v>270449.88</v>
      </c>
      <c r="M169" s="31">
        <v>6</v>
      </c>
      <c r="N169" s="31"/>
      <c r="O169" s="31"/>
      <c r="P169" s="31"/>
      <c r="Q169" s="31"/>
      <c r="R169" s="31"/>
      <c r="S169" s="31"/>
      <c r="T169" s="31"/>
      <c r="U169" s="31"/>
      <c r="V169" s="31">
        <f>SUM(M169:U169)</f>
        <v>6</v>
      </c>
      <c r="W169" s="411">
        <v>270449.88</v>
      </c>
    </row>
    <row r="170" spans="1:23" ht="12.75">
      <c r="A170" s="34" t="s">
        <v>566</v>
      </c>
      <c r="B170" s="31"/>
      <c r="C170" s="31"/>
      <c r="D170" s="31"/>
      <c r="E170" s="31"/>
      <c r="F170" s="31"/>
      <c r="G170" s="31"/>
      <c r="H170" s="31"/>
      <c r="I170" s="31"/>
      <c r="J170" s="31"/>
      <c r="K170" s="31"/>
      <c r="L170" s="411"/>
      <c r="M170" s="31"/>
      <c r="N170" s="31"/>
      <c r="O170" s="31"/>
      <c r="P170" s="31"/>
      <c r="Q170" s="31"/>
      <c r="R170" s="31"/>
      <c r="S170" s="31"/>
      <c r="T170" s="31"/>
      <c r="U170" s="31"/>
      <c r="V170" s="31"/>
      <c r="W170" s="411"/>
    </row>
    <row r="171" spans="1:23" ht="12.75">
      <c r="A171" s="34" t="s">
        <v>567</v>
      </c>
      <c r="B171" s="31"/>
      <c r="C171" s="31"/>
      <c r="D171" s="31"/>
      <c r="E171" s="31"/>
      <c r="F171" s="31"/>
      <c r="G171" s="31"/>
      <c r="H171" s="31"/>
      <c r="I171" s="31"/>
      <c r="J171" s="31"/>
      <c r="K171" s="31"/>
      <c r="L171" s="411"/>
      <c r="M171" s="31"/>
      <c r="N171" s="31"/>
      <c r="O171" s="31"/>
      <c r="P171" s="31"/>
      <c r="Q171" s="31"/>
      <c r="R171" s="31"/>
      <c r="S171" s="31"/>
      <c r="T171" s="31"/>
      <c r="U171" s="31"/>
      <c r="V171" s="31"/>
      <c r="W171" s="411"/>
    </row>
    <row r="172" spans="1:23" ht="12.75">
      <c r="A172" s="34" t="s">
        <v>568</v>
      </c>
      <c r="B172" s="31">
        <v>5</v>
      </c>
      <c r="C172" s="31"/>
      <c r="D172" s="31"/>
      <c r="E172" s="31"/>
      <c r="F172" s="31"/>
      <c r="G172" s="31"/>
      <c r="H172" s="31"/>
      <c r="I172" s="31"/>
      <c r="J172" s="31"/>
      <c r="K172" s="31">
        <f aca="true" t="shared" si="41" ref="K172:K181">SUM(B172:J172)</f>
        <v>5</v>
      </c>
      <c r="L172" s="411">
        <v>151158.2</v>
      </c>
      <c r="M172" s="31">
        <v>5</v>
      </c>
      <c r="N172" s="31"/>
      <c r="O172" s="31"/>
      <c r="P172" s="31"/>
      <c r="Q172" s="31"/>
      <c r="R172" s="31"/>
      <c r="S172" s="31"/>
      <c r="T172" s="31"/>
      <c r="U172" s="31"/>
      <c r="V172" s="31">
        <f>SUM(M172:U172)</f>
        <v>5</v>
      </c>
      <c r="W172" s="411">
        <v>151158.2</v>
      </c>
    </row>
    <row r="173" spans="1:23" ht="12.75">
      <c r="A173" s="34" t="s">
        <v>15</v>
      </c>
      <c r="B173" s="31">
        <v>12</v>
      </c>
      <c r="C173" s="31"/>
      <c r="D173" s="31"/>
      <c r="E173" s="31"/>
      <c r="F173" s="31"/>
      <c r="G173" s="31"/>
      <c r="H173" s="31"/>
      <c r="I173" s="31"/>
      <c r="J173" s="31"/>
      <c r="K173" s="31">
        <f t="shared" si="41"/>
        <v>12</v>
      </c>
      <c r="L173" s="411">
        <v>607582.2</v>
      </c>
      <c r="M173" s="31">
        <v>12</v>
      </c>
      <c r="N173" s="31"/>
      <c r="O173" s="31"/>
      <c r="P173" s="31"/>
      <c r="Q173" s="31"/>
      <c r="R173" s="31"/>
      <c r="S173" s="31"/>
      <c r="T173" s="31"/>
      <c r="U173" s="31"/>
      <c r="V173" s="31">
        <f>SUM(M173:U173)</f>
        <v>12</v>
      </c>
      <c r="W173" s="411">
        <v>607582.2</v>
      </c>
    </row>
    <row r="174" spans="1:23" ht="12.75">
      <c r="A174" s="34" t="s">
        <v>580</v>
      </c>
      <c r="B174" s="31">
        <v>3</v>
      </c>
      <c r="C174" s="31"/>
      <c r="D174" s="31"/>
      <c r="E174" s="31"/>
      <c r="F174" s="31"/>
      <c r="G174" s="31"/>
      <c r="H174" s="31"/>
      <c r="I174" s="31"/>
      <c r="J174" s="31"/>
      <c r="K174" s="31">
        <f t="shared" si="41"/>
        <v>3</v>
      </c>
      <c r="L174" s="411">
        <v>87864.95999999999</v>
      </c>
      <c r="M174" s="31">
        <v>3</v>
      </c>
      <c r="N174" s="31"/>
      <c r="O174" s="31"/>
      <c r="P174" s="31"/>
      <c r="Q174" s="31"/>
      <c r="R174" s="31"/>
      <c r="S174" s="31"/>
      <c r="T174" s="31"/>
      <c r="U174" s="31"/>
      <c r="V174" s="31">
        <f>SUM(M174:U174)</f>
        <v>3</v>
      </c>
      <c r="W174" s="411">
        <v>87864.95999999999</v>
      </c>
    </row>
    <row r="175" spans="1:23" ht="12.75">
      <c r="A175" s="34" t="s">
        <v>96</v>
      </c>
      <c r="B175" s="31"/>
      <c r="C175" s="31"/>
      <c r="D175" s="31">
        <v>9</v>
      </c>
      <c r="E175" s="31"/>
      <c r="F175" s="31"/>
      <c r="G175" s="31"/>
      <c r="H175" s="31"/>
      <c r="I175" s="31"/>
      <c r="J175" s="31"/>
      <c r="K175" s="31"/>
      <c r="L175" s="411"/>
      <c r="M175" s="31"/>
      <c r="N175" s="31"/>
      <c r="O175" s="31">
        <v>9</v>
      </c>
      <c r="P175" s="31"/>
      <c r="Q175" s="31"/>
      <c r="R175" s="31"/>
      <c r="S175" s="31"/>
      <c r="T175" s="31"/>
      <c r="U175" s="31"/>
      <c r="V175" s="31"/>
      <c r="W175" s="411"/>
    </row>
    <row r="176" spans="1:23" ht="12.75">
      <c r="A176" s="35" t="s">
        <v>5</v>
      </c>
      <c r="B176" s="36">
        <f>SUM(B177:B182)</f>
        <v>39</v>
      </c>
      <c r="C176" s="36"/>
      <c r="D176" s="36">
        <f>+D183</f>
        <v>0</v>
      </c>
      <c r="E176" s="36"/>
      <c r="F176" s="36"/>
      <c r="G176" s="36"/>
      <c r="H176" s="36"/>
      <c r="I176" s="36"/>
      <c r="J176" s="36"/>
      <c r="K176" s="36">
        <f>SUM(B176:J176)</f>
        <v>39</v>
      </c>
      <c r="L176" s="443">
        <f>SUM(L177:L183)</f>
        <v>1449777.6</v>
      </c>
      <c r="M176" s="36">
        <f>SUM(M177:M182)</f>
        <v>39</v>
      </c>
      <c r="N176" s="36"/>
      <c r="O176" s="36">
        <f>+O183</f>
        <v>0</v>
      </c>
      <c r="P176" s="36"/>
      <c r="Q176" s="36"/>
      <c r="R176" s="36"/>
      <c r="S176" s="36"/>
      <c r="T176" s="36"/>
      <c r="U176" s="36"/>
      <c r="V176" s="36">
        <f>SUM(M176:U176)</f>
        <v>39</v>
      </c>
      <c r="W176" s="443">
        <f>SUM(W177:W183)</f>
        <v>1449777.6</v>
      </c>
    </row>
    <row r="177" spans="1:23" ht="12.75">
      <c r="A177" s="34" t="s">
        <v>16</v>
      </c>
      <c r="B177" s="31">
        <v>17</v>
      </c>
      <c r="C177" s="31"/>
      <c r="D177" s="31"/>
      <c r="E177" s="31"/>
      <c r="F177" s="31"/>
      <c r="G177" s="31"/>
      <c r="H177" s="31"/>
      <c r="I177" s="31"/>
      <c r="J177" s="31"/>
      <c r="K177" s="31">
        <f t="shared" si="41"/>
        <v>17</v>
      </c>
      <c r="L177" s="411">
        <v>592161.68</v>
      </c>
      <c r="M177" s="31">
        <v>17</v>
      </c>
      <c r="N177" s="31"/>
      <c r="O177" s="31"/>
      <c r="P177" s="31"/>
      <c r="Q177" s="31"/>
      <c r="R177" s="31"/>
      <c r="S177" s="31"/>
      <c r="T177" s="31"/>
      <c r="U177" s="31"/>
      <c r="V177" s="31">
        <f>SUM(M177:U177)</f>
        <v>17</v>
      </c>
      <c r="W177" s="411">
        <v>592161.68</v>
      </c>
    </row>
    <row r="178" spans="1:23" ht="12.75">
      <c r="A178" s="34" t="s">
        <v>569</v>
      </c>
      <c r="B178" s="31">
        <v>4</v>
      </c>
      <c r="C178" s="31"/>
      <c r="D178" s="31"/>
      <c r="E178" s="31"/>
      <c r="F178" s="31"/>
      <c r="G178" s="31"/>
      <c r="H178" s="31"/>
      <c r="I178" s="31"/>
      <c r="J178" s="31"/>
      <c r="K178" s="31">
        <f t="shared" si="41"/>
        <v>4</v>
      </c>
      <c r="L178" s="411">
        <v>127520.08</v>
      </c>
      <c r="M178" s="31">
        <v>4</v>
      </c>
      <c r="N178" s="31"/>
      <c r="O178" s="31"/>
      <c r="P178" s="31"/>
      <c r="Q178" s="31"/>
      <c r="R178" s="31"/>
      <c r="S178" s="31"/>
      <c r="T178" s="31"/>
      <c r="U178" s="31"/>
      <c r="V178" s="31">
        <f>SUM(M178:U178)</f>
        <v>4</v>
      </c>
      <c r="W178" s="411">
        <v>127520.08</v>
      </c>
    </row>
    <row r="179" spans="1:23" ht="12.75">
      <c r="A179" s="34" t="s">
        <v>570</v>
      </c>
      <c r="B179" s="31">
        <v>2</v>
      </c>
      <c r="C179" s="31"/>
      <c r="D179" s="31"/>
      <c r="E179" s="31"/>
      <c r="F179" s="31"/>
      <c r="G179" s="31"/>
      <c r="H179" s="31"/>
      <c r="I179" s="31"/>
      <c r="J179" s="31"/>
      <c r="K179" s="31">
        <f t="shared" si="41"/>
        <v>2</v>
      </c>
      <c r="L179" s="411">
        <v>53662.16</v>
      </c>
      <c r="M179" s="31">
        <v>2</v>
      </c>
      <c r="N179" s="31"/>
      <c r="O179" s="31"/>
      <c r="P179" s="31"/>
      <c r="Q179" s="31"/>
      <c r="R179" s="31"/>
      <c r="S179" s="31"/>
      <c r="T179" s="31"/>
      <c r="U179" s="31"/>
      <c r="V179" s="31">
        <f>SUM(M179:U179)</f>
        <v>2</v>
      </c>
      <c r="W179" s="411">
        <v>53662.16</v>
      </c>
    </row>
    <row r="180" spans="1:23" ht="12.75">
      <c r="A180" s="34" t="s">
        <v>571</v>
      </c>
      <c r="B180" s="31"/>
      <c r="C180" s="31"/>
      <c r="D180" s="31"/>
      <c r="E180" s="31"/>
      <c r="F180" s="31"/>
      <c r="G180" s="31"/>
      <c r="H180" s="31"/>
      <c r="I180" s="31"/>
      <c r="J180" s="31"/>
      <c r="K180" s="31"/>
      <c r="L180" s="411"/>
      <c r="M180" s="31"/>
      <c r="N180" s="31"/>
      <c r="O180" s="31"/>
      <c r="P180" s="31"/>
      <c r="Q180" s="31"/>
      <c r="R180" s="31"/>
      <c r="S180" s="31"/>
      <c r="T180" s="31"/>
      <c r="U180" s="31"/>
      <c r="V180" s="31"/>
      <c r="W180" s="411"/>
    </row>
    <row r="181" spans="1:23" ht="12.75">
      <c r="A181" s="34" t="s">
        <v>17</v>
      </c>
      <c r="B181" s="31">
        <v>16</v>
      </c>
      <c r="C181" s="31"/>
      <c r="D181" s="31"/>
      <c r="E181" s="31"/>
      <c r="F181" s="31"/>
      <c r="G181" s="31"/>
      <c r="H181" s="31"/>
      <c r="I181" s="31"/>
      <c r="J181" s="31"/>
      <c r="K181" s="31">
        <f t="shared" si="41"/>
        <v>16</v>
      </c>
      <c r="L181" s="411">
        <v>676433.68</v>
      </c>
      <c r="M181" s="31">
        <v>16</v>
      </c>
      <c r="N181" s="31"/>
      <c r="O181" s="31"/>
      <c r="P181" s="31"/>
      <c r="Q181" s="31"/>
      <c r="R181" s="31"/>
      <c r="S181" s="31"/>
      <c r="T181" s="31"/>
      <c r="U181" s="31"/>
      <c r="V181" s="31">
        <f>SUM(M181:U181)</f>
        <v>16</v>
      </c>
      <c r="W181" s="411">
        <v>676433.68</v>
      </c>
    </row>
    <row r="182" spans="1:23" ht="12.75">
      <c r="A182" s="34" t="s">
        <v>581</v>
      </c>
      <c r="B182" s="31"/>
      <c r="C182" s="31"/>
      <c r="D182" s="31"/>
      <c r="E182" s="31"/>
      <c r="F182" s="31"/>
      <c r="G182" s="31"/>
      <c r="H182" s="31"/>
      <c r="I182" s="31"/>
      <c r="J182" s="31"/>
      <c r="K182" s="31"/>
      <c r="L182" s="411"/>
      <c r="M182" s="31"/>
      <c r="N182" s="31"/>
      <c r="O182" s="31"/>
      <c r="P182" s="31"/>
      <c r="Q182" s="31"/>
      <c r="R182" s="31"/>
      <c r="S182" s="31"/>
      <c r="T182" s="31"/>
      <c r="U182" s="31"/>
      <c r="V182" s="31"/>
      <c r="W182" s="411"/>
    </row>
    <row r="183" spans="1:23" ht="12.75">
      <c r="A183" s="34" t="s">
        <v>96</v>
      </c>
      <c r="B183" s="31"/>
      <c r="C183" s="31"/>
      <c r="D183" s="31"/>
      <c r="E183" s="31"/>
      <c r="F183" s="31"/>
      <c r="G183" s="31"/>
      <c r="H183" s="31"/>
      <c r="I183" s="31"/>
      <c r="J183" s="31"/>
      <c r="K183" s="31"/>
      <c r="L183" s="411"/>
      <c r="M183" s="31"/>
      <c r="N183" s="31"/>
      <c r="O183" s="31"/>
      <c r="P183" s="31"/>
      <c r="Q183" s="31"/>
      <c r="R183" s="31"/>
      <c r="S183" s="31"/>
      <c r="T183" s="31"/>
      <c r="U183" s="31"/>
      <c r="V183" s="31"/>
      <c r="W183" s="37"/>
    </row>
    <row r="184" spans="1:23" ht="12.75">
      <c r="A184" s="35" t="s">
        <v>6</v>
      </c>
      <c r="B184" s="36">
        <f>SUM(B185:B190)</f>
        <v>29</v>
      </c>
      <c r="C184" s="36"/>
      <c r="D184" s="36">
        <f>+D191</f>
        <v>0</v>
      </c>
      <c r="E184" s="36"/>
      <c r="F184" s="36"/>
      <c r="G184" s="36"/>
      <c r="H184" s="36"/>
      <c r="I184" s="36"/>
      <c r="J184" s="36"/>
      <c r="K184" s="36">
        <f>SUM(B184:J184)</f>
        <v>29</v>
      </c>
      <c r="L184" s="443">
        <f>SUM(L185:L191)</f>
        <v>759908.24</v>
      </c>
      <c r="M184" s="36">
        <f>SUM(M185:M190)</f>
        <v>29</v>
      </c>
      <c r="N184" s="36"/>
      <c r="O184" s="36">
        <f>+O191</f>
        <v>0</v>
      </c>
      <c r="P184" s="36"/>
      <c r="Q184" s="36"/>
      <c r="R184" s="36"/>
      <c r="S184" s="36"/>
      <c r="T184" s="36"/>
      <c r="U184" s="36"/>
      <c r="V184" s="36">
        <f>SUM(M184:U184)</f>
        <v>29</v>
      </c>
      <c r="W184" s="443">
        <f>SUM(W185:W191)</f>
        <v>759908.24</v>
      </c>
    </row>
    <row r="185" spans="1:23" ht="12.75">
      <c r="A185" s="34" t="s">
        <v>18</v>
      </c>
      <c r="B185" s="31">
        <v>4</v>
      </c>
      <c r="C185" s="31"/>
      <c r="D185" s="31"/>
      <c r="E185" s="31"/>
      <c r="F185" s="31"/>
      <c r="G185" s="31"/>
      <c r="H185" s="31"/>
      <c r="I185" s="31"/>
      <c r="J185" s="31"/>
      <c r="K185" s="31">
        <f>SUM(B185:J185)</f>
        <v>4</v>
      </c>
      <c r="L185" s="411">
        <v>104923.35999999999</v>
      </c>
      <c r="M185" s="31">
        <v>4</v>
      </c>
      <c r="N185" s="31"/>
      <c r="O185" s="31"/>
      <c r="P185" s="31"/>
      <c r="Q185" s="31"/>
      <c r="R185" s="31"/>
      <c r="S185" s="31"/>
      <c r="T185" s="31"/>
      <c r="U185" s="31"/>
      <c r="V185" s="31">
        <f>SUM(M185:U185)</f>
        <v>4</v>
      </c>
      <c r="W185" s="411">
        <v>104923.35999999999</v>
      </c>
    </row>
    <row r="186" spans="1:23" ht="12.75">
      <c r="A186" s="34" t="s">
        <v>572</v>
      </c>
      <c r="B186" s="31"/>
      <c r="C186" s="31"/>
      <c r="D186" s="31"/>
      <c r="E186" s="31"/>
      <c r="F186" s="31"/>
      <c r="G186" s="31"/>
      <c r="H186" s="31"/>
      <c r="I186" s="31"/>
      <c r="J186" s="31"/>
      <c r="K186" s="31"/>
      <c r="L186" s="411"/>
      <c r="M186" s="31"/>
      <c r="N186" s="31"/>
      <c r="O186" s="31"/>
      <c r="P186" s="31"/>
      <c r="Q186" s="31"/>
      <c r="R186" s="31"/>
      <c r="S186" s="31"/>
      <c r="T186" s="31"/>
      <c r="U186" s="31"/>
      <c r="V186" s="31"/>
      <c r="W186" s="411"/>
    </row>
    <row r="187" spans="1:23" ht="12.75">
      <c r="A187" s="34" t="s">
        <v>573</v>
      </c>
      <c r="B187" s="31"/>
      <c r="C187" s="31"/>
      <c r="D187" s="31"/>
      <c r="E187" s="31"/>
      <c r="F187" s="31"/>
      <c r="G187" s="31"/>
      <c r="H187" s="31"/>
      <c r="I187" s="31"/>
      <c r="J187" s="31"/>
      <c r="K187" s="31"/>
      <c r="L187" s="411"/>
      <c r="M187" s="31"/>
      <c r="N187" s="31"/>
      <c r="O187" s="31"/>
      <c r="P187" s="31"/>
      <c r="Q187" s="31"/>
      <c r="R187" s="31"/>
      <c r="S187" s="31"/>
      <c r="T187" s="31"/>
      <c r="U187" s="31"/>
      <c r="V187" s="31"/>
      <c r="W187" s="411"/>
    </row>
    <row r="188" spans="1:23" ht="12.75">
      <c r="A188" s="34" t="s">
        <v>574</v>
      </c>
      <c r="B188" s="31">
        <v>2</v>
      </c>
      <c r="C188" s="31"/>
      <c r="D188" s="31"/>
      <c r="E188" s="31"/>
      <c r="F188" s="31"/>
      <c r="G188" s="31"/>
      <c r="H188" s="31"/>
      <c r="I188" s="31"/>
      <c r="J188" s="31"/>
      <c r="K188" s="31">
        <f>SUM(B188:J188)</f>
        <v>2</v>
      </c>
      <c r="L188" s="411">
        <v>51736.399999999994</v>
      </c>
      <c r="M188" s="31">
        <v>2</v>
      </c>
      <c r="N188" s="31"/>
      <c r="O188" s="31"/>
      <c r="P188" s="31"/>
      <c r="Q188" s="31"/>
      <c r="R188" s="31"/>
      <c r="S188" s="31"/>
      <c r="T188" s="31"/>
      <c r="U188" s="31"/>
      <c r="V188" s="31">
        <f>SUM(M188:U188)</f>
        <v>2</v>
      </c>
      <c r="W188" s="411">
        <v>51736.399999999994</v>
      </c>
    </row>
    <row r="189" spans="1:23" ht="12.75">
      <c r="A189" s="34" t="s">
        <v>19</v>
      </c>
      <c r="B189" s="31">
        <v>23</v>
      </c>
      <c r="C189" s="31"/>
      <c r="D189" s="31"/>
      <c r="E189" s="31"/>
      <c r="F189" s="31"/>
      <c r="G189" s="31"/>
      <c r="H189" s="31"/>
      <c r="I189" s="31"/>
      <c r="J189" s="31"/>
      <c r="K189" s="31">
        <f>SUM(B189:J189)</f>
        <v>23</v>
      </c>
      <c r="L189" s="411">
        <v>603248.48</v>
      </c>
      <c r="M189" s="31">
        <v>23</v>
      </c>
      <c r="N189" s="31"/>
      <c r="O189" s="31"/>
      <c r="P189" s="31"/>
      <c r="Q189" s="31"/>
      <c r="R189" s="31"/>
      <c r="S189" s="31"/>
      <c r="T189" s="31"/>
      <c r="U189" s="31"/>
      <c r="V189" s="31">
        <f>SUM(M189:U189)</f>
        <v>23</v>
      </c>
      <c r="W189" s="411">
        <v>603248.48</v>
      </c>
    </row>
    <row r="190" spans="1:23" ht="12.75">
      <c r="A190" s="34" t="s">
        <v>583</v>
      </c>
      <c r="B190" s="31"/>
      <c r="C190" s="31"/>
      <c r="D190" s="31"/>
      <c r="E190" s="31"/>
      <c r="F190" s="31"/>
      <c r="G190" s="31"/>
      <c r="H190" s="31"/>
      <c r="I190" s="31"/>
      <c r="J190" s="31"/>
      <c r="K190" s="31"/>
      <c r="L190" s="411"/>
      <c r="M190" s="31"/>
      <c r="N190" s="31"/>
      <c r="O190" s="31"/>
      <c r="P190" s="31"/>
      <c r="Q190" s="31"/>
      <c r="R190" s="31"/>
      <c r="S190" s="31"/>
      <c r="T190" s="31"/>
      <c r="U190" s="31"/>
      <c r="V190" s="31"/>
      <c r="W190" s="37"/>
    </row>
    <row r="191" spans="1:23" ht="13.5" thickBot="1">
      <c r="A191" s="34" t="s">
        <v>96</v>
      </c>
      <c r="B191" s="31"/>
      <c r="C191" s="31"/>
      <c r="D191" s="31"/>
      <c r="E191" s="31"/>
      <c r="F191" s="31"/>
      <c r="G191" s="31"/>
      <c r="H191" s="31"/>
      <c r="I191" s="31"/>
      <c r="J191" s="31"/>
      <c r="K191" s="31"/>
      <c r="L191" s="411"/>
      <c r="M191" s="31"/>
      <c r="N191" s="31"/>
      <c r="O191" s="31"/>
      <c r="P191" s="31"/>
      <c r="Q191" s="31"/>
      <c r="R191" s="31"/>
      <c r="S191" s="31"/>
      <c r="T191" s="31"/>
      <c r="U191" s="31"/>
      <c r="V191" s="31"/>
      <c r="W191" s="37"/>
    </row>
    <row r="192" spans="1:23" ht="13.5" thickBot="1">
      <c r="A192" s="38" t="s">
        <v>24</v>
      </c>
      <c r="B192" s="39">
        <f>+B164+B168+B176+B184</f>
        <v>99</v>
      </c>
      <c r="C192" s="39"/>
      <c r="D192" s="39">
        <f>+D164+D168+D176+D184</f>
        <v>9</v>
      </c>
      <c r="E192" s="39"/>
      <c r="F192" s="39"/>
      <c r="G192" s="39"/>
      <c r="H192" s="39"/>
      <c r="I192" s="39"/>
      <c r="J192" s="39"/>
      <c r="K192" s="39"/>
      <c r="L192" s="417">
        <f>+L164+L168+L176+L184</f>
        <v>3707828.5200000005</v>
      </c>
      <c r="M192" s="39"/>
      <c r="N192" s="39"/>
      <c r="O192" s="39"/>
      <c r="P192" s="39"/>
      <c r="Q192" s="39"/>
      <c r="R192" s="39"/>
      <c r="S192" s="39"/>
      <c r="T192" s="39"/>
      <c r="U192" s="39"/>
      <c r="V192" s="39"/>
      <c r="W192" s="40"/>
    </row>
    <row r="194" spans="1:23" ht="15.75">
      <c r="A194" s="507" t="s">
        <v>603</v>
      </c>
      <c r="B194" s="476"/>
      <c r="C194" s="476"/>
      <c r="D194" s="476"/>
      <c r="E194" s="476"/>
      <c r="F194" s="476"/>
      <c r="G194" s="476"/>
      <c r="H194" s="476"/>
      <c r="I194" s="476"/>
      <c r="J194" s="476"/>
      <c r="K194" s="476"/>
      <c r="L194" s="476"/>
      <c r="M194" s="476"/>
      <c r="N194" s="476"/>
      <c r="O194" s="476"/>
      <c r="P194" s="476"/>
      <c r="Q194" s="476"/>
      <c r="R194" s="476"/>
      <c r="S194" s="476"/>
      <c r="T194" s="476"/>
      <c r="U194" s="476"/>
      <c r="V194" s="476"/>
      <c r="W194" s="476"/>
    </row>
    <row r="195" spans="1:23" ht="13.5" thickBot="1">
      <c r="A195" s="450"/>
      <c r="B195" s="450"/>
      <c r="C195" s="450"/>
      <c r="D195" s="450"/>
      <c r="E195" s="450"/>
      <c r="F195" s="450"/>
      <c r="G195" s="450"/>
      <c r="H195" s="450"/>
      <c r="I195" s="450"/>
      <c r="J195" s="450"/>
      <c r="K195" s="450"/>
      <c r="L195" s="30"/>
      <c r="M195" s="450"/>
      <c r="N195" s="450"/>
      <c r="O195" s="450"/>
      <c r="P195" s="450"/>
      <c r="Q195" s="450"/>
      <c r="R195" s="450"/>
      <c r="S195" s="450"/>
      <c r="T195" s="450"/>
      <c r="U195" s="450"/>
      <c r="V195" s="450"/>
      <c r="W195" s="30"/>
    </row>
    <row r="196" spans="1:23" ht="12.75">
      <c r="A196" s="481" t="s">
        <v>10</v>
      </c>
      <c r="B196" s="1545" t="s">
        <v>412</v>
      </c>
      <c r="C196" s="1546"/>
      <c r="D196" s="1546"/>
      <c r="E196" s="1546"/>
      <c r="F196" s="1546"/>
      <c r="G196" s="1546"/>
      <c r="H196" s="1546"/>
      <c r="I196" s="1546"/>
      <c r="J196" s="1546"/>
      <c r="K196" s="1546"/>
      <c r="L196" s="1547"/>
      <c r="M196" s="1545" t="s">
        <v>413</v>
      </c>
      <c r="N196" s="1546"/>
      <c r="O196" s="1546"/>
      <c r="P196" s="1546"/>
      <c r="Q196" s="1546"/>
      <c r="R196" s="1546"/>
      <c r="S196" s="1546"/>
      <c r="T196" s="1546"/>
      <c r="U196" s="1546"/>
      <c r="V196" s="1546"/>
      <c r="W196" s="1547"/>
    </row>
    <row r="197" spans="1:23" ht="134.25">
      <c r="A197" s="482" t="s">
        <v>9</v>
      </c>
      <c r="B197" s="483" t="s">
        <v>335</v>
      </c>
      <c r="C197" s="483" t="s">
        <v>127</v>
      </c>
      <c r="D197" s="484" t="s">
        <v>296</v>
      </c>
      <c r="E197" s="484" t="s">
        <v>291</v>
      </c>
      <c r="F197" s="484" t="s">
        <v>298</v>
      </c>
      <c r="G197" s="484" t="s">
        <v>299</v>
      </c>
      <c r="H197" s="484" t="s">
        <v>300</v>
      </c>
      <c r="I197" s="484" t="s">
        <v>307</v>
      </c>
      <c r="J197" s="485" t="s">
        <v>302</v>
      </c>
      <c r="K197" s="486" t="s">
        <v>304</v>
      </c>
      <c r="L197" s="515" t="s">
        <v>306</v>
      </c>
      <c r="M197" s="483" t="s">
        <v>335</v>
      </c>
      <c r="N197" s="483" t="s">
        <v>127</v>
      </c>
      <c r="O197" s="484" t="s">
        <v>296</v>
      </c>
      <c r="P197" s="484" t="s">
        <v>291</v>
      </c>
      <c r="Q197" s="484" t="s">
        <v>298</v>
      </c>
      <c r="R197" s="484" t="s">
        <v>299</v>
      </c>
      <c r="S197" s="484" t="s">
        <v>300</v>
      </c>
      <c r="T197" s="484" t="s">
        <v>307</v>
      </c>
      <c r="U197" s="485" t="s">
        <v>302</v>
      </c>
      <c r="V197" s="486" t="s">
        <v>304</v>
      </c>
      <c r="W197" s="515" t="s">
        <v>305</v>
      </c>
    </row>
    <row r="198" spans="1:23" ht="12.75">
      <c r="A198" s="34"/>
      <c r="B198" s="31"/>
      <c r="C198" s="31"/>
      <c r="D198" s="31"/>
      <c r="E198" s="31"/>
      <c r="F198" s="31"/>
      <c r="G198" s="31"/>
      <c r="H198" s="31"/>
      <c r="I198" s="31"/>
      <c r="J198" s="31"/>
      <c r="K198" s="31"/>
      <c r="L198" s="411"/>
      <c r="M198" s="31"/>
      <c r="N198" s="31"/>
      <c r="O198" s="31"/>
      <c r="P198" s="31"/>
      <c r="Q198" s="31"/>
      <c r="R198" s="31"/>
      <c r="S198" s="31"/>
      <c r="T198" s="31"/>
      <c r="U198" s="31"/>
      <c r="V198" s="31"/>
      <c r="W198" s="411"/>
    </row>
    <row r="199" spans="1:23" ht="12.75">
      <c r="A199" s="35" t="s">
        <v>7</v>
      </c>
      <c r="B199" s="36"/>
      <c r="C199" s="36"/>
      <c r="D199" s="36"/>
      <c r="E199" s="36"/>
      <c r="F199" s="36"/>
      <c r="G199" s="36"/>
      <c r="H199" s="36"/>
      <c r="I199" s="36"/>
      <c r="J199" s="36"/>
      <c r="K199" s="36"/>
      <c r="L199" s="443"/>
      <c r="M199" s="36"/>
      <c r="N199" s="36"/>
      <c r="O199" s="36"/>
      <c r="P199" s="36"/>
      <c r="Q199" s="36"/>
      <c r="R199" s="36"/>
      <c r="S199" s="36"/>
      <c r="T199" s="36"/>
      <c r="U199" s="36"/>
      <c r="V199" s="36"/>
      <c r="W199" s="443"/>
    </row>
    <row r="200" spans="1:23" ht="12.75">
      <c r="A200" s="34" t="s">
        <v>562</v>
      </c>
      <c r="B200" s="61">
        <v>3</v>
      </c>
      <c r="C200" s="61"/>
      <c r="D200" s="61"/>
      <c r="E200" s="61"/>
      <c r="F200" s="61"/>
      <c r="G200" s="61"/>
      <c r="H200" s="61"/>
      <c r="I200" s="61"/>
      <c r="J200" s="61"/>
      <c r="K200" s="61">
        <v>3</v>
      </c>
      <c r="L200" s="373">
        <v>129591.12</v>
      </c>
      <c r="M200" s="61">
        <v>3</v>
      </c>
      <c r="N200" s="61"/>
      <c r="O200" s="61"/>
      <c r="P200" s="61"/>
      <c r="Q200" s="61"/>
      <c r="R200" s="61"/>
      <c r="S200" s="61"/>
      <c r="T200" s="61"/>
      <c r="U200" s="61"/>
      <c r="V200" s="61">
        <v>3</v>
      </c>
      <c r="W200" s="373">
        <v>129591.12</v>
      </c>
    </row>
    <row r="201" spans="1:23" ht="12.75">
      <c r="A201" s="34" t="s">
        <v>584</v>
      </c>
      <c r="B201" s="31"/>
      <c r="C201" s="31"/>
      <c r="D201" s="31"/>
      <c r="E201" s="31"/>
      <c r="F201" s="31"/>
      <c r="G201" s="31"/>
      <c r="H201" s="31"/>
      <c r="I201" s="31"/>
      <c r="J201" s="31"/>
      <c r="K201" s="31"/>
      <c r="L201" s="420"/>
      <c r="M201" s="31"/>
      <c r="N201" s="31"/>
      <c r="O201" s="31"/>
      <c r="P201" s="31"/>
      <c r="Q201" s="31"/>
      <c r="R201" s="31"/>
      <c r="S201" s="31"/>
      <c r="T201" s="31"/>
      <c r="U201" s="31"/>
      <c r="V201" s="31"/>
      <c r="W201" s="420"/>
    </row>
    <row r="202" spans="1:23" ht="12.75">
      <c r="A202" s="71"/>
      <c r="B202" s="31"/>
      <c r="C202" s="31"/>
      <c r="D202" s="31"/>
      <c r="E202" s="31"/>
      <c r="F202" s="31"/>
      <c r="G202" s="31"/>
      <c r="H202" s="31"/>
      <c r="I202" s="31"/>
      <c r="J202" s="31"/>
      <c r="K202" s="31"/>
      <c r="L202" s="420"/>
      <c r="M202" s="31"/>
      <c r="N202" s="31"/>
      <c r="O202" s="31"/>
      <c r="P202" s="31"/>
      <c r="Q202" s="31"/>
      <c r="R202" s="31"/>
      <c r="S202" s="31"/>
      <c r="T202" s="31"/>
      <c r="U202" s="31"/>
      <c r="V202" s="31"/>
      <c r="W202" s="420"/>
    </row>
    <row r="203" spans="1:23" ht="12.75">
      <c r="A203" s="35" t="s">
        <v>4</v>
      </c>
      <c r="B203" s="36"/>
      <c r="C203" s="36"/>
      <c r="D203" s="36"/>
      <c r="E203" s="36"/>
      <c r="F203" s="36"/>
      <c r="G203" s="36"/>
      <c r="H203" s="36"/>
      <c r="I203" s="36"/>
      <c r="J203" s="36"/>
      <c r="K203" s="36"/>
      <c r="L203" s="516"/>
      <c r="M203" s="36"/>
      <c r="N203" s="36"/>
      <c r="O203" s="36"/>
      <c r="P203" s="36"/>
      <c r="Q203" s="36"/>
      <c r="R203" s="36"/>
      <c r="S203" s="36"/>
      <c r="T203" s="36"/>
      <c r="U203" s="36"/>
      <c r="V203" s="36"/>
      <c r="W203" s="516"/>
    </row>
    <row r="204" spans="1:23" ht="12.75">
      <c r="A204" s="34" t="s">
        <v>15</v>
      </c>
      <c r="B204" s="31">
        <v>12</v>
      </c>
      <c r="C204" s="31"/>
      <c r="D204" s="31"/>
      <c r="E204" s="31"/>
      <c r="F204" s="31"/>
      <c r="G204" s="31"/>
      <c r="H204" s="31"/>
      <c r="I204" s="31"/>
      <c r="J204" s="31"/>
      <c r="K204" s="31">
        <v>12</v>
      </c>
      <c r="L204" s="420">
        <v>400238.39999999997</v>
      </c>
      <c r="M204" s="31">
        <v>12</v>
      </c>
      <c r="N204" s="31"/>
      <c r="O204" s="31"/>
      <c r="P204" s="31"/>
      <c r="Q204" s="31"/>
      <c r="R204" s="31"/>
      <c r="S204" s="31"/>
      <c r="T204" s="31"/>
      <c r="U204" s="31"/>
      <c r="V204" s="31">
        <v>12</v>
      </c>
      <c r="W204" s="420">
        <v>400238.39999999997</v>
      </c>
    </row>
    <row r="205" spans="1:23" ht="12.75">
      <c r="A205" s="34" t="s">
        <v>96</v>
      </c>
      <c r="B205" s="31"/>
      <c r="C205" s="31"/>
      <c r="D205" s="31">
        <v>3</v>
      </c>
      <c r="E205" s="31"/>
      <c r="F205" s="31"/>
      <c r="G205" s="31"/>
      <c r="H205" s="31"/>
      <c r="I205" s="31"/>
      <c r="J205" s="31"/>
      <c r="K205" s="31">
        <v>3</v>
      </c>
      <c r="L205" s="420">
        <v>159723</v>
      </c>
      <c r="M205" s="31"/>
      <c r="N205" s="31"/>
      <c r="O205" s="31">
        <v>3</v>
      </c>
      <c r="P205" s="31"/>
      <c r="Q205" s="31"/>
      <c r="R205" s="31"/>
      <c r="S205" s="31"/>
      <c r="T205" s="31"/>
      <c r="U205" s="31"/>
      <c r="V205" s="31">
        <v>3</v>
      </c>
      <c r="W205" s="420">
        <v>159723</v>
      </c>
    </row>
    <row r="206" spans="1:23" ht="12.75">
      <c r="A206" s="35" t="s">
        <v>5</v>
      </c>
      <c r="B206" s="36"/>
      <c r="C206" s="36"/>
      <c r="D206" s="36"/>
      <c r="E206" s="36"/>
      <c r="F206" s="36"/>
      <c r="G206" s="36"/>
      <c r="H206" s="36"/>
      <c r="I206" s="36"/>
      <c r="J206" s="36"/>
      <c r="K206" s="36"/>
      <c r="L206" s="516"/>
      <c r="M206" s="36"/>
      <c r="N206" s="36"/>
      <c r="O206" s="36"/>
      <c r="P206" s="36"/>
      <c r="Q206" s="36"/>
      <c r="R206" s="36"/>
      <c r="S206" s="36"/>
      <c r="T206" s="36"/>
      <c r="U206" s="36"/>
      <c r="V206" s="36"/>
      <c r="W206" s="516"/>
    </row>
    <row r="207" spans="1:23" ht="12.75">
      <c r="A207" s="34" t="s">
        <v>17</v>
      </c>
      <c r="B207" s="31">
        <v>19</v>
      </c>
      <c r="C207" s="31"/>
      <c r="D207" s="31"/>
      <c r="E207" s="31"/>
      <c r="F207" s="31"/>
      <c r="G207" s="31"/>
      <c r="H207" s="31"/>
      <c r="I207" s="31"/>
      <c r="J207" s="31"/>
      <c r="K207" s="31">
        <v>19</v>
      </c>
      <c r="L207" s="420">
        <v>581544.4</v>
      </c>
      <c r="M207" s="31">
        <v>19</v>
      </c>
      <c r="N207" s="31"/>
      <c r="O207" s="31"/>
      <c r="P207" s="31"/>
      <c r="Q207" s="31"/>
      <c r="R207" s="31"/>
      <c r="S207" s="31"/>
      <c r="T207" s="31"/>
      <c r="U207" s="31"/>
      <c r="V207" s="31">
        <v>19</v>
      </c>
      <c r="W207" s="420">
        <v>581544.4</v>
      </c>
    </row>
    <row r="208" spans="1:23" ht="12.75">
      <c r="A208" s="34" t="s">
        <v>96</v>
      </c>
      <c r="B208" s="31"/>
      <c r="C208" s="31"/>
      <c r="D208" s="31">
        <v>15</v>
      </c>
      <c r="E208" s="31"/>
      <c r="F208" s="31"/>
      <c r="G208" s="31"/>
      <c r="H208" s="31"/>
      <c r="I208" s="31"/>
      <c r="J208" s="31"/>
      <c r="K208" s="31">
        <v>15</v>
      </c>
      <c r="L208" s="420">
        <v>470788.92</v>
      </c>
      <c r="M208" s="31"/>
      <c r="N208" s="31"/>
      <c r="O208" s="31">
        <v>15</v>
      </c>
      <c r="P208" s="31"/>
      <c r="Q208" s="31"/>
      <c r="R208" s="31"/>
      <c r="S208" s="31"/>
      <c r="T208" s="31"/>
      <c r="U208" s="31"/>
      <c r="V208" s="31">
        <v>15</v>
      </c>
      <c r="W208" s="420">
        <v>470788.92</v>
      </c>
    </row>
    <row r="209" spans="1:23" ht="12.75">
      <c r="A209" s="35" t="s">
        <v>6</v>
      </c>
      <c r="B209" s="36"/>
      <c r="C209" s="36"/>
      <c r="D209" s="36"/>
      <c r="E209" s="36"/>
      <c r="F209" s="36"/>
      <c r="G209" s="36"/>
      <c r="H209" s="36"/>
      <c r="I209" s="36"/>
      <c r="J209" s="36"/>
      <c r="K209" s="36"/>
      <c r="L209" s="516"/>
      <c r="M209" s="36"/>
      <c r="N209" s="36"/>
      <c r="O209" s="36"/>
      <c r="P209" s="36"/>
      <c r="Q209" s="36"/>
      <c r="R209" s="36"/>
      <c r="S209" s="36"/>
      <c r="T209" s="36"/>
      <c r="U209" s="36"/>
      <c r="V209" s="36"/>
      <c r="W209" s="516"/>
    </row>
    <row r="210" spans="1:23" ht="12.75">
      <c r="A210" s="34" t="s">
        <v>19</v>
      </c>
      <c r="B210" s="31">
        <v>82</v>
      </c>
      <c r="C210" s="31"/>
      <c r="D210" s="31"/>
      <c r="E210" s="31"/>
      <c r="F210" s="31"/>
      <c r="G210" s="31"/>
      <c r="H210" s="31"/>
      <c r="I210" s="31"/>
      <c r="J210" s="31"/>
      <c r="K210" s="31">
        <v>82</v>
      </c>
      <c r="L210" s="420">
        <v>1721767.1199999996</v>
      </c>
      <c r="M210" s="31">
        <v>82</v>
      </c>
      <c r="N210" s="31"/>
      <c r="O210" s="31"/>
      <c r="P210" s="31"/>
      <c r="Q210" s="31"/>
      <c r="R210" s="31"/>
      <c r="S210" s="31"/>
      <c r="T210" s="31"/>
      <c r="U210" s="31"/>
      <c r="V210" s="31">
        <v>82</v>
      </c>
      <c r="W210" s="420">
        <v>1721767.1199999996</v>
      </c>
    </row>
    <row r="211" spans="1:23" ht="12.75">
      <c r="A211" s="34" t="s">
        <v>96</v>
      </c>
      <c r="B211" s="31"/>
      <c r="C211" s="31"/>
      <c r="D211" s="31">
        <v>11</v>
      </c>
      <c r="E211" s="31"/>
      <c r="F211" s="31"/>
      <c r="G211" s="31"/>
      <c r="H211" s="31"/>
      <c r="I211" s="31"/>
      <c r="J211" s="31"/>
      <c r="K211" s="31">
        <v>11</v>
      </c>
      <c r="L211" s="420">
        <v>280304</v>
      </c>
      <c r="M211" s="31"/>
      <c r="N211" s="31"/>
      <c r="O211" s="31">
        <v>11</v>
      </c>
      <c r="P211" s="31"/>
      <c r="Q211" s="31"/>
      <c r="R211" s="31"/>
      <c r="S211" s="31"/>
      <c r="T211" s="31"/>
      <c r="U211" s="31"/>
      <c r="V211" s="31">
        <v>11</v>
      </c>
      <c r="W211" s="420">
        <v>280304</v>
      </c>
    </row>
    <row r="212" spans="1:23" ht="13.5" thickBot="1">
      <c r="A212" s="35" t="s">
        <v>577</v>
      </c>
      <c r="B212" s="31">
        <v>3</v>
      </c>
      <c r="C212" s="31"/>
      <c r="D212" s="31"/>
      <c r="E212" s="31"/>
      <c r="F212" s="31"/>
      <c r="G212" s="31"/>
      <c r="H212" s="31"/>
      <c r="I212" s="31"/>
      <c r="J212" s="31"/>
      <c r="K212" s="31">
        <v>3</v>
      </c>
      <c r="L212" s="420">
        <v>10000</v>
      </c>
      <c r="M212" s="31">
        <v>3</v>
      </c>
      <c r="N212" s="31"/>
      <c r="O212" s="31"/>
      <c r="P212" s="31"/>
      <c r="Q212" s="31"/>
      <c r="R212" s="31"/>
      <c r="S212" s="31"/>
      <c r="T212" s="31"/>
      <c r="U212" s="31"/>
      <c r="V212" s="31">
        <v>3</v>
      </c>
      <c r="W212" s="420">
        <v>10000</v>
      </c>
    </row>
    <row r="213" spans="1:23" ht="13.5" thickBot="1">
      <c r="A213" s="38" t="s">
        <v>24</v>
      </c>
      <c r="B213" s="39"/>
      <c r="C213" s="39"/>
      <c r="D213" s="39"/>
      <c r="E213" s="39"/>
      <c r="F213" s="39"/>
      <c r="G213" s="39"/>
      <c r="H213" s="39"/>
      <c r="I213" s="39"/>
      <c r="J213" s="39"/>
      <c r="K213" s="39"/>
      <c r="L213" s="417"/>
      <c r="M213" s="39"/>
      <c r="N213" s="39"/>
      <c r="O213" s="39"/>
      <c r="P213" s="39"/>
      <c r="Q213" s="39"/>
      <c r="R213" s="39"/>
      <c r="S213" s="39"/>
      <c r="T213" s="39"/>
      <c r="U213" s="39"/>
      <c r="V213" s="39"/>
      <c r="W213" s="417"/>
    </row>
    <row r="215" spans="1:23" ht="15.75">
      <c r="A215" s="248" t="s">
        <v>604</v>
      </c>
      <c r="B215" s="99"/>
      <c r="C215" s="99"/>
      <c r="D215" s="99"/>
      <c r="E215" s="99"/>
      <c r="F215" s="99"/>
      <c r="G215" s="99"/>
      <c r="H215" s="99"/>
      <c r="I215" s="99"/>
      <c r="J215" s="99"/>
      <c r="K215" s="99"/>
      <c r="L215" s="99"/>
      <c r="M215" s="99"/>
      <c r="N215" s="99"/>
      <c r="O215" s="99"/>
      <c r="P215" s="99"/>
      <c r="Q215" s="99"/>
      <c r="R215" s="99"/>
      <c r="S215" s="99"/>
      <c r="T215" s="99"/>
      <c r="U215" s="99"/>
      <c r="V215" s="99"/>
      <c r="W215" s="99"/>
    </row>
    <row r="216" spans="1:23" ht="13.5" thickBot="1">
      <c r="A216"/>
      <c r="B216"/>
      <c r="C216"/>
      <c r="D216"/>
      <c r="E216"/>
      <c r="F216"/>
      <c r="G216"/>
      <c r="H216"/>
      <c r="I216"/>
      <c r="J216"/>
      <c r="K216"/>
      <c r="L216" s="30"/>
      <c r="M216"/>
      <c r="N216"/>
      <c r="O216"/>
      <c r="P216"/>
      <c r="Q216"/>
      <c r="R216"/>
      <c r="S216"/>
      <c r="T216"/>
      <c r="U216"/>
      <c r="V216"/>
      <c r="W216" s="30"/>
    </row>
    <row r="217" spans="1:23" ht="12.75">
      <c r="A217" s="481" t="s">
        <v>10</v>
      </c>
      <c r="B217" s="1545" t="s">
        <v>412</v>
      </c>
      <c r="C217" s="1546"/>
      <c r="D217" s="1546"/>
      <c r="E217" s="1546"/>
      <c r="F217" s="1546"/>
      <c r="G217" s="1546"/>
      <c r="H217" s="1546"/>
      <c r="I217" s="1546"/>
      <c r="J217" s="1546"/>
      <c r="K217" s="1546"/>
      <c r="L217" s="1547"/>
      <c r="M217" s="1545" t="s">
        <v>413</v>
      </c>
      <c r="N217" s="1546"/>
      <c r="O217" s="1546"/>
      <c r="P217" s="1546"/>
      <c r="Q217" s="1546"/>
      <c r="R217" s="1546"/>
      <c r="S217" s="1546"/>
      <c r="T217" s="1546"/>
      <c r="U217" s="1546"/>
      <c r="V217" s="1546"/>
      <c r="W217" s="1547"/>
    </row>
    <row r="218" spans="1:23" ht="134.25">
      <c r="A218" s="482" t="s">
        <v>9</v>
      </c>
      <c r="B218" s="483" t="s">
        <v>335</v>
      </c>
      <c r="C218" s="483" t="s">
        <v>127</v>
      </c>
      <c r="D218" s="484" t="s">
        <v>296</v>
      </c>
      <c r="E218" s="484" t="s">
        <v>291</v>
      </c>
      <c r="F218" s="484" t="s">
        <v>298</v>
      </c>
      <c r="G218" s="484" t="s">
        <v>299</v>
      </c>
      <c r="H218" s="484" t="s">
        <v>300</v>
      </c>
      <c r="I218" s="484" t="s">
        <v>307</v>
      </c>
      <c r="J218" s="485" t="s">
        <v>302</v>
      </c>
      <c r="K218" s="486" t="s">
        <v>304</v>
      </c>
      <c r="L218" s="170" t="s">
        <v>306</v>
      </c>
      <c r="M218" s="483" t="s">
        <v>335</v>
      </c>
      <c r="N218" s="483" t="s">
        <v>127</v>
      </c>
      <c r="O218" s="484" t="s">
        <v>296</v>
      </c>
      <c r="P218" s="484" t="s">
        <v>291</v>
      </c>
      <c r="Q218" s="484" t="s">
        <v>298</v>
      </c>
      <c r="R218" s="484" t="s">
        <v>299</v>
      </c>
      <c r="S218" s="484" t="s">
        <v>300</v>
      </c>
      <c r="T218" s="484" t="s">
        <v>307</v>
      </c>
      <c r="U218" s="485" t="s">
        <v>302</v>
      </c>
      <c r="V218" s="486" t="s">
        <v>304</v>
      </c>
      <c r="W218" s="170" t="s">
        <v>305</v>
      </c>
    </row>
    <row r="219" spans="1:23" ht="12.75">
      <c r="A219" s="34"/>
      <c r="B219" s="31"/>
      <c r="C219" s="31"/>
      <c r="D219" s="31"/>
      <c r="E219" s="31"/>
      <c r="F219" s="31"/>
      <c r="G219" s="31"/>
      <c r="H219" s="31"/>
      <c r="I219" s="31"/>
      <c r="J219" s="31"/>
      <c r="K219" s="31"/>
      <c r="L219" s="411"/>
      <c r="M219" s="31"/>
      <c r="N219" s="31"/>
      <c r="O219" s="31"/>
      <c r="P219" s="31"/>
      <c r="Q219" s="31"/>
      <c r="R219" s="31"/>
      <c r="S219" s="31"/>
      <c r="T219" s="31"/>
      <c r="U219" s="31"/>
      <c r="V219" s="31"/>
      <c r="W219" s="411"/>
    </row>
    <row r="220" spans="1:23" ht="12.75">
      <c r="A220" s="35" t="s">
        <v>7</v>
      </c>
      <c r="B220" s="36">
        <f>SUM(B221:B227)</f>
        <v>4</v>
      </c>
      <c r="C220" s="36">
        <f aca="true" t="shared" si="42" ref="C220:L220">SUM(C221:C227)</f>
        <v>0</v>
      </c>
      <c r="D220" s="36">
        <f t="shared" si="42"/>
        <v>0</v>
      </c>
      <c r="E220" s="36">
        <f t="shared" si="42"/>
        <v>0</v>
      </c>
      <c r="F220" s="36">
        <f t="shared" si="42"/>
        <v>0</v>
      </c>
      <c r="G220" s="36">
        <f t="shared" si="42"/>
        <v>0</v>
      </c>
      <c r="H220" s="36">
        <f t="shared" si="42"/>
        <v>0</v>
      </c>
      <c r="I220" s="36">
        <f t="shared" si="42"/>
        <v>0</v>
      </c>
      <c r="J220" s="36">
        <f t="shared" si="42"/>
        <v>0</v>
      </c>
      <c r="K220" s="36">
        <f t="shared" si="42"/>
        <v>4</v>
      </c>
      <c r="L220" s="410">
        <f t="shared" si="42"/>
        <v>135671.08</v>
      </c>
      <c r="M220" s="448">
        <f aca="true" t="shared" si="43" ref="M220:W220">SUM(M221:M227)</f>
        <v>4</v>
      </c>
      <c r="N220" s="448">
        <f t="shared" si="43"/>
        <v>0</v>
      </c>
      <c r="O220" s="448">
        <f t="shared" si="43"/>
        <v>0</v>
      </c>
      <c r="P220" s="448">
        <f t="shared" si="43"/>
        <v>0</v>
      </c>
      <c r="Q220" s="448">
        <f t="shared" si="43"/>
        <v>0</v>
      </c>
      <c r="R220" s="448">
        <f t="shared" si="43"/>
        <v>0</v>
      </c>
      <c r="S220" s="448">
        <f t="shared" si="43"/>
        <v>0</v>
      </c>
      <c r="T220" s="448">
        <f t="shared" si="43"/>
        <v>0</v>
      </c>
      <c r="U220" s="448">
        <f t="shared" si="43"/>
        <v>0</v>
      </c>
      <c r="V220" s="448">
        <f t="shared" si="43"/>
        <v>4</v>
      </c>
      <c r="W220" s="410">
        <f t="shared" si="43"/>
        <v>135671.08</v>
      </c>
    </row>
    <row r="221" spans="1:23" ht="12.75">
      <c r="A221" s="34" t="s">
        <v>3</v>
      </c>
      <c r="B221" s="31"/>
      <c r="C221" s="31"/>
      <c r="D221" s="31"/>
      <c r="E221" s="31"/>
      <c r="F221" s="31"/>
      <c r="G221" s="31"/>
      <c r="H221" s="31"/>
      <c r="I221" s="31"/>
      <c r="J221" s="31"/>
      <c r="K221" s="31"/>
      <c r="L221" s="411"/>
      <c r="M221" s="31"/>
      <c r="N221" s="31"/>
      <c r="O221" s="31"/>
      <c r="P221" s="31"/>
      <c r="Q221" s="31"/>
      <c r="R221" s="31"/>
      <c r="S221" s="31"/>
      <c r="T221" s="31"/>
      <c r="U221" s="31"/>
      <c r="V221" s="31"/>
      <c r="W221" s="411"/>
    </row>
    <row r="222" spans="1:23" ht="12.75">
      <c r="A222" s="34" t="s">
        <v>584</v>
      </c>
      <c r="B222" s="31"/>
      <c r="C222" s="31"/>
      <c r="D222" s="31"/>
      <c r="E222" s="31"/>
      <c r="F222" s="31"/>
      <c r="G222" s="31"/>
      <c r="H222" s="31"/>
      <c r="I222" s="31"/>
      <c r="J222" s="31"/>
      <c r="K222" s="31"/>
      <c r="L222" s="411"/>
      <c r="M222" s="31"/>
      <c r="N222" s="31"/>
      <c r="O222" s="31"/>
      <c r="P222" s="31"/>
      <c r="Q222" s="31"/>
      <c r="R222" s="31"/>
      <c r="S222" s="31"/>
      <c r="T222" s="31"/>
      <c r="U222" s="31"/>
      <c r="V222" s="31"/>
      <c r="W222" s="411"/>
    </row>
    <row r="223" spans="1:23" ht="12.75">
      <c r="A223" s="34" t="s">
        <v>584</v>
      </c>
      <c r="B223" s="31"/>
      <c r="C223" s="31"/>
      <c r="D223" s="31"/>
      <c r="E223" s="31"/>
      <c r="F223" s="31"/>
      <c r="G223" s="31"/>
      <c r="H223" s="31"/>
      <c r="I223" s="31"/>
      <c r="J223" s="31"/>
      <c r="K223" s="31"/>
      <c r="L223" s="411"/>
      <c r="M223" s="31"/>
      <c r="N223" s="31"/>
      <c r="O223" s="31"/>
      <c r="P223" s="31"/>
      <c r="Q223" s="31"/>
      <c r="R223" s="31"/>
      <c r="S223" s="31"/>
      <c r="T223" s="31"/>
      <c r="U223" s="31"/>
      <c r="V223" s="31"/>
      <c r="W223" s="411"/>
    </row>
    <row r="224" spans="1:23" ht="12.75">
      <c r="A224" s="34" t="s">
        <v>584</v>
      </c>
      <c r="B224" s="31">
        <v>1</v>
      </c>
      <c r="C224" s="31"/>
      <c r="D224" s="31"/>
      <c r="E224" s="31"/>
      <c r="F224" s="31"/>
      <c r="G224" s="31"/>
      <c r="H224" s="31"/>
      <c r="I224" s="31"/>
      <c r="J224" s="31"/>
      <c r="K224" s="31">
        <v>1</v>
      </c>
      <c r="L224" s="411">
        <v>34654.6</v>
      </c>
      <c r="M224" s="31">
        <v>1</v>
      </c>
      <c r="N224" s="31"/>
      <c r="O224" s="31"/>
      <c r="P224" s="31"/>
      <c r="Q224" s="31"/>
      <c r="R224" s="31"/>
      <c r="S224" s="31"/>
      <c r="T224" s="31"/>
      <c r="U224" s="31"/>
      <c r="V224" s="31">
        <v>1</v>
      </c>
      <c r="W224" s="411">
        <v>34654.6</v>
      </c>
    </row>
    <row r="225" spans="1:23" ht="12.75">
      <c r="A225" s="34" t="s">
        <v>584</v>
      </c>
      <c r="B225" s="31">
        <v>3</v>
      </c>
      <c r="C225" s="31"/>
      <c r="D225" s="31"/>
      <c r="E225" s="31"/>
      <c r="F225" s="31"/>
      <c r="G225" s="31"/>
      <c r="H225" s="31"/>
      <c r="I225" s="31"/>
      <c r="J225" s="31"/>
      <c r="K225" s="31">
        <v>3</v>
      </c>
      <c r="L225" s="411">
        <v>101016.48</v>
      </c>
      <c r="M225" s="31">
        <v>3</v>
      </c>
      <c r="N225" s="31"/>
      <c r="O225" s="31"/>
      <c r="P225" s="31"/>
      <c r="Q225" s="31"/>
      <c r="R225" s="31"/>
      <c r="S225" s="31"/>
      <c r="T225" s="31"/>
      <c r="U225" s="31"/>
      <c r="V225" s="31">
        <v>3</v>
      </c>
      <c r="W225" s="411">
        <v>101016.48</v>
      </c>
    </row>
    <row r="226" spans="1:23" ht="12.75">
      <c r="A226" s="34" t="s">
        <v>12</v>
      </c>
      <c r="B226" s="31"/>
      <c r="C226" s="31"/>
      <c r="D226" s="31"/>
      <c r="E226" s="31"/>
      <c r="F226" s="31"/>
      <c r="G226" s="31"/>
      <c r="H226" s="31"/>
      <c r="I226" s="31"/>
      <c r="J226" s="31"/>
      <c r="K226" s="31"/>
      <c r="L226" s="411"/>
      <c r="M226" s="31"/>
      <c r="N226" s="31"/>
      <c r="O226" s="31"/>
      <c r="P226" s="31"/>
      <c r="Q226" s="31"/>
      <c r="R226" s="31"/>
      <c r="S226" s="31"/>
      <c r="T226" s="31"/>
      <c r="U226" s="31"/>
      <c r="V226" s="31"/>
      <c r="W226" s="411"/>
    </row>
    <row r="227" spans="1:23" ht="12.75">
      <c r="A227" s="71"/>
      <c r="B227" s="31"/>
      <c r="C227" s="31"/>
      <c r="D227" s="31"/>
      <c r="E227" s="31"/>
      <c r="F227" s="31"/>
      <c r="G227" s="31"/>
      <c r="H227" s="31"/>
      <c r="I227" s="31"/>
      <c r="J227" s="31"/>
      <c r="K227" s="31"/>
      <c r="L227" s="411"/>
      <c r="M227" s="31"/>
      <c r="N227" s="31"/>
      <c r="O227" s="31"/>
      <c r="P227" s="31"/>
      <c r="Q227" s="31"/>
      <c r="R227" s="31"/>
      <c r="S227" s="31"/>
      <c r="T227" s="31"/>
      <c r="U227" s="31"/>
      <c r="V227" s="31"/>
      <c r="W227" s="411"/>
    </row>
    <row r="228" spans="1:23" ht="12.75">
      <c r="A228" s="35" t="s">
        <v>4</v>
      </c>
      <c r="B228" s="36">
        <f>SUM(B229:B232)</f>
        <v>12</v>
      </c>
      <c r="C228" s="36">
        <f aca="true" t="shared" si="44" ref="C228:L228">SUM(C229:C232)</f>
        <v>0</v>
      </c>
      <c r="D228" s="36">
        <f t="shared" si="44"/>
        <v>9</v>
      </c>
      <c r="E228" s="36">
        <f t="shared" si="44"/>
        <v>0</v>
      </c>
      <c r="F228" s="36">
        <f t="shared" si="44"/>
        <v>0</v>
      </c>
      <c r="G228" s="36">
        <f t="shared" si="44"/>
        <v>0</v>
      </c>
      <c r="H228" s="36">
        <f t="shared" si="44"/>
        <v>0</v>
      </c>
      <c r="I228" s="36">
        <f t="shared" si="44"/>
        <v>0</v>
      </c>
      <c r="J228" s="36">
        <f t="shared" si="44"/>
        <v>0</v>
      </c>
      <c r="K228" s="36">
        <f t="shared" si="44"/>
        <v>21</v>
      </c>
      <c r="L228" s="410">
        <f t="shared" si="44"/>
        <v>360960.96</v>
      </c>
      <c r="M228" s="448">
        <f aca="true" t="shared" si="45" ref="M228:W228">SUM(M229:M232)</f>
        <v>12</v>
      </c>
      <c r="N228" s="448">
        <f t="shared" si="45"/>
        <v>0</v>
      </c>
      <c r="O228" s="448">
        <f t="shared" si="45"/>
        <v>9</v>
      </c>
      <c r="P228" s="448">
        <f t="shared" si="45"/>
        <v>0</v>
      </c>
      <c r="Q228" s="448">
        <f t="shared" si="45"/>
        <v>0</v>
      </c>
      <c r="R228" s="448">
        <f t="shared" si="45"/>
        <v>0</v>
      </c>
      <c r="S228" s="448">
        <f t="shared" si="45"/>
        <v>0</v>
      </c>
      <c r="T228" s="448">
        <f t="shared" si="45"/>
        <v>0</v>
      </c>
      <c r="U228" s="448">
        <f t="shared" si="45"/>
        <v>0</v>
      </c>
      <c r="V228" s="448">
        <f t="shared" si="45"/>
        <v>21</v>
      </c>
      <c r="W228" s="410">
        <f t="shared" si="45"/>
        <v>360960.96</v>
      </c>
    </row>
    <row r="229" spans="1:23" ht="12.75">
      <c r="A229" s="34" t="s">
        <v>13</v>
      </c>
      <c r="B229" s="31">
        <v>1</v>
      </c>
      <c r="C229" s="31"/>
      <c r="D229" s="31"/>
      <c r="E229" s="31"/>
      <c r="F229" s="31"/>
      <c r="G229" s="31"/>
      <c r="H229" s="31"/>
      <c r="I229" s="31"/>
      <c r="J229" s="31"/>
      <c r="K229" s="31">
        <v>1</v>
      </c>
      <c r="L229" s="411">
        <v>18520</v>
      </c>
      <c r="M229" s="31">
        <v>1</v>
      </c>
      <c r="N229" s="31"/>
      <c r="O229" s="31"/>
      <c r="P229" s="31"/>
      <c r="Q229" s="31"/>
      <c r="R229" s="31"/>
      <c r="S229" s="31"/>
      <c r="T229" s="31"/>
      <c r="U229" s="31"/>
      <c r="V229" s="31">
        <v>1</v>
      </c>
      <c r="W229" s="411">
        <v>18520</v>
      </c>
    </row>
    <row r="230" spans="1:23" ht="12.75">
      <c r="A230" s="34" t="s">
        <v>14</v>
      </c>
      <c r="B230" s="31"/>
      <c r="C230" s="31"/>
      <c r="D230" s="31"/>
      <c r="E230" s="31"/>
      <c r="F230" s="31"/>
      <c r="G230" s="31"/>
      <c r="H230" s="31"/>
      <c r="I230" s="31"/>
      <c r="J230" s="31"/>
      <c r="K230" s="31"/>
      <c r="L230" s="411"/>
      <c r="M230" s="31"/>
      <c r="N230" s="31"/>
      <c r="O230" s="31"/>
      <c r="P230" s="31"/>
      <c r="Q230" s="31"/>
      <c r="R230" s="31"/>
      <c r="S230" s="31"/>
      <c r="T230" s="31"/>
      <c r="U230" s="31"/>
      <c r="V230" s="31"/>
      <c r="W230" s="411"/>
    </row>
    <row r="231" spans="1:23" ht="12.75">
      <c r="A231" s="34" t="s">
        <v>15</v>
      </c>
      <c r="B231" s="31">
        <v>11</v>
      </c>
      <c r="C231" s="31"/>
      <c r="D231" s="31"/>
      <c r="E231" s="31"/>
      <c r="F231" s="31"/>
      <c r="G231" s="31"/>
      <c r="H231" s="31"/>
      <c r="I231" s="31"/>
      <c r="J231" s="31"/>
      <c r="K231" s="31">
        <v>11</v>
      </c>
      <c r="L231" s="411">
        <v>320640.96</v>
      </c>
      <c r="M231" s="31">
        <v>11</v>
      </c>
      <c r="N231" s="31"/>
      <c r="O231" s="31"/>
      <c r="P231" s="31"/>
      <c r="Q231" s="31"/>
      <c r="R231" s="31"/>
      <c r="S231" s="31"/>
      <c r="T231" s="31"/>
      <c r="U231" s="31"/>
      <c r="V231" s="31">
        <v>11</v>
      </c>
      <c r="W231" s="411">
        <v>320640.96</v>
      </c>
    </row>
    <row r="232" spans="1:23" ht="12.75">
      <c r="A232" s="34" t="s">
        <v>96</v>
      </c>
      <c r="B232" s="31"/>
      <c r="C232" s="31"/>
      <c r="D232" s="31">
        <v>9</v>
      </c>
      <c r="E232" s="31"/>
      <c r="F232" s="31"/>
      <c r="G232" s="31"/>
      <c r="H232" s="31"/>
      <c r="I232" s="31"/>
      <c r="J232" s="31"/>
      <c r="K232" s="31">
        <v>9</v>
      </c>
      <c r="L232" s="411">
        <v>21800</v>
      </c>
      <c r="M232" s="31"/>
      <c r="N232" s="31"/>
      <c r="O232" s="31">
        <v>9</v>
      </c>
      <c r="P232" s="31"/>
      <c r="Q232" s="31"/>
      <c r="R232" s="31"/>
      <c r="S232" s="31"/>
      <c r="T232" s="31"/>
      <c r="U232" s="31"/>
      <c r="V232" s="31">
        <v>9</v>
      </c>
      <c r="W232" s="411">
        <v>21800</v>
      </c>
    </row>
    <row r="233" spans="1:23" ht="12.75">
      <c r="A233" s="35" t="s">
        <v>5</v>
      </c>
      <c r="B233" s="36">
        <f>SUM(B234:B238)</f>
        <v>53</v>
      </c>
      <c r="C233" s="36">
        <f aca="true" t="shared" si="46" ref="C233:K233">SUM(C234:C238)</f>
        <v>0</v>
      </c>
      <c r="D233" s="36">
        <f t="shared" si="46"/>
        <v>0</v>
      </c>
      <c r="E233" s="36">
        <f t="shared" si="46"/>
        <v>0</v>
      </c>
      <c r="F233" s="36">
        <f t="shared" si="46"/>
        <v>0</v>
      </c>
      <c r="G233" s="36">
        <f t="shared" si="46"/>
        <v>0</v>
      </c>
      <c r="H233" s="36">
        <f t="shared" si="46"/>
        <v>0</v>
      </c>
      <c r="I233" s="36">
        <f t="shared" si="46"/>
        <v>0</v>
      </c>
      <c r="J233" s="36">
        <f t="shared" si="46"/>
        <v>0</v>
      </c>
      <c r="K233" s="36">
        <f t="shared" si="46"/>
        <v>53</v>
      </c>
      <c r="L233" s="410">
        <f aca="true" t="shared" si="47" ref="L233:W233">SUM(L234:L238)</f>
        <v>1340075.12</v>
      </c>
      <c r="M233" s="36">
        <f t="shared" si="47"/>
        <v>53</v>
      </c>
      <c r="N233" s="36">
        <f t="shared" si="47"/>
        <v>0</v>
      </c>
      <c r="O233" s="36">
        <f t="shared" si="47"/>
        <v>0</v>
      </c>
      <c r="P233" s="36">
        <f t="shared" si="47"/>
        <v>0</v>
      </c>
      <c r="Q233" s="36">
        <f t="shared" si="47"/>
        <v>0</v>
      </c>
      <c r="R233" s="36">
        <f t="shared" si="47"/>
        <v>0</v>
      </c>
      <c r="S233" s="36">
        <f t="shared" si="47"/>
        <v>0</v>
      </c>
      <c r="T233" s="36">
        <f t="shared" si="47"/>
        <v>0</v>
      </c>
      <c r="U233" s="36">
        <f t="shared" si="47"/>
        <v>0</v>
      </c>
      <c r="V233" s="36">
        <f t="shared" si="47"/>
        <v>53</v>
      </c>
      <c r="W233" s="410">
        <f t="shared" si="47"/>
        <v>1340075.12</v>
      </c>
    </row>
    <row r="234" spans="1:23" ht="12.75">
      <c r="A234" s="34" t="s">
        <v>16</v>
      </c>
      <c r="B234" s="31">
        <v>8</v>
      </c>
      <c r="C234" s="31"/>
      <c r="D234" s="31"/>
      <c r="E234" s="31"/>
      <c r="F234" s="31"/>
      <c r="G234" s="31"/>
      <c r="H234" s="31"/>
      <c r="I234" s="31"/>
      <c r="J234" s="31"/>
      <c r="K234" s="31">
        <v>8</v>
      </c>
      <c r="L234" s="411">
        <v>203880.32</v>
      </c>
      <c r="M234" s="31">
        <v>8</v>
      </c>
      <c r="N234" s="31"/>
      <c r="O234" s="31"/>
      <c r="P234" s="31"/>
      <c r="Q234" s="31"/>
      <c r="R234" s="31"/>
      <c r="S234" s="31"/>
      <c r="T234" s="31"/>
      <c r="U234" s="31"/>
      <c r="V234" s="31">
        <v>8</v>
      </c>
      <c r="W234" s="411">
        <v>203880.32</v>
      </c>
    </row>
    <row r="235" spans="1:23" ht="12.75">
      <c r="A235" s="34" t="s">
        <v>584</v>
      </c>
      <c r="B235" s="31">
        <v>11</v>
      </c>
      <c r="C235" s="31"/>
      <c r="D235" s="31"/>
      <c r="E235" s="31"/>
      <c r="F235" s="31"/>
      <c r="G235" s="31"/>
      <c r="H235" s="31"/>
      <c r="I235" s="31"/>
      <c r="J235" s="31"/>
      <c r="K235" s="31">
        <v>11</v>
      </c>
      <c r="L235" s="411">
        <v>278953.4</v>
      </c>
      <c r="M235" s="31">
        <v>11</v>
      </c>
      <c r="N235" s="31"/>
      <c r="O235" s="31"/>
      <c r="P235" s="31"/>
      <c r="Q235" s="31"/>
      <c r="R235" s="31"/>
      <c r="S235" s="31"/>
      <c r="T235" s="31"/>
      <c r="U235" s="31"/>
      <c r="V235" s="31">
        <v>11</v>
      </c>
      <c r="W235" s="411">
        <v>278953.4</v>
      </c>
    </row>
    <row r="236" spans="1:23" ht="12.75">
      <c r="A236" s="34" t="s">
        <v>97</v>
      </c>
      <c r="B236" s="31">
        <v>19</v>
      </c>
      <c r="C236" s="31"/>
      <c r="D236" s="31"/>
      <c r="E236" s="31"/>
      <c r="F236" s="31"/>
      <c r="G236" s="31"/>
      <c r="H236" s="31"/>
      <c r="I236" s="31"/>
      <c r="J236" s="31"/>
      <c r="K236" s="31">
        <v>19</v>
      </c>
      <c r="L236" s="411">
        <v>479580.76</v>
      </c>
      <c r="M236" s="31">
        <v>19</v>
      </c>
      <c r="N236" s="31"/>
      <c r="O236" s="31"/>
      <c r="P236" s="31"/>
      <c r="Q236" s="31"/>
      <c r="R236" s="31"/>
      <c r="S236" s="31"/>
      <c r="T236" s="31"/>
      <c r="U236" s="31"/>
      <c r="V236" s="31">
        <v>19</v>
      </c>
      <c r="W236" s="411">
        <v>479580.76</v>
      </c>
    </row>
    <row r="237" spans="1:23" ht="12.75">
      <c r="A237" s="34" t="s">
        <v>17</v>
      </c>
      <c r="B237" s="31">
        <v>15</v>
      </c>
      <c r="C237" s="31"/>
      <c r="D237" s="31"/>
      <c r="E237" s="31"/>
      <c r="F237" s="31"/>
      <c r="G237" s="31"/>
      <c r="H237" s="31"/>
      <c r="I237" s="31"/>
      <c r="J237" s="31"/>
      <c r="K237" s="31">
        <v>15</v>
      </c>
      <c r="L237" s="411">
        <v>377660.64</v>
      </c>
      <c r="M237" s="31">
        <v>15</v>
      </c>
      <c r="N237" s="31"/>
      <c r="O237" s="31"/>
      <c r="P237" s="31"/>
      <c r="Q237" s="31"/>
      <c r="R237" s="31"/>
      <c r="S237" s="31"/>
      <c r="T237" s="31"/>
      <c r="U237" s="31"/>
      <c r="V237" s="31">
        <v>15</v>
      </c>
      <c r="W237" s="411">
        <v>377660.64</v>
      </c>
    </row>
    <row r="238" spans="1:23" ht="12.75">
      <c r="A238" s="34" t="s">
        <v>96</v>
      </c>
      <c r="B238" s="31"/>
      <c r="C238" s="31"/>
      <c r="D238" s="31"/>
      <c r="E238" s="31"/>
      <c r="F238" s="31"/>
      <c r="G238" s="31"/>
      <c r="H238" s="31"/>
      <c r="I238" s="31"/>
      <c r="J238" s="31"/>
      <c r="K238" s="31"/>
      <c r="L238" s="411"/>
      <c r="M238" s="31"/>
      <c r="N238" s="31"/>
      <c r="O238" s="31"/>
      <c r="P238" s="31"/>
      <c r="Q238" s="31"/>
      <c r="R238" s="31"/>
      <c r="S238" s="31"/>
      <c r="T238" s="31"/>
      <c r="U238" s="31"/>
      <c r="V238" s="31"/>
      <c r="W238" s="411"/>
    </row>
    <row r="239" spans="1:23" ht="12.75">
      <c r="A239" s="35" t="s">
        <v>6</v>
      </c>
      <c r="B239" s="36">
        <f>SUM(B240:B245)</f>
        <v>51</v>
      </c>
      <c r="C239" s="36">
        <f>SUM(C240:C245)</f>
        <v>0</v>
      </c>
      <c r="D239" s="36">
        <f aca="true" t="shared" si="48" ref="D239:W239">SUM(D240:D245)</f>
        <v>0</v>
      </c>
      <c r="E239" s="36">
        <f t="shared" si="48"/>
        <v>0</v>
      </c>
      <c r="F239" s="36">
        <f t="shared" si="48"/>
        <v>0</v>
      </c>
      <c r="G239" s="36">
        <f t="shared" si="48"/>
        <v>0</v>
      </c>
      <c r="H239" s="36">
        <f t="shared" si="48"/>
        <v>0</v>
      </c>
      <c r="I239" s="36">
        <f t="shared" si="48"/>
        <v>0</v>
      </c>
      <c r="J239" s="36">
        <f t="shared" si="48"/>
        <v>0</v>
      </c>
      <c r="K239" s="36">
        <f t="shared" si="48"/>
        <v>51</v>
      </c>
      <c r="L239" s="410">
        <f t="shared" si="48"/>
        <v>1255410.36</v>
      </c>
      <c r="M239" s="36">
        <f t="shared" si="48"/>
        <v>51</v>
      </c>
      <c r="N239" s="36">
        <f t="shared" si="48"/>
        <v>0</v>
      </c>
      <c r="O239" s="36">
        <f t="shared" si="48"/>
        <v>0</v>
      </c>
      <c r="P239" s="36">
        <f t="shared" si="48"/>
        <v>0</v>
      </c>
      <c r="Q239" s="36">
        <f t="shared" si="48"/>
        <v>0</v>
      </c>
      <c r="R239" s="36">
        <f t="shared" si="48"/>
        <v>0</v>
      </c>
      <c r="S239" s="36">
        <f t="shared" si="48"/>
        <v>0</v>
      </c>
      <c r="T239" s="36">
        <f t="shared" si="48"/>
        <v>0</v>
      </c>
      <c r="U239" s="36">
        <f t="shared" si="48"/>
        <v>0</v>
      </c>
      <c r="V239" s="36">
        <f t="shared" si="48"/>
        <v>51</v>
      </c>
      <c r="W239" s="410">
        <f t="shared" si="48"/>
        <v>1255410.36</v>
      </c>
    </row>
    <row r="240" spans="1:23" ht="12.75">
      <c r="A240" s="34" t="s">
        <v>18</v>
      </c>
      <c r="B240" s="31">
        <v>3</v>
      </c>
      <c r="C240" s="31"/>
      <c r="D240" s="31"/>
      <c r="E240" s="31"/>
      <c r="F240" s="31"/>
      <c r="G240" s="31"/>
      <c r="H240" s="31"/>
      <c r="I240" s="31"/>
      <c r="J240" s="31"/>
      <c r="K240" s="31">
        <v>3</v>
      </c>
      <c r="L240" s="411">
        <v>74855.76</v>
      </c>
      <c r="M240" s="31">
        <v>3</v>
      </c>
      <c r="N240" s="31"/>
      <c r="O240" s="31"/>
      <c r="P240" s="31"/>
      <c r="Q240" s="31"/>
      <c r="R240" s="31"/>
      <c r="S240" s="31"/>
      <c r="T240" s="31"/>
      <c r="U240" s="31"/>
      <c r="V240" s="31">
        <v>3</v>
      </c>
      <c r="W240" s="411">
        <v>74855.76</v>
      </c>
    </row>
    <row r="241" spans="1:23" ht="12.75">
      <c r="A241" s="34" t="s">
        <v>584</v>
      </c>
      <c r="B241" s="31">
        <v>1</v>
      </c>
      <c r="C241" s="31"/>
      <c r="D241" s="31"/>
      <c r="E241" s="31"/>
      <c r="F241" s="31"/>
      <c r="G241" s="31"/>
      <c r="H241" s="31"/>
      <c r="I241" s="31"/>
      <c r="J241" s="31"/>
      <c r="K241" s="31">
        <v>1</v>
      </c>
      <c r="L241" s="411">
        <v>24859.84</v>
      </c>
      <c r="M241" s="31">
        <v>1</v>
      </c>
      <c r="N241" s="31"/>
      <c r="O241" s="31"/>
      <c r="P241" s="31"/>
      <c r="Q241" s="31"/>
      <c r="R241" s="31"/>
      <c r="S241" s="31"/>
      <c r="T241" s="31"/>
      <c r="U241" s="31"/>
      <c r="V241" s="31">
        <v>1</v>
      </c>
      <c r="W241" s="411">
        <v>24859.84</v>
      </c>
    </row>
    <row r="242" spans="1:23" ht="12.75">
      <c r="A242" s="34" t="s">
        <v>97</v>
      </c>
      <c r="B242" s="31">
        <v>1</v>
      </c>
      <c r="C242" s="31"/>
      <c r="D242" s="31"/>
      <c r="E242" s="31"/>
      <c r="F242" s="31"/>
      <c r="G242" s="31"/>
      <c r="H242" s="31"/>
      <c r="I242" s="31"/>
      <c r="J242" s="31"/>
      <c r="K242" s="31">
        <v>1</v>
      </c>
      <c r="L242" s="411">
        <v>24762.76</v>
      </c>
      <c r="M242" s="31">
        <v>1</v>
      </c>
      <c r="N242" s="31"/>
      <c r="O242" s="31"/>
      <c r="P242" s="31"/>
      <c r="Q242" s="31"/>
      <c r="R242" s="31"/>
      <c r="S242" s="31"/>
      <c r="T242" s="31"/>
      <c r="U242" s="31"/>
      <c r="V242" s="31">
        <v>1</v>
      </c>
      <c r="W242" s="411">
        <v>24762.76</v>
      </c>
    </row>
    <row r="243" spans="1:23" ht="12.75">
      <c r="A243" s="34" t="s">
        <v>97</v>
      </c>
      <c r="B243" s="31">
        <v>3</v>
      </c>
      <c r="C243" s="31"/>
      <c r="D243" s="31"/>
      <c r="E243" s="31"/>
      <c r="F243" s="31"/>
      <c r="G243" s="31"/>
      <c r="H243" s="31"/>
      <c r="I243" s="31"/>
      <c r="J243" s="31"/>
      <c r="K243" s="31">
        <v>3</v>
      </c>
      <c r="L243" s="411">
        <v>73992.96</v>
      </c>
      <c r="M243" s="31">
        <v>3</v>
      </c>
      <c r="N243" s="31"/>
      <c r="O243" s="31"/>
      <c r="P243" s="31"/>
      <c r="Q243" s="31"/>
      <c r="R243" s="31"/>
      <c r="S243" s="31"/>
      <c r="T243" s="31"/>
      <c r="U243" s="31"/>
      <c r="V243" s="31">
        <v>3</v>
      </c>
      <c r="W243" s="411">
        <v>73992.96</v>
      </c>
    </row>
    <row r="244" spans="1:23" ht="12.75">
      <c r="A244" s="34" t="s">
        <v>19</v>
      </c>
      <c r="B244" s="31">
        <v>43</v>
      </c>
      <c r="C244" s="31"/>
      <c r="D244" s="31"/>
      <c r="E244" s="31"/>
      <c r="F244" s="31"/>
      <c r="G244" s="31"/>
      <c r="H244" s="31"/>
      <c r="I244" s="31"/>
      <c r="J244" s="31"/>
      <c r="K244" s="31">
        <v>43</v>
      </c>
      <c r="L244" s="411">
        <v>1056939.04</v>
      </c>
      <c r="M244" s="31">
        <v>43</v>
      </c>
      <c r="N244" s="31"/>
      <c r="O244" s="31"/>
      <c r="P244" s="31"/>
      <c r="Q244" s="31"/>
      <c r="R244" s="31"/>
      <c r="S244" s="31"/>
      <c r="T244" s="31"/>
      <c r="U244" s="31"/>
      <c r="V244" s="31">
        <v>43</v>
      </c>
      <c r="W244" s="411">
        <v>1056939.04</v>
      </c>
    </row>
    <row r="245" spans="1:23" ht="13.5" thickBot="1">
      <c r="A245" s="34" t="s">
        <v>96</v>
      </c>
      <c r="B245" s="31"/>
      <c r="C245" s="31"/>
      <c r="D245" s="31"/>
      <c r="E245" s="31"/>
      <c r="F245" s="31"/>
      <c r="G245" s="31"/>
      <c r="H245" s="31"/>
      <c r="I245" s="31"/>
      <c r="J245" s="31"/>
      <c r="K245" s="31"/>
      <c r="L245" s="411"/>
      <c r="M245" s="31"/>
      <c r="N245" s="31"/>
      <c r="O245" s="31"/>
      <c r="P245" s="31"/>
      <c r="Q245" s="31"/>
      <c r="R245" s="31"/>
      <c r="S245" s="31"/>
      <c r="T245" s="31"/>
      <c r="U245" s="31"/>
      <c r="V245" s="31"/>
      <c r="W245" s="37"/>
    </row>
    <row r="246" spans="1:23" ht="13.5" thickBot="1">
      <c r="A246" s="38" t="s">
        <v>24</v>
      </c>
      <c r="B246" s="39">
        <f>SUM(B219:B245)</f>
        <v>240</v>
      </c>
      <c r="C246" s="39">
        <f aca="true" t="shared" si="49" ref="C246:K246">SUM(C219:C245)</f>
        <v>0</v>
      </c>
      <c r="D246" s="39">
        <f t="shared" si="49"/>
        <v>18</v>
      </c>
      <c r="E246" s="39">
        <f t="shared" si="49"/>
        <v>0</v>
      </c>
      <c r="F246" s="39">
        <f t="shared" si="49"/>
        <v>0</v>
      </c>
      <c r="G246" s="39">
        <f t="shared" si="49"/>
        <v>0</v>
      </c>
      <c r="H246" s="39">
        <f t="shared" si="49"/>
        <v>0</v>
      </c>
      <c r="I246" s="39">
        <f t="shared" si="49"/>
        <v>0</v>
      </c>
      <c r="J246" s="39">
        <f t="shared" si="49"/>
        <v>0</v>
      </c>
      <c r="K246" s="39">
        <f t="shared" si="49"/>
        <v>258</v>
      </c>
      <c r="L246" s="417">
        <f>SUM(L219:L245)</f>
        <v>6184235.039999999</v>
      </c>
      <c r="M246" s="39">
        <f>SUM(M219:M245)</f>
        <v>240</v>
      </c>
      <c r="N246" s="39">
        <f aca="true" t="shared" si="50" ref="N246:V246">SUM(N219:N245)</f>
        <v>0</v>
      </c>
      <c r="O246" s="39">
        <f t="shared" si="50"/>
        <v>18</v>
      </c>
      <c r="P246" s="39">
        <f t="shared" si="50"/>
        <v>0</v>
      </c>
      <c r="Q246" s="39">
        <f t="shared" si="50"/>
        <v>0</v>
      </c>
      <c r="R246" s="39">
        <f t="shared" si="50"/>
        <v>0</v>
      </c>
      <c r="S246" s="39">
        <f t="shared" si="50"/>
        <v>0</v>
      </c>
      <c r="T246" s="39">
        <f t="shared" si="50"/>
        <v>0</v>
      </c>
      <c r="U246" s="39">
        <f t="shared" si="50"/>
        <v>0</v>
      </c>
      <c r="V246" s="39">
        <f t="shared" si="50"/>
        <v>258</v>
      </c>
      <c r="W246" s="417">
        <f>SUM(W219:W245)</f>
        <v>6184235.039999999</v>
      </c>
    </row>
    <row r="247" spans="1:23" ht="12.75">
      <c r="A247" s="1" t="s">
        <v>303</v>
      </c>
      <c r="B247" s="2"/>
      <c r="C247" s="2"/>
      <c r="D247" s="2"/>
      <c r="E247" s="2"/>
      <c r="F247" s="2"/>
      <c r="G247" s="2"/>
      <c r="H247" s="2"/>
      <c r="I247" s="2"/>
      <c r="J247" s="2"/>
      <c r="K247" s="2"/>
      <c r="L247" s="2"/>
      <c r="M247" s="2"/>
      <c r="N247" s="2"/>
      <c r="O247" s="2"/>
      <c r="P247" s="7"/>
      <c r="Q247" s="77"/>
      <c r="R247"/>
      <c r="S247"/>
      <c r="T247" s="3"/>
      <c r="U247" s="3"/>
      <c r="V247" s="3"/>
      <c r="W247" s="3"/>
    </row>
    <row r="248" spans="1:23" ht="12.75">
      <c r="A248" s="29" t="s">
        <v>297</v>
      </c>
      <c r="B248"/>
      <c r="C248"/>
      <c r="D248"/>
      <c r="E248"/>
      <c r="F248"/>
      <c r="G248"/>
      <c r="H248"/>
      <c r="I248"/>
      <c r="J248"/>
      <c r="K248"/>
      <c r="L248"/>
      <c r="M248"/>
      <c r="N248"/>
      <c r="O248"/>
      <c r="P248" s="3"/>
      <c r="Q248" s="77"/>
      <c r="R248"/>
      <c r="S248"/>
      <c r="T248"/>
      <c r="U248"/>
      <c r="V248" s="3"/>
      <c r="W248" s="3"/>
    </row>
    <row r="249" spans="1:23" ht="12.75">
      <c r="A249" s="29" t="s">
        <v>301</v>
      </c>
      <c r="B249"/>
      <c r="C249"/>
      <c r="D249"/>
      <c r="E249"/>
      <c r="F249"/>
      <c r="G249"/>
      <c r="H249"/>
      <c r="I249"/>
      <c r="J249"/>
      <c r="K249"/>
      <c r="L249"/>
      <c r="M249"/>
      <c r="N249"/>
      <c r="O249"/>
      <c r="P249" s="3"/>
      <c r="Q249" s="77"/>
      <c r="R249"/>
      <c r="S249"/>
      <c r="T249"/>
      <c r="U249"/>
      <c r="V249" s="3"/>
      <c r="W249" s="3"/>
    </row>
    <row r="251" spans="1:23" ht="15.75">
      <c r="A251" s="507" t="s">
        <v>605</v>
      </c>
      <c r="B251" s="106"/>
      <c r="C251" s="476"/>
      <c r="D251" s="476"/>
      <c r="E251" s="476"/>
      <c r="F251" s="476"/>
      <c r="G251" s="476"/>
      <c r="H251" s="476"/>
      <c r="I251" s="476"/>
      <c r="J251" s="476"/>
      <c r="K251" s="476"/>
      <c r="L251" s="476"/>
      <c r="M251" s="476"/>
      <c r="N251" s="476"/>
      <c r="O251" s="476"/>
      <c r="P251" s="476"/>
      <c r="Q251" s="476"/>
      <c r="R251" s="476"/>
      <c r="S251" s="476"/>
      <c r="T251" s="476"/>
      <c r="U251" s="476"/>
      <c r="V251" s="476"/>
      <c r="W251" s="447"/>
    </row>
    <row r="252" spans="12:23" ht="13.5" thickBot="1">
      <c r="L252" s="426"/>
      <c r="W252" s="446"/>
    </row>
    <row r="253" spans="1:23" ht="12.75">
      <c r="A253" s="481" t="s">
        <v>10</v>
      </c>
      <c r="B253" s="1545" t="s">
        <v>412</v>
      </c>
      <c r="C253" s="1546"/>
      <c r="D253" s="1546"/>
      <c r="E253" s="1546"/>
      <c r="F253" s="1546"/>
      <c r="G253" s="1546"/>
      <c r="H253" s="1546"/>
      <c r="I253" s="1546"/>
      <c r="J253" s="1546"/>
      <c r="K253" s="1546"/>
      <c r="L253" s="1547"/>
      <c r="M253" s="1545" t="s">
        <v>413</v>
      </c>
      <c r="N253" s="1546"/>
      <c r="O253" s="1546"/>
      <c r="P253" s="1546"/>
      <c r="Q253" s="1546"/>
      <c r="R253" s="1546"/>
      <c r="S253" s="1546"/>
      <c r="T253" s="1546"/>
      <c r="U253" s="1546"/>
      <c r="V253" s="1546"/>
      <c r="W253" s="1547"/>
    </row>
    <row r="254" spans="1:23" ht="134.25">
      <c r="A254" s="482" t="s">
        <v>9</v>
      </c>
      <c r="B254" s="483" t="s">
        <v>335</v>
      </c>
      <c r="C254" s="483" t="s">
        <v>127</v>
      </c>
      <c r="D254" s="484" t="s">
        <v>296</v>
      </c>
      <c r="E254" s="484" t="s">
        <v>291</v>
      </c>
      <c r="F254" s="484" t="s">
        <v>298</v>
      </c>
      <c r="G254" s="484" t="s">
        <v>299</v>
      </c>
      <c r="H254" s="484" t="s">
        <v>300</v>
      </c>
      <c r="I254" s="484" t="s">
        <v>307</v>
      </c>
      <c r="J254" s="485" t="s">
        <v>302</v>
      </c>
      <c r="K254" s="486" t="s">
        <v>304</v>
      </c>
      <c r="L254" s="170" t="s">
        <v>306</v>
      </c>
      <c r="M254" s="483" t="s">
        <v>335</v>
      </c>
      <c r="N254" s="483" t="s">
        <v>127</v>
      </c>
      <c r="O254" s="484" t="s">
        <v>296</v>
      </c>
      <c r="P254" s="484" t="s">
        <v>291</v>
      </c>
      <c r="Q254" s="484" t="s">
        <v>298</v>
      </c>
      <c r="R254" s="484" t="s">
        <v>299</v>
      </c>
      <c r="S254" s="484" t="s">
        <v>300</v>
      </c>
      <c r="T254" s="484" t="s">
        <v>307</v>
      </c>
      <c r="U254" s="485" t="s">
        <v>302</v>
      </c>
      <c r="V254" s="486" t="s">
        <v>304</v>
      </c>
      <c r="W254" s="170" t="s">
        <v>306</v>
      </c>
    </row>
    <row r="255" spans="1:23" ht="12.75">
      <c r="A255" s="34"/>
      <c r="L255" s="37"/>
      <c r="W255" s="411"/>
    </row>
    <row r="256" spans="1:23" ht="12.75">
      <c r="A256" s="427" t="s">
        <v>7</v>
      </c>
      <c r="B256" s="428">
        <f>SUM(B260:B264)</f>
        <v>3</v>
      </c>
      <c r="C256" s="428"/>
      <c r="D256" s="428"/>
      <c r="E256" s="428"/>
      <c r="F256" s="428"/>
      <c r="G256" s="428"/>
      <c r="H256" s="428"/>
      <c r="I256" s="428"/>
      <c r="J256" s="428"/>
      <c r="K256" s="428"/>
      <c r="L256" s="449">
        <f>SUM(L258:L264)</f>
        <v>126961.08</v>
      </c>
      <c r="M256" s="428">
        <f>SUM(M258:M264)</f>
        <v>3</v>
      </c>
      <c r="N256" s="428"/>
      <c r="O256" s="428"/>
      <c r="P256" s="428"/>
      <c r="Q256" s="428"/>
      <c r="R256" s="428"/>
      <c r="S256" s="428"/>
      <c r="T256" s="428"/>
      <c r="U256" s="428"/>
      <c r="V256" s="428"/>
      <c r="W256" s="449">
        <f>SUM(W258:W264)</f>
        <v>126961.08</v>
      </c>
    </row>
    <row r="257" spans="1:23" ht="12.75">
      <c r="A257" s="429" t="s">
        <v>3</v>
      </c>
      <c r="B257" s="445"/>
      <c r="C257" s="445"/>
      <c r="D257" s="445"/>
      <c r="E257" s="445"/>
      <c r="F257" s="445"/>
      <c r="G257" s="445"/>
      <c r="H257" s="445"/>
      <c r="I257" s="445"/>
      <c r="J257" s="445"/>
      <c r="K257" s="445"/>
      <c r="L257" s="525"/>
      <c r="M257" s="445"/>
      <c r="N257" s="445"/>
      <c r="O257" s="445"/>
      <c r="P257" s="445"/>
      <c r="Q257" s="445"/>
      <c r="R257" s="445"/>
      <c r="S257" s="445"/>
      <c r="T257" s="445"/>
      <c r="U257" s="445"/>
      <c r="V257" s="445"/>
      <c r="W257" s="525"/>
    </row>
    <row r="258" spans="1:23" ht="12.75">
      <c r="A258" s="429" t="s">
        <v>565</v>
      </c>
      <c r="B258" s="445"/>
      <c r="C258" s="445"/>
      <c r="D258" s="445"/>
      <c r="E258" s="445"/>
      <c r="F258" s="445"/>
      <c r="G258" s="445"/>
      <c r="H258" s="445"/>
      <c r="I258" s="445"/>
      <c r="J258" s="445"/>
      <c r="K258" s="445"/>
      <c r="L258" s="525"/>
      <c r="M258" s="445"/>
      <c r="N258" s="445"/>
      <c r="O258" s="445"/>
      <c r="P258" s="445"/>
      <c r="Q258" s="445"/>
      <c r="R258" s="445"/>
      <c r="S258" s="445"/>
      <c r="T258" s="445"/>
      <c r="U258" s="445"/>
      <c r="V258" s="445"/>
      <c r="W258" s="525"/>
    </row>
    <row r="259" spans="1:23" ht="12.75">
      <c r="A259" s="429" t="s">
        <v>564</v>
      </c>
      <c r="B259" s="445"/>
      <c r="C259" s="445"/>
      <c r="D259" s="445"/>
      <c r="E259" s="445"/>
      <c r="F259" s="445"/>
      <c r="G259" s="445"/>
      <c r="H259" s="445"/>
      <c r="I259" s="445"/>
      <c r="J259" s="445"/>
      <c r="K259" s="445"/>
      <c r="L259" s="525"/>
      <c r="M259" s="445"/>
      <c r="N259" s="445"/>
      <c r="O259" s="445"/>
      <c r="P259" s="445"/>
      <c r="Q259" s="445"/>
      <c r="R259" s="445"/>
      <c r="S259" s="445"/>
      <c r="T259" s="445"/>
      <c r="U259" s="445"/>
      <c r="V259" s="445"/>
      <c r="W259" s="525"/>
    </row>
    <row r="260" spans="1:23" ht="12.75">
      <c r="A260" s="429" t="s">
        <v>563</v>
      </c>
      <c r="B260" s="445"/>
      <c r="C260" s="445"/>
      <c r="D260" s="445"/>
      <c r="E260" s="445"/>
      <c r="F260" s="445"/>
      <c r="G260" s="445"/>
      <c r="H260" s="445"/>
      <c r="I260" s="445"/>
      <c r="J260" s="445"/>
      <c r="K260" s="445"/>
      <c r="L260" s="525"/>
      <c r="M260" s="445"/>
      <c r="N260" s="445"/>
      <c r="O260" s="445"/>
      <c r="P260" s="445"/>
      <c r="Q260" s="445"/>
      <c r="R260" s="445"/>
      <c r="S260" s="445"/>
      <c r="T260" s="445"/>
      <c r="U260" s="445"/>
      <c r="V260" s="445"/>
      <c r="W260" s="525"/>
    </row>
    <row r="261" spans="1:23" ht="12.75">
      <c r="A261" s="429" t="s">
        <v>562</v>
      </c>
      <c r="B261" s="445">
        <v>3</v>
      </c>
      <c r="C261" s="445"/>
      <c r="D261" s="445"/>
      <c r="E261" s="445"/>
      <c r="F261" s="445"/>
      <c r="G261" s="445"/>
      <c r="H261" s="445"/>
      <c r="I261" s="445"/>
      <c r="J261" s="445"/>
      <c r="K261" s="525">
        <v>10580.09</v>
      </c>
      <c r="L261" s="525">
        <f>10580.09*12</f>
        <v>126961.08</v>
      </c>
      <c r="M261" s="445">
        <v>3</v>
      </c>
      <c r="N261" s="445"/>
      <c r="O261" s="445"/>
      <c r="P261" s="445"/>
      <c r="Q261" s="445"/>
      <c r="R261" s="445"/>
      <c r="S261" s="445"/>
      <c r="T261" s="445"/>
      <c r="U261" s="445"/>
      <c r="V261" s="525">
        <v>10580.09</v>
      </c>
      <c r="W261" s="525">
        <f>10580.09*12</f>
        <v>126961.08</v>
      </c>
    </row>
    <row r="262" spans="1:23" ht="12.75">
      <c r="A262" s="429" t="s">
        <v>561</v>
      </c>
      <c r="B262" s="445"/>
      <c r="C262" s="445"/>
      <c r="D262" s="445"/>
      <c r="E262" s="445"/>
      <c r="F262" s="445"/>
      <c r="G262" s="445"/>
      <c r="H262" s="445"/>
      <c r="I262" s="445"/>
      <c r="J262" s="445"/>
      <c r="K262" s="445"/>
      <c r="L262" s="525"/>
      <c r="M262" s="445"/>
      <c r="N262" s="445"/>
      <c r="O262" s="445"/>
      <c r="P262" s="445"/>
      <c r="Q262" s="445"/>
      <c r="R262" s="445"/>
      <c r="S262" s="445"/>
      <c r="T262" s="445"/>
      <c r="U262" s="445"/>
      <c r="V262" s="445"/>
      <c r="W262" s="525"/>
    </row>
    <row r="263" spans="1:23" ht="12.75">
      <c r="A263" s="429" t="s">
        <v>560</v>
      </c>
      <c r="B263" s="445"/>
      <c r="C263" s="445"/>
      <c r="D263" s="445"/>
      <c r="E263" s="445"/>
      <c r="F263" s="445"/>
      <c r="G263" s="445"/>
      <c r="H263" s="445"/>
      <c r="I263" s="445"/>
      <c r="J263" s="445"/>
      <c r="K263" s="445"/>
      <c r="L263" s="525"/>
      <c r="M263" s="445"/>
      <c r="N263" s="445"/>
      <c r="O263" s="445"/>
      <c r="P263" s="445"/>
      <c r="Q263" s="445"/>
      <c r="R263" s="445"/>
      <c r="S263" s="445"/>
      <c r="T263" s="445"/>
      <c r="U263" s="445"/>
      <c r="V263" s="445"/>
      <c r="W263" s="525"/>
    </row>
    <row r="264" spans="1:23" ht="12.75">
      <c r="A264" s="429" t="s">
        <v>12</v>
      </c>
      <c r="B264" s="445"/>
      <c r="C264" s="445"/>
      <c r="D264" s="445"/>
      <c r="E264" s="445"/>
      <c r="F264" s="445"/>
      <c r="G264" s="445"/>
      <c r="H264" s="445"/>
      <c r="I264" s="445"/>
      <c r="J264" s="445"/>
      <c r="K264" s="445"/>
      <c r="L264" s="525"/>
      <c r="M264" s="445"/>
      <c r="N264" s="445"/>
      <c r="O264" s="445"/>
      <c r="P264" s="445"/>
      <c r="Q264" s="445"/>
      <c r="R264" s="445"/>
      <c r="S264" s="445"/>
      <c r="T264" s="445"/>
      <c r="U264" s="445"/>
      <c r="V264" s="445"/>
      <c r="W264" s="525"/>
    </row>
    <row r="265" spans="1:23" ht="12.75">
      <c r="A265" s="433" t="s">
        <v>4</v>
      </c>
      <c r="B265" s="437">
        <f>SUM(B266:B271)</f>
        <v>14</v>
      </c>
      <c r="C265" s="437"/>
      <c r="D265" s="437"/>
      <c r="E265" s="437"/>
      <c r="F265" s="437"/>
      <c r="G265" s="437"/>
      <c r="H265" s="437"/>
      <c r="I265" s="437"/>
      <c r="J265" s="437"/>
      <c r="K265" s="437"/>
      <c r="L265" s="526">
        <f>SUM(L266:L271)</f>
        <v>420731.6400000001</v>
      </c>
      <c r="M265" s="437">
        <f>SUM(M266:M271)</f>
        <v>14</v>
      </c>
      <c r="N265" s="437"/>
      <c r="O265" s="437"/>
      <c r="P265" s="437"/>
      <c r="Q265" s="437"/>
      <c r="R265" s="437"/>
      <c r="S265" s="437"/>
      <c r="T265" s="437"/>
      <c r="U265" s="437"/>
      <c r="V265" s="437"/>
      <c r="W265" s="526">
        <f>SUM(W266:W271)</f>
        <v>420731.6400000001</v>
      </c>
    </row>
    <row r="266" spans="1:23" ht="14.25">
      <c r="A266" s="435" t="s">
        <v>13</v>
      </c>
      <c r="B266" s="445">
        <v>3</v>
      </c>
      <c r="C266" s="445"/>
      <c r="D266" s="445"/>
      <c r="E266" s="445"/>
      <c r="F266" s="445"/>
      <c r="G266" s="445"/>
      <c r="H266" s="445"/>
      <c r="I266" s="445"/>
      <c r="J266" s="445"/>
      <c r="K266" s="525">
        <v>8281.85</v>
      </c>
      <c r="L266" s="525">
        <f>8281.85*12</f>
        <v>99382.20000000001</v>
      </c>
      <c r="M266" s="445">
        <v>3</v>
      </c>
      <c r="N266" s="445"/>
      <c r="O266" s="445"/>
      <c r="P266" s="445"/>
      <c r="Q266" s="445"/>
      <c r="R266" s="445"/>
      <c r="S266" s="445"/>
      <c r="T266" s="445"/>
      <c r="U266" s="445"/>
      <c r="V266" s="525">
        <v>8281.85</v>
      </c>
      <c r="W266" s="525">
        <f>8281.85*12</f>
        <v>99382.20000000001</v>
      </c>
    </row>
    <row r="267" spans="1:23" ht="14.25">
      <c r="A267" s="435" t="s">
        <v>566</v>
      </c>
      <c r="B267" s="445">
        <v>1</v>
      </c>
      <c r="C267" s="445"/>
      <c r="D267" s="445"/>
      <c r="E267" s="445"/>
      <c r="F267" s="445"/>
      <c r="G267" s="445"/>
      <c r="H267" s="445"/>
      <c r="I267" s="445"/>
      <c r="J267" s="445"/>
      <c r="K267" s="525">
        <v>2428.7799999999997</v>
      </c>
      <c r="L267" s="525">
        <f>2428.78*12</f>
        <v>29145.36</v>
      </c>
      <c r="M267" s="445">
        <v>1</v>
      </c>
      <c r="N267" s="445"/>
      <c r="O267" s="445"/>
      <c r="P267" s="445"/>
      <c r="Q267" s="445"/>
      <c r="R267" s="445"/>
      <c r="S267" s="445"/>
      <c r="T267" s="445"/>
      <c r="U267" s="445"/>
      <c r="V267" s="525">
        <v>2428.7799999999997</v>
      </c>
      <c r="W267" s="525">
        <f>2428.78*12</f>
        <v>29145.36</v>
      </c>
    </row>
    <row r="268" spans="1:23" ht="14.25">
      <c r="A268" s="435" t="s">
        <v>567</v>
      </c>
      <c r="B268" s="445"/>
      <c r="C268" s="445"/>
      <c r="D268" s="445"/>
      <c r="E268" s="445"/>
      <c r="F268" s="445"/>
      <c r="G268" s="445"/>
      <c r="H268" s="445"/>
      <c r="I268" s="445"/>
      <c r="J268" s="445"/>
      <c r="K268" s="525"/>
      <c r="L268" s="525"/>
      <c r="M268" s="445"/>
      <c r="N268" s="445"/>
      <c r="O268" s="445"/>
      <c r="P268" s="445"/>
      <c r="Q268" s="445"/>
      <c r="R268" s="445"/>
      <c r="S268" s="445"/>
      <c r="T268" s="445"/>
      <c r="U268" s="445"/>
      <c r="V268" s="525"/>
      <c r="W268" s="525"/>
    </row>
    <row r="269" spans="1:23" ht="14.25">
      <c r="A269" s="435" t="s">
        <v>568</v>
      </c>
      <c r="B269" s="445">
        <v>6</v>
      </c>
      <c r="C269" s="445"/>
      <c r="D269" s="445"/>
      <c r="E269" s="445"/>
      <c r="F269" s="445"/>
      <c r="G269" s="445"/>
      <c r="H269" s="445"/>
      <c r="I269" s="445"/>
      <c r="J269" s="445"/>
      <c r="K269" s="525">
        <v>14784.42</v>
      </c>
      <c r="L269" s="525">
        <f>14784.42*12</f>
        <v>177413.04</v>
      </c>
      <c r="M269" s="445">
        <v>6</v>
      </c>
      <c r="N269" s="445"/>
      <c r="O269" s="445"/>
      <c r="P269" s="445"/>
      <c r="Q269" s="445"/>
      <c r="R269" s="445"/>
      <c r="S269" s="445"/>
      <c r="T269" s="445"/>
      <c r="U269" s="445"/>
      <c r="V269" s="525">
        <v>14784.42</v>
      </c>
      <c r="W269" s="525">
        <f>14784.42*12</f>
        <v>177413.04</v>
      </c>
    </row>
    <row r="270" spans="1:23" ht="14.25">
      <c r="A270" s="435" t="s">
        <v>15</v>
      </c>
      <c r="B270" s="445">
        <v>2</v>
      </c>
      <c r="C270" s="445"/>
      <c r="D270" s="445"/>
      <c r="E270" s="445"/>
      <c r="F270" s="445"/>
      <c r="G270" s="445"/>
      <c r="H270" s="445"/>
      <c r="I270" s="445"/>
      <c r="J270" s="445"/>
      <c r="K270" s="525">
        <v>4954.08</v>
      </c>
      <c r="L270" s="525">
        <f>4954.08*12</f>
        <v>59448.96</v>
      </c>
      <c r="M270" s="445">
        <v>2</v>
      </c>
      <c r="N270" s="445"/>
      <c r="O270" s="445"/>
      <c r="P270" s="445"/>
      <c r="Q270" s="445"/>
      <c r="R270" s="445"/>
      <c r="S270" s="445"/>
      <c r="T270" s="445"/>
      <c r="U270" s="445"/>
      <c r="V270" s="525">
        <v>4954.08</v>
      </c>
      <c r="W270" s="525">
        <f>4954.08*12</f>
        <v>59448.96</v>
      </c>
    </row>
    <row r="271" spans="1:23" ht="14.25">
      <c r="A271" s="435" t="s">
        <v>580</v>
      </c>
      <c r="B271" s="445">
        <v>2</v>
      </c>
      <c r="C271" s="445"/>
      <c r="D271" s="445"/>
      <c r="E271" s="445"/>
      <c r="F271" s="445"/>
      <c r="G271" s="445"/>
      <c r="H271" s="445"/>
      <c r="I271" s="445"/>
      <c r="J271" s="445"/>
      <c r="K271" s="525">
        <v>4611.84</v>
      </c>
      <c r="L271" s="525">
        <f>4611.84*12</f>
        <v>55342.08</v>
      </c>
      <c r="M271" s="445">
        <v>2</v>
      </c>
      <c r="N271" s="445"/>
      <c r="O271" s="445"/>
      <c r="P271" s="445"/>
      <c r="Q271" s="445"/>
      <c r="R271" s="445"/>
      <c r="S271" s="445"/>
      <c r="T271" s="445"/>
      <c r="U271" s="445"/>
      <c r="V271" s="525">
        <v>4611.84</v>
      </c>
      <c r="W271" s="525">
        <f>4611.84*12</f>
        <v>55342.08</v>
      </c>
    </row>
    <row r="272" spans="1:23" ht="12.75">
      <c r="A272" s="433" t="s">
        <v>5</v>
      </c>
      <c r="B272" s="437">
        <f>SUM(B273:B278)</f>
        <v>90</v>
      </c>
      <c r="C272" s="437"/>
      <c r="D272" s="437"/>
      <c r="E272" s="437"/>
      <c r="F272" s="437"/>
      <c r="G272" s="437"/>
      <c r="H272" s="437"/>
      <c r="I272" s="437"/>
      <c r="J272" s="437"/>
      <c r="K272" s="437"/>
      <c r="L272" s="526">
        <f>SUM(L273:L278)</f>
        <v>2341963.8</v>
      </c>
      <c r="M272" s="437">
        <f>SUM(M273:M278)</f>
        <v>90</v>
      </c>
      <c r="N272" s="437"/>
      <c r="O272" s="437"/>
      <c r="P272" s="437"/>
      <c r="Q272" s="437"/>
      <c r="R272" s="437"/>
      <c r="S272" s="437"/>
      <c r="T272" s="437"/>
      <c r="U272" s="437"/>
      <c r="V272" s="437"/>
      <c r="W272" s="526">
        <f>SUM(W273:W278)</f>
        <v>2341963.8</v>
      </c>
    </row>
    <row r="273" spans="1:23" ht="14.25">
      <c r="A273" s="435" t="s">
        <v>16</v>
      </c>
      <c r="B273" s="445">
        <v>40</v>
      </c>
      <c r="C273" s="445"/>
      <c r="D273" s="445"/>
      <c r="E273" s="445"/>
      <c r="F273" s="445"/>
      <c r="G273" s="445"/>
      <c r="H273" s="445"/>
      <c r="I273" s="445"/>
      <c r="J273" s="445"/>
      <c r="K273" s="525">
        <v>87793.01</v>
      </c>
      <c r="L273" s="525">
        <f>87793.01*12</f>
        <v>1053516.1199999999</v>
      </c>
      <c r="M273" s="445">
        <v>40</v>
      </c>
      <c r="N273" s="445"/>
      <c r="O273" s="445"/>
      <c r="P273" s="445"/>
      <c r="Q273" s="445"/>
      <c r="R273" s="445"/>
      <c r="S273" s="445"/>
      <c r="T273" s="445"/>
      <c r="U273" s="445"/>
      <c r="V273" s="525">
        <v>87793.01</v>
      </c>
      <c r="W273" s="525">
        <f>87793.01*12</f>
        <v>1053516.1199999999</v>
      </c>
    </row>
    <row r="274" spans="1:23" ht="14.25">
      <c r="A274" s="435" t="s">
        <v>569</v>
      </c>
      <c r="B274" s="445">
        <v>23</v>
      </c>
      <c r="C274" s="445"/>
      <c r="D274" s="445"/>
      <c r="E274" s="445"/>
      <c r="F274" s="445"/>
      <c r="G274" s="445"/>
      <c r="H274" s="445"/>
      <c r="I274" s="445"/>
      <c r="J274" s="445"/>
      <c r="K274" s="525">
        <v>50048.600000000006</v>
      </c>
      <c r="L274" s="525">
        <f>50048.6*12</f>
        <v>600583.2</v>
      </c>
      <c r="M274" s="445">
        <v>23</v>
      </c>
      <c r="N274" s="445"/>
      <c r="O274" s="445"/>
      <c r="P274" s="445"/>
      <c r="Q274" s="445"/>
      <c r="R274" s="445"/>
      <c r="S274" s="445"/>
      <c r="T274" s="445"/>
      <c r="U274" s="445"/>
      <c r="V274" s="525">
        <v>50048.600000000006</v>
      </c>
      <c r="W274" s="525">
        <f>50048.6*12</f>
        <v>600583.2</v>
      </c>
    </row>
    <row r="275" spans="1:23" ht="14.25">
      <c r="A275" s="435" t="s">
        <v>570</v>
      </c>
      <c r="B275" s="445">
        <v>7</v>
      </c>
      <c r="C275" s="445"/>
      <c r="D275" s="445"/>
      <c r="E275" s="445"/>
      <c r="F275" s="445"/>
      <c r="G275" s="445"/>
      <c r="H275" s="445"/>
      <c r="I275" s="445"/>
      <c r="J275" s="445"/>
      <c r="K275" s="525">
        <v>15065.240000000002</v>
      </c>
      <c r="L275" s="525">
        <f>15065.24*12</f>
        <v>180782.88</v>
      </c>
      <c r="M275" s="445">
        <v>7</v>
      </c>
      <c r="N275" s="445"/>
      <c r="O275" s="445"/>
      <c r="P275" s="445"/>
      <c r="Q275" s="445"/>
      <c r="R275" s="445"/>
      <c r="S275" s="445"/>
      <c r="T275" s="445"/>
      <c r="U275" s="445"/>
      <c r="V275" s="525">
        <v>15065.240000000002</v>
      </c>
      <c r="W275" s="525">
        <f>15065.24*12</f>
        <v>180782.88</v>
      </c>
    </row>
    <row r="276" spans="1:23" ht="14.25">
      <c r="A276" s="435" t="s">
        <v>571</v>
      </c>
      <c r="B276" s="445">
        <v>4</v>
      </c>
      <c r="C276" s="445"/>
      <c r="D276" s="445"/>
      <c r="E276" s="445"/>
      <c r="F276" s="445"/>
      <c r="G276" s="445"/>
      <c r="H276" s="445"/>
      <c r="I276" s="445"/>
      <c r="J276" s="445"/>
      <c r="K276" s="525">
        <v>8573.869999999999</v>
      </c>
      <c r="L276" s="525">
        <f>8573.87*12</f>
        <v>102886.44</v>
      </c>
      <c r="M276" s="445">
        <v>4</v>
      </c>
      <c r="N276" s="445"/>
      <c r="O276" s="445"/>
      <c r="P276" s="445"/>
      <c r="Q276" s="445"/>
      <c r="R276" s="445"/>
      <c r="S276" s="445"/>
      <c r="T276" s="445"/>
      <c r="U276" s="445"/>
      <c r="V276" s="525">
        <v>8573.869999999999</v>
      </c>
      <c r="W276" s="525">
        <f>8573.87*12</f>
        <v>102886.44</v>
      </c>
    </row>
    <row r="277" spans="1:23" ht="14.25">
      <c r="A277" s="435" t="s">
        <v>17</v>
      </c>
      <c r="B277" s="445">
        <v>14</v>
      </c>
      <c r="C277" s="445"/>
      <c r="D277" s="445"/>
      <c r="E277" s="445"/>
      <c r="F277" s="445"/>
      <c r="G277" s="445"/>
      <c r="H277" s="445"/>
      <c r="I277" s="445"/>
      <c r="J277" s="445"/>
      <c r="K277" s="525">
        <v>29433.350000000002</v>
      </c>
      <c r="L277" s="525">
        <f>29433.35*12</f>
        <v>353200.19999999995</v>
      </c>
      <c r="M277" s="445">
        <v>14</v>
      </c>
      <c r="N277" s="445"/>
      <c r="O277" s="445"/>
      <c r="P277" s="445"/>
      <c r="Q277" s="445"/>
      <c r="R277" s="445"/>
      <c r="S277" s="445"/>
      <c r="T277" s="445"/>
      <c r="U277" s="445"/>
      <c r="V277" s="525">
        <v>29433.350000000002</v>
      </c>
      <c r="W277" s="525">
        <f>29433.35*12</f>
        <v>353200.19999999995</v>
      </c>
    </row>
    <row r="278" spans="1:23" ht="14.25">
      <c r="A278" s="435" t="s">
        <v>581</v>
      </c>
      <c r="B278" s="445">
        <v>2</v>
      </c>
      <c r="C278" s="445"/>
      <c r="D278" s="445"/>
      <c r="E278" s="445"/>
      <c r="F278" s="445"/>
      <c r="G278" s="445"/>
      <c r="H278" s="445"/>
      <c r="I278" s="445"/>
      <c r="J278" s="445"/>
      <c r="K278" s="525">
        <v>4249.58</v>
      </c>
      <c r="L278" s="525">
        <f>4249.58*12</f>
        <v>50994.96</v>
      </c>
      <c r="M278" s="445">
        <v>2</v>
      </c>
      <c r="N278" s="445"/>
      <c r="O278" s="445"/>
      <c r="P278" s="445"/>
      <c r="Q278" s="445"/>
      <c r="R278" s="445"/>
      <c r="S278" s="445"/>
      <c r="T278" s="445"/>
      <c r="U278" s="445"/>
      <c r="V278" s="525">
        <v>4249.58</v>
      </c>
      <c r="W278" s="525">
        <f>4249.58*12</f>
        <v>50994.96</v>
      </c>
    </row>
    <row r="279" spans="1:23" ht="12.75">
      <c r="A279" s="433" t="s">
        <v>6</v>
      </c>
      <c r="B279" s="437">
        <f>SUM(B280:B285)</f>
        <v>158</v>
      </c>
      <c r="C279" s="437"/>
      <c r="D279" s="437"/>
      <c r="E279" s="437"/>
      <c r="F279" s="437"/>
      <c r="G279" s="437"/>
      <c r="H279" s="437"/>
      <c r="I279" s="437"/>
      <c r="J279" s="437"/>
      <c r="K279" s="437"/>
      <c r="L279" s="526">
        <f>SUM(L280:L285)</f>
        <v>3905442.36</v>
      </c>
      <c r="M279" s="437">
        <f>SUM(M280:M285)</f>
        <v>158</v>
      </c>
      <c r="N279" s="437"/>
      <c r="O279" s="437"/>
      <c r="P279" s="437"/>
      <c r="Q279" s="437"/>
      <c r="R279" s="437"/>
      <c r="S279" s="437"/>
      <c r="T279" s="437"/>
      <c r="U279" s="437"/>
      <c r="V279" s="437"/>
      <c r="W279" s="526">
        <f>SUM(W280:W285)</f>
        <v>3905442.36</v>
      </c>
    </row>
    <row r="280" spans="1:23" ht="14.25">
      <c r="A280" s="435" t="s">
        <v>18</v>
      </c>
      <c r="B280" s="445">
        <v>20</v>
      </c>
      <c r="C280" s="445"/>
      <c r="D280" s="445"/>
      <c r="E280" s="445"/>
      <c r="F280" s="445"/>
      <c r="G280" s="445"/>
      <c r="H280" s="445"/>
      <c r="I280" s="445"/>
      <c r="J280" s="445"/>
      <c r="K280" s="525">
        <v>42030.969999999994</v>
      </c>
      <c r="L280" s="525">
        <f>42030.97*12</f>
        <v>504371.64</v>
      </c>
      <c r="M280" s="445">
        <v>20</v>
      </c>
      <c r="N280" s="445"/>
      <c r="O280" s="445"/>
      <c r="P280" s="445"/>
      <c r="Q280" s="445"/>
      <c r="R280" s="445"/>
      <c r="S280" s="445"/>
      <c r="T280" s="445"/>
      <c r="U280" s="445"/>
      <c r="V280" s="525">
        <v>42030.969999999994</v>
      </c>
      <c r="W280" s="525">
        <f>42030.97*12</f>
        <v>504371.64</v>
      </c>
    </row>
    <row r="281" spans="1:23" ht="14.25">
      <c r="A281" s="435" t="s">
        <v>572</v>
      </c>
      <c r="B281" s="445">
        <v>6</v>
      </c>
      <c r="C281" s="445"/>
      <c r="D281" s="445"/>
      <c r="E281" s="445"/>
      <c r="F281" s="445"/>
      <c r="G281" s="445"/>
      <c r="H281" s="445"/>
      <c r="I281" s="445"/>
      <c r="J281" s="445"/>
      <c r="K281" s="525">
        <v>12603.9</v>
      </c>
      <c r="L281" s="525">
        <f>12603.9*12</f>
        <v>151246.8</v>
      </c>
      <c r="M281" s="445">
        <v>6</v>
      </c>
      <c r="N281" s="445"/>
      <c r="O281" s="445"/>
      <c r="P281" s="445"/>
      <c r="Q281" s="445"/>
      <c r="R281" s="445"/>
      <c r="S281" s="445"/>
      <c r="T281" s="445"/>
      <c r="U281" s="445"/>
      <c r="V281" s="525">
        <v>12603.9</v>
      </c>
      <c r="W281" s="525">
        <f>12603.9*12</f>
        <v>151246.8</v>
      </c>
    </row>
    <row r="282" spans="1:23" ht="14.25">
      <c r="A282" s="435" t="s">
        <v>573</v>
      </c>
      <c r="B282" s="445">
        <v>13</v>
      </c>
      <c r="C282" s="445"/>
      <c r="D282" s="445"/>
      <c r="E282" s="445"/>
      <c r="F282" s="445"/>
      <c r="G282" s="445"/>
      <c r="H282" s="445"/>
      <c r="I282" s="445"/>
      <c r="J282" s="445"/>
      <c r="K282" s="525">
        <v>26927.810000000005</v>
      </c>
      <c r="L282" s="525">
        <f>26927.81*12</f>
        <v>323133.72000000003</v>
      </c>
      <c r="M282" s="445">
        <v>13</v>
      </c>
      <c r="N282" s="445"/>
      <c r="O282" s="445"/>
      <c r="P282" s="445"/>
      <c r="Q282" s="445"/>
      <c r="R282" s="445"/>
      <c r="S282" s="445"/>
      <c r="T282" s="445"/>
      <c r="U282" s="445"/>
      <c r="V282" s="525">
        <v>26927.810000000005</v>
      </c>
      <c r="W282" s="525">
        <f>26927.81*12</f>
        <v>323133.72000000003</v>
      </c>
    </row>
    <row r="283" spans="1:23" ht="14.25">
      <c r="A283" s="435" t="s">
        <v>574</v>
      </c>
      <c r="B283" s="445">
        <v>16</v>
      </c>
      <c r="C283" s="445"/>
      <c r="D283" s="445"/>
      <c r="E283" s="445"/>
      <c r="F283" s="445"/>
      <c r="G283" s="445"/>
      <c r="H283" s="445"/>
      <c r="I283" s="445"/>
      <c r="J283" s="445"/>
      <c r="K283" s="525">
        <v>33206.69</v>
      </c>
      <c r="L283" s="525">
        <f>33206.69*12</f>
        <v>398480.28</v>
      </c>
      <c r="M283" s="445">
        <v>16</v>
      </c>
      <c r="N283" s="445"/>
      <c r="O283" s="445"/>
      <c r="P283" s="445"/>
      <c r="Q283" s="445"/>
      <c r="R283" s="445"/>
      <c r="S283" s="445"/>
      <c r="T283" s="445"/>
      <c r="U283" s="445"/>
      <c r="V283" s="525">
        <v>33206.69</v>
      </c>
      <c r="W283" s="525">
        <f>33206.69*12</f>
        <v>398480.28</v>
      </c>
    </row>
    <row r="284" spans="1:23" ht="14.25">
      <c r="A284" s="435" t="s">
        <v>19</v>
      </c>
      <c r="B284" s="445">
        <v>103</v>
      </c>
      <c r="C284" s="445"/>
      <c r="D284" s="445"/>
      <c r="E284" s="445"/>
      <c r="F284" s="445"/>
      <c r="G284" s="445"/>
      <c r="H284" s="445"/>
      <c r="I284" s="445"/>
      <c r="J284" s="445"/>
      <c r="K284" s="525">
        <v>210684.16000000006</v>
      </c>
      <c r="L284" s="525">
        <f>210684.16*12</f>
        <v>2528209.92</v>
      </c>
      <c r="M284" s="445">
        <v>103</v>
      </c>
      <c r="N284" s="445"/>
      <c r="O284" s="445"/>
      <c r="P284" s="445"/>
      <c r="Q284" s="445"/>
      <c r="R284" s="445"/>
      <c r="S284" s="445"/>
      <c r="T284" s="445"/>
      <c r="U284" s="445"/>
      <c r="V284" s="525">
        <v>210684.16000000006</v>
      </c>
      <c r="W284" s="525">
        <f>210684.16*12</f>
        <v>2528209.92</v>
      </c>
    </row>
    <row r="285" spans="1:23" ht="14.25">
      <c r="A285" s="435" t="s">
        <v>583</v>
      </c>
      <c r="B285" s="445"/>
      <c r="C285" s="445"/>
      <c r="D285" s="445"/>
      <c r="E285" s="445"/>
      <c r="F285" s="445"/>
      <c r="G285" s="445"/>
      <c r="H285" s="445"/>
      <c r="I285" s="445"/>
      <c r="J285" s="445"/>
      <c r="K285" s="445"/>
      <c r="L285" s="525"/>
      <c r="M285" s="445"/>
      <c r="N285" s="445"/>
      <c r="O285" s="445"/>
      <c r="P285" s="445"/>
      <c r="Q285" s="445"/>
      <c r="R285" s="445"/>
      <c r="S285" s="445"/>
      <c r="T285" s="445"/>
      <c r="U285" s="445"/>
      <c r="V285" s="445"/>
      <c r="W285" s="525"/>
    </row>
    <row r="286" spans="1:23" ht="12.75">
      <c r="A286" s="433" t="s">
        <v>586</v>
      </c>
      <c r="B286" s="437"/>
      <c r="C286" s="437"/>
      <c r="D286" s="437"/>
      <c r="E286" s="437"/>
      <c r="F286" s="437"/>
      <c r="G286" s="437"/>
      <c r="H286" s="437"/>
      <c r="I286" s="437"/>
      <c r="J286" s="527">
        <f>SUM(J287:J295)</f>
        <v>2800</v>
      </c>
      <c r="K286" s="437"/>
      <c r="L286" s="526">
        <f>SUM(L287:L295)</f>
        <v>88530507.24</v>
      </c>
      <c r="M286" s="437">
        <f>SUM(M287:M292)</f>
        <v>0</v>
      </c>
      <c r="N286" s="437"/>
      <c r="O286" s="437"/>
      <c r="P286" s="437"/>
      <c r="Q286" s="437"/>
      <c r="R286" s="437"/>
      <c r="S286" s="437"/>
      <c r="T286" s="437"/>
      <c r="U286" s="527">
        <f>SUM(U287:U295)</f>
        <v>2800</v>
      </c>
      <c r="V286" s="437"/>
      <c r="W286" s="526">
        <f>SUM(W287:W295)</f>
        <v>92007147.24</v>
      </c>
    </row>
    <row r="287" spans="1:23" ht="14.25">
      <c r="A287" s="435" t="s">
        <v>587</v>
      </c>
      <c r="B287" s="445"/>
      <c r="C287" s="445"/>
      <c r="D287" s="445"/>
      <c r="E287" s="445"/>
      <c r="F287" s="445"/>
      <c r="G287" s="445"/>
      <c r="H287" s="445"/>
      <c r="I287" s="445"/>
      <c r="J287" s="445">
        <v>514</v>
      </c>
      <c r="K287" s="528">
        <f>1349892.31</f>
        <v>1349892.31</v>
      </c>
      <c r="L287" s="528">
        <f>1349892.31*12</f>
        <v>16198707.72</v>
      </c>
      <c r="M287" s="445"/>
      <c r="N287" s="445"/>
      <c r="O287" s="445"/>
      <c r="P287" s="445"/>
      <c r="Q287" s="445"/>
      <c r="R287" s="445"/>
      <c r="S287" s="445"/>
      <c r="T287" s="445"/>
      <c r="U287" s="445">
        <v>514</v>
      </c>
      <c r="V287" s="528">
        <f>1349892.31+(100*U287)</f>
        <v>1401292.31</v>
      </c>
      <c r="W287" s="510">
        <f aca="true" t="shared" si="51" ref="W287:W294">+V287*12</f>
        <v>16815507.72</v>
      </c>
    </row>
    <row r="288" spans="1:23" ht="14.25">
      <c r="A288" s="435" t="s">
        <v>588</v>
      </c>
      <c r="B288" s="445"/>
      <c r="C288" s="445"/>
      <c r="D288" s="445"/>
      <c r="E288" s="445"/>
      <c r="F288" s="445"/>
      <c r="G288" s="445"/>
      <c r="H288" s="445"/>
      <c r="I288" s="445"/>
      <c r="J288" s="445">
        <v>573</v>
      </c>
      <c r="K288" s="525">
        <f>1620257.96</f>
        <v>1620257.96</v>
      </c>
      <c r="L288" s="525">
        <f>1620257.96*12</f>
        <v>19443095.52</v>
      </c>
      <c r="M288" s="445"/>
      <c r="N288" s="445"/>
      <c r="O288" s="445"/>
      <c r="P288" s="445"/>
      <c r="Q288" s="445"/>
      <c r="R288" s="445"/>
      <c r="S288" s="445"/>
      <c r="T288" s="445"/>
      <c r="U288" s="445">
        <v>573</v>
      </c>
      <c r="V288" s="525">
        <f>1620257.96+(110*U288)</f>
        <v>1683287.96</v>
      </c>
      <c r="W288" s="525">
        <f t="shared" si="51"/>
        <v>20199455.52</v>
      </c>
    </row>
    <row r="289" spans="1:23" ht="14.25">
      <c r="A289" s="435" t="s">
        <v>589</v>
      </c>
      <c r="B289" s="445"/>
      <c r="C289" s="445"/>
      <c r="D289" s="445"/>
      <c r="E289" s="445"/>
      <c r="F289" s="445"/>
      <c r="G289" s="445"/>
      <c r="H289" s="445"/>
      <c r="I289" s="445"/>
      <c r="J289" s="445">
        <v>375</v>
      </c>
      <c r="K289" s="525">
        <f>1210283.76</f>
        <v>1210283.76</v>
      </c>
      <c r="L289" s="525">
        <f>1210283.76*12</f>
        <v>14523405.120000001</v>
      </c>
      <c r="M289" s="445"/>
      <c r="N289" s="445"/>
      <c r="O289" s="445"/>
      <c r="P289" s="445"/>
      <c r="Q289" s="445"/>
      <c r="R289" s="445"/>
      <c r="S289" s="445"/>
      <c r="T289" s="445"/>
      <c r="U289" s="445">
        <v>375</v>
      </c>
      <c r="V289" s="525">
        <f>1210283.76+(120*U289)</f>
        <v>1255283.76</v>
      </c>
      <c r="W289" s="525">
        <f t="shared" si="51"/>
        <v>15063405.120000001</v>
      </c>
    </row>
    <row r="290" spans="1:23" ht="14.25">
      <c r="A290" s="435" t="s">
        <v>590</v>
      </c>
      <c r="B290" s="445"/>
      <c r="C290" s="445"/>
      <c r="D290" s="445"/>
      <c r="E290" s="445"/>
      <c r="F290" s="445"/>
      <c r="G290" s="445"/>
      <c r="H290" s="445"/>
      <c r="I290" s="445"/>
      <c r="J290" s="445">
        <v>148</v>
      </c>
      <c r="K290" s="525">
        <f>580712.5</f>
        <v>580712.5</v>
      </c>
      <c r="L290" s="525">
        <f>580712.5*12</f>
        <v>6968550</v>
      </c>
      <c r="M290" s="445"/>
      <c r="N290" s="445"/>
      <c r="O290" s="445"/>
      <c r="P290" s="445"/>
      <c r="Q290" s="445"/>
      <c r="R290" s="445"/>
      <c r="S290" s="445"/>
      <c r="T290" s="445"/>
      <c r="U290" s="445">
        <v>148</v>
      </c>
      <c r="V290" s="525">
        <f>580712.5+(130*U290)</f>
        <v>599952.5</v>
      </c>
      <c r="W290" s="525">
        <f t="shared" si="51"/>
        <v>7199430</v>
      </c>
    </row>
    <row r="291" spans="1:23" ht="14.25">
      <c r="A291" s="435" t="s">
        <v>591</v>
      </c>
      <c r="B291" s="445"/>
      <c r="C291" s="445"/>
      <c r="D291" s="445"/>
      <c r="E291" s="445"/>
      <c r="F291" s="445"/>
      <c r="G291" s="445"/>
      <c r="H291" s="445"/>
      <c r="I291" s="445"/>
      <c r="J291" s="445">
        <v>56</v>
      </c>
      <c r="K291" s="525">
        <f>272430.26</f>
        <v>272430.26</v>
      </c>
      <c r="L291" s="525">
        <f>272430.26*12</f>
        <v>3269163.12</v>
      </c>
      <c r="M291" s="445"/>
      <c r="N291" s="445"/>
      <c r="O291" s="445"/>
      <c r="P291" s="445"/>
      <c r="Q291" s="445"/>
      <c r="R291" s="445"/>
      <c r="S291" s="445"/>
      <c r="T291" s="445"/>
      <c r="U291" s="445">
        <v>56</v>
      </c>
      <c r="V291" s="525">
        <f>272430.26+(150*U291)</f>
        <v>280830.26</v>
      </c>
      <c r="W291" s="525">
        <f t="shared" si="51"/>
        <v>3369963.12</v>
      </c>
    </row>
    <row r="292" spans="1:23" ht="14.25">
      <c r="A292" s="435" t="s">
        <v>592</v>
      </c>
      <c r="B292" s="445"/>
      <c r="C292" s="445"/>
      <c r="D292" s="445"/>
      <c r="E292" s="445"/>
      <c r="F292" s="445"/>
      <c r="G292" s="445"/>
      <c r="H292" s="445"/>
      <c r="I292" s="445"/>
      <c r="J292" s="445">
        <v>9</v>
      </c>
      <c r="K292" s="525">
        <f>37694.89</f>
        <v>37694.89</v>
      </c>
      <c r="L292" s="525">
        <f>37694.89*12</f>
        <v>452338.68</v>
      </c>
      <c r="M292" s="445"/>
      <c r="N292" s="445"/>
      <c r="O292" s="445"/>
      <c r="P292" s="445"/>
      <c r="Q292" s="445"/>
      <c r="R292" s="445"/>
      <c r="S292" s="445"/>
      <c r="T292" s="445"/>
      <c r="U292" s="445">
        <v>9</v>
      </c>
      <c r="V292" s="525">
        <f>37694.89+(175*U292)</f>
        <v>39269.89</v>
      </c>
      <c r="W292" s="525">
        <f t="shared" si="51"/>
        <v>471238.68</v>
      </c>
    </row>
    <row r="293" spans="1:23" ht="14.25">
      <c r="A293" s="435" t="s">
        <v>593</v>
      </c>
      <c r="B293" s="445"/>
      <c r="C293" s="445"/>
      <c r="D293" s="445"/>
      <c r="E293" s="445"/>
      <c r="F293" s="445"/>
      <c r="G293" s="445"/>
      <c r="H293" s="445"/>
      <c r="I293" s="445"/>
      <c r="J293" s="445">
        <v>1</v>
      </c>
      <c r="K293" s="525">
        <f>6426.92</f>
        <v>6426.92</v>
      </c>
      <c r="L293" s="525">
        <f>6426.92*12</f>
        <v>77123.04000000001</v>
      </c>
      <c r="M293" s="445"/>
      <c r="N293" s="445"/>
      <c r="O293" s="445"/>
      <c r="P293" s="445"/>
      <c r="Q293" s="445"/>
      <c r="R293" s="445"/>
      <c r="S293" s="445"/>
      <c r="T293" s="445"/>
      <c r="U293" s="445">
        <v>1</v>
      </c>
      <c r="V293" s="525">
        <f>6426.92+(175*U293)</f>
        <v>6601.92</v>
      </c>
      <c r="W293" s="525">
        <f t="shared" si="51"/>
        <v>79223.04000000001</v>
      </c>
    </row>
    <row r="294" spans="1:23" ht="14.25">
      <c r="A294" s="435" t="s">
        <v>594</v>
      </c>
      <c r="B294" s="445"/>
      <c r="C294" s="445"/>
      <c r="D294" s="445"/>
      <c r="E294" s="445"/>
      <c r="F294" s="445"/>
      <c r="G294" s="445"/>
      <c r="H294" s="445"/>
      <c r="I294" s="445"/>
      <c r="J294" s="445">
        <v>1009</v>
      </c>
      <c r="K294" s="525">
        <f>2131944.34</f>
        <v>2131944.34</v>
      </c>
      <c r="L294" s="525">
        <f>2131944.34*12</f>
        <v>25583332.08</v>
      </c>
      <c r="M294" s="445"/>
      <c r="N294" s="445"/>
      <c r="O294" s="445"/>
      <c r="P294" s="445"/>
      <c r="Q294" s="445"/>
      <c r="R294" s="445"/>
      <c r="S294" s="445"/>
      <c r="T294" s="445"/>
      <c r="U294" s="445">
        <v>1009</v>
      </c>
      <c r="V294" s="525">
        <f>2131944.34+(100*U294)</f>
        <v>2232844.34</v>
      </c>
      <c r="W294" s="525">
        <f t="shared" si="51"/>
        <v>26794132.08</v>
      </c>
    </row>
    <row r="295" spans="1:23" ht="14.25">
      <c r="A295" s="435" t="s">
        <v>595</v>
      </c>
      <c r="B295" s="445"/>
      <c r="C295" s="445"/>
      <c r="D295" s="445"/>
      <c r="E295" s="445"/>
      <c r="F295" s="445"/>
      <c r="G295" s="445"/>
      <c r="H295" s="445"/>
      <c r="I295" s="445"/>
      <c r="J295" s="445">
        <v>115</v>
      </c>
      <c r="K295" s="525">
        <f>167899.33</f>
        <v>167899.33</v>
      </c>
      <c r="L295" s="525">
        <f>167899.33*12</f>
        <v>2014791.96</v>
      </c>
      <c r="M295" s="445"/>
      <c r="N295" s="445"/>
      <c r="O295" s="445"/>
      <c r="P295" s="445"/>
      <c r="Q295" s="445"/>
      <c r="R295" s="445"/>
      <c r="S295" s="445"/>
      <c r="T295" s="445"/>
      <c r="U295" s="445">
        <v>115</v>
      </c>
      <c r="V295" s="525">
        <f>167899.33</f>
        <v>167899.33</v>
      </c>
      <c r="W295" s="525">
        <f>167899.33*12</f>
        <v>2014791.96</v>
      </c>
    </row>
    <row r="296" spans="1:23" ht="15">
      <c r="A296" s="529" t="s">
        <v>96</v>
      </c>
      <c r="B296" s="530"/>
      <c r="C296" s="530"/>
      <c r="D296" s="531">
        <f>SUM(D297)</f>
        <v>176</v>
      </c>
      <c r="E296" s="530"/>
      <c r="F296" s="530"/>
      <c r="G296" s="530"/>
      <c r="H296" s="530"/>
      <c r="I296" s="530"/>
      <c r="J296" s="530"/>
      <c r="K296" s="530"/>
      <c r="L296" s="532">
        <f>SUM(L297)</f>
        <v>2945170.92</v>
      </c>
      <c r="M296" s="530"/>
      <c r="N296" s="530"/>
      <c r="O296" s="531">
        <f>SUM(O297)</f>
        <v>176</v>
      </c>
      <c r="P296" s="530"/>
      <c r="Q296" s="530"/>
      <c r="R296" s="530"/>
      <c r="S296" s="530"/>
      <c r="T296" s="530"/>
      <c r="U296" s="530"/>
      <c r="V296" s="530"/>
      <c r="W296" s="533">
        <f>SUM(W297)</f>
        <v>2945170.92</v>
      </c>
    </row>
    <row r="297" spans="1:23" ht="15" thickBot="1">
      <c r="A297" s="435" t="s">
        <v>596</v>
      </c>
      <c r="B297" s="445"/>
      <c r="C297" s="445"/>
      <c r="D297" s="445">
        <v>176</v>
      </c>
      <c r="E297" s="445"/>
      <c r="F297" s="445"/>
      <c r="G297" s="445"/>
      <c r="H297" s="445"/>
      <c r="I297" s="445"/>
      <c r="J297" s="445"/>
      <c r="K297" s="29">
        <v>245430.91</v>
      </c>
      <c r="L297" s="525">
        <f>K297*12</f>
        <v>2945170.92</v>
      </c>
      <c r="M297" s="525"/>
      <c r="N297" s="525"/>
      <c r="O297" s="445">
        <v>176</v>
      </c>
      <c r="P297" s="445"/>
      <c r="Q297" s="445"/>
      <c r="R297" s="445"/>
      <c r="S297" s="445"/>
      <c r="T297" s="445"/>
      <c r="U297" s="445"/>
      <c r="V297" s="29">
        <v>245430.91</v>
      </c>
      <c r="W297" s="525">
        <f>V297*12</f>
        <v>2945170.92</v>
      </c>
    </row>
    <row r="298" spans="1:23" ht="13.5" thickBot="1">
      <c r="A298" s="32" t="s">
        <v>24</v>
      </c>
      <c r="B298" s="534">
        <f>+B256+B265+B272+B279+B286+B296</f>
        <v>265</v>
      </c>
      <c r="C298" s="535"/>
      <c r="D298" s="534">
        <f>+D256+D265+D272+D279+D286+D296</f>
        <v>176</v>
      </c>
      <c r="E298" s="535"/>
      <c r="F298" s="535"/>
      <c r="G298" s="535"/>
      <c r="H298" s="535"/>
      <c r="I298" s="535"/>
      <c r="J298" s="534">
        <f>+J256+J265+J272+J279+J286+J296</f>
        <v>2800</v>
      </c>
      <c r="K298" s="536"/>
      <c r="L298" s="537">
        <f>+L256+L265+L272+L279+L286+L296</f>
        <v>98270777.03999999</v>
      </c>
      <c r="M298" s="534">
        <f>+M256+M265+M272+M279+M286+M296</f>
        <v>265</v>
      </c>
      <c r="N298" s="437"/>
      <c r="O298" s="534">
        <f>+O256+O265+O272+O279+O286+O296</f>
        <v>176</v>
      </c>
      <c r="P298" s="437"/>
      <c r="Q298" s="437"/>
      <c r="R298" s="437"/>
      <c r="S298" s="437"/>
      <c r="T298" s="437"/>
      <c r="U298" s="534">
        <f>+U256+U265+U272+U279+U286+U296</f>
        <v>2800</v>
      </c>
      <c r="V298" s="437"/>
      <c r="W298" s="537">
        <f>+W256+W265+W272+W279+W286+W296</f>
        <v>101747417.03999999</v>
      </c>
    </row>
    <row r="299" spans="1:23" ht="12.75">
      <c r="A299" s="439" t="s">
        <v>303</v>
      </c>
      <c r="B299" s="440"/>
      <c r="C299" s="440"/>
      <c r="D299" s="440"/>
      <c r="E299" s="440"/>
      <c r="F299" s="440"/>
      <c r="G299" s="440"/>
      <c r="H299" s="440"/>
      <c r="I299" s="440"/>
      <c r="J299" s="440"/>
      <c r="K299" s="440"/>
      <c r="L299" s="440"/>
      <c r="M299" s="440"/>
      <c r="N299" s="440"/>
      <c r="O299" s="440"/>
      <c r="P299" s="508"/>
      <c r="Q299" s="479"/>
      <c r="R299" s="450"/>
      <c r="S299" s="450"/>
      <c r="T299" s="508"/>
      <c r="U299" s="508"/>
      <c r="V299" s="508"/>
      <c r="W299" s="538"/>
    </row>
    <row r="300" spans="1:23" ht="12.75">
      <c r="A300" s="29" t="s">
        <v>297</v>
      </c>
      <c r="P300" s="508"/>
      <c r="Q300" s="479"/>
      <c r="R300" s="450"/>
      <c r="S300" s="450"/>
      <c r="T300" s="450"/>
      <c r="U300" s="450"/>
      <c r="V300" s="508"/>
      <c r="W300" s="538"/>
    </row>
    <row r="301" spans="1:23" ht="12.75">
      <c r="A301" s="29" t="s">
        <v>301</v>
      </c>
      <c r="L301" s="29">
        <f>2945171/12</f>
        <v>245430.91666666666</v>
      </c>
      <c r="P301" s="508"/>
      <c r="Q301" s="479"/>
      <c r="R301" s="450"/>
      <c r="S301" s="450"/>
      <c r="T301" s="450"/>
      <c r="U301" s="450"/>
      <c r="V301" s="508"/>
      <c r="W301" s="538"/>
    </row>
    <row r="302" spans="1:23" ht="12.75">
      <c r="A302" s="29" t="s">
        <v>308</v>
      </c>
      <c r="W302" s="444"/>
    </row>
    <row r="304" spans="1:23" ht="15.75">
      <c r="A304" s="249" t="s">
        <v>711</v>
      </c>
      <c r="B304" s="81"/>
      <c r="C304" s="81"/>
      <c r="D304" s="81"/>
      <c r="E304" s="81"/>
      <c r="F304" s="81"/>
      <c r="G304" s="81"/>
      <c r="H304" s="81"/>
      <c r="I304" s="81"/>
      <c r="J304" s="81"/>
      <c r="K304" s="81"/>
      <c r="L304" s="81"/>
      <c r="M304" s="81"/>
      <c r="N304" s="81"/>
      <c r="O304" s="81"/>
      <c r="P304" s="81"/>
      <c r="Q304" s="81"/>
      <c r="R304" s="81"/>
      <c r="S304" s="81"/>
      <c r="T304" s="81"/>
      <c r="U304" s="81"/>
      <c r="V304" s="81"/>
      <c r="W304" s="81"/>
    </row>
    <row r="305" spans="12:23" ht="13.5" thickBot="1">
      <c r="L305" s="426"/>
      <c r="W305" s="426"/>
    </row>
    <row r="306" spans="1:23" ht="12.75">
      <c r="A306" s="481" t="s">
        <v>10</v>
      </c>
      <c r="B306" s="1545" t="s">
        <v>412</v>
      </c>
      <c r="C306" s="1546"/>
      <c r="D306" s="1546"/>
      <c r="E306" s="1546"/>
      <c r="F306" s="1546"/>
      <c r="G306" s="1546"/>
      <c r="H306" s="1546"/>
      <c r="I306" s="1546"/>
      <c r="J306" s="1546"/>
      <c r="K306" s="1546"/>
      <c r="L306" s="1547"/>
      <c r="M306" s="1545" t="s">
        <v>413</v>
      </c>
      <c r="N306" s="1546"/>
      <c r="O306" s="1546"/>
      <c r="P306" s="1546"/>
      <c r="Q306" s="1546"/>
      <c r="R306" s="1546"/>
      <c r="S306" s="1546"/>
      <c r="T306" s="1546"/>
      <c r="U306" s="1546"/>
      <c r="V306" s="1546"/>
      <c r="W306" s="1547"/>
    </row>
    <row r="307" spans="1:23" ht="134.25">
      <c r="A307" s="482" t="s">
        <v>9</v>
      </c>
      <c r="B307" s="483" t="s">
        <v>335</v>
      </c>
      <c r="C307" s="483" t="s">
        <v>127</v>
      </c>
      <c r="D307" s="484" t="s">
        <v>296</v>
      </c>
      <c r="E307" s="484" t="s">
        <v>291</v>
      </c>
      <c r="F307" s="484" t="s">
        <v>298</v>
      </c>
      <c r="G307" s="484" t="s">
        <v>299</v>
      </c>
      <c r="H307" s="484" t="s">
        <v>300</v>
      </c>
      <c r="I307" s="484" t="s">
        <v>307</v>
      </c>
      <c r="J307" s="485" t="s">
        <v>302</v>
      </c>
      <c r="K307" s="486" t="s">
        <v>304</v>
      </c>
      <c r="L307" s="170" t="s">
        <v>306</v>
      </c>
      <c r="M307" s="483" t="s">
        <v>335</v>
      </c>
      <c r="N307" s="483" t="s">
        <v>127</v>
      </c>
      <c r="O307" s="484" t="s">
        <v>296</v>
      </c>
      <c r="P307" s="484" t="s">
        <v>291</v>
      </c>
      <c r="Q307" s="484" t="s">
        <v>298</v>
      </c>
      <c r="R307" s="484" t="s">
        <v>299</v>
      </c>
      <c r="S307" s="484" t="s">
        <v>300</v>
      </c>
      <c r="T307" s="484" t="s">
        <v>307</v>
      </c>
      <c r="U307" s="485" t="s">
        <v>302</v>
      </c>
      <c r="V307" s="486" t="s">
        <v>304</v>
      </c>
      <c r="W307" s="170" t="s">
        <v>305</v>
      </c>
    </row>
    <row r="308" spans="1:23" ht="12.75">
      <c r="A308" s="34"/>
      <c r="L308" s="37"/>
      <c r="W308" s="37"/>
    </row>
    <row r="309" spans="1:23" ht="12.75">
      <c r="A309" s="427" t="s">
        <v>7</v>
      </c>
      <c r="B309" s="428">
        <f>SUM(B313:B317)</f>
        <v>3</v>
      </c>
      <c r="C309" s="428"/>
      <c r="D309" s="428"/>
      <c r="E309" s="428"/>
      <c r="F309" s="428"/>
      <c r="G309" s="428"/>
      <c r="H309" s="428"/>
      <c r="I309" s="428"/>
      <c r="J309" s="428"/>
      <c r="K309" s="428"/>
      <c r="L309" s="428">
        <f>SUM(L311:L317)</f>
        <v>106926.23999999999</v>
      </c>
      <c r="M309" s="428">
        <f>SUM(M311:M317)</f>
        <v>3</v>
      </c>
      <c r="N309" s="428"/>
      <c r="O309" s="428"/>
      <c r="P309" s="428"/>
      <c r="Q309" s="428"/>
      <c r="R309" s="428"/>
      <c r="S309" s="428"/>
      <c r="T309" s="428"/>
      <c r="U309" s="428"/>
      <c r="V309" s="428"/>
      <c r="W309" s="428">
        <f>SUM(W311:W317)</f>
        <v>106926.23999999999</v>
      </c>
    </row>
    <row r="310" spans="1:23" ht="12.75">
      <c r="A310" s="429" t="s">
        <v>3</v>
      </c>
      <c r="B310" s="430"/>
      <c r="C310" s="430"/>
      <c r="D310" s="430"/>
      <c r="E310" s="430"/>
      <c r="F310" s="430"/>
      <c r="G310" s="430"/>
      <c r="H310" s="430"/>
      <c r="I310" s="430"/>
      <c r="J310" s="430"/>
      <c r="K310" s="430"/>
      <c r="L310" s="430"/>
      <c r="M310" s="430"/>
      <c r="N310" s="430"/>
      <c r="O310" s="430"/>
      <c r="P310" s="430"/>
      <c r="Q310" s="430"/>
      <c r="R310" s="430"/>
      <c r="S310" s="430"/>
      <c r="T310" s="430"/>
      <c r="U310" s="430"/>
      <c r="V310" s="430"/>
      <c r="W310" s="430"/>
    </row>
    <row r="311" spans="1:23" ht="12.75">
      <c r="A311" s="429" t="s">
        <v>565</v>
      </c>
      <c r="B311" s="430"/>
      <c r="C311" s="430"/>
      <c r="D311" s="430"/>
      <c r="E311" s="430"/>
      <c r="F311" s="430"/>
      <c r="G311" s="430"/>
      <c r="H311" s="430"/>
      <c r="I311" s="430"/>
      <c r="J311" s="430"/>
      <c r="K311" s="430"/>
      <c r="L311" s="430"/>
      <c r="M311" s="430"/>
      <c r="N311" s="430"/>
      <c r="O311" s="430"/>
      <c r="P311" s="430"/>
      <c r="Q311" s="430"/>
      <c r="R311" s="430"/>
      <c r="S311" s="430"/>
      <c r="T311" s="430"/>
      <c r="U311" s="430"/>
      <c r="V311" s="430"/>
      <c r="W311" s="430"/>
    </row>
    <row r="312" spans="1:23" ht="12.75">
      <c r="A312" s="429" t="s">
        <v>564</v>
      </c>
      <c r="B312" s="430"/>
      <c r="C312" s="430"/>
      <c r="D312" s="430"/>
      <c r="E312" s="430"/>
      <c r="F312" s="430"/>
      <c r="G312" s="430"/>
      <c r="H312" s="430"/>
      <c r="I312" s="430"/>
      <c r="J312" s="430"/>
      <c r="K312" s="430"/>
      <c r="L312" s="729"/>
      <c r="M312" s="430"/>
      <c r="N312" s="430"/>
      <c r="O312" s="430"/>
      <c r="P312" s="430"/>
      <c r="Q312" s="430"/>
      <c r="R312" s="430"/>
      <c r="S312" s="430"/>
      <c r="T312" s="430"/>
      <c r="U312" s="430"/>
      <c r="V312" s="430"/>
      <c r="W312" s="430"/>
    </row>
    <row r="313" spans="1:23" ht="12.75">
      <c r="A313" s="429" t="s">
        <v>563</v>
      </c>
      <c r="B313" s="430"/>
      <c r="C313" s="430"/>
      <c r="D313" s="430"/>
      <c r="E313" s="430"/>
      <c r="F313" s="430"/>
      <c r="G313" s="430"/>
      <c r="H313" s="430"/>
      <c r="I313" s="430"/>
      <c r="J313" s="430"/>
      <c r="K313" s="430"/>
      <c r="L313" s="729"/>
      <c r="M313" s="430"/>
      <c r="N313" s="430"/>
      <c r="O313" s="430"/>
      <c r="P313" s="430"/>
      <c r="Q313" s="430"/>
      <c r="R313" s="430"/>
      <c r="S313" s="430"/>
      <c r="T313" s="430"/>
      <c r="U313" s="430"/>
      <c r="V313" s="430"/>
      <c r="W313" s="729"/>
    </row>
    <row r="314" spans="1:23" ht="12.75">
      <c r="A314" s="429" t="s">
        <v>562</v>
      </c>
      <c r="B314" s="430">
        <v>1</v>
      </c>
      <c r="C314" s="430"/>
      <c r="D314" s="430"/>
      <c r="E314" s="430"/>
      <c r="F314" s="430"/>
      <c r="G314" s="430"/>
      <c r="H314" s="430"/>
      <c r="I314" s="430"/>
      <c r="J314" s="430"/>
      <c r="K314" s="430"/>
      <c r="L314" s="729">
        <v>39919.6</v>
      </c>
      <c r="M314" s="430">
        <v>1</v>
      </c>
      <c r="N314" s="430"/>
      <c r="O314" s="430"/>
      <c r="P314" s="430"/>
      <c r="Q314" s="430"/>
      <c r="R314" s="430"/>
      <c r="S314" s="430"/>
      <c r="T314" s="430"/>
      <c r="U314" s="430"/>
      <c r="V314" s="430"/>
      <c r="W314" s="729">
        <v>39919.6</v>
      </c>
    </row>
    <row r="315" spans="1:23" ht="12.75">
      <c r="A315" s="429" t="s">
        <v>561</v>
      </c>
      <c r="B315" s="430"/>
      <c r="C315" s="430"/>
      <c r="D315" s="430"/>
      <c r="E315" s="430"/>
      <c r="F315" s="430"/>
      <c r="G315" s="430"/>
      <c r="H315" s="430"/>
      <c r="I315" s="430"/>
      <c r="J315" s="430"/>
      <c r="K315" s="430"/>
      <c r="L315" s="729"/>
      <c r="M315" s="430"/>
      <c r="N315" s="430"/>
      <c r="O315" s="430"/>
      <c r="P315" s="430"/>
      <c r="Q315" s="430"/>
      <c r="R315" s="430"/>
      <c r="S315" s="430"/>
      <c r="T315" s="430"/>
      <c r="U315" s="430"/>
      <c r="V315" s="430"/>
      <c r="W315" s="729"/>
    </row>
    <row r="316" spans="1:23" ht="12.75">
      <c r="A316" s="429" t="s">
        <v>560</v>
      </c>
      <c r="B316" s="430">
        <v>2</v>
      </c>
      <c r="C316" s="430"/>
      <c r="D316" s="430"/>
      <c r="E316" s="430"/>
      <c r="F316" s="430"/>
      <c r="G316" s="430"/>
      <c r="H316" s="430"/>
      <c r="I316" s="430"/>
      <c r="J316" s="430"/>
      <c r="K316" s="430"/>
      <c r="L316" s="729">
        <v>67006.64</v>
      </c>
      <c r="M316" s="430">
        <v>2</v>
      </c>
      <c r="N316" s="430"/>
      <c r="O316" s="430"/>
      <c r="P316" s="430"/>
      <c r="Q316" s="430"/>
      <c r="R316" s="430"/>
      <c r="S316" s="430"/>
      <c r="T316" s="430"/>
      <c r="U316" s="430"/>
      <c r="V316" s="430"/>
      <c r="W316" s="729">
        <v>67006.64</v>
      </c>
    </row>
    <row r="317" spans="1:23" ht="12.75">
      <c r="A317" s="429" t="s">
        <v>12</v>
      </c>
      <c r="B317" s="430"/>
      <c r="C317" s="430"/>
      <c r="D317" s="430"/>
      <c r="E317" s="430"/>
      <c r="F317" s="430"/>
      <c r="G317" s="430"/>
      <c r="H317" s="430"/>
      <c r="I317" s="430"/>
      <c r="J317" s="430"/>
      <c r="K317" s="430"/>
      <c r="L317" s="729"/>
      <c r="M317" s="430"/>
      <c r="N317" s="430"/>
      <c r="O317" s="430"/>
      <c r="P317" s="430"/>
      <c r="Q317" s="430"/>
      <c r="R317" s="430"/>
      <c r="S317" s="430"/>
      <c r="T317" s="430"/>
      <c r="U317" s="430"/>
      <c r="V317" s="430"/>
      <c r="W317" s="729"/>
    </row>
    <row r="318" spans="1:23" ht="12.75">
      <c r="A318" s="433" t="s">
        <v>4</v>
      </c>
      <c r="B318" s="437">
        <f aca="true" t="shared" si="52" ref="B318:W318">SUM(B319:B324)</f>
        <v>12</v>
      </c>
      <c r="C318" s="437">
        <f t="shared" si="52"/>
        <v>0</v>
      </c>
      <c r="D318" s="437">
        <f t="shared" si="52"/>
        <v>0</v>
      </c>
      <c r="E318" s="437">
        <f t="shared" si="52"/>
        <v>0</v>
      </c>
      <c r="F318" s="437">
        <f t="shared" si="52"/>
        <v>0</v>
      </c>
      <c r="G318" s="437">
        <f t="shared" si="52"/>
        <v>0</v>
      </c>
      <c r="H318" s="437">
        <f t="shared" si="52"/>
        <v>0</v>
      </c>
      <c r="I318" s="437">
        <f t="shared" si="52"/>
        <v>0</v>
      </c>
      <c r="J318" s="437">
        <f t="shared" si="52"/>
        <v>0</v>
      </c>
      <c r="K318" s="437">
        <f t="shared" si="52"/>
        <v>0</v>
      </c>
      <c r="L318" s="437">
        <f t="shared" si="52"/>
        <v>356044.32</v>
      </c>
      <c r="M318" s="437">
        <f t="shared" si="52"/>
        <v>10</v>
      </c>
      <c r="N318" s="437">
        <f t="shared" si="52"/>
        <v>0</v>
      </c>
      <c r="O318" s="437">
        <f t="shared" si="52"/>
        <v>0</v>
      </c>
      <c r="P318" s="437">
        <f t="shared" si="52"/>
        <v>0</v>
      </c>
      <c r="Q318" s="437">
        <f t="shared" si="52"/>
        <v>0</v>
      </c>
      <c r="R318" s="437">
        <f t="shared" si="52"/>
        <v>0</v>
      </c>
      <c r="S318" s="437">
        <f t="shared" si="52"/>
        <v>0</v>
      </c>
      <c r="T318" s="437">
        <f t="shared" si="52"/>
        <v>0</v>
      </c>
      <c r="U318" s="437">
        <f t="shared" si="52"/>
        <v>0</v>
      </c>
      <c r="V318" s="437">
        <f t="shared" si="52"/>
        <v>0</v>
      </c>
      <c r="W318" s="437">
        <f t="shared" si="52"/>
        <v>356044.32</v>
      </c>
    </row>
    <row r="319" spans="1:23" ht="14.25">
      <c r="A319" s="435" t="s">
        <v>13</v>
      </c>
      <c r="B319" s="430"/>
      <c r="C319" s="430"/>
      <c r="D319" s="430"/>
      <c r="E319" s="430"/>
      <c r="F319" s="430"/>
      <c r="G319" s="430"/>
      <c r="H319" s="430"/>
      <c r="I319" s="430"/>
      <c r="J319" s="430"/>
      <c r="K319" s="430"/>
      <c r="L319" s="430"/>
      <c r="M319" s="430"/>
      <c r="N319" s="430"/>
      <c r="O319" s="430"/>
      <c r="P319" s="430"/>
      <c r="Q319" s="430"/>
      <c r="R319" s="430"/>
      <c r="S319" s="430"/>
      <c r="T319" s="430"/>
      <c r="U319" s="430"/>
      <c r="V319" s="430"/>
      <c r="W319" s="430"/>
    </row>
    <row r="320" spans="1:23" ht="14.25">
      <c r="A320" s="435" t="s">
        <v>566</v>
      </c>
      <c r="B320" s="430"/>
      <c r="C320" s="430"/>
      <c r="D320" s="430"/>
      <c r="E320" s="430"/>
      <c r="F320" s="430"/>
      <c r="G320" s="430"/>
      <c r="H320" s="430"/>
      <c r="I320" s="430"/>
      <c r="J320" s="430"/>
      <c r="K320" s="430"/>
      <c r="L320" s="430"/>
      <c r="M320" s="430"/>
      <c r="N320" s="430"/>
      <c r="O320" s="430"/>
      <c r="P320" s="430"/>
      <c r="Q320" s="430"/>
      <c r="R320" s="430"/>
      <c r="S320" s="430"/>
      <c r="T320" s="430"/>
      <c r="U320" s="430"/>
      <c r="V320" s="430"/>
      <c r="W320" s="430"/>
    </row>
    <row r="321" spans="1:23" ht="14.25">
      <c r="A321" s="435" t="s">
        <v>567</v>
      </c>
      <c r="B321" s="430">
        <v>1</v>
      </c>
      <c r="C321" s="430"/>
      <c r="D321" s="430"/>
      <c r="E321" s="430"/>
      <c r="F321" s="430"/>
      <c r="G321" s="430"/>
      <c r="H321" s="430"/>
      <c r="I321" s="430"/>
      <c r="J321" s="430"/>
      <c r="K321" s="430"/>
      <c r="L321" s="729">
        <v>30088</v>
      </c>
      <c r="M321" s="430">
        <v>1</v>
      </c>
      <c r="N321" s="430"/>
      <c r="O321" s="430"/>
      <c r="P321" s="430"/>
      <c r="Q321" s="430"/>
      <c r="R321" s="430"/>
      <c r="S321" s="430"/>
      <c r="T321" s="430"/>
      <c r="U321" s="430"/>
      <c r="V321" s="430"/>
      <c r="W321" s="729">
        <v>30088</v>
      </c>
    </row>
    <row r="322" spans="1:23" ht="14.25">
      <c r="A322" s="435" t="s">
        <v>568</v>
      </c>
      <c r="B322" s="430">
        <v>8</v>
      </c>
      <c r="C322" s="430"/>
      <c r="D322" s="430"/>
      <c r="E322" s="430"/>
      <c r="F322" s="430"/>
      <c r="G322" s="430"/>
      <c r="H322" s="430"/>
      <c r="I322" s="430"/>
      <c r="J322" s="430"/>
      <c r="K322" s="430"/>
      <c r="L322" s="729">
        <v>238314.56</v>
      </c>
      <c r="M322" s="430">
        <v>7</v>
      </c>
      <c r="N322" s="430"/>
      <c r="O322" s="430"/>
      <c r="P322" s="430"/>
      <c r="Q322" s="430"/>
      <c r="R322" s="430"/>
      <c r="S322" s="430"/>
      <c r="T322" s="430"/>
      <c r="U322" s="430"/>
      <c r="V322" s="430"/>
      <c r="W322" s="729">
        <v>238314.56</v>
      </c>
    </row>
    <row r="323" spans="1:23" ht="14.25">
      <c r="A323" s="435" t="s">
        <v>15</v>
      </c>
      <c r="B323" s="430"/>
      <c r="C323" s="430"/>
      <c r="D323" s="430"/>
      <c r="E323" s="430"/>
      <c r="F323" s="430"/>
      <c r="G323" s="430"/>
      <c r="H323" s="430"/>
      <c r="I323" s="430"/>
      <c r="J323" s="430"/>
      <c r="K323" s="430"/>
      <c r="L323" s="729"/>
      <c r="M323" s="430"/>
      <c r="N323" s="430"/>
      <c r="O323" s="430"/>
      <c r="P323" s="430"/>
      <c r="Q323" s="430"/>
      <c r="R323" s="430"/>
      <c r="S323" s="430"/>
      <c r="T323" s="430"/>
      <c r="U323" s="430"/>
      <c r="V323" s="430"/>
      <c r="W323" s="729"/>
    </row>
    <row r="324" spans="1:23" ht="14.25">
      <c r="A324" s="435" t="s">
        <v>580</v>
      </c>
      <c r="B324" s="430">
        <v>3</v>
      </c>
      <c r="C324" s="430"/>
      <c r="D324" s="430"/>
      <c r="E324" s="430"/>
      <c r="F324" s="430"/>
      <c r="G324" s="430"/>
      <c r="H324" s="430"/>
      <c r="I324" s="430"/>
      <c r="J324" s="430"/>
      <c r="K324" s="430"/>
      <c r="L324" s="729">
        <v>87641.76</v>
      </c>
      <c r="M324" s="430">
        <v>2</v>
      </c>
      <c r="N324" s="430"/>
      <c r="O324" s="430"/>
      <c r="P324" s="430"/>
      <c r="Q324" s="430"/>
      <c r="R324" s="430"/>
      <c r="S324" s="430"/>
      <c r="T324" s="430"/>
      <c r="U324" s="430"/>
      <c r="V324" s="430"/>
      <c r="W324" s="729">
        <v>87641.76</v>
      </c>
    </row>
    <row r="325" spans="1:23" ht="12.75">
      <c r="A325" s="433" t="s">
        <v>5</v>
      </c>
      <c r="B325" s="730">
        <f aca="true" t="shared" si="53" ref="B325:W325">SUM(B326:B327)</f>
        <v>7</v>
      </c>
      <c r="C325" s="437">
        <f t="shared" si="53"/>
        <v>0</v>
      </c>
      <c r="D325" s="437">
        <f t="shared" si="53"/>
        <v>0</v>
      </c>
      <c r="E325" s="437">
        <f t="shared" si="53"/>
        <v>0</v>
      </c>
      <c r="F325" s="437">
        <f t="shared" si="53"/>
        <v>0</v>
      </c>
      <c r="G325" s="437">
        <f t="shared" si="53"/>
        <v>0</v>
      </c>
      <c r="H325" s="437">
        <f t="shared" si="53"/>
        <v>0</v>
      </c>
      <c r="I325" s="437">
        <f t="shared" si="53"/>
        <v>0</v>
      </c>
      <c r="J325" s="437">
        <f t="shared" si="53"/>
        <v>0</v>
      </c>
      <c r="K325" s="437">
        <f t="shared" si="53"/>
        <v>0</v>
      </c>
      <c r="L325" s="526">
        <f t="shared" si="53"/>
        <v>194699.32</v>
      </c>
      <c r="M325" s="437">
        <f t="shared" si="53"/>
        <v>7</v>
      </c>
      <c r="N325" s="437">
        <f t="shared" si="53"/>
        <v>0</v>
      </c>
      <c r="O325" s="437">
        <f t="shared" si="53"/>
        <v>0</v>
      </c>
      <c r="P325" s="437">
        <f t="shared" si="53"/>
        <v>0</v>
      </c>
      <c r="Q325" s="437">
        <f t="shared" si="53"/>
        <v>0</v>
      </c>
      <c r="R325" s="437">
        <f t="shared" si="53"/>
        <v>0</v>
      </c>
      <c r="S325" s="437">
        <f t="shared" si="53"/>
        <v>0</v>
      </c>
      <c r="T325" s="437">
        <f t="shared" si="53"/>
        <v>0</v>
      </c>
      <c r="U325" s="437">
        <f t="shared" si="53"/>
        <v>0</v>
      </c>
      <c r="V325" s="437">
        <f t="shared" si="53"/>
        <v>0</v>
      </c>
      <c r="W325" s="526">
        <f t="shared" si="53"/>
        <v>194699.32</v>
      </c>
    </row>
    <row r="326" spans="1:23" ht="14.25">
      <c r="A326" s="435" t="s">
        <v>16</v>
      </c>
      <c r="B326" s="430">
        <v>3</v>
      </c>
      <c r="C326" s="430"/>
      <c r="D326" s="430"/>
      <c r="E326" s="430"/>
      <c r="F326" s="430"/>
      <c r="G326" s="430"/>
      <c r="H326" s="430"/>
      <c r="I326" s="430"/>
      <c r="J326" s="430"/>
      <c r="K326" s="430"/>
      <c r="L326" s="729">
        <v>83602.2</v>
      </c>
      <c r="M326" s="430">
        <v>3</v>
      </c>
      <c r="N326" s="430"/>
      <c r="O326" s="430"/>
      <c r="P326" s="430"/>
      <c r="Q326" s="430"/>
      <c r="R326" s="430"/>
      <c r="S326" s="430"/>
      <c r="T326" s="430"/>
      <c r="U326" s="430"/>
      <c r="V326" s="430"/>
      <c r="W326" s="729">
        <v>83602.2</v>
      </c>
    </row>
    <row r="327" spans="1:23" ht="14.25">
      <c r="A327" s="435" t="s">
        <v>569</v>
      </c>
      <c r="B327" s="430">
        <v>4</v>
      </c>
      <c r="C327" s="430"/>
      <c r="D327" s="430"/>
      <c r="E327" s="430"/>
      <c r="F327" s="430"/>
      <c r="G327" s="430"/>
      <c r="H327" s="430"/>
      <c r="I327" s="430"/>
      <c r="J327" s="430"/>
      <c r="K327" s="430"/>
      <c r="L327" s="729">
        <v>111097.12</v>
      </c>
      <c r="M327" s="430">
        <v>4</v>
      </c>
      <c r="N327" s="430"/>
      <c r="O327" s="430"/>
      <c r="P327" s="430"/>
      <c r="Q327" s="430"/>
      <c r="R327" s="430"/>
      <c r="S327" s="430"/>
      <c r="T327" s="430"/>
      <c r="U327" s="430"/>
      <c r="V327" s="430"/>
      <c r="W327" s="729">
        <v>111097.12</v>
      </c>
    </row>
    <row r="328" spans="1:23" ht="15.75">
      <c r="A328" s="106" t="s">
        <v>712</v>
      </c>
      <c r="B328" s="714"/>
      <c r="C328" s="714"/>
      <c r="D328" s="714"/>
      <c r="E328" s="714"/>
      <c r="F328" s="714"/>
      <c r="G328" s="714"/>
      <c r="H328" s="714"/>
      <c r="I328" s="714"/>
      <c r="J328" s="714"/>
      <c r="K328" s="714"/>
      <c r="L328" s="714"/>
      <c r="M328" s="714"/>
      <c r="N328" s="714"/>
      <c r="O328" s="714"/>
      <c r="P328" s="714"/>
      <c r="Q328" s="714"/>
      <c r="R328" s="714"/>
      <c r="S328" s="714"/>
      <c r="T328" s="714"/>
      <c r="U328" s="714"/>
      <c r="V328" s="714"/>
      <c r="W328" s="714"/>
    </row>
    <row r="329" spans="1:23" ht="15.75">
      <c r="A329" s="249" t="s">
        <v>711</v>
      </c>
      <c r="B329" s="81"/>
      <c r="C329" s="81"/>
      <c r="D329" s="81"/>
      <c r="E329" s="81"/>
      <c r="F329" s="81"/>
      <c r="G329" s="81"/>
      <c r="H329" s="81"/>
      <c r="I329" s="81"/>
      <c r="J329" s="81"/>
      <c r="K329" s="81"/>
      <c r="L329" s="81"/>
      <c r="M329" s="81"/>
      <c r="N329" s="81"/>
      <c r="O329" s="81"/>
      <c r="P329" s="81"/>
      <c r="Q329" s="81"/>
      <c r="R329" s="81"/>
      <c r="S329" s="81"/>
      <c r="T329" s="81"/>
      <c r="U329" s="81"/>
      <c r="V329" s="81"/>
      <c r="W329" s="81"/>
    </row>
    <row r="330" spans="12:23" ht="13.5" thickBot="1">
      <c r="L330" s="426"/>
      <c r="W330" s="426"/>
    </row>
    <row r="331" spans="1:23" ht="12.75">
      <c r="A331" s="481" t="s">
        <v>10</v>
      </c>
      <c r="B331" s="1545" t="s">
        <v>412</v>
      </c>
      <c r="C331" s="1546"/>
      <c r="D331" s="1546"/>
      <c r="E331" s="1546"/>
      <c r="F331" s="1546"/>
      <c r="G331" s="1546"/>
      <c r="H331" s="1546"/>
      <c r="I331" s="1546"/>
      <c r="J331" s="1546"/>
      <c r="K331" s="1546"/>
      <c r="L331" s="1547"/>
      <c r="M331" s="1545" t="s">
        <v>413</v>
      </c>
      <c r="N331" s="1546"/>
      <c r="O331" s="1546"/>
      <c r="P331" s="1546"/>
      <c r="Q331" s="1546"/>
      <c r="R331" s="1546"/>
      <c r="S331" s="1546"/>
      <c r="T331" s="1546"/>
      <c r="U331" s="1546"/>
      <c r="V331" s="1546"/>
      <c r="W331" s="1547"/>
    </row>
    <row r="332" spans="1:23" ht="134.25">
      <c r="A332" s="482" t="s">
        <v>9</v>
      </c>
      <c r="B332" s="483" t="s">
        <v>335</v>
      </c>
      <c r="C332" s="483" t="s">
        <v>127</v>
      </c>
      <c r="D332" s="484" t="s">
        <v>296</v>
      </c>
      <c r="E332" s="484" t="s">
        <v>291</v>
      </c>
      <c r="F332" s="484" t="s">
        <v>298</v>
      </c>
      <c r="G332" s="484" t="s">
        <v>299</v>
      </c>
      <c r="H332" s="484" t="s">
        <v>300</v>
      </c>
      <c r="I332" s="484" t="s">
        <v>307</v>
      </c>
      <c r="J332" s="485" t="s">
        <v>302</v>
      </c>
      <c r="K332" s="486" t="s">
        <v>304</v>
      </c>
      <c r="L332" s="170" t="s">
        <v>306</v>
      </c>
      <c r="M332" s="483" t="s">
        <v>335</v>
      </c>
      <c r="N332" s="483" t="s">
        <v>127</v>
      </c>
      <c r="O332" s="484" t="s">
        <v>296</v>
      </c>
      <c r="P332" s="484" t="s">
        <v>291</v>
      </c>
      <c r="Q332" s="484" t="s">
        <v>298</v>
      </c>
      <c r="R332" s="484" t="s">
        <v>299</v>
      </c>
      <c r="S332" s="484" t="s">
        <v>300</v>
      </c>
      <c r="T332" s="484" t="s">
        <v>307</v>
      </c>
      <c r="U332" s="485" t="s">
        <v>302</v>
      </c>
      <c r="V332" s="486" t="s">
        <v>304</v>
      </c>
      <c r="W332" s="170" t="s">
        <v>305</v>
      </c>
    </row>
    <row r="333" spans="1:23" ht="12.75">
      <c r="A333" s="427" t="s">
        <v>7</v>
      </c>
      <c r="B333" s="428"/>
      <c r="C333" s="428"/>
      <c r="D333" s="428"/>
      <c r="E333" s="428"/>
      <c r="F333" s="428"/>
      <c r="G333" s="428"/>
      <c r="H333" s="428"/>
      <c r="I333" s="428"/>
      <c r="J333" s="428"/>
      <c r="K333" s="428"/>
      <c r="L333" s="428">
        <f>SUM(L335:L341)</f>
        <v>0</v>
      </c>
      <c r="M333" s="428">
        <f>SUM(M335:M341)</f>
        <v>0</v>
      </c>
      <c r="N333" s="428"/>
      <c r="O333" s="428"/>
      <c r="P333" s="428"/>
      <c r="Q333" s="428"/>
      <c r="R333" s="428"/>
      <c r="S333" s="428"/>
      <c r="T333" s="428"/>
      <c r="U333" s="428"/>
      <c r="V333" s="428"/>
      <c r="W333" s="428">
        <f>SUM(W335:W341)</f>
        <v>0</v>
      </c>
    </row>
    <row r="334" spans="1:23" ht="12.75">
      <c r="A334" s="429" t="s">
        <v>3</v>
      </c>
      <c r="B334" s="430"/>
      <c r="C334" s="430"/>
      <c r="D334" s="430"/>
      <c r="E334" s="430"/>
      <c r="F334" s="430"/>
      <c r="G334" s="430"/>
      <c r="H334" s="430"/>
      <c r="I334" s="430"/>
      <c r="J334" s="430"/>
      <c r="K334" s="430"/>
      <c r="L334" s="430"/>
      <c r="M334" s="430"/>
      <c r="N334" s="430"/>
      <c r="O334" s="430"/>
      <c r="P334" s="430"/>
      <c r="Q334" s="430"/>
      <c r="R334" s="430"/>
      <c r="S334" s="430"/>
      <c r="T334" s="430"/>
      <c r="U334" s="430"/>
      <c r="V334" s="430"/>
      <c r="W334" s="430"/>
    </row>
    <row r="335" spans="1:23" ht="12.75">
      <c r="A335" s="429" t="s">
        <v>565</v>
      </c>
      <c r="B335" s="430"/>
      <c r="C335" s="430"/>
      <c r="D335" s="430"/>
      <c r="E335" s="430"/>
      <c r="F335" s="430"/>
      <c r="G335" s="430"/>
      <c r="H335" s="430"/>
      <c r="I335" s="430"/>
      <c r="J335" s="430"/>
      <c r="K335" s="430"/>
      <c r="L335" s="430"/>
      <c r="M335" s="430"/>
      <c r="N335" s="430"/>
      <c r="O335" s="430"/>
      <c r="P335" s="430"/>
      <c r="Q335" s="430"/>
      <c r="R335" s="430"/>
      <c r="S335" s="430"/>
      <c r="T335" s="430"/>
      <c r="U335" s="430"/>
      <c r="V335" s="430"/>
      <c r="W335" s="430"/>
    </row>
    <row r="336" spans="1:23" ht="12.75">
      <c r="A336" s="429" t="s">
        <v>564</v>
      </c>
      <c r="B336" s="430"/>
      <c r="C336" s="430"/>
      <c r="D336" s="430"/>
      <c r="E336" s="430"/>
      <c r="F336" s="430"/>
      <c r="G336" s="430"/>
      <c r="H336" s="430"/>
      <c r="I336" s="430"/>
      <c r="J336" s="430"/>
      <c r="K336" s="430"/>
      <c r="L336" s="729"/>
      <c r="M336" s="430"/>
      <c r="N336" s="430"/>
      <c r="O336" s="430"/>
      <c r="P336" s="430"/>
      <c r="Q336" s="430"/>
      <c r="R336" s="430"/>
      <c r="S336" s="430"/>
      <c r="T336" s="430"/>
      <c r="U336" s="430"/>
      <c r="V336" s="430"/>
      <c r="W336" s="430"/>
    </row>
    <row r="337" spans="1:23" ht="12.75">
      <c r="A337" s="429" t="s">
        <v>563</v>
      </c>
      <c r="B337" s="430"/>
      <c r="C337" s="430"/>
      <c r="D337" s="430"/>
      <c r="E337" s="430"/>
      <c r="F337" s="430"/>
      <c r="G337" s="430"/>
      <c r="H337" s="430"/>
      <c r="I337" s="430"/>
      <c r="J337" s="430"/>
      <c r="K337" s="430"/>
      <c r="L337" s="729"/>
      <c r="M337" s="430"/>
      <c r="N337" s="430"/>
      <c r="O337" s="430"/>
      <c r="P337" s="430"/>
      <c r="Q337" s="430"/>
      <c r="R337" s="430"/>
      <c r="S337" s="430"/>
      <c r="T337" s="430"/>
      <c r="U337" s="430"/>
      <c r="V337" s="430"/>
      <c r="W337" s="729"/>
    </row>
    <row r="338" spans="1:23" ht="12.75">
      <c r="A338" s="429" t="s">
        <v>562</v>
      </c>
      <c r="B338" s="430"/>
      <c r="C338" s="430"/>
      <c r="D338" s="430"/>
      <c r="E338" s="430"/>
      <c r="F338" s="430"/>
      <c r="G338" s="430"/>
      <c r="H338" s="430"/>
      <c r="I338" s="430"/>
      <c r="J338" s="430"/>
      <c r="K338" s="430"/>
      <c r="L338" s="729"/>
      <c r="M338" s="430"/>
      <c r="N338" s="430"/>
      <c r="O338" s="430"/>
      <c r="P338" s="430"/>
      <c r="Q338" s="430"/>
      <c r="R338" s="430"/>
      <c r="S338" s="430"/>
      <c r="T338" s="430"/>
      <c r="U338" s="430"/>
      <c r="V338" s="430"/>
      <c r="W338" s="729"/>
    </row>
    <row r="339" spans="1:23" ht="12.75">
      <c r="A339" s="429" t="s">
        <v>561</v>
      </c>
      <c r="B339" s="430"/>
      <c r="C339" s="430"/>
      <c r="D339" s="430"/>
      <c r="E339" s="430"/>
      <c r="F339" s="430"/>
      <c r="G339" s="430"/>
      <c r="H339" s="430"/>
      <c r="I339" s="430"/>
      <c r="J339" s="430"/>
      <c r="K339" s="430"/>
      <c r="L339" s="729"/>
      <c r="M339" s="430"/>
      <c r="N339" s="430"/>
      <c r="O339" s="430"/>
      <c r="P339" s="430"/>
      <c r="Q339" s="430"/>
      <c r="R339" s="430"/>
      <c r="S339" s="430"/>
      <c r="T339" s="430"/>
      <c r="U339" s="430"/>
      <c r="V339" s="430"/>
      <c r="W339" s="729"/>
    </row>
    <row r="340" spans="1:23" ht="12.75">
      <c r="A340" s="429" t="s">
        <v>560</v>
      </c>
      <c r="B340" s="430"/>
      <c r="C340" s="430"/>
      <c r="D340" s="430"/>
      <c r="E340" s="430"/>
      <c r="F340" s="430"/>
      <c r="G340" s="430"/>
      <c r="H340" s="430"/>
      <c r="I340" s="430"/>
      <c r="J340" s="430"/>
      <c r="K340" s="430"/>
      <c r="L340" s="729"/>
      <c r="M340" s="430"/>
      <c r="N340" s="430"/>
      <c r="O340" s="430"/>
      <c r="P340" s="430"/>
      <c r="Q340" s="430"/>
      <c r="R340" s="430"/>
      <c r="S340" s="430"/>
      <c r="T340" s="430"/>
      <c r="U340" s="430"/>
      <c r="V340" s="430"/>
      <c r="W340" s="729"/>
    </row>
    <row r="341" spans="1:23" ht="12.75">
      <c r="A341" s="429" t="s">
        <v>12</v>
      </c>
      <c r="B341" s="430"/>
      <c r="C341" s="430"/>
      <c r="D341" s="430"/>
      <c r="E341" s="430"/>
      <c r="F341" s="430"/>
      <c r="G341" s="430"/>
      <c r="H341" s="430"/>
      <c r="I341" s="430"/>
      <c r="J341" s="430"/>
      <c r="K341" s="430"/>
      <c r="L341" s="729"/>
      <c r="M341" s="430"/>
      <c r="N341" s="430"/>
      <c r="O341" s="430"/>
      <c r="P341" s="430"/>
      <c r="Q341" s="430"/>
      <c r="R341" s="430"/>
      <c r="S341" s="430"/>
      <c r="T341" s="430"/>
      <c r="U341" s="430"/>
      <c r="V341" s="430"/>
      <c r="W341" s="729"/>
    </row>
    <row r="342" spans="1:23" ht="12.75">
      <c r="A342" s="433" t="s">
        <v>4</v>
      </c>
      <c r="B342" s="437">
        <f aca="true" t="shared" si="54" ref="B342:W342">SUM(B343:B378)</f>
        <v>103</v>
      </c>
      <c r="C342" s="437">
        <f t="shared" si="54"/>
        <v>0</v>
      </c>
      <c r="D342" s="437">
        <f t="shared" si="54"/>
        <v>0</v>
      </c>
      <c r="E342" s="437">
        <f t="shared" si="54"/>
        <v>0</v>
      </c>
      <c r="F342" s="437">
        <f t="shared" si="54"/>
        <v>0</v>
      </c>
      <c r="G342" s="437">
        <f t="shared" si="54"/>
        <v>0</v>
      </c>
      <c r="H342" s="437">
        <f t="shared" si="54"/>
        <v>0</v>
      </c>
      <c r="I342" s="437">
        <f t="shared" si="54"/>
        <v>0</v>
      </c>
      <c r="J342" s="437">
        <f t="shared" si="54"/>
        <v>0</v>
      </c>
      <c r="K342" s="437">
        <f t="shared" si="54"/>
        <v>0</v>
      </c>
      <c r="L342" s="437">
        <f t="shared" si="54"/>
        <v>6969248.48</v>
      </c>
      <c r="M342" s="437">
        <f t="shared" si="54"/>
        <v>103</v>
      </c>
      <c r="N342" s="437">
        <f t="shared" si="54"/>
        <v>0</v>
      </c>
      <c r="O342" s="437">
        <f t="shared" si="54"/>
        <v>0</v>
      </c>
      <c r="P342" s="437">
        <f t="shared" si="54"/>
        <v>0</v>
      </c>
      <c r="Q342" s="437">
        <f t="shared" si="54"/>
        <v>0</v>
      </c>
      <c r="R342" s="437">
        <f t="shared" si="54"/>
        <v>0</v>
      </c>
      <c r="S342" s="437">
        <f t="shared" si="54"/>
        <v>0</v>
      </c>
      <c r="T342" s="437">
        <f t="shared" si="54"/>
        <v>0</v>
      </c>
      <c r="U342" s="437">
        <f t="shared" si="54"/>
        <v>0</v>
      </c>
      <c r="V342" s="437">
        <f t="shared" si="54"/>
        <v>0</v>
      </c>
      <c r="W342" s="437">
        <f t="shared" si="54"/>
        <v>7085134.48</v>
      </c>
    </row>
    <row r="343" spans="1:23" ht="14.25">
      <c r="A343" s="435" t="s">
        <v>13</v>
      </c>
      <c r="B343" s="430"/>
      <c r="C343" s="430"/>
      <c r="D343" s="430"/>
      <c r="E343" s="430"/>
      <c r="F343" s="430"/>
      <c r="G343" s="430"/>
      <c r="H343" s="430"/>
      <c r="I343" s="430"/>
      <c r="J343" s="430"/>
      <c r="K343" s="430"/>
      <c r="L343" s="430"/>
      <c r="M343" s="430"/>
      <c r="N343" s="430"/>
      <c r="O343" s="430"/>
      <c r="P343" s="430"/>
      <c r="Q343" s="430"/>
      <c r="R343" s="430"/>
      <c r="S343" s="430"/>
      <c r="T343" s="430"/>
      <c r="U343" s="430"/>
      <c r="V343" s="430"/>
      <c r="W343" s="430"/>
    </row>
    <row r="344" spans="1:23" ht="14.25">
      <c r="A344" s="435" t="s">
        <v>566</v>
      </c>
      <c r="B344" s="430"/>
      <c r="C344" s="430"/>
      <c r="D344" s="430"/>
      <c r="E344" s="430"/>
      <c r="F344" s="430"/>
      <c r="G344" s="430"/>
      <c r="H344" s="430"/>
      <c r="I344" s="430"/>
      <c r="J344" s="430"/>
      <c r="K344" s="430"/>
      <c r="L344" s="430"/>
      <c r="M344" s="430"/>
      <c r="N344" s="430"/>
      <c r="O344" s="430"/>
      <c r="P344" s="430"/>
      <c r="Q344" s="430"/>
      <c r="R344" s="430"/>
      <c r="S344" s="430"/>
      <c r="T344" s="430"/>
      <c r="U344" s="430"/>
      <c r="V344" s="430"/>
      <c r="W344" s="430"/>
    </row>
    <row r="345" spans="1:23" ht="14.25">
      <c r="A345" s="435" t="s">
        <v>567</v>
      </c>
      <c r="B345" s="430"/>
      <c r="C345" s="430"/>
      <c r="D345" s="430"/>
      <c r="E345" s="430"/>
      <c r="F345" s="430"/>
      <c r="G345" s="430"/>
      <c r="H345" s="430"/>
      <c r="I345" s="430"/>
      <c r="J345" s="430"/>
      <c r="K345" s="430"/>
      <c r="L345" s="729"/>
      <c r="M345" s="430"/>
      <c r="N345" s="430"/>
      <c r="O345" s="430"/>
      <c r="P345" s="430"/>
      <c r="Q345" s="430"/>
      <c r="R345" s="430"/>
      <c r="S345" s="430"/>
      <c r="T345" s="430"/>
      <c r="U345" s="430"/>
      <c r="V345" s="430"/>
      <c r="W345" s="729"/>
    </row>
    <row r="346" spans="1:23" ht="14.25">
      <c r="A346" s="435" t="s">
        <v>568</v>
      </c>
      <c r="B346" s="430">
        <v>2</v>
      </c>
      <c r="C346" s="430"/>
      <c r="D346" s="430"/>
      <c r="E346" s="430"/>
      <c r="F346" s="430"/>
      <c r="G346" s="430"/>
      <c r="H346" s="430"/>
      <c r="I346" s="430"/>
      <c r="J346" s="430"/>
      <c r="K346" s="430"/>
      <c r="L346" s="729">
        <v>80066.24</v>
      </c>
      <c r="M346" s="430">
        <v>2</v>
      </c>
      <c r="N346" s="430"/>
      <c r="O346" s="430"/>
      <c r="P346" s="430"/>
      <c r="Q346" s="430"/>
      <c r="R346" s="430"/>
      <c r="S346" s="430"/>
      <c r="T346" s="430"/>
      <c r="U346" s="430"/>
      <c r="V346" s="430"/>
      <c r="W346" s="729">
        <v>80066.24</v>
      </c>
    </row>
    <row r="347" spans="1:23" ht="14.25">
      <c r="A347" s="435" t="s">
        <v>15</v>
      </c>
      <c r="B347" s="430">
        <v>2</v>
      </c>
      <c r="C347" s="430"/>
      <c r="D347" s="430"/>
      <c r="E347" s="430"/>
      <c r="F347" s="430"/>
      <c r="G347" s="430"/>
      <c r="H347" s="430"/>
      <c r="I347" s="430"/>
      <c r="J347" s="430"/>
      <c r="K347" s="430"/>
      <c r="L347" s="729">
        <v>83864.72</v>
      </c>
      <c r="M347" s="430">
        <v>2</v>
      </c>
      <c r="N347" s="430"/>
      <c r="O347" s="430"/>
      <c r="P347" s="430"/>
      <c r="Q347" s="430"/>
      <c r="R347" s="430"/>
      <c r="S347" s="430"/>
      <c r="T347" s="430"/>
      <c r="U347" s="430"/>
      <c r="V347" s="430"/>
      <c r="W347" s="729">
        <v>83864.72</v>
      </c>
    </row>
    <row r="348" spans="1:23" ht="14.25">
      <c r="A348" s="435" t="s">
        <v>580</v>
      </c>
      <c r="B348" s="430">
        <v>2</v>
      </c>
      <c r="C348" s="430"/>
      <c r="D348" s="430"/>
      <c r="E348" s="430"/>
      <c r="F348" s="430"/>
      <c r="G348" s="430"/>
      <c r="H348" s="430"/>
      <c r="I348" s="430"/>
      <c r="J348" s="430"/>
      <c r="K348" s="430"/>
      <c r="L348" s="729">
        <v>83402</v>
      </c>
      <c r="M348" s="430">
        <v>2</v>
      </c>
      <c r="N348" s="430"/>
      <c r="O348" s="430"/>
      <c r="P348" s="430"/>
      <c r="Q348" s="430"/>
      <c r="R348" s="430"/>
      <c r="S348" s="430"/>
      <c r="T348" s="430"/>
      <c r="U348" s="430"/>
      <c r="V348" s="430"/>
      <c r="W348" s="729">
        <v>83402</v>
      </c>
    </row>
    <row r="349" spans="1:23" ht="14.25">
      <c r="A349" s="731" t="s">
        <v>745</v>
      </c>
      <c r="B349" s="430">
        <v>10</v>
      </c>
      <c r="C349" s="430"/>
      <c r="D349" s="430"/>
      <c r="E349" s="430"/>
      <c r="F349" s="430"/>
      <c r="G349" s="430"/>
      <c r="H349" s="430"/>
      <c r="I349" s="430"/>
      <c r="J349" s="430"/>
      <c r="K349" s="430"/>
      <c r="L349" s="729">
        <v>791222.8</v>
      </c>
      <c r="M349" s="430">
        <v>10</v>
      </c>
      <c r="N349" s="430"/>
      <c r="O349" s="430"/>
      <c r="P349" s="430"/>
      <c r="Q349" s="430"/>
      <c r="R349" s="430"/>
      <c r="S349" s="430"/>
      <c r="T349" s="430"/>
      <c r="U349" s="430"/>
      <c r="V349" s="430"/>
      <c r="W349" s="729">
        <v>788219</v>
      </c>
    </row>
    <row r="350" spans="1:23" ht="14.25">
      <c r="A350" s="731" t="s">
        <v>746</v>
      </c>
      <c r="B350" s="430"/>
      <c r="C350" s="430"/>
      <c r="D350" s="430"/>
      <c r="E350" s="430"/>
      <c r="F350" s="430"/>
      <c r="G350" s="430"/>
      <c r="H350" s="430"/>
      <c r="I350" s="430"/>
      <c r="J350" s="430"/>
      <c r="K350" s="430"/>
      <c r="L350" s="729"/>
      <c r="M350" s="430"/>
      <c r="N350" s="430"/>
      <c r="O350" s="430"/>
      <c r="P350" s="430"/>
      <c r="Q350" s="430"/>
      <c r="R350" s="430"/>
      <c r="S350" s="430"/>
      <c r="T350" s="430"/>
      <c r="U350" s="430"/>
      <c r="V350" s="430"/>
      <c r="W350" s="729">
        <v>62779</v>
      </c>
    </row>
    <row r="351" spans="1:23" ht="14.25">
      <c r="A351" s="731" t="s">
        <v>747</v>
      </c>
      <c r="B351" s="430">
        <v>2</v>
      </c>
      <c r="C351" s="430"/>
      <c r="D351" s="430"/>
      <c r="E351" s="430"/>
      <c r="F351" s="430"/>
      <c r="G351" s="430"/>
      <c r="H351" s="430"/>
      <c r="I351" s="430"/>
      <c r="J351" s="430"/>
      <c r="K351" s="430"/>
      <c r="L351" s="729">
        <v>139211.6</v>
      </c>
      <c r="M351" s="430">
        <v>2</v>
      </c>
      <c r="N351" s="430"/>
      <c r="O351" s="430"/>
      <c r="P351" s="430"/>
      <c r="Q351" s="430"/>
      <c r="R351" s="430"/>
      <c r="S351" s="430"/>
      <c r="T351" s="430"/>
      <c r="U351" s="430"/>
      <c r="V351" s="430"/>
      <c r="W351" s="729">
        <v>139211.6</v>
      </c>
    </row>
    <row r="352" spans="1:23" ht="14.25">
      <c r="A352" s="731" t="s">
        <v>748</v>
      </c>
      <c r="B352" s="430">
        <v>2</v>
      </c>
      <c r="C352" s="430"/>
      <c r="D352" s="430"/>
      <c r="E352" s="430"/>
      <c r="F352" s="430"/>
      <c r="G352" s="430"/>
      <c r="H352" s="430"/>
      <c r="I352" s="430"/>
      <c r="J352" s="430"/>
      <c r="K352" s="430"/>
      <c r="L352" s="729">
        <v>134530.64</v>
      </c>
      <c r="M352" s="430">
        <v>2</v>
      </c>
      <c r="N352" s="430"/>
      <c r="O352" s="430"/>
      <c r="P352" s="430"/>
      <c r="Q352" s="430"/>
      <c r="R352" s="430"/>
      <c r="S352" s="430"/>
      <c r="T352" s="430"/>
      <c r="U352" s="430"/>
      <c r="V352" s="430"/>
      <c r="W352" s="729">
        <v>134530.64</v>
      </c>
    </row>
    <row r="353" spans="1:23" ht="14.25">
      <c r="A353" s="731" t="s">
        <v>749</v>
      </c>
      <c r="B353" s="430">
        <v>25</v>
      </c>
      <c r="C353" s="430"/>
      <c r="D353" s="430"/>
      <c r="E353" s="430"/>
      <c r="F353" s="430"/>
      <c r="G353" s="430"/>
      <c r="H353" s="430"/>
      <c r="I353" s="430"/>
      <c r="J353" s="430"/>
      <c r="K353" s="430"/>
      <c r="L353" s="729">
        <v>1420269.16</v>
      </c>
      <c r="M353" s="430">
        <v>26</v>
      </c>
      <c r="N353" s="430"/>
      <c r="O353" s="430"/>
      <c r="P353" s="430"/>
      <c r="Q353" s="430"/>
      <c r="R353" s="430"/>
      <c r="S353" s="430"/>
      <c r="T353" s="430"/>
      <c r="U353" s="430"/>
      <c r="V353" s="430"/>
      <c r="W353" s="729">
        <f>1420269.16+56110.8</f>
        <v>1476379.96</v>
      </c>
    </row>
    <row r="354" spans="1:23" ht="14.25">
      <c r="A354" s="731" t="s">
        <v>750</v>
      </c>
      <c r="B354" s="430">
        <v>1</v>
      </c>
      <c r="C354" s="430"/>
      <c r="D354" s="430"/>
      <c r="E354" s="430"/>
      <c r="F354" s="430"/>
      <c r="G354" s="430"/>
      <c r="H354" s="430"/>
      <c r="I354" s="430"/>
      <c r="J354" s="430"/>
      <c r="K354" s="430"/>
      <c r="L354" s="729">
        <v>70378.6</v>
      </c>
      <c r="M354" s="430">
        <v>1</v>
      </c>
      <c r="N354" s="430"/>
      <c r="O354" s="430"/>
      <c r="P354" s="430"/>
      <c r="Q354" s="430"/>
      <c r="R354" s="430"/>
      <c r="S354" s="430"/>
      <c r="T354" s="430"/>
      <c r="U354" s="430"/>
      <c r="V354" s="430"/>
      <c r="W354" s="729">
        <v>70378.6</v>
      </c>
    </row>
    <row r="355" spans="1:23" ht="14.25">
      <c r="A355" s="731" t="s">
        <v>751</v>
      </c>
      <c r="B355" s="430"/>
      <c r="C355" s="430"/>
      <c r="D355" s="430"/>
      <c r="E355" s="430"/>
      <c r="F355" s="430"/>
      <c r="G355" s="430"/>
      <c r="H355" s="430"/>
      <c r="I355" s="430"/>
      <c r="J355" s="430"/>
      <c r="K355" s="430"/>
      <c r="L355" s="729"/>
      <c r="M355" s="430"/>
      <c r="N355" s="430"/>
      <c r="O355" s="430"/>
      <c r="P355" s="430"/>
      <c r="Q355" s="430"/>
      <c r="R355" s="430"/>
      <c r="S355" s="430"/>
      <c r="T355" s="430"/>
      <c r="U355" s="430"/>
      <c r="V355" s="430"/>
      <c r="W355" s="729"/>
    </row>
    <row r="356" spans="1:23" ht="14.25">
      <c r="A356" s="731" t="s">
        <v>752</v>
      </c>
      <c r="B356" s="430">
        <v>2</v>
      </c>
      <c r="C356" s="430"/>
      <c r="D356" s="430"/>
      <c r="E356" s="430"/>
      <c r="F356" s="430"/>
      <c r="G356" s="430"/>
      <c r="H356" s="430"/>
      <c r="I356" s="430"/>
      <c r="J356" s="430"/>
      <c r="K356" s="430"/>
      <c r="L356" s="729">
        <v>84156.8</v>
      </c>
      <c r="M356" s="430">
        <v>2</v>
      </c>
      <c r="N356" s="430"/>
      <c r="O356" s="430"/>
      <c r="P356" s="430"/>
      <c r="Q356" s="430"/>
      <c r="R356" s="430"/>
      <c r="S356" s="430"/>
      <c r="T356" s="430"/>
      <c r="U356" s="430"/>
      <c r="V356" s="430"/>
      <c r="W356" s="729">
        <v>84156.8</v>
      </c>
    </row>
    <row r="357" spans="1:23" ht="14.25">
      <c r="A357" s="731" t="s">
        <v>753</v>
      </c>
      <c r="B357" s="430">
        <v>2</v>
      </c>
      <c r="C357" s="430"/>
      <c r="D357" s="430"/>
      <c r="E357" s="430"/>
      <c r="F357" s="430"/>
      <c r="G357" s="430"/>
      <c r="H357" s="430"/>
      <c r="I357" s="430"/>
      <c r="J357" s="430"/>
      <c r="K357" s="430"/>
      <c r="L357" s="729">
        <v>107132.12</v>
      </c>
      <c r="M357" s="430">
        <v>2</v>
      </c>
      <c r="N357" s="430"/>
      <c r="O357" s="430"/>
      <c r="P357" s="430"/>
      <c r="Q357" s="430"/>
      <c r="R357" s="430"/>
      <c r="S357" s="430"/>
      <c r="T357" s="430"/>
      <c r="U357" s="430"/>
      <c r="V357" s="430"/>
      <c r="W357" s="729">
        <v>107132.12</v>
      </c>
    </row>
    <row r="358" spans="1:23" ht="14.25">
      <c r="A358" s="731" t="s">
        <v>754</v>
      </c>
      <c r="B358" s="430">
        <v>1</v>
      </c>
      <c r="C358" s="430"/>
      <c r="D358" s="430"/>
      <c r="E358" s="430"/>
      <c r="F358" s="430"/>
      <c r="G358" s="430"/>
      <c r="H358" s="430"/>
      <c r="I358" s="430"/>
      <c r="J358" s="430"/>
      <c r="K358" s="430"/>
      <c r="L358" s="729">
        <v>84156.8</v>
      </c>
      <c r="M358" s="430">
        <v>1</v>
      </c>
      <c r="N358" s="430"/>
      <c r="O358" s="430"/>
      <c r="P358" s="430"/>
      <c r="Q358" s="430"/>
      <c r="R358" s="430"/>
      <c r="S358" s="430"/>
      <c r="T358" s="430"/>
      <c r="U358" s="430"/>
      <c r="V358" s="430"/>
      <c r="W358" s="729">
        <v>84156.8</v>
      </c>
    </row>
    <row r="359" spans="1:23" ht="14.25">
      <c r="A359" s="731" t="s">
        <v>755</v>
      </c>
      <c r="B359" s="430">
        <v>1</v>
      </c>
      <c r="C359" s="430"/>
      <c r="D359" s="430"/>
      <c r="E359" s="430"/>
      <c r="F359" s="430"/>
      <c r="G359" s="430"/>
      <c r="H359" s="430"/>
      <c r="I359" s="430"/>
      <c r="J359" s="430"/>
      <c r="K359" s="430"/>
      <c r="L359" s="729">
        <v>41608.36</v>
      </c>
      <c r="M359" s="430">
        <v>1</v>
      </c>
      <c r="N359" s="430"/>
      <c r="O359" s="430"/>
      <c r="P359" s="430"/>
      <c r="Q359" s="430"/>
      <c r="R359" s="430"/>
      <c r="S359" s="430"/>
      <c r="T359" s="430"/>
      <c r="U359" s="430"/>
      <c r="V359" s="430"/>
      <c r="W359" s="729">
        <v>41608.36</v>
      </c>
    </row>
    <row r="360" spans="1:23" ht="14.25">
      <c r="A360" s="731" t="s">
        <v>756</v>
      </c>
      <c r="B360" s="430">
        <v>8</v>
      </c>
      <c r="C360" s="430"/>
      <c r="D360" s="430"/>
      <c r="E360" s="430"/>
      <c r="F360" s="430"/>
      <c r="G360" s="430"/>
      <c r="H360" s="430"/>
      <c r="I360" s="430"/>
      <c r="J360" s="430"/>
      <c r="K360" s="430"/>
      <c r="L360" s="729">
        <v>980620.52</v>
      </c>
      <c r="M360" s="430">
        <v>8</v>
      </c>
      <c r="N360" s="430"/>
      <c r="O360" s="430"/>
      <c r="P360" s="430"/>
      <c r="Q360" s="430"/>
      <c r="R360" s="430"/>
      <c r="S360" s="430"/>
      <c r="T360" s="430"/>
      <c r="U360" s="430"/>
      <c r="V360" s="430"/>
      <c r="W360" s="729">
        <v>980620.52</v>
      </c>
    </row>
    <row r="361" spans="1:23" ht="14.25">
      <c r="A361" s="731" t="s">
        <v>757</v>
      </c>
      <c r="B361" s="430">
        <v>2</v>
      </c>
      <c r="C361" s="430"/>
      <c r="D361" s="430"/>
      <c r="E361" s="430"/>
      <c r="F361" s="430"/>
      <c r="G361" s="430"/>
      <c r="H361" s="430"/>
      <c r="I361" s="430"/>
      <c r="J361" s="430"/>
      <c r="K361" s="430"/>
      <c r="L361" s="729">
        <v>226239.44</v>
      </c>
      <c r="M361" s="430">
        <v>2</v>
      </c>
      <c r="N361" s="430"/>
      <c r="O361" s="430"/>
      <c r="P361" s="430"/>
      <c r="Q361" s="430"/>
      <c r="R361" s="430"/>
      <c r="S361" s="430"/>
      <c r="T361" s="430"/>
      <c r="U361" s="430"/>
      <c r="V361" s="430"/>
      <c r="W361" s="729">
        <v>226239.44</v>
      </c>
    </row>
    <row r="362" spans="1:23" ht="14.25">
      <c r="A362" s="731" t="s">
        <v>758</v>
      </c>
      <c r="B362" s="430"/>
      <c r="C362" s="430"/>
      <c r="D362" s="430"/>
      <c r="E362" s="430"/>
      <c r="F362" s="430"/>
      <c r="G362" s="430"/>
      <c r="H362" s="430"/>
      <c r="I362" s="430"/>
      <c r="J362" s="430"/>
      <c r="K362" s="430"/>
      <c r="L362" s="729"/>
      <c r="M362" s="430"/>
      <c r="N362" s="430"/>
      <c r="O362" s="430"/>
      <c r="P362" s="430"/>
      <c r="Q362" s="430"/>
      <c r="R362" s="430"/>
      <c r="S362" s="430"/>
      <c r="T362" s="430"/>
      <c r="U362" s="430"/>
      <c r="V362" s="430"/>
      <c r="W362" s="729"/>
    </row>
    <row r="363" spans="1:23" ht="14.25">
      <c r="A363" s="731" t="s">
        <v>759</v>
      </c>
      <c r="B363" s="430">
        <v>8</v>
      </c>
      <c r="C363" s="430"/>
      <c r="D363" s="430"/>
      <c r="E363" s="430"/>
      <c r="F363" s="430"/>
      <c r="G363" s="430"/>
      <c r="H363" s="430"/>
      <c r="I363" s="430"/>
      <c r="J363" s="430"/>
      <c r="K363" s="430"/>
      <c r="L363" s="729">
        <v>680435.96</v>
      </c>
      <c r="M363" s="430">
        <v>8</v>
      </c>
      <c r="N363" s="430"/>
      <c r="O363" s="430"/>
      <c r="P363" s="430"/>
      <c r="Q363" s="430"/>
      <c r="R363" s="430"/>
      <c r="S363" s="430"/>
      <c r="T363" s="430"/>
      <c r="U363" s="430"/>
      <c r="V363" s="430"/>
      <c r="W363" s="729">
        <v>680435.96</v>
      </c>
    </row>
    <row r="364" spans="1:23" ht="14.25">
      <c r="A364" s="731" t="s">
        <v>760</v>
      </c>
      <c r="B364" s="430">
        <v>4</v>
      </c>
      <c r="C364" s="430"/>
      <c r="D364" s="430"/>
      <c r="E364" s="430"/>
      <c r="F364" s="430"/>
      <c r="G364" s="430"/>
      <c r="H364" s="430"/>
      <c r="I364" s="430"/>
      <c r="J364" s="430"/>
      <c r="K364" s="430"/>
      <c r="L364" s="729">
        <v>299154.4</v>
      </c>
      <c r="M364" s="430">
        <v>3</v>
      </c>
      <c r="N364" s="430"/>
      <c r="O364" s="430"/>
      <c r="P364" s="430"/>
      <c r="Q364" s="430"/>
      <c r="R364" s="430"/>
      <c r="S364" s="430"/>
      <c r="T364" s="430"/>
      <c r="U364" s="430"/>
      <c r="V364" s="430"/>
      <c r="W364" s="729">
        <v>299154.4</v>
      </c>
    </row>
    <row r="365" spans="1:23" ht="14.25">
      <c r="A365" s="731" t="s">
        <v>761</v>
      </c>
      <c r="B365" s="430">
        <v>1</v>
      </c>
      <c r="C365" s="430"/>
      <c r="D365" s="430"/>
      <c r="E365" s="430"/>
      <c r="F365" s="430"/>
      <c r="G365" s="430"/>
      <c r="H365" s="430"/>
      <c r="I365" s="430"/>
      <c r="J365" s="430"/>
      <c r="K365" s="430"/>
      <c r="L365" s="729">
        <v>73614.88</v>
      </c>
      <c r="M365" s="430">
        <v>1</v>
      </c>
      <c r="N365" s="430"/>
      <c r="O365" s="430"/>
      <c r="P365" s="430"/>
      <c r="Q365" s="430"/>
      <c r="R365" s="430"/>
      <c r="S365" s="430"/>
      <c r="T365" s="430"/>
      <c r="U365" s="430"/>
      <c r="V365" s="430"/>
      <c r="W365" s="729">
        <v>73614.88</v>
      </c>
    </row>
    <row r="366" spans="1:23" ht="14.25">
      <c r="A366" s="731" t="s">
        <v>762</v>
      </c>
      <c r="B366" s="430">
        <v>1</v>
      </c>
      <c r="C366" s="430"/>
      <c r="D366" s="430"/>
      <c r="E366" s="430"/>
      <c r="F366" s="430"/>
      <c r="G366" s="430"/>
      <c r="H366" s="430"/>
      <c r="I366" s="430"/>
      <c r="J366" s="430"/>
      <c r="K366" s="430"/>
      <c r="L366" s="729">
        <v>63509.8</v>
      </c>
      <c r="M366" s="430">
        <v>1</v>
      </c>
      <c r="N366" s="729"/>
      <c r="O366" s="729"/>
      <c r="P366" s="729"/>
      <c r="Q366" s="729"/>
      <c r="R366" s="729"/>
      <c r="S366" s="729"/>
      <c r="T366" s="729"/>
      <c r="U366" s="729"/>
      <c r="V366" s="729"/>
      <c r="W366" s="729">
        <v>63509.8</v>
      </c>
    </row>
    <row r="367" spans="1:23" ht="14.25">
      <c r="A367" s="731" t="s">
        <v>763</v>
      </c>
      <c r="B367" s="430">
        <v>2</v>
      </c>
      <c r="C367" s="430"/>
      <c r="D367" s="430"/>
      <c r="E367" s="430"/>
      <c r="F367" s="430"/>
      <c r="G367" s="430"/>
      <c r="H367" s="430"/>
      <c r="I367" s="430"/>
      <c r="J367" s="430"/>
      <c r="K367" s="430"/>
      <c r="L367" s="729">
        <v>132418.64</v>
      </c>
      <c r="M367" s="430">
        <v>2</v>
      </c>
      <c r="N367" s="729"/>
      <c r="O367" s="729"/>
      <c r="P367" s="729"/>
      <c r="Q367" s="729"/>
      <c r="R367" s="729"/>
      <c r="S367" s="729"/>
      <c r="T367" s="729"/>
      <c r="U367" s="729"/>
      <c r="V367" s="729"/>
      <c r="W367" s="729">
        <v>132418.64</v>
      </c>
    </row>
    <row r="368" spans="1:23" ht="14.25">
      <c r="A368" s="731" t="s">
        <v>764</v>
      </c>
      <c r="B368" s="430">
        <v>16</v>
      </c>
      <c r="C368" s="430"/>
      <c r="D368" s="430"/>
      <c r="E368" s="430"/>
      <c r="F368" s="430"/>
      <c r="G368" s="430"/>
      <c r="H368" s="430"/>
      <c r="I368" s="430"/>
      <c r="J368" s="430"/>
      <c r="K368" s="430"/>
      <c r="L368" s="729">
        <v>909762.76</v>
      </c>
      <c r="M368" s="430">
        <v>16</v>
      </c>
      <c r="N368" s="729"/>
      <c r="O368" s="729"/>
      <c r="P368" s="729"/>
      <c r="Q368" s="729"/>
      <c r="R368" s="729"/>
      <c r="S368" s="729"/>
      <c r="T368" s="729"/>
      <c r="U368" s="729"/>
      <c r="V368" s="729"/>
      <c r="W368" s="729">
        <v>909762.76</v>
      </c>
    </row>
    <row r="369" spans="1:23" ht="14.25">
      <c r="A369" s="731" t="s">
        <v>765</v>
      </c>
      <c r="B369" s="430"/>
      <c r="C369" s="430"/>
      <c r="D369" s="430"/>
      <c r="E369" s="430"/>
      <c r="F369" s="430"/>
      <c r="G369" s="430"/>
      <c r="H369" s="430"/>
      <c r="I369" s="430"/>
      <c r="J369" s="430"/>
      <c r="K369" s="430"/>
      <c r="L369" s="729"/>
      <c r="M369" s="732"/>
      <c r="N369" s="729"/>
      <c r="O369" s="729"/>
      <c r="P369" s="729"/>
      <c r="Q369" s="729"/>
      <c r="R369" s="729"/>
      <c r="S369" s="729"/>
      <c r="T369" s="729"/>
      <c r="U369" s="729"/>
      <c r="V369" s="729"/>
      <c r="W369" s="729"/>
    </row>
    <row r="370" spans="1:23" ht="14.25">
      <c r="A370" s="731" t="s">
        <v>766</v>
      </c>
      <c r="B370" s="430"/>
      <c r="C370" s="430"/>
      <c r="D370" s="430"/>
      <c r="E370" s="430"/>
      <c r="F370" s="430"/>
      <c r="G370" s="430"/>
      <c r="H370" s="430"/>
      <c r="I370" s="430"/>
      <c r="J370" s="430"/>
      <c r="K370" s="430"/>
      <c r="L370" s="729"/>
      <c r="M370" s="732"/>
      <c r="N370" s="729"/>
      <c r="O370" s="729"/>
      <c r="P370" s="729"/>
      <c r="Q370" s="729"/>
      <c r="R370" s="729"/>
      <c r="S370" s="729"/>
      <c r="T370" s="729"/>
      <c r="U370" s="729"/>
      <c r="V370" s="729"/>
      <c r="W370" s="729"/>
    </row>
    <row r="371" spans="1:23" ht="14.25">
      <c r="A371" s="731" t="s">
        <v>767</v>
      </c>
      <c r="B371" s="430"/>
      <c r="C371" s="430"/>
      <c r="D371" s="430"/>
      <c r="E371" s="430"/>
      <c r="F371" s="430"/>
      <c r="G371" s="430"/>
      <c r="H371" s="430"/>
      <c r="I371" s="430"/>
      <c r="J371" s="430"/>
      <c r="K371" s="430"/>
      <c r="L371" s="729"/>
      <c r="M371" s="732"/>
      <c r="N371" s="729"/>
      <c r="O371" s="729"/>
      <c r="P371" s="729"/>
      <c r="Q371" s="729"/>
      <c r="R371" s="729"/>
      <c r="S371" s="729"/>
      <c r="T371" s="729"/>
      <c r="U371" s="729"/>
      <c r="V371" s="729"/>
      <c r="W371" s="729"/>
    </row>
    <row r="372" spans="1:23" ht="14.25">
      <c r="A372" s="731" t="s">
        <v>768</v>
      </c>
      <c r="B372" s="430">
        <v>2</v>
      </c>
      <c r="C372" s="430"/>
      <c r="D372" s="430"/>
      <c r="E372" s="430"/>
      <c r="F372" s="430"/>
      <c r="G372" s="430"/>
      <c r="H372" s="430"/>
      <c r="I372" s="430"/>
      <c r="J372" s="430"/>
      <c r="K372" s="430"/>
      <c r="L372" s="729">
        <v>110805.44</v>
      </c>
      <c r="M372" s="732">
        <v>2</v>
      </c>
      <c r="N372" s="729"/>
      <c r="O372" s="729"/>
      <c r="P372" s="729"/>
      <c r="Q372" s="729"/>
      <c r="R372" s="729"/>
      <c r="S372" s="729"/>
      <c r="T372" s="729"/>
      <c r="U372" s="729"/>
      <c r="V372" s="729"/>
      <c r="W372" s="729">
        <v>110805.44</v>
      </c>
    </row>
    <row r="373" spans="1:23" ht="14.25">
      <c r="A373" s="731" t="s">
        <v>769</v>
      </c>
      <c r="B373" s="430">
        <v>1</v>
      </c>
      <c r="C373" s="430"/>
      <c r="D373" s="430"/>
      <c r="E373" s="430"/>
      <c r="F373" s="430"/>
      <c r="G373" s="430"/>
      <c r="H373" s="430"/>
      <c r="I373" s="430"/>
      <c r="J373" s="430"/>
      <c r="K373" s="430"/>
      <c r="L373" s="729">
        <v>50695.84</v>
      </c>
      <c r="M373" s="732">
        <v>1</v>
      </c>
      <c r="N373" s="729"/>
      <c r="O373" s="729"/>
      <c r="P373" s="729"/>
      <c r="Q373" s="729"/>
      <c r="R373" s="729"/>
      <c r="S373" s="729"/>
      <c r="T373" s="729"/>
      <c r="U373" s="729"/>
      <c r="V373" s="729"/>
      <c r="W373" s="729">
        <v>50695.84</v>
      </c>
    </row>
    <row r="374" spans="1:23" ht="14.25">
      <c r="A374" s="731" t="s">
        <v>770</v>
      </c>
      <c r="B374" s="430"/>
      <c r="C374" s="430"/>
      <c r="D374" s="430"/>
      <c r="E374" s="430"/>
      <c r="F374" s="430"/>
      <c r="G374" s="430"/>
      <c r="H374" s="430"/>
      <c r="I374" s="430"/>
      <c r="J374" s="430"/>
      <c r="K374" s="430"/>
      <c r="L374" s="729"/>
      <c r="M374" s="729"/>
      <c r="N374" s="729"/>
      <c r="O374" s="729"/>
      <c r="P374" s="729"/>
      <c r="Q374" s="729"/>
      <c r="R374" s="729"/>
      <c r="S374" s="729"/>
      <c r="T374" s="729"/>
      <c r="U374" s="729"/>
      <c r="V374" s="729"/>
      <c r="W374" s="729"/>
    </row>
    <row r="375" spans="1:23" ht="14.25">
      <c r="A375" s="731" t="s">
        <v>771</v>
      </c>
      <c r="B375" s="430"/>
      <c r="C375" s="430"/>
      <c r="D375" s="430"/>
      <c r="E375" s="430"/>
      <c r="F375" s="430"/>
      <c r="G375" s="430"/>
      <c r="H375" s="430"/>
      <c r="I375" s="430"/>
      <c r="J375" s="430"/>
      <c r="K375" s="430"/>
      <c r="L375" s="729"/>
      <c r="M375" s="729"/>
      <c r="N375" s="729"/>
      <c r="O375" s="729"/>
      <c r="P375" s="729"/>
      <c r="Q375" s="729"/>
      <c r="R375" s="729"/>
      <c r="S375" s="729"/>
      <c r="T375" s="729"/>
      <c r="U375" s="729"/>
      <c r="V375" s="729"/>
      <c r="W375" s="729"/>
    </row>
    <row r="376" spans="1:23" ht="14.25">
      <c r="A376" s="731" t="s">
        <v>772</v>
      </c>
      <c r="B376" s="430">
        <v>4</v>
      </c>
      <c r="C376" s="430"/>
      <c r="D376" s="430"/>
      <c r="E376" s="430"/>
      <c r="F376" s="430"/>
      <c r="G376" s="430"/>
      <c r="H376" s="430"/>
      <c r="I376" s="430"/>
      <c r="J376" s="430"/>
      <c r="K376" s="430"/>
      <c r="L376" s="729">
        <v>212806.48</v>
      </c>
      <c r="M376" s="732">
        <v>4</v>
      </c>
      <c r="N376" s="729"/>
      <c r="O376" s="729"/>
      <c r="P376" s="729"/>
      <c r="Q376" s="729"/>
      <c r="R376" s="729"/>
      <c r="S376" s="729"/>
      <c r="T376" s="729"/>
      <c r="U376" s="729"/>
      <c r="V376" s="729"/>
      <c r="W376" s="729">
        <v>212806.48</v>
      </c>
    </row>
    <row r="377" spans="1:23" ht="14.25">
      <c r="A377" s="731" t="s">
        <v>773</v>
      </c>
      <c r="B377" s="430"/>
      <c r="C377" s="430"/>
      <c r="D377" s="430"/>
      <c r="E377" s="430"/>
      <c r="F377" s="430"/>
      <c r="G377" s="430"/>
      <c r="H377" s="430"/>
      <c r="I377" s="430"/>
      <c r="J377" s="430"/>
      <c r="K377" s="430"/>
      <c r="L377" s="729"/>
      <c r="M377" s="732"/>
      <c r="N377" s="729"/>
      <c r="O377" s="729"/>
      <c r="P377" s="729"/>
      <c r="Q377" s="729"/>
      <c r="R377" s="729"/>
      <c r="S377" s="729"/>
      <c r="T377" s="729"/>
      <c r="U377" s="729"/>
      <c r="V377" s="729"/>
      <c r="W377" s="729"/>
    </row>
    <row r="378" spans="1:23" ht="14.25">
      <c r="A378" s="731" t="s">
        <v>774</v>
      </c>
      <c r="B378" s="430">
        <v>2</v>
      </c>
      <c r="C378" s="430"/>
      <c r="D378" s="430"/>
      <c r="E378" s="430"/>
      <c r="F378" s="430"/>
      <c r="G378" s="430"/>
      <c r="H378" s="430"/>
      <c r="I378" s="430"/>
      <c r="J378" s="430"/>
      <c r="K378" s="430"/>
      <c r="L378" s="729">
        <v>109184.48</v>
      </c>
      <c r="M378" s="430">
        <v>2</v>
      </c>
      <c r="N378" s="430"/>
      <c r="O378" s="430"/>
      <c r="P378" s="430"/>
      <c r="Q378" s="430"/>
      <c r="R378" s="430"/>
      <c r="S378" s="430"/>
      <c r="T378" s="430"/>
      <c r="U378" s="430"/>
      <c r="V378" s="430"/>
      <c r="W378" s="729">
        <v>109184.48</v>
      </c>
    </row>
    <row r="379" spans="1:23" ht="12.75">
      <c r="A379" s="433" t="s">
        <v>5</v>
      </c>
      <c r="B379" s="437">
        <f aca="true" t="shared" si="55" ref="B379:W379">SUM(B380:B385)</f>
        <v>94</v>
      </c>
      <c r="C379" s="437">
        <f t="shared" si="55"/>
        <v>0</v>
      </c>
      <c r="D379" s="437">
        <f t="shared" si="55"/>
        <v>0</v>
      </c>
      <c r="E379" s="437">
        <f t="shared" si="55"/>
        <v>0</v>
      </c>
      <c r="F379" s="437">
        <f t="shared" si="55"/>
        <v>0</v>
      </c>
      <c r="G379" s="437">
        <f t="shared" si="55"/>
        <v>0</v>
      </c>
      <c r="H379" s="437">
        <f t="shared" si="55"/>
        <v>0</v>
      </c>
      <c r="I379" s="437">
        <f t="shared" si="55"/>
        <v>0</v>
      </c>
      <c r="J379" s="437">
        <f t="shared" si="55"/>
        <v>0</v>
      </c>
      <c r="K379" s="437">
        <f t="shared" si="55"/>
        <v>0</v>
      </c>
      <c r="L379" s="526">
        <f t="shared" si="55"/>
        <v>3325160.1999999997</v>
      </c>
      <c r="M379" s="437">
        <f t="shared" si="55"/>
        <v>89</v>
      </c>
      <c r="N379" s="437">
        <f t="shared" si="55"/>
        <v>0</v>
      </c>
      <c r="O379" s="437">
        <f t="shared" si="55"/>
        <v>0</v>
      </c>
      <c r="P379" s="437">
        <f t="shared" si="55"/>
        <v>0</v>
      </c>
      <c r="Q379" s="437">
        <f t="shared" si="55"/>
        <v>0</v>
      </c>
      <c r="R379" s="437">
        <f t="shared" si="55"/>
        <v>0</v>
      </c>
      <c r="S379" s="437">
        <f t="shared" si="55"/>
        <v>0</v>
      </c>
      <c r="T379" s="437">
        <f t="shared" si="55"/>
        <v>0</v>
      </c>
      <c r="U379" s="437">
        <f t="shared" si="55"/>
        <v>0</v>
      </c>
      <c r="V379" s="437">
        <f t="shared" si="55"/>
        <v>0</v>
      </c>
      <c r="W379" s="526">
        <f t="shared" si="55"/>
        <v>3325160.1999999997</v>
      </c>
    </row>
    <row r="380" spans="1:23" ht="14.25">
      <c r="A380" s="435" t="s">
        <v>16</v>
      </c>
      <c r="B380" s="430">
        <v>18</v>
      </c>
      <c r="C380" s="430"/>
      <c r="D380" s="430"/>
      <c r="E380" s="430"/>
      <c r="F380" s="430"/>
      <c r="G380" s="430"/>
      <c r="H380" s="430"/>
      <c r="I380" s="430"/>
      <c r="J380" s="430"/>
      <c r="K380" s="430"/>
      <c r="L380" s="729">
        <v>678307.68</v>
      </c>
      <c r="M380" s="430">
        <v>17</v>
      </c>
      <c r="N380" s="430"/>
      <c r="O380" s="430"/>
      <c r="P380" s="430"/>
      <c r="Q380" s="430"/>
      <c r="R380" s="430"/>
      <c r="S380" s="430"/>
      <c r="T380" s="430"/>
      <c r="U380" s="430"/>
      <c r="V380" s="430"/>
      <c r="W380" s="729">
        <v>678307.68</v>
      </c>
    </row>
    <row r="381" spans="1:23" ht="14.25">
      <c r="A381" s="435" t="s">
        <v>569</v>
      </c>
      <c r="B381" s="430">
        <v>15</v>
      </c>
      <c r="C381" s="430"/>
      <c r="D381" s="430"/>
      <c r="E381" s="430"/>
      <c r="F381" s="430"/>
      <c r="G381" s="430"/>
      <c r="H381" s="430"/>
      <c r="I381" s="430"/>
      <c r="J381" s="430"/>
      <c r="K381" s="430"/>
      <c r="L381" s="729">
        <v>558803.4</v>
      </c>
      <c r="M381" s="430">
        <v>14</v>
      </c>
      <c r="N381" s="430"/>
      <c r="O381" s="430"/>
      <c r="P381" s="430"/>
      <c r="Q381" s="430"/>
      <c r="R381" s="430"/>
      <c r="S381" s="430"/>
      <c r="T381" s="430"/>
      <c r="U381" s="430"/>
      <c r="V381" s="430"/>
      <c r="W381" s="729">
        <v>558803.4</v>
      </c>
    </row>
    <row r="382" spans="1:23" ht="14.25">
      <c r="A382" s="435" t="s">
        <v>570</v>
      </c>
      <c r="B382" s="430">
        <v>30</v>
      </c>
      <c r="C382" s="430"/>
      <c r="D382" s="430"/>
      <c r="E382" s="430"/>
      <c r="F382" s="430"/>
      <c r="G382" s="430"/>
      <c r="H382" s="430"/>
      <c r="I382" s="430"/>
      <c r="J382" s="430"/>
      <c r="K382" s="430"/>
      <c r="L382" s="729">
        <v>1054698.48</v>
      </c>
      <c r="M382" s="430">
        <v>29</v>
      </c>
      <c r="N382" s="430"/>
      <c r="O382" s="430"/>
      <c r="P382" s="430"/>
      <c r="Q382" s="430"/>
      <c r="R382" s="430"/>
      <c r="S382" s="430"/>
      <c r="T382" s="430"/>
      <c r="U382" s="430"/>
      <c r="V382" s="430"/>
      <c r="W382" s="729">
        <v>1054698.48</v>
      </c>
    </row>
    <row r="383" spans="1:23" ht="14.25">
      <c r="A383" s="435" t="s">
        <v>571</v>
      </c>
      <c r="B383" s="430">
        <v>5</v>
      </c>
      <c r="C383" s="430"/>
      <c r="D383" s="430"/>
      <c r="E383" s="430"/>
      <c r="F383" s="430"/>
      <c r="G383" s="430"/>
      <c r="H383" s="430"/>
      <c r="I383" s="430"/>
      <c r="J383" s="430"/>
      <c r="K383" s="430"/>
      <c r="L383" s="729">
        <v>175341.8</v>
      </c>
      <c r="M383" s="430">
        <v>5</v>
      </c>
      <c r="N383" s="430"/>
      <c r="O383" s="430"/>
      <c r="P383" s="430"/>
      <c r="Q383" s="430"/>
      <c r="R383" s="430"/>
      <c r="S383" s="430"/>
      <c r="T383" s="430"/>
      <c r="U383" s="430"/>
      <c r="V383" s="430"/>
      <c r="W383" s="729">
        <v>175341.8</v>
      </c>
    </row>
    <row r="384" spans="1:23" ht="14.25">
      <c r="A384" s="435" t="s">
        <v>17</v>
      </c>
      <c r="B384" s="430">
        <v>3</v>
      </c>
      <c r="C384" s="430"/>
      <c r="D384" s="430"/>
      <c r="E384" s="430"/>
      <c r="F384" s="430"/>
      <c r="G384" s="430"/>
      <c r="H384" s="430"/>
      <c r="I384" s="430"/>
      <c r="J384" s="430"/>
      <c r="K384" s="430"/>
      <c r="L384" s="729">
        <v>105529.8</v>
      </c>
      <c r="M384" s="430">
        <v>2</v>
      </c>
      <c r="N384" s="430"/>
      <c r="O384" s="430"/>
      <c r="P384" s="430"/>
      <c r="Q384" s="430"/>
      <c r="R384" s="430"/>
      <c r="S384" s="430"/>
      <c r="T384" s="430"/>
      <c r="U384" s="430"/>
      <c r="V384" s="430"/>
      <c r="W384" s="729">
        <v>105529.8</v>
      </c>
    </row>
    <row r="385" spans="1:23" ht="14.25">
      <c r="A385" s="435" t="s">
        <v>581</v>
      </c>
      <c r="B385" s="430">
        <v>23</v>
      </c>
      <c r="C385" s="430"/>
      <c r="D385" s="430"/>
      <c r="E385" s="430"/>
      <c r="F385" s="430"/>
      <c r="G385" s="430"/>
      <c r="H385" s="430"/>
      <c r="I385" s="430"/>
      <c r="J385" s="430"/>
      <c r="K385" s="430"/>
      <c r="L385" s="729">
        <v>752479.04</v>
      </c>
      <c r="M385" s="430">
        <v>22</v>
      </c>
      <c r="N385" s="430"/>
      <c r="O385" s="430"/>
      <c r="P385" s="430"/>
      <c r="Q385" s="430"/>
      <c r="R385" s="430"/>
      <c r="S385" s="430"/>
      <c r="T385" s="430"/>
      <c r="U385" s="430"/>
      <c r="V385" s="430"/>
      <c r="W385" s="729">
        <v>752479.04</v>
      </c>
    </row>
    <row r="386" spans="1:23" ht="12.75">
      <c r="A386" s="433" t="s">
        <v>6</v>
      </c>
      <c r="B386" s="437">
        <f aca="true" t="shared" si="56" ref="B386:W386">SUM(B387:B392)</f>
        <v>7</v>
      </c>
      <c r="C386" s="437">
        <f t="shared" si="56"/>
        <v>0</v>
      </c>
      <c r="D386" s="437">
        <f t="shared" si="56"/>
        <v>0</v>
      </c>
      <c r="E386" s="437">
        <f t="shared" si="56"/>
        <v>0</v>
      </c>
      <c r="F386" s="437">
        <f t="shared" si="56"/>
        <v>0</v>
      </c>
      <c r="G386" s="437">
        <f t="shared" si="56"/>
        <v>0</v>
      </c>
      <c r="H386" s="437">
        <f t="shared" si="56"/>
        <v>0</v>
      </c>
      <c r="I386" s="437">
        <f t="shared" si="56"/>
        <v>0</v>
      </c>
      <c r="J386" s="437">
        <f t="shared" si="56"/>
        <v>0</v>
      </c>
      <c r="K386" s="437">
        <f t="shared" si="56"/>
        <v>0</v>
      </c>
      <c r="L386" s="526">
        <f t="shared" si="56"/>
        <v>235206.88</v>
      </c>
      <c r="M386" s="437">
        <f t="shared" si="56"/>
        <v>7</v>
      </c>
      <c r="N386" s="437">
        <f t="shared" si="56"/>
        <v>0</v>
      </c>
      <c r="O386" s="437">
        <f t="shared" si="56"/>
        <v>0</v>
      </c>
      <c r="P386" s="437">
        <f t="shared" si="56"/>
        <v>0</v>
      </c>
      <c r="Q386" s="437">
        <f t="shared" si="56"/>
        <v>0</v>
      </c>
      <c r="R386" s="437">
        <f t="shared" si="56"/>
        <v>0</v>
      </c>
      <c r="S386" s="437">
        <f t="shared" si="56"/>
        <v>0</v>
      </c>
      <c r="T386" s="437">
        <f t="shared" si="56"/>
        <v>0</v>
      </c>
      <c r="U386" s="437">
        <f t="shared" si="56"/>
        <v>0</v>
      </c>
      <c r="V386" s="437">
        <f t="shared" si="56"/>
        <v>0</v>
      </c>
      <c r="W386" s="437">
        <f t="shared" si="56"/>
        <v>235206.88</v>
      </c>
    </row>
    <row r="387" spans="1:23" ht="14.25">
      <c r="A387" s="435" t="s">
        <v>18</v>
      </c>
      <c r="B387" s="430">
        <v>1</v>
      </c>
      <c r="C387" s="430"/>
      <c r="D387" s="430"/>
      <c r="E387" s="430"/>
      <c r="F387" s="430"/>
      <c r="G387" s="430"/>
      <c r="H387" s="430"/>
      <c r="I387" s="430"/>
      <c r="J387" s="430"/>
      <c r="K387" s="430"/>
      <c r="L387" s="729">
        <v>35004.88</v>
      </c>
      <c r="M387" s="430">
        <v>1</v>
      </c>
      <c r="N387" s="430"/>
      <c r="O387" s="430"/>
      <c r="P387" s="430"/>
      <c r="Q387" s="430"/>
      <c r="R387" s="430"/>
      <c r="S387" s="430"/>
      <c r="T387" s="430"/>
      <c r="U387" s="430"/>
      <c r="V387" s="430"/>
      <c r="W387" s="729">
        <v>35004.88</v>
      </c>
    </row>
    <row r="388" spans="1:23" ht="14.25">
      <c r="A388" s="435" t="s">
        <v>572</v>
      </c>
      <c r="B388" s="430"/>
      <c r="C388" s="430"/>
      <c r="D388" s="430"/>
      <c r="E388" s="430"/>
      <c r="F388" s="430"/>
      <c r="G388" s="430"/>
      <c r="H388" s="430"/>
      <c r="I388" s="430"/>
      <c r="J388" s="430"/>
      <c r="K388" s="430"/>
      <c r="L388" s="729"/>
      <c r="M388" s="430"/>
      <c r="N388" s="430"/>
      <c r="O388" s="430"/>
      <c r="P388" s="430"/>
      <c r="Q388" s="430"/>
      <c r="R388" s="430"/>
      <c r="S388" s="430"/>
      <c r="T388" s="430"/>
      <c r="U388" s="430"/>
      <c r="V388" s="430"/>
      <c r="W388" s="729"/>
    </row>
    <row r="389" spans="1:23" ht="14.25">
      <c r="A389" s="435" t="s">
        <v>573</v>
      </c>
      <c r="B389" s="430">
        <v>1</v>
      </c>
      <c r="C389" s="430"/>
      <c r="D389" s="430"/>
      <c r="E389" s="430"/>
      <c r="F389" s="430"/>
      <c r="G389" s="430"/>
      <c r="H389" s="430"/>
      <c r="I389" s="430"/>
      <c r="J389" s="430"/>
      <c r="K389" s="430"/>
      <c r="L389" s="729">
        <v>34578.52</v>
      </c>
      <c r="M389" s="430">
        <v>1</v>
      </c>
      <c r="N389" s="430"/>
      <c r="O389" s="430"/>
      <c r="P389" s="430"/>
      <c r="Q389" s="430"/>
      <c r="R389" s="430"/>
      <c r="S389" s="430"/>
      <c r="T389" s="430"/>
      <c r="U389" s="430"/>
      <c r="V389" s="430"/>
      <c r="W389" s="729">
        <v>34578.52</v>
      </c>
    </row>
    <row r="390" spans="1:23" ht="14.25">
      <c r="A390" s="435" t="s">
        <v>574</v>
      </c>
      <c r="B390" s="430">
        <v>1</v>
      </c>
      <c r="C390" s="430"/>
      <c r="D390" s="430"/>
      <c r="E390" s="430"/>
      <c r="F390" s="430"/>
      <c r="G390" s="430"/>
      <c r="H390" s="430"/>
      <c r="I390" s="430"/>
      <c r="J390" s="430"/>
      <c r="K390" s="430"/>
      <c r="L390" s="729">
        <v>34661.8</v>
      </c>
      <c r="M390" s="430">
        <v>1</v>
      </c>
      <c r="N390" s="430"/>
      <c r="O390" s="430"/>
      <c r="P390" s="430"/>
      <c r="Q390" s="430"/>
      <c r="R390" s="430"/>
      <c r="S390" s="430"/>
      <c r="T390" s="430"/>
      <c r="U390" s="430"/>
      <c r="V390" s="430"/>
      <c r="W390" s="729">
        <v>34661.8</v>
      </c>
    </row>
    <row r="391" spans="1:23" ht="14.25">
      <c r="A391" s="435" t="s">
        <v>19</v>
      </c>
      <c r="B391" s="430"/>
      <c r="C391" s="430"/>
      <c r="D391" s="430"/>
      <c r="E391" s="430"/>
      <c r="F391" s="430"/>
      <c r="G391" s="430"/>
      <c r="H391" s="430"/>
      <c r="I391" s="430"/>
      <c r="J391" s="430"/>
      <c r="K391" s="430"/>
      <c r="L391" s="729"/>
      <c r="M391" s="430"/>
      <c r="N391" s="430"/>
      <c r="O391" s="430"/>
      <c r="P391" s="430"/>
      <c r="Q391" s="430"/>
      <c r="R391" s="430"/>
      <c r="S391" s="430"/>
      <c r="T391" s="430"/>
      <c r="U391" s="430"/>
      <c r="V391" s="430"/>
      <c r="W391" s="729"/>
    </row>
    <row r="392" spans="1:23" ht="14.25">
      <c r="A392" s="435" t="s">
        <v>583</v>
      </c>
      <c r="B392" s="430">
        <v>4</v>
      </c>
      <c r="C392" s="430"/>
      <c r="D392" s="430"/>
      <c r="E392" s="430"/>
      <c r="F392" s="430"/>
      <c r="G392" s="430"/>
      <c r="H392" s="430"/>
      <c r="I392" s="430"/>
      <c r="J392" s="430"/>
      <c r="K392" s="430"/>
      <c r="L392" s="729">
        <v>130961.68</v>
      </c>
      <c r="M392" s="430">
        <v>4</v>
      </c>
      <c r="N392" s="430"/>
      <c r="O392" s="430"/>
      <c r="P392" s="430"/>
      <c r="Q392" s="430"/>
      <c r="R392" s="430"/>
      <c r="S392" s="430"/>
      <c r="T392" s="430"/>
      <c r="U392" s="430"/>
      <c r="V392" s="430"/>
      <c r="W392" s="729">
        <v>130961.68</v>
      </c>
    </row>
    <row r="393" spans="1:23" ht="15">
      <c r="A393" s="529" t="s">
        <v>96</v>
      </c>
      <c r="B393" s="530">
        <v>46</v>
      </c>
      <c r="C393" s="530"/>
      <c r="D393" s="531">
        <f>SUM(D394)</f>
        <v>46</v>
      </c>
      <c r="E393" s="530"/>
      <c r="F393" s="530"/>
      <c r="G393" s="530"/>
      <c r="H393" s="530"/>
      <c r="I393" s="530"/>
      <c r="J393" s="530"/>
      <c r="K393" s="530"/>
      <c r="L393" s="532">
        <f>SUM(L394)</f>
        <v>920128.2</v>
      </c>
      <c r="M393" s="531">
        <f>SUM(M394)</f>
        <v>46</v>
      </c>
      <c r="N393" s="530"/>
      <c r="O393" s="531"/>
      <c r="P393" s="530"/>
      <c r="Q393" s="530"/>
      <c r="R393" s="530"/>
      <c r="S393" s="530"/>
      <c r="T393" s="530"/>
      <c r="U393" s="530"/>
      <c r="V393" s="530"/>
      <c r="W393" s="533">
        <f>SUM(W394)</f>
        <v>920128.2</v>
      </c>
    </row>
    <row r="394" spans="1:23" ht="15" thickBot="1">
      <c r="A394" s="435" t="s">
        <v>775</v>
      </c>
      <c r="B394" s="430">
        <v>46</v>
      </c>
      <c r="C394" s="430"/>
      <c r="D394" s="430">
        <v>46</v>
      </c>
      <c r="E394" s="430"/>
      <c r="F394" s="430"/>
      <c r="G394" s="430"/>
      <c r="H394" s="430"/>
      <c r="I394" s="430"/>
      <c r="J394" s="430"/>
      <c r="K394" s="430"/>
      <c r="L394" s="729">
        <v>920128.2</v>
      </c>
      <c r="M394" s="733">
        <v>46</v>
      </c>
      <c r="N394" s="729"/>
      <c r="O394" s="430"/>
      <c r="P394" s="729"/>
      <c r="Q394" s="729"/>
      <c r="R394" s="729"/>
      <c r="S394" s="729"/>
      <c r="T394" s="729"/>
      <c r="U394" s="729"/>
      <c r="V394" s="729"/>
      <c r="W394" s="729">
        <v>920128.2</v>
      </c>
    </row>
    <row r="395" spans="1:23" ht="13.5" thickBot="1">
      <c r="A395" s="32" t="s">
        <v>24</v>
      </c>
      <c r="B395" s="536">
        <f>SUM(B386,B379,B342,B325,B318,B309,B393)</f>
        <v>272</v>
      </c>
      <c r="C395" s="536"/>
      <c r="D395" s="536">
        <f>SUM(D394:D394)</f>
        <v>46</v>
      </c>
      <c r="E395" s="536"/>
      <c r="F395" s="536"/>
      <c r="G395" s="536"/>
      <c r="H395" s="536"/>
      <c r="I395" s="536"/>
      <c r="J395" s="536"/>
      <c r="K395" s="536"/>
      <c r="L395" s="537">
        <f>L393+L386+L379+L318+L309</f>
        <v>4943465.84</v>
      </c>
      <c r="M395" s="437">
        <f>M386+M379+M318+M309</f>
        <v>109</v>
      </c>
      <c r="N395" s="437"/>
      <c r="O395" s="531">
        <f>SUM(O394:O394)</f>
        <v>0</v>
      </c>
      <c r="P395" s="437"/>
      <c r="Q395" s="437"/>
      <c r="R395" s="437"/>
      <c r="S395" s="437"/>
      <c r="T395" s="437"/>
      <c r="U395" s="437"/>
      <c r="V395" s="437"/>
      <c r="W395" s="537">
        <f>W393+W386+W379+W318+W309</f>
        <v>4943465.84</v>
      </c>
    </row>
    <row r="397" ht="13.5" thickBot="1">
      <c r="A397" s="440" t="s">
        <v>2542</v>
      </c>
    </row>
    <row r="398" spans="1:23" ht="12.75">
      <c r="A398" s="524" t="s">
        <v>10</v>
      </c>
      <c r="B398" s="1545" t="s">
        <v>412</v>
      </c>
      <c r="C398" s="1546"/>
      <c r="D398" s="1546"/>
      <c r="E398" s="1546"/>
      <c r="F398" s="1546"/>
      <c r="G398" s="1546"/>
      <c r="H398" s="1546"/>
      <c r="I398" s="1546"/>
      <c r="J398" s="1546"/>
      <c r="K398" s="1546"/>
      <c r="L398" s="1547"/>
      <c r="M398" s="1546" t="s">
        <v>413</v>
      </c>
      <c r="N398" s="1546"/>
      <c r="O398" s="1546"/>
      <c r="P398" s="1546"/>
      <c r="Q398" s="1546"/>
      <c r="R398" s="1546"/>
      <c r="S398" s="1546"/>
      <c r="T398" s="1546"/>
      <c r="U398" s="1546"/>
      <c r="V398" s="1546"/>
      <c r="W398" s="1547"/>
    </row>
    <row r="399" spans="1:23" ht="134.25">
      <c r="A399" s="921" t="s">
        <v>9</v>
      </c>
      <c r="B399" s="922" t="s">
        <v>335</v>
      </c>
      <c r="C399" s="483" t="s">
        <v>127</v>
      </c>
      <c r="D399" s="484" t="s">
        <v>296</v>
      </c>
      <c r="E399" s="484" t="s">
        <v>291</v>
      </c>
      <c r="F399" s="484" t="s">
        <v>298</v>
      </c>
      <c r="G399" s="484" t="s">
        <v>299</v>
      </c>
      <c r="H399" s="484" t="s">
        <v>300</v>
      </c>
      <c r="I399" s="484" t="s">
        <v>307</v>
      </c>
      <c r="J399" s="485" t="s">
        <v>302</v>
      </c>
      <c r="K399" s="486" t="s">
        <v>304</v>
      </c>
      <c r="L399" s="170" t="s">
        <v>306</v>
      </c>
      <c r="M399" s="483" t="s">
        <v>335</v>
      </c>
      <c r="N399" s="483" t="s">
        <v>127</v>
      </c>
      <c r="O399" s="484" t="s">
        <v>296</v>
      </c>
      <c r="P399" s="484" t="s">
        <v>291</v>
      </c>
      <c r="Q399" s="484" t="s">
        <v>298</v>
      </c>
      <c r="R399" s="484" t="s">
        <v>299</v>
      </c>
      <c r="S399" s="484" t="s">
        <v>300</v>
      </c>
      <c r="T399" s="484" t="s">
        <v>307</v>
      </c>
      <c r="U399" s="485" t="s">
        <v>302</v>
      </c>
      <c r="V399" s="486" t="s">
        <v>304</v>
      </c>
      <c r="W399" s="170" t="s">
        <v>305</v>
      </c>
    </row>
    <row r="400" spans="1:23" ht="12.75">
      <c r="A400" s="462"/>
      <c r="B400" s="655"/>
      <c r="C400" s="31"/>
      <c r="D400" s="31"/>
      <c r="E400" s="31"/>
      <c r="F400" s="31"/>
      <c r="G400" s="31"/>
      <c r="H400" s="31"/>
      <c r="I400" s="31"/>
      <c r="J400" s="31"/>
      <c r="K400" s="31"/>
      <c r="L400" s="37"/>
      <c r="M400" s="31"/>
      <c r="N400" s="31"/>
      <c r="O400" s="31"/>
      <c r="P400" s="31"/>
      <c r="Q400" s="31"/>
      <c r="R400" s="31"/>
      <c r="S400" s="31"/>
      <c r="T400" s="31"/>
      <c r="U400" s="31"/>
      <c r="V400" s="31"/>
      <c r="W400" s="37"/>
    </row>
    <row r="401" spans="1:23" ht="12.75">
      <c r="A401" s="433" t="s">
        <v>7</v>
      </c>
      <c r="B401" s="923"/>
      <c r="C401" s="36"/>
      <c r="D401" s="36"/>
      <c r="E401" s="36"/>
      <c r="F401" s="36"/>
      <c r="G401" s="36"/>
      <c r="H401" s="36"/>
      <c r="I401" s="36"/>
      <c r="J401" s="36"/>
      <c r="K401" s="36"/>
      <c r="L401" s="924"/>
      <c r="M401" s="36"/>
      <c r="N401" s="36"/>
      <c r="O401" s="36"/>
      <c r="P401" s="36"/>
      <c r="Q401" s="36"/>
      <c r="R401" s="36"/>
      <c r="S401" s="36"/>
      <c r="T401" s="36"/>
      <c r="U401" s="36"/>
      <c r="V401" s="36"/>
      <c r="W401" s="924"/>
    </row>
    <row r="402" spans="1:23" ht="12.75">
      <c r="A402" s="462" t="s">
        <v>3</v>
      </c>
      <c r="B402" s="925"/>
      <c r="C402" s="31"/>
      <c r="D402" s="31"/>
      <c r="E402" s="31"/>
      <c r="F402" s="31"/>
      <c r="G402" s="31"/>
      <c r="H402" s="31"/>
      <c r="I402" s="31"/>
      <c r="J402" s="31"/>
      <c r="K402" s="31"/>
      <c r="L402" s="37"/>
      <c r="M402" s="31"/>
      <c r="N402" s="31"/>
      <c r="O402" s="31"/>
      <c r="P402" s="31"/>
      <c r="Q402" s="31"/>
      <c r="R402" s="31"/>
      <c r="S402" s="31"/>
      <c r="T402" s="31"/>
      <c r="U402" s="31"/>
      <c r="V402" s="31"/>
      <c r="W402" s="37"/>
    </row>
    <row r="403" spans="1:23" ht="12.75">
      <c r="A403" s="462" t="s">
        <v>563</v>
      </c>
      <c r="B403" s="925">
        <v>1</v>
      </c>
      <c r="C403" s="31"/>
      <c r="D403" s="31"/>
      <c r="E403" s="31"/>
      <c r="F403" s="31"/>
      <c r="G403" s="31"/>
      <c r="H403" s="31"/>
      <c r="I403" s="31"/>
      <c r="J403" s="31"/>
      <c r="K403" s="926">
        <v>4260</v>
      </c>
      <c r="L403" s="927">
        <v>52120</v>
      </c>
      <c r="M403" s="928">
        <v>1</v>
      </c>
      <c r="N403" s="31"/>
      <c r="O403" s="31"/>
      <c r="P403" s="31"/>
      <c r="Q403" s="31"/>
      <c r="R403" s="31"/>
      <c r="S403" s="31"/>
      <c r="T403" s="31"/>
      <c r="U403" s="31"/>
      <c r="V403" s="926">
        <v>4260</v>
      </c>
      <c r="W403" s="927">
        <v>52120</v>
      </c>
    </row>
    <row r="404" spans="1:23" ht="12.75">
      <c r="A404" s="462" t="s">
        <v>562</v>
      </c>
      <c r="B404" s="925">
        <v>5</v>
      </c>
      <c r="C404" s="31"/>
      <c r="D404" s="31"/>
      <c r="E404" s="31"/>
      <c r="F404" s="31"/>
      <c r="G404" s="31"/>
      <c r="H404" s="31"/>
      <c r="I404" s="31"/>
      <c r="J404" s="31"/>
      <c r="K404" s="926">
        <v>12250</v>
      </c>
      <c r="L404" s="927">
        <v>152000</v>
      </c>
      <c r="M404" s="928">
        <v>5</v>
      </c>
      <c r="N404" s="31"/>
      <c r="O404" s="31"/>
      <c r="P404" s="31"/>
      <c r="Q404" s="31"/>
      <c r="R404" s="31"/>
      <c r="S404" s="31"/>
      <c r="T404" s="31"/>
      <c r="U404" s="31"/>
      <c r="V404" s="926">
        <v>12250</v>
      </c>
      <c r="W404" s="927">
        <v>152000</v>
      </c>
    </row>
    <row r="405" spans="1:23" ht="12.75">
      <c r="A405" s="462" t="s">
        <v>561</v>
      </c>
      <c r="B405" s="925">
        <v>10</v>
      </c>
      <c r="C405" s="31"/>
      <c r="D405" s="31"/>
      <c r="E405" s="31"/>
      <c r="F405" s="31"/>
      <c r="G405" s="31"/>
      <c r="H405" s="31"/>
      <c r="I405" s="31"/>
      <c r="J405" s="31"/>
      <c r="K405" s="926">
        <v>24000</v>
      </c>
      <c r="L405" s="927">
        <v>298000</v>
      </c>
      <c r="M405" s="928">
        <v>10</v>
      </c>
      <c r="N405" s="31"/>
      <c r="O405" s="31"/>
      <c r="P405" s="31"/>
      <c r="Q405" s="31"/>
      <c r="R405" s="31"/>
      <c r="S405" s="31"/>
      <c r="T405" s="31"/>
      <c r="U405" s="31"/>
      <c r="V405" s="926">
        <v>24000</v>
      </c>
      <c r="W405" s="927">
        <v>298000</v>
      </c>
    </row>
    <row r="406" spans="1:23" ht="12.75">
      <c r="A406" s="462" t="s">
        <v>560</v>
      </c>
      <c r="B406" s="925">
        <v>2</v>
      </c>
      <c r="C406" s="31"/>
      <c r="D406" s="31"/>
      <c r="E406" s="31"/>
      <c r="F406" s="31"/>
      <c r="G406" s="31"/>
      <c r="H406" s="31"/>
      <c r="I406" s="31"/>
      <c r="J406" s="31"/>
      <c r="K406" s="926">
        <v>4100</v>
      </c>
      <c r="L406" s="927">
        <v>51200</v>
      </c>
      <c r="M406" s="928">
        <v>2</v>
      </c>
      <c r="N406" s="31"/>
      <c r="O406" s="31"/>
      <c r="P406" s="31"/>
      <c r="Q406" s="31"/>
      <c r="R406" s="31"/>
      <c r="S406" s="31"/>
      <c r="T406" s="31"/>
      <c r="U406" s="31"/>
      <c r="V406" s="926">
        <v>4100</v>
      </c>
      <c r="W406" s="927">
        <v>51200</v>
      </c>
    </row>
    <row r="407" spans="1:23" ht="12.75">
      <c r="A407" s="462" t="s">
        <v>560</v>
      </c>
      <c r="B407" s="925">
        <v>2</v>
      </c>
      <c r="C407" s="31"/>
      <c r="D407" s="31"/>
      <c r="E407" s="31"/>
      <c r="F407" s="31"/>
      <c r="G407" s="31"/>
      <c r="H407" s="31"/>
      <c r="I407" s="31"/>
      <c r="J407" s="31"/>
      <c r="K407" s="926">
        <v>4000</v>
      </c>
      <c r="L407" s="927">
        <v>50000</v>
      </c>
      <c r="M407" s="928">
        <v>2</v>
      </c>
      <c r="N407" s="31"/>
      <c r="O407" s="31"/>
      <c r="P407" s="31"/>
      <c r="Q407" s="31"/>
      <c r="R407" s="31"/>
      <c r="S407" s="31"/>
      <c r="T407" s="31"/>
      <c r="U407" s="31"/>
      <c r="V407" s="926">
        <v>4000</v>
      </c>
      <c r="W407" s="927">
        <v>50000</v>
      </c>
    </row>
    <row r="408" spans="1:23" ht="12.75">
      <c r="A408" s="462" t="s">
        <v>12</v>
      </c>
      <c r="B408" s="925">
        <v>1</v>
      </c>
      <c r="C408" s="31"/>
      <c r="D408" s="31"/>
      <c r="E408" s="31"/>
      <c r="F408" s="31"/>
      <c r="G408" s="31"/>
      <c r="H408" s="31"/>
      <c r="I408" s="31"/>
      <c r="J408" s="31"/>
      <c r="K408" s="926">
        <v>2350</v>
      </c>
      <c r="L408" s="927">
        <v>29200</v>
      </c>
      <c r="M408" s="928">
        <v>1</v>
      </c>
      <c r="N408" s="31"/>
      <c r="O408" s="31"/>
      <c r="P408" s="31"/>
      <c r="Q408" s="31"/>
      <c r="R408" s="31"/>
      <c r="S408" s="31"/>
      <c r="T408" s="31"/>
      <c r="U408" s="31"/>
      <c r="V408" s="926">
        <v>2350</v>
      </c>
      <c r="W408" s="927">
        <v>29200</v>
      </c>
    </row>
    <row r="409" spans="1:23" ht="12.75">
      <c r="A409" s="462"/>
      <c r="B409" s="925"/>
      <c r="C409" s="31"/>
      <c r="D409" s="31"/>
      <c r="E409" s="31"/>
      <c r="F409" s="31"/>
      <c r="G409" s="31"/>
      <c r="H409" s="31"/>
      <c r="I409" s="31"/>
      <c r="J409" s="31"/>
      <c r="K409" s="31"/>
      <c r="L409" s="37"/>
      <c r="M409" s="928"/>
      <c r="N409" s="31"/>
      <c r="O409" s="31"/>
      <c r="P409" s="31"/>
      <c r="Q409" s="31"/>
      <c r="R409" s="31"/>
      <c r="S409" s="31"/>
      <c r="T409" s="31"/>
      <c r="U409" s="31"/>
      <c r="V409" s="31"/>
      <c r="W409" s="37"/>
    </row>
    <row r="410" spans="1:23" ht="12.75">
      <c r="A410" s="433" t="s">
        <v>4</v>
      </c>
      <c r="B410" s="929"/>
      <c r="C410" s="36"/>
      <c r="D410" s="36"/>
      <c r="E410" s="36"/>
      <c r="F410" s="36"/>
      <c r="G410" s="36"/>
      <c r="H410" s="36"/>
      <c r="I410" s="36"/>
      <c r="J410" s="36"/>
      <c r="K410" s="36"/>
      <c r="L410" s="924"/>
      <c r="M410" s="930"/>
      <c r="N410" s="36"/>
      <c r="O410" s="36"/>
      <c r="P410" s="36"/>
      <c r="Q410" s="36"/>
      <c r="R410" s="36"/>
      <c r="S410" s="36"/>
      <c r="T410" s="36"/>
      <c r="U410" s="36"/>
      <c r="V410" s="36"/>
      <c r="W410" s="924"/>
    </row>
    <row r="411" spans="1:23" ht="12.75">
      <c r="A411" s="931" t="s">
        <v>13</v>
      </c>
      <c r="B411" s="925"/>
      <c r="C411" s="31"/>
      <c r="D411" s="31"/>
      <c r="E411" s="31"/>
      <c r="F411" s="31"/>
      <c r="G411" s="31"/>
      <c r="H411" s="31"/>
      <c r="I411" s="31"/>
      <c r="J411" s="31"/>
      <c r="K411" s="31"/>
      <c r="L411" s="37"/>
      <c r="M411" s="928"/>
      <c r="N411" s="31"/>
      <c r="O411" s="31"/>
      <c r="P411" s="31"/>
      <c r="Q411" s="31"/>
      <c r="R411" s="31"/>
      <c r="S411" s="31"/>
      <c r="T411" s="31"/>
      <c r="U411" s="31"/>
      <c r="V411" s="31"/>
      <c r="W411" s="37"/>
    </row>
    <row r="412" spans="1:23" ht="12.75">
      <c r="A412" s="931" t="s">
        <v>566</v>
      </c>
      <c r="B412" s="925"/>
      <c r="C412" s="31"/>
      <c r="D412" s="31"/>
      <c r="E412" s="31"/>
      <c r="F412" s="31"/>
      <c r="G412" s="31"/>
      <c r="H412" s="31"/>
      <c r="I412" s="31"/>
      <c r="J412" s="31"/>
      <c r="K412" s="31"/>
      <c r="L412" s="37"/>
      <c r="M412" s="928"/>
      <c r="N412" s="31"/>
      <c r="O412" s="31"/>
      <c r="P412" s="31"/>
      <c r="Q412" s="31"/>
      <c r="R412" s="31"/>
      <c r="S412" s="31"/>
      <c r="T412" s="31"/>
      <c r="U412" s="31"/>
      <c r="V412" s="31"/>
      <c r="W412" s="37"/>
    </row>
    <row r="413" spans="1:23" ht="12.75">
      <c r="A413" s="931" t="s">
        <v>567</v>
      </c>
      <c r="B413" s="925"/>
      <c r="C413" s="31"/>
      <c r="D413" s="31"/>
      <c r="E413" s="31"/>
      <c r="F413" s="31"/>
      <c r="G413" s="31"/>
      <c r="H413" s="31"/>
      <c r="I413" s="31"/>
      <c r="J413" s="31"/>
      <c r="K413" s="31"/>
      <c r="L413" s="37"/>
      <c r="M413" s="928"/>
      <c r="N413" s="31"/>
      <c r="O413" s="31"/>
      <c r="P413" s="31"/>
      <c r="Q413" s="31"/>
      <c r="R413" s="31"/>
      <c r="S413" s="31"/>
      <c r="T413" s="31"/>
      <c r="U413" s="31"/>
      <c r="V413" s="31"/>
      <c r="W413" s="37"/>
    </row>
    <row r="414" spans="1:23" ht="12.75">
      <c r="A414" s="931" t="s">
        <v>568</v>
      </c>
      <c r="B414" s="932">
        <v>8</v>
      </c>
      <c r="C414" s="31"/>
      <c r="D414" s="31"/>
      <c r="E414" s="31"/>
      <c r="F414" s="31"/>
      <c r="G414" s="31"/>
      <c r="H414" s="31"/>
      <c r="I414" s="31"/>
      <c r="J414" s="31"/>
      <c r="K414" s="31">
        <v>18800</v>
      </c>
      <c r="L414" s="927">
        <v>233600</v>
      </c>
      <c r="M414" s="933">
        <v>8</v>
      </c>
      <c r="N414" s="31"/>
      <c r="O414" s="31"/>
      <c r="P414" s="31"/>
      <c r="Q414" s="31"/>
      <c r="R414" s="31"/>
      <c r="S414" s="31"/>
      <c r="T414" s="31"/>
      <c r="U414" s="31"/>
      <c r="V414" s="31">
        <v>18800</v>
      </c>
      <c r="W414" s="927">
        <v>233600</v>
      </c>
    </row>
    <row r="415" spans="1:23" ht="12.75">
      <c r="A415" s="931" t="s">
        <v>15</v>
      </c>
      <c r="B415" s="932">
        <v>1</v>
      </c>
      <c r="C415" s="31"/>
      <c r="D415" s="31"/>
      <c r="E415" s="31"/>
      <c r="F415" s="31"/>
      <c r="G415" s="31"/>
      <c r="H415" s="31"/>
      <c r="I415" s="31"/>
      <c r="J415" s="31"/>
      <c r="K415" s="31">
        <v>2350</v>
      </c>
      <c r="L415" s="927">
        <v>29200</v>
      </c>
      <c r="M415" s="933">
        <v>1</v>
      </c>
      <c r="N415" s="31"/>
      <c r="O415" s="31"/>
      <c r="P415" s="31"/>
      <c r="Q415" s="31"/>
      <c r="R415" s="31"/>
      <c r="S415" s="31"/>
      <c r="T415" s="31"/>
      <c r="U415" s="31"/>
      <c r="V415" s="31">
        <v>2350</v>
      </c>
      <c r="W415" s="927">
        <v>29200</v>
      </c>
    </row>
    <row r="416" spans="1:23" ht="12.75">
      <c r="A416" s="931" t="s">
        <v>15</v>
      </c>
      <c r="B416" s="932">
        <v>1</v>
      </c>
      <c r="C416" s="31"/>
      <c r="D416" s="31"/>
      <c r="E416" s="31"/>
      <c r="F416" s="31"/>
      <c r="G416" s="31"/>
      <c r="H416" s="31"/>
      <c r="I416" s="31"/>
      <c r="J416" s="31"/>
      <c r="K416" s="31">
        <v>2050</v>
      </c>
      <c r="L416" s="927">
        <v>25600</v>
      </c>
      <c r="M416" s="933">
        <v>1</v>
      </c>
      <c r="N416" s="31"/>
      <c r="O416" s="31"/>
      <c r="P416" s="31"/>
      <c r="Q416" s="31"/>
      <c r="R416" s="31"/>
      <c r="S416" s="31"/>
      <c r="T416" s="31"/>
      <c r="U416" s="31"/>
      <c r="V416" s="31">
        <v>2050</v>
      </c>
      <c r="W416" s="927">
        <v>25600</v>
      </c>
    </row>
    <row r="417" spans="1:23" ht="12.75">
      <c r="A417" s="931" t="s">
        <v>580</v>
      </c>
      <c r="B417" s="932">
        <v>3</v>
      </c>
      <c r="C417" s="31"/>
      <c r="D417" s="31"/>
      <c r="E417" s="31"/>
      <c r="F417" s="31"/>
      <c r="G417" s="31"/>
      <c r="H417" s="31"/>
      <c r="I417" s="31"/>
      <c r="J417" s="31"/>
      <c r="K417" s="31">
        <v>7050</v>
      </c>
      <c r="L417" s="927">
        <v>87600</v>
      </c>
      <c r="M417" s="933">
        <v>3</v>
      </c>
      <c r="N417" s="31"/>
      <c r="O417" s="31"/>
      <c r="P417" s="31"/>
      <c r="Q417" s="31"/>
      <c r="R417" s="31"/>
      <c r="S417" s="31"/>
      <c r="T417" s="31"/>
      <c r="U417" s="31"/>
      <c r="V417" s="31">
        <v>7050</v>
      </c>
      <c r="W417" s="927">
        <v>87600</v>
      </c>
    </row>
    <row r="418" spans="1:23" ht="12.75">
      <c r="A418" s="931" t="s">
        <v>580</v>
      </c>
      <c r="B418" s="934">
        <v>1</v>
      </c>
      <c r="C418" s="31"/>
      <c r="D418" s="31"/>
      <c r="E418" s="31"/>
      <c r="F418" s="31"/>
      <c r="G418" s="31"/>
      <c r="H418" s="31"/>
      <c r="I418" s="31"/>
      <c r="J418" s="31"/>
      <c r="K418" s="31">
        <v>2200</v>
      </c>
      <c r="L418" s="927">
        <v>27400</v>
      </c>
      <c r="M418" s="935">
        <v>1</v>
      </c>
      <c r="N418" s="31"/>
      <c r="O418" s="31"/>
      <c r="P418" s="31"/>
      <c r="Q418" s="31"/>
      <c r="R418" s="31"/>
      <c r="S418" s="31"/>
      <c r="T418" s="31"/>
      <c r="U418" s="31"/>
      <c r="V418" s="31">
        <v>2200</v>
      </c>
      <c r="W418" s="927">
        <v>27400</v>
      </c>
    </row>
    <row r="419" spans="1:23" ht="12.75">
      <c r="A419" s="931" t="s">
        <v>580</v>
      </c>
      <c r="B419" s="934">
        <v>1</v>
      </c>
      <c r="C419" s="31"/>
      <c r="D419" s="31"/>
      <c r="E419" s="31"/>
      <c r="F419" s="31"/>
      <c r="G419" s="31"/>
      <c r="H419" s="31"/>
      <c r="I419" s="31"/>
      <c r="J419" s="31"/>
      <c r="K419" s="31">
        <v>2050</v>
      </c>
      <c r="L419" s="927">
        <v>25600</v>
      </c>
      <c r="M419" s="935">
        <v>1</v>
      </c>
      <c r="N419" s="31"/>
      <c r="O419" s="31"/>
      <c r="P419" s="31"/>
      <c r="Q419" s="31"/>
      <c r="R419" s="31"/>
      <c r="S419" s="31"/>
      <c r="T419" s="31"/>
      <c r="U419" s="31"/>
      <c r="V419" s="31">
        <v>2050</v>
      </c>
      <c r="W419" s="927">
        <v>25600</v>
      </c>
    </row>
    <row r="420" spans="1:23" ht="12.75">
      <c r="A420" s="462"/>
      <c r="B420" s="925"/>
      <c r="C420" s="31"/>
      <c r="D420" s="31"/>
      <c r="E420" s="31"/>
      <c r="F420" s="31"/>
      <c r="G420" s="31"/>
      <c r="H420" s="31"/>
      <c r="I420" s="31"/>
      <c r="J420" s="31"/>
      <c r="K420" s="31"/>
      <c r="L420" s="37"/>
      <c r="M420" s="928"/>
      <c r="N420" s="31"/>
      <c r="O420" s="31"/>
      <c r="P420" s="31"/>
      <c r="Q420" s="31"/>
      <c r="R420" s="31"/>
      <c r="S420" s="31"/>
      <c r="T420" s="31"/>
      <c r="U420" s="31"/>
      <c r="V420" s="31"/>
      <c r="W420" s="37"/>
    </row>
    <row r="421" spans="1:23" ht="12.75">
      <c r="A421" s="433" t="s">
        <v>5</v>
      </c>
      <c r="B421" s="923"/>
      <c r="C421" s="36"/>
      <c r="D421" s="36"/>
      <c r="E421" s="36"/>
      <c r="F421" s="36"/>
      <c r="G421" s="36"/>
      <c r="H421" s="36"/>
      <c r="I421" s="36"/>
      <c r="J421" s="36"/>
      <c r="K421" s="36"/>
      <c r="L421" s="924"/>
      <c r="M421" s="36"/>
      <c r="N421" s="36"/>
      <c r="O421" s="36"/>
      <c r="P421" s="36"/>
      <c r="Q421" s="36"/>
      <c r="R421" s="36"/>
      <c r="S421" s="36"/>
      <c r="T421" s="36"/>
      <c r="U421" s="36"/>
      <c r="V421" s="36"/>
      <c r="W421" s="924"/>
    </row>
    <row r="422" spans="1:23" ht="12.75">
      <c r="A422" s="931" t="s">
        <v>16</v>
      </c>
      <c r="B422" s="936"/>
      <c r="C422" s="31"/>
      <c r="D422" s="31"/>
      <c r="E422" s="31"/>
      <c r="F422" s="31"/>
      <c r="G422" s="31"/>
      <c r="H422" s="31"/>
      <c r="I422" s="31"/>
      <c r="J422" s="31"/>
      <c r="K422" s="31"/>
      <c r="L422" s="37"/>
      <c r="M422" s="937"/>
      <c r="N422" s="31"/>
      <c r="O422" s="31"/>
      <c r="P422" s="31"/>
      <c r="Q422" s="31"/>
      <c r="R422" s="31"/>
      <c r="S422" s="31"/>
      <c r="T422" s="31"/>
      <c r="U422" s="31"/>
      <c r="V422" s="31"/>
      <c r="W422" s="37"/>
    </row>
    <row r="423" spans="1:23" ht="12.75">
      <c r="A423" s="931" t="s">
        <v>569</v>
      </c>
      <c r="B423" s="934">
        <v>4</v>
      </c>
      <c r="C423" s="31"/>
      <c r="D423" s="31"/>
      <c r="E423" s="31"/>
      <c r="F423" s="31"/>
      <c r="G423" s="31"/>
      <c r="H423" s="31"/>
      <c r="I423" s="31"/>
      <c r="J423" s="31"/>
      <c r="K423" s="926">
        <v>8000</v>
      </c>
      <c r="L423" s="927">
        <v>100000</v>
      </c>
      <c r="M423" s="935">
        <v>4</v>
      </c>
      <c r="N423" s="31"/>
      <c r="O423" s="31"/>
      <c r="P423" s="31"/>
      <c r="Q423" s="31"/>
      <c r="R423" s="31"/>
      <c r="S423" s="31"/>
      <c r="T423" s="31"/>
      <c r="U423" s="31"/>
      <c r="V423" s="926">
        <v>8000</v>
      </c>
      <c r="W423" s="927">
        <v>100000</v>
      </c>
    </row>
    <row r="424" spans="1:23" ht="12.75">
      <c r="A424" s="931" t="s">
        <v>569</v>
      </c>
      <c r="B424" s="934">
        <v>2</v>
      </c>
      <c r="C424" s="31"/>
      <c r="D424" s="31"/>
      <c r="E424" s="31"/>
      <c r="F424" s="31"/>
      <c r="G424" s="31"/>
      <c r="H424" s="31"/>
      <c r="I424" s="31"/>
      <c r="J424" s="31"/>
      <c r="K424" s="926">
        <v>3540</v>
      </c>
      <c r="L424" s="927">
        <v>44480</v>
      </c>
      <c r="M424" s="935">
        <v>2</v>
      </c>
      <c r="N424" s="31"/>
      <c r="O424" s="31"/>
      <c r="P424" s="31"/>
      <c r="Q424" s="31"/>
      <c r="R424" s="31"/>
      <c r="S424" s="31"/>
      <c r="T424" s="31"/>
      <c r="U424" s="31"/>
      <c r="V424" s="926">
        <v>3540</v>
      </c>
      <c r="W424" s="927">
        <v>44480</v>
      </c>
    </row>
    <row r="425" spans="1:23" ht="12.75">
      <c r="A425" s="931" t="s">
        <v>569</v>
      </c>
      <c r="B425" s="934">
        <v>2</v>
      </c>
      <c r="C425" s="31"/>
      <c r="D425" s="31"/>
      <c r="E425" s="31"/>
      <c r="F425" s="31"/>
      <c r="G425" s="31"/>
      <c r="H425" s="31"/>
      <c r="I425" s="31"/>
      <c r="J425" s="31"/>
      <c r="K425" s="926">
        <v>3520</v>
      </c>
      <c r="L425" s="927">
        <v>44240</v>
      </c>
      <c r="M425" s="935">
        <v>2</v>
      </c>
      <c r="N425" s="31"/>
      <c r="O425" s="31"/>
      <c r="P425" s="31"/>
      <c r="Q425" s="31"/>
      <c r="R425" s="31"/>
      <c r="S425" s="31"/>
      <c r="T425" s="31"/>
      <c r="U425" s="31"/>
      <c r="V425" s="926">
        <v>3520</v>
      </c>
      <c r="W425" s="927">
        <v>44240</v>
      </c>
    </row>
    <row r="426" spans="1:23" ht="12.75">
      <c r="A426" s="931" t="s">
        <v>570</v>
      </c>
      <c r="B426" s="934">
        <v>6</v>
      </c>
      <c r="C426" s="31"/>
      <c r="D426" s="31"/>
      <c r="E426" s="31"/>
      <c r="F426" s="31"/>
      <c r="G426" s="31"/>
      <c r="H426" s="31"/>
      <c r="I426" s="31"/>
      <c r="J426" s="31"/>
      <c r="K426" s="926">
        <v>12000</v>
      </c>
      <c r="L426" s="927">
        <v>150000</v>
      </c>
      <c r="M426" s="935">
        <v>6</v>
      </c>
      <c r="N426" s="31"/>
      <c r="O426" s="31"/>
      <c r="P426" s="31"/>
      <c r="Q426" s="31"/>
      <c r="R426" s="31"/>
      <c r="S426" s="31"/>
      <c r="T426" s="31"/>
      <c r="U426" s="31"/>
      <c r="V426" s="926">
        <v>12000</v>
      </c>
      <c r="W426" s="927">
        <v>150000</v>
      </c>
    </row>
    <row r="427" spans="1:23" ht="12.75">
      <c r="A427" s="931" t="s">
        <v>570</v>
      </c>
      <c r="B427" s="932">
        <v>2</v>
      </c>
      <c r="C427" s="31"/>
      <c r="D427" s="31"/>
      <c r="E427" s="31"/>
      <c r="F427" s="31"/>
      <c r="G427" s="31"/>
      <c r="H427" s="31"/>
      <c r="I427" s="31"/>
      <c r="J427" s="31"/>
      <c r="K427" s="926">
        <v>3520</v>
      </c>
      <c r="L427" s="927">
        <v>44240</v>
      </c>
      <c r="M427" s="933">
        <v>2</v>
      </c>
      <c r="N427" s="31"/>
      <c r="O427" s="31"/>
      <c r="P427" s="31"/>
      <c r="Q427" s="31"/>
      <c r="R427" s="31"/>
      <c r="S427" s="31"/>
      <c r="T427" s="31"/>
      <c r="U427" s="31"/>
      <c r="V427" s="926">
        <v>3520</v>
      </c>
      <c r="W427" s="927">
        <v>44240</v>
      </c>
    </row>
    <row r="428" spans="1:23" ht="12.75">
      <c r="A428" s="931" t="s">
        <v>570</v>
      </c>
      <c r="B428" s="932">
        <v>2</v>
      </c>
      <c r="C428" s="31"/>
      <c r="D428" s="31"/>
      <c r="E428" s="31"/>
      <c r="F428" s="31"/>
      <c r="G428" s="31"/>
      <c r="H428" s="31"/>
      <c r="I428" s="31"/>
      <c r="J428" s="31"/>
      <c r="K428" s="926">
        <v>3540</v>
      </c>
      <c r="L428" s="927">
        <v>44480</v>
      </c>
      <c r="M428" s="933">
        <v>2</v>
      </c>
      <c r="N428" s="31"/>
      <c r="O428" s="31"/>
      <c r="P428" s="31"/>
      <c r="Q428" s="31"/>
      <c r="R428" s="31"/>
      <c r="S428" s="31"/>
      <c r="T428" s="31"/>
      <c r="U428" s="31"/>
      <c r="V428" s="926">
        <v>3540</v>
      </c>
      <c r="W428" s="927">
        <v>44480</v>
      </c>
    </row>
    <row r="429" spans="1:23" ht="12.75">
      <c r="A429" s="931" t="s">
        <v>571</v>
      </c>
      <c r="B429" s="932">
        <v>16</v>
      </c>
      <c r="C429" s="31"/>
      <c r="D429" s="31"/>
      <c r="E429" s="31"/>
      <c r="F429" s="31"/>
      <c r="G429" s="31"/>
      <c r="H429" s="31"/>
      <c r="I429" s="31"/>
      <c r="J429" s="31"/>
      <c r="K429" s="926">
        <v>32000</v>
      </c>
      <c r="L429" s="927">
        <v>400000</v>
      </c>
      <c r="M429" s="933">
        <v>16</v>
      </c>
      <c r="N429" s="31"/>
      <c r="O429" s="31"/>
      <c r="P429" s="31"/>
      <c r="Q429" s="31"/>
      <c r="R429" s="31"/>
      <c r="S429" s="31"/>
      <c r="T429" s="31"/>
      <c r="U429" s="31"/>
      <c r="V429" s="926">
        <v>32000</v>
      </c>
      <c r="W429" s="927">
        <v>400000</v>
      </c>
    </row>
    <row r="430" spans="1:23" ht="12.75">
      <c r="A430" s="931" t="s">
        <v>571</v>
      </c>
      <c r="B430" s="932">
        <v>4</v>
      </c>
      <c r="C430" s="31"/>
      <c r="D430" s="31"/>
      <c r="E430" s="31"/>
      <c r="F430" s="31"/>
      <c r="G430" s="31"/>
      <c r="H430" s="31"/>
      <c r="I430" s="31"/>
      <c r="J430" s="31"/>
      <c r="K430" s="926">
        <v>7040</v>
      </c>
      <c r="L430" s="927">
        <v>88480</v>
      </c>
      <c r="M430" s="933">
        <v>4</v>
      </c>
      <c r="N430" s="31"/>
      <c r="O430" s="31"/>
      <c r="P430" s="31"/>
      <c r="Q430" s="31"/>
      <c r="R430" s="31"/>
      <c r="S430" s="31"/>
      <c r="T430" s="31"/>
      <c r="U430" s="31"/>
      <c r="V430" s="926">
        <v>7040</v>
      </c>
      <c r="W430" s="927">
        <v>88480</v>
      </c>
    </row>
    <row r="431" spans="1:23" ht="12.75">
      <c r="A431" s="931" t="s">
        <v>17</v>
      </c>
      <c r="B431" s="932">
        <v>8</v>
      </c>
      <c r="C431" s="31"/>
      <c r="D431" s="31"/>
      <c r="E431" s="31"/>
      <c r="F431" s="31"/>
      <c r="G431" s="31"/>
      <c r="H431" s="31"/>
      <c r="I431" s="31"/>
      <c r="J431" s="31"/>
      <c r="K431" s="926">
        <v>16000</v>
      </c>
      <c r="L431" s="927">
        <v>200000</v>
      </c>
      <c r="M431" s="933">
        <v>8</v>
      </c>
      <c r="N431" s="31"/>
      <c r="O431" s="31"/>
      <c r="P431" s="31"/>
      <c r="Q431" s="31"/>
      <c r="R431" s="31"/>
      <c r="S431" s="31"/>
      <c r="T431" s="31"/>
      <c r="U431" s="31"/>
      <c r="V431" s="926">
        <v>16000</v>
      </c>
      <c r="W431" s="927">
        <v>200000</v>
      </c>
    </row>
    <row r="432" spans="1:23" ht="12.75">
      <c r="A432" s="931" t="s">
        <v>581</v>
      </c>
      <c r="B432" s="932">
        <v>1</v>
      </c>
      <c r="C432" s="31"/>
      <c r="D432" s="31"/>
      <c r="E432" s="31"/>
      <c r="F432" s="31"/>
      <c r="G432" s="31"/>
      <c r="H432" s="31"/>
      <c r="I432" s="31"/>
      <c r="J432" s="31"/>
      <c r="K432" s="926">
        <v>2000</v>
      </c>
      <c r="L432" s="927">
        <v>25000</v>
      </c>
      <c r="M432" s="933">
        <v>1</v>
      </c>
      <c r="N432" s="31"/>
      <c r="O432" s="31"/>
      <c r="P432" s="31"/>
      <c r="Q432" s="31"/>
      <c r="R432" s="31"/>
      <c r="S432" s="31"/>
      <c r="T432" s="31"/>
      <c r="U432" s="31"/>
      <c r="V432" s="926">
        <v>2000</v>
      </c>
      <c r="W432" s="927">
        <v>25000</v>
      </c>
    </row>
    <row r="433" spans="1:23" ht="12.75">
      <c r="A433" s="931" t="s">
        <v>581</v>
      </c>
      <c r="B433" s="932">
        <v>1</v>
      </c>
      <c r="C433" s="31"/>
      <c r="D433" s="31"/>
      <c r="E433" s="31"/>
      <c r="F433" s="31"/>
      <c r="G433" s="31"/>
      <c r="H433" s="31"/>
      <c r="I433" s="31"/>
      <c r="J433" s="31"/>
      <c r="K433" s="926">
        <v>1770</v>
      </c>
      <c r="L433" s="927">
        <v>22240</v>
      </c>
      <c r="M433" s="933">
        <v>1</v>
      </c>
      <c r="N433" s="31"/>
      <c r="O433" s="31"/>
      <c r="P433" s="31"/>
      <c r="Q433" s="31"/>
      <c r="R433" s="31"/>
      <c r="S433" s="31"/>
      <c r="T433" s="31"/>
      <c r="U433" s="31"/>
      <c r="V433" s="926">
        <v>1770</v>
      </c>
      <c r="W433" s="927">
        <v>22240</v>
      </c>
    </row>
    <row r="434" spans="1:23" ht="12.75">
      <c r="A434" s="462"/>
      <c r="B434" s="655"/>
      <c r="C434" s="31"/>
      <c r="D434" s="31"/>
      <c r="E434" s="31"/>
      <c r="F434" s="31"/>
      <c r="G434" s="31"/>
      <c r="H434" s="31"/>
      <c r="I434" s="31"/>
      <c r="J434" s="31"/>
      <c r="K434" s="31"/>
      <c r="L434" s="37"/>
      <c r="M434" s="31"/>
      <c r="N434" s="31"/>
      <c r="O434" s="31"/>
      <c r="P434" s="31"/>
      <c r="Q434" s="31"/>
      <c r="R434" s="31"/>
      <c r="S434" s="31"/>
      <c r="T434" s="31"/>
      <c r="U434" s="31"/>
      <c r="V434" s="31"/>
      <c r="W434" s="37"/>
    </row>
    <row r="435" spans="1:23" ht="12.75">
      <c r="A435" s="938" t="s">
        <v>24</v>
      </c>
      <c r="B435" s="939">
        <v>84</v>
      </c>
      <c r="C435" s="536"/>
      <c r="D435" s="536"/>
      <c r="E435" s="536"/>
      <c r="F435" s="536"/>
      <c r="G435" s="536"/>
      <c r="H435" s="536"/>
      <c r="I435" s="536"/>
      <c r="J435" s="536"/>
      <c r="K435" s="940">
        <v>178390</v>
      </c>
      <c r="L435" s="940">
        <v>2224680</v>
      </c>
      <c r="M435" s="939">
        <v>84</v>
      </c>
      <c r="N435" s="536"/>
      <c r="O435" s="536"/>
      <c r="P435" s="536"/>
      <c r="Q435" s="536"/>
      <c r="R435" s="536"/>
      <c r="S435" s="536"/>
      <c r="T435" s="536"/>
      <c r="U435" s="536"/>
      <c r="V435" s="940">
        <v>178390</v>
      </c>
      <c r="W435" s="940">
        <v>2224680</v>
      </c>
    </row>
    <row r="436" spans="1:23" ht="12.75">
      <c r="A436" s="941" t="s">
        <v>2539</v>
      </c>
      <c r="B436" s="930"/>
      <c r="C436" s="36"/>
      <c r="D436" s="36"/>
      <c r="E436" s="36"/>
      <c r="F436" s="36"/>
      <c r="G436" s="36"/>
      <c r="H436" s="36"/>
      <c r="I436" s="36"/>
      <c r="J436" s="36"/>
      <c r="K436" s="36"/>
      <c r="L436" s="942"/>
      <c r="M436" s="930"/>
      <c r="N436" s="36"/>
      <c r="O436" s="36"/>
      <c r="P436" s="36"/>
      <c r="Q436" s="36"/>
      <c r="R436" s="36"/>
      <c r="S436" s="36"/>
      <c r="T436" s="36"/>
      <c r="U436" s="36"/>
      <c r="V436" s="36"/>
      <c r="W436" s="924"/>
    </row>
    <row r="437" spans="1:23" ht="12.75">
      <c r="A437" s="943" t="s">
        <v>4</v>
      </c>
      <c r="B437" s="928"/>
      <c r="C437" s="31"/>
      <c r="D437" s="31"/>
      <c r="E437" s="31"/>
      <c r="F437" s="31"/>
      <c r="G437" s="31"/>
      <c r="H437" s="31"/>
      <c r="I437" s="31"/>
      <c r="J437" s="31"/>
      <c r="K437" s="31"/>
      <c r="L437" s="944"/>
      <c r="M437" s="928"/>
      <c r="N437" s="31"/>
      <c r="O437" s="31"/>
      <c r="P437" s="31"/>
      <c r="Q437" s="31"/>
      <c r="R437" s="31"/>
      <c r="S437" s="31"/>
      <c r="T437" s="31"/>
      <c r="U437" s="31"/>
      <c r="V437" s="31"/>
      <c r="W437" s="37"/>
    </row>
    <row r="438" spans="1:23" ht="12.75">
      <c r="A438" s="945" t="s">
        <v>1976</v>
      </c>
      <c r="B438" s="928"/>
      <c r="C438" s="31"/>
      <c r="D438" s="29">
        <v>1</v>
      </c>
      <c r="E438" s="31"/>
      <c r="F438" s="31"/>
      <c r="G438" s="31"/>
      <c r="H438" s="31"/>
      <c r="I438" s="31"/>
      <c r="J438" s="31"/>
      <c r="K438" s="444">
        <v>2500</v>
      </c>
      <c r="L438" s="411">
        <f>K438*12</f>
        <v>30000</v>
      </c>
      <c r="M438" s="946"/>
      <c r="N438" s="31"/>
      <c r="O438" s="29">
        <v>1</v>
      </c>
      <c r="P438" s="31"/>
      <c r="Q438" s="31"/>
      <c r="R438" s="31"/>
      <c r="S438" s="31"/>
      <c r="T438" s="31"/>
      <c r="U438" s="31"/>
      <c r="V438" s="444">
        <v>2500</v>
      </c>
      <c r="W438" s="411">
        <f>V438*12</f>
        <v>30000</v>
      </c>
    </row>
    <row r="439" spans="1:23" ht="12.75">
      <c r="A439" s="945" t="s">
        <v>1984</v>
      </c>
      <c r="B439" s="928"/>
      <c r="C439" s="31"/>
      <c r="D439" s="29">
        <v>2</v>
      </c>
      <c r="E439" s="31"/>
      <c r="F439" s="31"/>
      <c r="G439" s="31"/>
      <c r="H439" s="31"/>
      <c r="I439" s="31"/>
      <c r="J439" s="31"/>
      <c r="K439" s="444">
        <v>2200</v>
      </c>
      <c r="L439" s="411">
        <f aca="true" t="shared" si="57" ref="L439:L470">K439*12</f>
        <v>26400</v>
      </c>
      <c r="M439" s="946"/>
      <c r="N439" s="31"/>
      <c r="O439" s="29">
        <v>2</v>
      </c>
      <c r="P439" s="31"/>
      <c r="Q439" s="31"/>
      <c r="R439" s="31"/>
      <c r="S439" s="31"/>
      <c r="T439" s="31"/>
      <c r="U439" s="31"/>
      <c r="V439" s="444">
        <v>2200</v>
      </c>
      <c r="W439" s="411">
        <f aca="true" t="shared" si="58" ref="W439:W470">V439*12</f>
        <v>26400</v>
      </c>
    </row>
    <row r="440" spans="1:23" ht="12.75">
      <c r="A440" s="945" t="s">
        <v>1809</v>
      </c>
      <c r="B440" s="928"/>
      <c r="C440" s="31"/>
      <c r="D440" s="29">
        <v>1</v>
      </c>
      <c r="E440" s="31"/>
      <c r="F440" s="31"/>
      <c r="G440" s="31"/>
      <c r="H440" s="31"/>
      <c r="I440" s="31"/>
      <c r="J440" s="31"/>
      <c r="K440" s="444">
        <v>1000</v>
      </c>
      <c r="L440" s="411">
        <f t="shared" si="57"/>
        <v>12000</v>
      </c>
      <c r="M440" s="946"/>
      <c r="N440" s="31"/>
      <c r="O440" s="29">
        <v>1</v>
      </c>
      <c r="P440" s="31"/>
      <c r="Q440" s="31"/>
      <c r="R440" s="31"/>
      <c r="S440" s="31"/>
      <c r="T440" s="31"/>
      <c r="U440" s="31"/>
      <c r="V440" s="444">
        <v>1000</v>
      </c>
      <c r="W440" s="411">
        <f t="shared" si="58"/>
        <v>12000</v>
      </c>
    </row>
    <row r="441" spans="1:23" ht="12.75">
      <c r="A441" s="945" t="s">
        <v>2000</v>
      </c>
      <c r="B441" s="928"/>
      <c r="C441" s="31"/>
      <c r="D441" s="29">
        <v>1</v>
      </c>
      <c r="E441" s="31"/>
      <c r="F441" s="31"/>
      <c r="G441" s="31"/>
      <c r="H441" s="31"/>
      <c r="I441" s="31"/>
      <c r="J441" s="31"/>
      <c r="K441" s="444">
        <v>1050</v>
      </c>
      <c r="L441" s="411">
        <f t="shared" si="57"/>
        <v>12600</v>
      </c>
      <c r="M441" s="946"/>
      <c r="N441" s="31"/>
      <c r="O441" s="29">
        <v>1</v>
      </c>
      <c r="P441" s="31"/>
      <c r="Q441" s="31"/>
      <c r="R441" s="31"/>
      <c r="S441" s="31"/>
      <c r="T441" s="31"/>
      <c r="U441" s="31"/>
      <c r="V441" s="444">
        <v>1050</v>
      </c>
      <c r="W441" s="411">
        <f t="shared" si="58"/>
        <v>12600</v>
      </c>
    </row>
    <row r="442" spans="1:23" ht="12.75">
      <c r="A442" s="945" t="s">
        <v>2005</v>
      </c>
      <c r="B442" s="928"/>
      <c r="C442" s="31"/>
      <c r="D442" s="29">
        <v>1</v>
      </c>
      <c r="E442" s="31"/>
      <c r="F442" s="31"/>
      <c r="G442" s="31"/>
      <c r="H442" s="31"/>
      <c r="I442" s="31"/>
      <c r="J442" s="31"/>
      <c r="K442" s="444">
        <v>7000</v>
      </c>
      <c r="L442" s="411">
        <f t="shared" si="57"/>
        <v>84000</v>
      </c>
      <c r="M442" s="946"/>
      <c r="N442" s="31"/>
      <c r="O442" s="29">
        <v>1</v>
      </c>
      <c r="P442" s="31"/>
      <c r="Q442" s="31"/>
      <c r="R442" s="31"/>
      <c r="S442" s="31"/>
      <c r="T442" s="31"/>
      <c r="U442" s="31"/>
      <c r="V442" s="444">
        <v>7000</v>
      </c>
      <c r="W442" s="411">
        <f t="shared" si="58"/>
        <v>84000</v>
      </c>
    </row>
    <row r="443" spans="1:23" ht="12.75">
      <c r="A443" s="945" t="s">
        <v>2011</v>
      </c>
      <c r="B443" s="928"/>
      <c r="C443" s="31"/>
      <c r="D443" s="29">
        <v>1</v>
      </c>
      <c r="E443" s="31"/>
      <c r="F443" s="31"/>
      <c r="G443" s="31"/>
      <c r="H443" s="31"/>
      <c r="I443" s="31"/>
      <c r="J443" s="31"/>
      <c r="K443" s="444">
        <v>12000</v>
      </c>
      <c r="L443" s="411">
        <f t="shared" si="57"/>
        <v>144000</v>
      </c>
      <c r="M443" s="946"/>
      <c r="N443" s="31"/>
      <c r="O443" s="29">
        <v>1</v>
      </c>
      <c r="P443" s="31"/>
      <c r="Q443" s="31"/>
      <c r="R443" s="31"/>
      <c r="S443" s="31"/>
      <c r="T443" s="31"/>
      <c r="U443" s="31"/>
      <c r="V443" s="444">
        <v>12000</v>
      </c>
      <c r="W443" s="411">
        <f t="shared" si="58"/>
        <v>144000</v>
      </c>
    </row>
    <row r="444" spans="1:23" ht="12.75">
      <c r="A444" s="945" t="s">
        <v>2540</v>
      </c>
      <c r="B444" s="928"/>
      <c r="C444" s="31"/>
      <c r="D444" s="29">
        <v>5</v>
      </c>
      <c r="E444" s="31"/>
      <c r="F444" s="31"/>
      <c r="G444" s="31"/>
      <c r="H444" s="31"/>
      <c r="I444" s="31"/>
      <c r="J444" s="31"/>
      <c r="K444" s="444">
        <v>5250</v>
      </c>
      <c r="L444" s="411">
        <f t="shared" si="57"/>
        <v>63000</v>
      </c>
      <c r="M444" s="946"/>
      <c r="N444" s="31"/>
      <c r="O444" s="29">
        <v>5</v>
      </c>
      <c r="P444" s="31"/>
      <c r="Q444" s="31"/>
      <c r="R444" s="31"/>
      <c r="S444" s="31"/>
      <c r="T444" s="31"/>
      <c r="U444" s="31"/>
      <c r="V444" s="444">
        <v>5250</v>
      </c>
      <c r="W444" s="411">
        <f t="shared" si="58"/>
        <v>63000</v>
      </c>
    </row>
    <row r="445" spans="1:23" ht="12.75">
      <c r="A445" s="945" t="s">
        <v>2008</v>
      </c>
      <c r="B445" s="928"/>
      <c r="C445" s="31"/>
      <c r="D445" s="29">
        <v>2</v>
      </c>
      <c r="E445" s="31"/>
      <c r="F445" s="31"/>
      <c r="G445" s="31"/>
      <c r="H445" s="31"/>
      <c r="I445" s="31"/>
      <c r="J445" s="31"/>
      <c r="K445" s="444">
        <v>2200</v>
      </c>
      <c r="L445" s="411">
        <f t="shared" si="57"/>
        <v>26400</v>
      </c>
      <c r="M445" s="946"/>
      <c r="N445" s="31"/>
      <c r="O445" s="29">
        <v>2</v>
      </c>
      <c r="P445" s="31"/>
      <c r="Q445" s="31"/>
      <c r="R445" s="31"/>
      <c r="S445" s="31"/>
      <c r="T445" s="31"/>
      <c r="U445" s="31"/>
      <c r="V445" s="444">
        <v>2200</v>
      </c>
      <c r="W445" s="411">
        <f t="shared" si="58"/>
        <v>26400</v>
      </c>
    </row>
    <row r="446" spans="1:23" ht="12.75">
      <c r="A446" s="945" t="s">
        <v>2008</v>
      </c>
      <c r="B446" s="928"/>
      <c r="C446" s="31"/>
      <c r="D446" s="29">
        <v>1</v>
      </c>
      <c r="E446" s="31"/>
      <c r="F446" s="31"/>
      <c r="G446" s="31"/>
      <c r="H446" s="31"/>
      <c r="I446" s="31"/>
      <c r="J446" s="31"/>
      <c r="K446" s="444">
        <v>1200</v>
      </c>
      <c r="L446" s="411">
        <f t="shared" si="57"/>
        <v>14400</v>
      </c>
      <c r="M446" s="946"/>
      <c r="N446" s="31"/>
      <c r="O446" s="29">
        <v>1</v>
      </c>
      <c r="P446" s="31"/>
      <c r="Q446" s="31"/>
      <c r="R446" s="31"/>
      <c r="S446" s="31"/>
      <c r="T446" s="31"/>
      <c r="U446" s="31"/>
      <c r="V446" s="444">
        <v>1200</v>
      </c>
      <c r="W446" s="411">
        <f t="shared" si="58"/>
        <v>14400</v>
      </c>
    </row>
    <row r="447" spans="1:23" ht="12.75">
      <c r="A447" s="945" t="s">
        <v>2008</v>
      </c>
      <c r="B447" s="928"/>
      <c r="C447" s="31"/>
      <c r="D447" s="29">
        <v>10</v>
      </c>
      <c r="E447" s="31"/>
      <c r="F447" s="31"/>
      <c r="G447" s="31"/>
      <c r="H447" s="31"/>
      <c r="I447" s="31"/>
      <c r="J447" s="31"/>
      <c r="K447" s="444">
        <v>16000</v>
      </c>
      <c r="L447" s="411">
        <f t="shared" si="57"/>
        <v>192000</v>
      </c>
      <c r="M447" s="946"/>
      <c r="N447" s="31"/>
      <c r="O447" s="29">
        <v>10</v>
      </c>
      <c r="P447" s="31"/>
      <c r="Q447" s="31"/>
      <c r="R447" s="31"/>
      <c r="S447" s="31"/>
      <c r="T447" s="31"/>
      <c r="U447" s="31"/>
      <c r="V447" s="444">
        <v>16000</v>
      </c>
      <c r="W447" s="411">
        <f t="shared" si="58"/>
        <v>192000</v>
      </c>
    </row>
    <row r="448" spans="1:23" ht="12.75">
      <c r="A448" s="945" t="s">
        <v>2008</v>
      </c>
      <c r="B448" s="928"/>
      <c r="C448" s="31"/>
      <c r="D448" s="29">
        <v>8</v>
      </c>
      <c r="E448" s="31"/>
      <c r="F448" s="31"/>
      <c r="G448" s="31"/>
      <c r="H448" s="31"/>
      <c r="I448" s="31"/>
      <c r="J448" s="31"/>
      <c r="K448" s="444">
        <v>16000</v>
      </c>
      <c r="L448" s="411">
        <f t="shared" si="57"/>
        <v>192000</v>
      </c>
      <c r="M448" s="946"/>
      <c r="N448" s="31"/>
      <c r="O448" s="29">
        <v>8</v>
      </c>
      <c r="P448" s="31"/>
      <c r="Q448" s="31"/>
      <c r="R448" s="31"/>
      <c r="S448" s="31"/>
      <c r="T448" s="31"/>
      <c r="U448" s="31"/>
      <c r="V448" s="444">
        <v>16000</v>
      </c>
      <c r="W448" s="411">
        <f t="shared" si="58"/>
        <v>192000</v>
      </c>
    </row>
    <row r="449" spans="1:23" ht="12.75">
      <c r="A449" s="945" t="s">
        <v>2008</v>
      </c>
      <c r="B449" s="928"/>
      <c r="C449" s="31"/>
      <c r="D449" s="29">
        <v>1</v>
      </c>
      <c r="E449" s="31"/>
      <c r="F449" s="31"/>
      <c r="G449" s="31"/>
      <c r="H449" s="31"/>
      <c r="I449" s="31"/>
      <c r="J449" s="31"/>
      <c r="K449" s="444">
        <v>2100</v>
      </c>
      <c r="L449" s="411">
        <f t="shared" si="57"/>
        <v>25200</v>
      </c>
      <c r="M449" s="946"/>
      <c r="N449" s="31"/>
      <c r="O449" s="29">
        <v>1</v>
      </c>
      <c r="P449" s="31"/>
      <c r="Q449" s="31"/>
      <c r="R449" s="31"/>
      <c r="S449" s="31"/>
      <c r="T449" s="31"/>
      <c r="U449" s="31"/>
      <c r="V449" s="444">
        <v>2100</v>
      </c>
      <c r="W449" s="411">
        <f t="shared" si="58"/>
        <v>25200</v>
      </c>
    </row>
    <row r="450" spans="1:23" ht="12.75">
      <c r="A450" s="945" t="s">
        <v>2008</v>
      </c>
      <c r="B450" s="928"/>
      <c r="C450" s="31"/>
      <c r="D450" s="29">
        <v>1</v>
      </c>
      <c r="E450" s="31"/>
      <c r="F450" s="31"/>
      <c r="G450" s="31"/>
      <c r="H450" s="31"/>
      <c r="I450" s="31"/>
      <c r="J450" s="31"/>
      <c r="K450" s="444">
        <v>2300</v>
      </c>
      <c r="L450" s="411">
        <f t="shared" si="57"/>
        <v>27600</v>
      </c>
      <c r="M450" s="946"/>
      <c r="N450" s="31"/>
      <c r="O450" s="29">
        <v>1</v>
      </c>
      <c r="P450" s="31"/>
      <c r="Q450" s="31"/>
      <c r="R450" s="31"/>
      <c r="S450" s="31"/>
      <c r="T450" s="31"/>
      <c r="U450" s="31"/>
      <c r="V450" s="444">
        <v>2300</v>
      </c>
      <c r="W450" s="411">
        <f t="shared" si="58"/>
        <v>27600</v>
      </c>
    </row>
    <row r="451" spans="1:23" ht="12.75">
      <c r="A451" s="945" t="s">
        <v>2008</v>
      </c>
      <c r="B451" s="928"/>
      <c r="C451" s="31"/>
      <c r="D451" s="29">
        <v>4</v>
      </c>
      <c r="E451" s="31"/>
      <c r="F451" s="31"/>
      <c r="G451" s="31"/>
      <c r="H451" s="31"/>
      <c r="I451" s="31"/>
      <c r="J451" s="31"/>
      <c r="K451" s="444">
        <v>7500</v>
      </c>
      <c r="L451" s="411">
        <f t="shared" si="57"/>
        <v>90000</v>
      </c>
      <c r="M451" s="946"/>
      <c r="N451" s="31"/>
      <c r="O451" s="29">
        <v>4</v>
      </c>
      <c r="P451" s="31"/>
      <c r="Q451" s="31"/>
      <c r="R451" s="31"/>
      <c r="S451" s="31"/>
      <c r="T451" s="31"/>
      <c r="U451" s="31"/>
      <c r="V451" s="444">
        <v>7500</v>
      </c>
      <c r="W451" s="411">
        <f t="shared" si="58"/>
        <v>90000</v>
      </c>
    </row>
    <row r="452" spans="1:23" ht="12.75">
      <c r="A452" s="945" t="s">
        <v>2008</v>
      </c>
      <c r="B452" s="928"/>
      <c r="C452" s="31"/>
      <c r="D452" s="29">
        <v>1</v>
      </c>
      <c r="E452" s="31"/>
      <c r="F452" s="31"/>
      <c r="G452" s="31"/>
      <c r="H452" s="31"/>
      <c r="I452" s="31"/>
      <c r="J452" s="31"/>
      <c r="K452" s="444">
        <v>1600</v>
      </c>
      <c r="L452" s="411">
        <f t="shared" si="57"/>
        <v>19200</v>
      </c>
      <c r="M452" s="946"/>
      <c r="N452" s="31"/>
      <c r="O452" s="29">
        <v>1</v>
      </c>
      <c r="P452" s="31"/>
      <c r="Q452" s="31"/>
      <c r="R452" s="31"/>
      <c r="S452" s="31"/>
      <c r="T452" s="31"/>
      <c r="U452" s="31"/>
      <c r="V452" s="444">
        <v>1600</v>
      </c>
      <c r="W452" s="411">
        <f t="shared" si="58"/>
        <v>19200</v>
      </c>
    </row>
    <row r="453" spans="1:23" ht="12.75">
      <c r="A453" s="945" t="s">
        <v>2153</v>
      </c>
      <c r="B453" s="928"/>
      <c r="C453" s="31"/>
      <c r="D453" s="29">
        <v>1</v>
      </c>
      <c r="E453" s="31"/>
      <c r="F453" s="31"/>
      <c r="G453" s="31"/>
      <c r="H453" s="31"/>
      <c r="I453" s="31"/>
      <c r="J453" s="31"/>
      <c r="K453" s="444">
        <v>1300</v>
      </c>
      <c r="L453" s="411">
        <f t="shared" si="57"/>
        <v>15600</v>
      </c>
      <c r="M453" s="946"/>
      <c r="N453" s="31"/>
      <c r="O453" s="29">
        <v>1</v>
      </c>
      <c r="P453" s="31"/>
      <c r="Q453" s="31"/>
      <c r="R453" s="31"/>
      <c r="S453" s="31"/>
      <c r="T453" s="31"/>
      <c r="U453" s="31"/>
      <c r="V453" s="444">
        <v>1300</v>
      </c>
      <c r="W453" s="411">
        <f t="shared" si="58"/>
        <v>15600</v>
      </c>
    </row>
    <row r="454" spans="1:23" ht="12.75">
      <c r="A454" s="945" t="s">
        <v>2153</v>
      </c>
      <c r="B454" s="928"/>
      <c r="C454" s="31"/>
      <c r="D454" s="29">
        <v>1</v>
      </c>
      <c r="E454" s="31"/>
      <c r="F454" s="31"/>
      <c r="G454" s="31"/>
      <c r="H454" s="31"/>
      <c r="I454" s="31"/>
      <c r="J454" s="31"/>
      <c r="K454" s="444">
        <v>1500</v>
      </c>
      <c r="L454" s="411">
        <f t="shared" si="57"/>
        <v>18000</v>
      </c>
      <c r="M454" s="946"/>
      <c r="N454" s="31"/>
      <c r="O454" s="29">
        <v>1</v>
      </c>
      <c r="P454" s="31"/>
      <c r="Q454" s="31"/>
      <c r="R454" s="31"/>
      <c r="S454" s="31"/>
      <c r="T454" s="31"/>
      <c r="U454" s="31"/>
      <c r="V454" s="444">
        <v>1500</v>
      </c>
      <c r="W454" s="411">
        <f t="shared" si="58"/>
        <v>18000</v>
      </c>
    </row>
    <row r="455" spans="1:23" ht="12.75">
      <c r="A455" s="945" t="s">
        <v>1987</v>
      </c>
      <c r="B455" s="928"/>
      <c r="C455" s="31"/>
      <c r="D455" s="29">
        <v>4</v>
      </c>
      <c r="E455" s="31"/>
      <c r="F455" s="31"/>
      <c r="G455" s="31"/>
      <c r="H455" s="31"/>
      <c r="I455" s="31"/>
      <c r="J455" s="31"/>
      <c r="K455" s="444">
        <v>18000</v>
      </c>
      <c r="L455" s="411">
        <f t="shared" si="57"/>
        <v>216000</v>
      </c>
      <c r="M455" s="946"/>
      <c r="N455" s="31"/>
      <c r="O455" s="29">
        <v>4</v>
      </c>
      <c r="P455" s="31"/>
      <c r="Q455" s="31"/>
      <c r="R455" s="31"/>
      <c r="S455" s="31"/>
      <c r="T455" s="31"/>
      <c r="U455" s="31"/>
      <c r="V455" s="444">
        <v>18000</v>
      </c>
      <c r="W455" s="411">
        <f t="shared" si="58"/>
        <v>216000</v>
      </c>
    </row>
    <row r="456" spans="1:23" ht="12.75">
      <c r="A456" s="945" t="s">
        <v>1987</v>
      </c>
      <c r="B456" s="928"/>
      <c r="C456" s="31"/>
      <c r="D456" s="29">
        <v>1</v>
      </c>
      <c r="E456" s="31"/>
      <c r="F456" s="31"/>
      <c r="G456" s="31"/>
      <c r="H456" s="31"/>
      <c r="I456" s="31"/>
      <c r="J456" s="31"/>
      <c r="K456" s="444">
        <v>5000</v>
      </c>
      <c r="L456" s="413">
        <f t="shared" si="57"/>
        <v>60000</v>
      </c>
      <c r="M456" s="928"/>
      <c r="N456" s="31"/>
      <c r="O456" s="31">
        <v>1</v>
      </c>
      <c r="P456" s="31"/>
      <c r="Q456" s="31"/>
      <c r="R456" s="31"/>
      <c r="S456" s="31"/>
      <c r="T456" s="31"/>
      <c r="U456" s="31"/>
      <c r="V456" s="444">
        <v>5000</v>
      </c>
      <c r="W456" s="411">
        <f t="shared" si="58"/>
        <v>60000</v>
      </c>
    </row>
    <row r="457" spans="1:23" ht="12.75">
      <c r="A457" s="945" t="s">
        <v>1987</v>
      </c>
      <c r="B457" s="947"/>
      <c r="C457" s="948"/>
      <c r="D457" s="948">
        <v>6</v>
      </c>
      <c r="E457" s="948"/>
      <c r="F457" s="31"/>
      <c r="G457" s="31"/>
      <c r="H457" s="31"/>
      <c r="I457" s="31"/>
      <c r="J457" s="31"/>
      <c r="K457" s="444">
        <v>33128</v>
      </c>
      <c r="L457" s="413">
        <f t="shared" si="57"/>
        <v>397536</v>
      </c>
      <c r="M457" s="947"/>
      <c r="N457" s="948"/>
      <c r="O457" s="948">
        <v>6</v>
      </c>
      <c r="P457" s="948"/>
      <c r="Q457" s="31"/>
      <c r="R457" s="31"/>
      <c r="S457" s="31"/>
      <c r="T457" s="31"/>
      <c r="U457" s="31"/>
      <c r="V457" s="444">
        <v>33128</v>
      </c>
      <c r="W457" s="411">
        <f t="shared" si="58"/>
        <v>397536</v>
      </c>
    </row>
    <row r="458" spans="1:23" ht="12.75">
      <c r="A458" s="945" t="s">
        <v>1987</v>
      </c>
      <c r="B458" s="947"/>
      <c r="C458" s="948"/>
      <c r="D458" s="948">
        <v>1</v>
      </c>
      <c r="E458" s="948"/>
      <c r="F458" s="31"/>
      <c r="G458" s="31"/>
      <c r="H458" s="31"/>
      <c r="I458" s="31"/>
      <c r="J458" s="31"/>
      <c r="K458" s="444">
        <v>6500</v>
      </c>
      <c r="L458" s="413">
        <f t="shared" si="57"/>
        <v>78000</v>
      </c>
      <c r="M458" s="947"/>
      <c r="N458" s="948"/>
      <c r="O458" s="948">
        <v>1</v>
      </c>
      <c r="P458" s="948"/>
      <c r="Q458" s="31"/>
      <c r="R458" s="31"/>
      <c r="S458" s="31"/>
      <c r="T458" s="31"/>
      <c r="U458" s="31"/>
      <c r="V458" s="444">
        <v>6500</v>
      </c>
      <c r="W458" s="411">
        <f t="shared" si="58"/>
        <v>78000</v>
      </c>
    </row>
    <row r="459" spans="1:23" ht="12.75">
      <c r="A459" s="945" t="s">
        <v>2023</v>
      </c>
      <c r="B459" s="947"/>
      <c r="C459" s="948"/>
      <c r="D459" s="948">
        <v>2</v>
      </c>
      <c r="E459" s="948"/>
      <c r="F459" s="31"/>
      <c r="G459" s="31"/>
      <c r="H459" s="31"/>
      <c r="I459" s="31"/>
      <c r="J459" s="31"/>
      <c r="K459" s="444">
        <v>2100</v>
      </c>
      <c r="L459" s="413">
        <f t="shared" si="57"/>
        <v>25200</v>
      </c>
      <c r="M459" s="947"/>
      <c r="N459" s="948"/>
      <c r="O459" s="948">
        <v>2</v>
      </c>
      <c r="P459" s="948"/>
      <c r="Q459" s="31"/>
      <c r="R459" s="31"/>
      <c r="S459" s="31"/>
      <c r="T459" s="31"/>
      <c r="U459" s="31"/>
      <c r="V459" s="444">
        <v>2100</v>
      </c>
      <c r="W459" s="411">
        <f t="shared" si="58"/>
        <v>25200</v>
      </c>
    </row>
    <row r="460" spans="1:23" ht="12.75">
      <c r="A460" s="949" t="s">
        <v>2023</v>
      </c>
      <c r="B460" s="947"/>
      <c r="C460" s="948"/>
      <c r="D460" s="475">
        <v>10</v>
      </c>
      <c r="E460" s="948"/>
      <c r="F460" s="31"/>
      <c r="G460" s="31"/>
      <c r="H460" s="31"/>
      <c r="I460" s="31"/>
      <c r="J460" s="31"/>
      <c r="K460" s="950">
        <v>16000</v>
      </c>
      <c r="L460" s="413">
        <f t="shared" si="57"/>
        <v>192000</v>
      </c>
      <c r="M460" s="947"/>
      <c r="N460" s="948"/>
      <c r="O460" s="475">
        <v>10</v>
      </c>
      <c r="P460" s="948"/>
      <c r="Q460" s="31"/>
      <c r="R460" s="31"/>
      <c r="S460" s="31"/>
      <c r="T460" s="31"/>
      <c r="U460" s="31"/>
      <c r="V460" s="950">
        <v>16000</v>
      </c>
      <c r="W460" s="411">
        <f t="shared" si="58"/>
        <v>192000</v>
      </c>
    </row>
    <row r="461" spans="1:23" ht="12.75">
      <c r="A461" s="949" t="s">
        <v>2023</v>
      </c>
      <c r="B461" s="947"/>
      <c r="C461" s="948"/>
      <c r="D461" s="948">
        <v>2</v>
      </c>
      <c r="E461" s="948"/>
      <c r="F461" s="31"/>
      <c r="G461" s="31"/>
      <c r="H461" s="31"/>
      <c r="I461" s="31"/>
      <c r="J461" s="31"/>
      <c r="K461" s="951">
        <v>12000</v>
      </c>
      <c r="L461" s="413">
        <f t="shared" si="57"/>
        <v>144000</v>
      </c>
      <c r="M461" s="947"/>
      <c r="N461" s="948"/>
      <c r="O461" s="948">
        <v>2</v>
      </c>
      <c r="P461" s="948"/>
      <c r="Q461" s="31"/>
      <c r="R461" s="31"/>
      <c r="S461" s="31"/>
      <c r="T461" s="31"/>
      <c r="U461" s="31"/>
      <c r="V461" s="951">
        <v>12000</v>
      </c>
      <c r="W461" s="411">
        <f t="shared" si="58"/>
        <v>144000</v>
      </c>
    </row>
    <row r="462" spans="1:23" ht="12.75">
      <c r="A462" s="949" t="s">
        <v>1992</v>
      </c>
      <c r="B462" s="947"/>
      <c r="C462" s="948"/>
      <c r="D462" s="948">
        <v>2</v>
      </c>
      <c r="E462" s="948"/>
      <c r="F462" s="31"/>
      <c r="G462" s="31"/>
      <c r="H462" s="31"/>
      <c r="I462" s="31"/>
      <c r="J462" s="31"/>
      <c r="K462" s="951">
        <v>2100</v>
      </c>
      <c r="L462" s="413">
        <f t="shared" si="57"/>
        <v>25200</v>
      </c>
      <c r="M462" s="947"/>
      <c r="N462" s="948"/>
      <c r="O462" s="948">
        <v>2</v>
      </c>
      <c r="P462" s="948"/>
      <c r="Q462" s="31"/>
      <c r="R462" s="31"/>
      <c r="S462" s="31"/>
      <c r="T462" s="31"/>
      <c r="U462" s="31"/>
      <c r="V462" s="951">
        <v>2100</v>
      </c>
      <c r="W462" s="411">
        <f t="shared" si="58"/>
        <v>25200</v>
      </c>
    </row>
    <row r="463" spans="1:23" ht="12.75">
      <c r="A463" s="949" t="s">
        <v>1992</v>
      </c>
      <c r="B463" s="947"/>
      <c r="C463" s="948"/>
      <c r="D463" s="948">
        <v>1</v>
      </c>
      <c r="E463" s="948"/>
      <c r="F463" s="31"/>
      <c r="G463" s="31"/>
      <c r="H463" s="31"/>
      <c r="I463" s="31"/>
      <c r="J463" s="31"/>
      <c r="K463" s="951">
        <v>1100</v>
      </c>
      <c r="L463" s="413">
        <f t="shared" si="57"/>
        <v>13200</v>
      </c>
      <c r="M463" s="947"/>
      <c r="N463" s="948"/>
      <c r="O463" s="948">
        <v>1</v>
      </c>
      <c r="P463" s="948"/>
      <c r="Q463" s="31"/>
      <c r="R463" s="31"/>
      <c r="S463" s="31"/>
      <c r="T463" s="31"/>
      <c r="U463" s="31"/>
      <c r="V463" s="951">
        <v>1100</v>
      </c>
      <c r="W463" s="411">
        <f t="shared" si="58"/>
        <v>13200</v>
      </c>
    </row>
    <row r="464" spans="1:23" ht="12.75">
      <c r="A464" s="949" t="s">
        <v>1992</v>
      </c>
      <c r="B464" s="947"/>
      <c r="C464" s="948"/>
      <c r="D464" s="948">
        <v>2</v>
      </c>
      <c r="E464" s="948"/>
      <c r="F464" s="31"/>
      <c r="G464" s="31"/>
      <c r="H464" s="31"/>
      <c r="I464" s="31"/>
      <c r="J464" s="31"/>
      <c r="K464" s="951">
        <v>3200</v>
      </c>
      <c r="L464" s="413">
        <f t="shared" si="57"/>
        <v>38400</v>
      </c>
      <c r="M464" s="947"/>
      <c r="N464" s="948"/>
      <c r="O464" s="948">
        <v>2</v>
      </c>
      <c r="P464" s="948"/>
      <c r="Q464" s="31"/>
      <c r="R464" s="31"/>
      <c r="S464" s="31"/>
      <c r="T464" s="31"/>
      <c r="U464" s="31"/>
      <c r="V464" s="951">
        <v>3200</v>
      </c>
      <c r="W464" s="411">
        <f t="shared" si="58"/>
        <v>38400</v>
      </c>
    </row>
    <row r="465" spans="1:23" ht="12.75">
      <c r="A465" s="949" t="s">
        <v>1992</v>
      </c>
      <c r="B465" s="475"/>
      <c r="C465" s="475"/>
      <c r="D465" s="948">
        <v>1</v>
      </c>
      <c r="E465" s="948"/>
      <c r="F465" s="31"/>
      <c r="G465" s="31"/>
      <c r="H465" s="31"/>
      <c r="I465" s="31"/>
      <c r="J465" s="31"/>
      <c r="K465" s="951">
        <v>2300</v>
      </c>
      <c r="L465" s="413">
        <f t="shared" si="57"/>
        <v>27600</v>
      </c>
      <c r="M465" s="475"/>
      <c r="N465" s="475"/>
      <c r="O465" s="948">
        <v>1</v>
      </c>
      <c r="P465" s="948"/>
      <c r="Q465" s="31"/>
      <c r="R465" s="31"/>
      <c r="S465" s="31"/>
      <c r="T465" s="31"/>
      <c r="U465" s="31"/>
      <c r="V465" s="951">
        <v>2300</v>
      </c>
      <c r="W465" s="411">
        <f t="shared" si="58"/>
        <v>27600</v>
      </c>
    </row>
    <row r="466" spans="1:23" ht="12.75">
      <c r="A466" s="949" t="s">
        <v>1980</v>
      </c>
      <c r="B466" s="947"/>
      <c r="C466" s="948"/>
      <c r="D466" s="948">
        <v>1</v>
      </c>
      <c r="E466" s="948"/>
      <c r="F466" s="31"/>
      <c r="G466" s="31"/>
      <c r="H466" s="31"/>
      <c r="I466" s="31"/>
      <c r="J466" s="31"/>
      <c r="K466" s="951">
        <v>2200</v>
      </c>
      <c r="L466" s="413">
        <f t="shared" si="57"/>
        <v>26400</v>
      </c>
      <c r="M466" s="947"/>
      <c r="N466" s="948"/>
      <c r="O466" s="948">
        <v>1</v>
      </c>
      <c r="P466" s="948"/>
      <c r="Q466" s="31"/>
      <c r="R466" s="31"/>
      <c r="S466" s="31"/>
      <c r="T466" s="31"/>
      <c r="U466" s="31"/>
      <c r="V466" s="951">
        <v>2200</v>
      </c>
      <c r="W466" s="411">
        <f t="shared" si="58"/>
        <v>26400</v>
      </c>
    </row>
    <row r="467" spans="1:23" ht="12.75">
      <c r="A467" s="949" t="s">
        <v>1980</v>
      </c>
      <c r="B467" s="947"/>
      <c r="C467" s="948"/>
      <c r="D467" s="948">
        <v>3</v>
      </c>
      <c r="E467" s="948"/>
      <c r="F467" s="31"/>
      <c r="G467" s="31"/>
      <c r="H467" s="31"/>
      <c r="I467" s="31"/>
      <c r="J467" s="31"/>
      <c r="K467" s="951">
        <v>7500</v>
      </c>
      <c r="L467" s="413">
        <f t="shared" si="57"/>
        <v>90000</v>
      </c>
      <c r="M467" s="947"/>
      <c r="N467" s="948"/>
      <c r="O467" s="948">
        <v>3</v>
      </c>
      <c r="P467" s="948"/>
      <c r="Q467" s="31"/>
      <c r="R467" s="31"/>
      <c r="S467" s="31"/>
      <c r="T467" s="31"/>
      <c r="U467" s="31"/>
      <c r="V467" s="951">
        <v>7500</v>
      </c>
      <c r="W467" s="411">
        <f t="shared" si="58"/>
        <v>90000</v>
      </c>
    </row>
    <row r="468" spans="1:23" ht="12.75">
      <c r="A468" s="949" t="s">
        <v>1980</v>
      </c>
      <c r="B468" s="947"/>
      <c r="C468" s="948"/>
      <c r="D468" s="475">
        <v>2</v>
      </c>
      <c r="E468" s="948"/>
      <c r="F468" s="31"/>
      <c r="G468" s="31"/>
      <c r="H468" s="31"/>
      <c r="I468" s="31"/>
      <c r="J468" s="31"/>
      <c r="K468" s="950">
        <v>5700</v>
      </c>
      <c r="L468" s="413">
        <f t="shared" si="57"/>
        <v>68400</v>
      </c>
      <c r="M468" s="947"/>
      <c r="N468" s="948"/>
      <c r="O468" s="475">
        <v>2</v>
      </c>
      <c r="P468" s="948"/>
      <c r="Q468" s="31"/>
      <c r="R468" s="31"/>
      <c r="S468" s="31"/>
      <c r="T468" s="31"/>
      <c r="U468" s="31"/>
      <c r="V468" s="950">
        <v>5700</v>
      </c>
      <c r="W468" s="411">
        <f t="shared" si="58"/>
        <v>68400</v>
      </c>
    </row>
    <row r="469" spans="1:23" ht="12.75">
      <c r="A469" s="949" t="s">
        <v>2297</v>
      </c>
      <c r="B469" s="947"/>
      <c r="C469" s="948"/>
      <c r="D469" s="948"/>
      <c r="E469" s="948"/>
      <c r="F469" s="31"/>
      <c r="G469" s="31"/>
      <c r="H469" s="31"/>
      <c r="I469" s="31"/>
      <c r="J469" s="31"/>
      <c r="K469" s="444">
        <v>2500</v>
      </c>
      <c r="L469" s="413">
        <f t="shared" si="57"/>
        <v>30000</v>
      </c>
      <c r="M469" s="947"/>
      <c r="N469" s="948"/>
      <c r="O469" s="948"/>
      <c r="P469" s="948"/>
      <c r="Q469" s="31"/>
      <c r="R469" s="31"/>
      <c r="S469" s="31"/>
      <c r="T469" s="31"/>
      <c r="U469" s="31"/>
      <c r="V469" s="444">
        <v>2500</v>
      </c>
      <c r="W469" s="411">
        <f t="shared" si="58"/>
        <v>30000</v>
      </c>
    </row>
    <row r="470" spans="1:23" ht="12.75">
      <c r="A470" s="949" t="s">
        <v>2297</v>
      </c>
      <c r="B470" s="947"/>
      <c r="C470" s="948"/>
      <c r="D470" s="948">
        <v>1</v>
      </c>
      <c r="E470" s="948"/>
      <c r="F470" s="31"/>
      <c r="G470" s="31"/>
      <c r="H470" s="31"/>
      <c r="I470" s="31"/>
      <c r="J470" s="31"/>
      <c r="K470" s="444">
        <v>2700</v>
      </c>
      <c r="L470" s="413">
        <f t="shared" si="57"/>
        <v>32400</v>
      </c>
      <c r="M470" s="947"/>
      <c r="N470" s="948"/>
      <c r="O470" s="948">
        <v>1</v>
      </c>
      <c r="P470" s="948"/>
      <c r="Q470" s="31"/>
      <c r="R470" s="31"/>
      <c r="S470" s="31"/>
      <c r="T470" s="31"/>
      <c r="U470" s="31"/>
      <c r="V470" s="444">
        <v>2700</v>
      </c>
      <c r="W470" s="411">
        <f t="shared" si="58"/>
        <v>32400</v>
      </c>
    </row>
    <row r="471" spans="1:23" ht="12.75">
      <c r="A471" s="952" t="s">
        <v>5</v>
      </c>
      <c r="B471" s="947"/>
      <c r="C471" s="948"/>
      <c r="D471" s="948"/>
      <c r="E471" s="948"/>
      <c r="F471" s="31"/>
      <c r="G471" s="31"/>
      <c r="H471" s="31"/>
      <c r="I471" s="31"/>
      <c r="J471" s="31"/>
      <c r="K471" s="31"/>
      <c r="L471" s="31"/>
      <c r="M471" s="947"/>
      <c r="N471" s="948"/>
      <c r="O471" s="948"/>
      <c r="P471" s="948"/>
      <c r="Q471" s="31"/>
      <c r="R471" s="31"/>
      <c r="S471" s="31"/>
      <c r="T471" s="31"/>
      <c r="U471" s="31"/>
      <c r="V471" s="31"/>
      <c r="W471" s="944"/>
    </row>
    <row r="472" spans="1:23" ht="12.75">
      <c r="A472" s="949" t="s">
        <v>2300</v>
      </c>
      <c r="B472" s="933"/>
      <c r="C472" s="948"/>
      <c r="D472" s="948">
        <v>2</v>
      </c>
      <c r="E472" s="948"/>
      <c r="F472" s="31"/>
      <c r="G472" s="31"/>
      <c r="H472" s="31"/>
      <c r="I472" s="31"/>
      <c r="J472" s="31"/>
      <c r="K472" s="444">
        <v>4000</v>
      </c>
      <c r="L472" s="413">
        <f aca="true" t="shared" si="59" ref="L472:L487">K472*12</f>
        <v>48000</v>
      </c>
      <c r="M472" s="933"/>
      <c r="N472" s="948"/>
      <c r="O472" s="948">
        <v>2</v>
      </c>
      <c r="P472" s="948"/>
      <c r="Q472" s="31"/>
      <c r="R472" s="31"/>
      <c r="S472" s="31"/>
      <c r="T472" s="31"/>
      <c r="U472" s="31"/>
      <c r="V472" s="444">
        <v>4000</v>
      </c>
      <c r="W472" s="411">
        <f aca="true" t="shared" si="60" ref="W472:W487">V472*12</f>
        <v>48000</v>
      </c>
    </row>
    <row r="473" spans="1:23" ht="12.75">
      <c r="A473" s="949" t="s">
        <v>2345</v>
      </c>
      <c r="B473" s="933"/>
      <c r="C473" s="948"/>
      <c r="D473" s="948">
        <v>6</v>
      </c>
      <c r="E473" s="948"/>
      <c r="F473" s="31"/>
      <c r="G473" s="31"/>
      <c r="H473" s="31"/>
      <c r="I473" s="31"/>
      <c r="J473" s="31"/>
      <c r="K473" s="444">
        <v>6300</v>
      </c>
      <c r="L473" s="413">
        <f t="shared" si="59"/>
        <v>75600</v>
      </c>
      <c r="M473" s="933"/>
      <c r="N473" s="948"/>
      <c r="O473" s="948">
        <v>6</v>
      </c>
      <c r="P473" s="948"/>
      <c r="Q473" s="31"/>
      <c r="R473" s="31"/>
      <c r="S473" s="31"/>
      <c r="T473" s="31"/>
      <c r="U473" s="31"/>
      <c r="V473" s="444">
        <v>6300</v>
      </c>
      <c r="W473" s="411">
        <f t="shared" si="60"/>
        <v>75600</v>
      </c>
    </row>
    <row r="474" spans="1:23" ht="12.75">
      <c r="A474" s="949" t="s">
        <v>2345</v>
      </c>
      <c r="B474" s="933"/>
      <c r="C474" s="948"/>
      <c r="D474" s="948">
        <v>7</v>
      </c>
      <c r="E474" s="948"/>
      <c r="F474" s="31"/>
      <c r="G474" s="31"/>
      <c r="H474" s="31"/>
      <c r="I474" s="31"/>
      <c r="J474" s="31"/>
      <c r="K474" s="444">
        <v>7700</v>
      </c>
      <c r="L474" s="413">
        <f t="shared" si="59"/>
        <v>92400</v>
      </c>
      <c r="M474" s="933"/>
      <c r="N474" s="948"/>
      <c r="O474" s="948">
        <v>7</v>
      </c>
      <c r="P474" s="948"/>
      <c r="Q474" s="31"/>
      <c r="R474" s="31"/>
      <c r="S474" s="31"/>
      <c r="T474" s="31"/>
      <c r="U474" s="31"/>
      <c r="V474" s="444">
        <v>7700</v>
      </c>
      <c r="W474" s="411">
        <f t="shared" si="60"/>
        <v>92400</v>
      </c>
    </row>
    <row r="475" spans="1:23" ht="12.75">
      <c r="A475" s="949" t="s">
        <v>2345</v>
      </c>
      <c r="B475" s="933"/>
      <c r="C475" s="31"/>
      <c r="D475" s="31">
        <v>4</v>
      </c>
      <c r="E475" s="31"/>
      <c r="F475" s="31"/>
      <c r="G475" s="31"/>
      <c r="H475" s="31"/>
      <c r="I475" s="31"/>
      <c r="J475" s="31"/>
      <c r="K475" s="444">
        <v>4800</v>
      </c>
      <c r="L475" s="413">
        <f t="shared" si="59"/>
        <v>57600</v>
      </c>
      <c r="M475" s="933"/>
      <c r="N475" s="31"/>
      <c r="O475" s="31">
        <v>4</v>
      </c>
      <c r="P475" s="31"/>
      <c r="Q475" s="31"/>
      <c r="R475" s="31"/>
      <c r="S475" s="31"/>
      <c r="T475" s="31"/>
      <c r="U475" s="31"/>
      <c r="V475" s="444">
        <v>4800</v>
      </c>
      <c r="W475" s="411">
        <f t="shared" si="60"/>
        <v>57600</v>
      </c>
    </row>
    <row r="476" spans="1:23" ht="12.75">
      <c r="A476" s="949" t="s">
        <v>2014</v>
      </c>
      <c r="B476" s="935"/>
      <c r="C476" s="31"/>
      <c r="D476" s="31">
        <v>3</v>
      </c>
      <c r="E476" s="31"/>
      <c r="F476" s="31"/>
      <c r="G476" s="31"/>
      <c r="H476" s="31"/>
      <c r="I476" s="31"/>
      <c r="J476" s="31"/>
      <c r="K476" s="444">
        <v>2850</v>
      </c>
      <c r="L476" s="413">
        <f t="shared" si="59"/>
        <v>34200</v>
      </c>
      <c r="M476" s="935"/>
      <c r="N476" s="31"/>
      <c r="O476" s="31">
        <v>3</v>
      </c>
      <c r="P476" s="31"/>
      <c r="Q476" s="31"/>
      <c r="R476" s="31"/>
      <c r="S476" s="31"/>
      <c r="T476" s="31"/>
      <c r="U476" s="31"/>
      <c r="V476" s="444">
        <v>2850</v>
      </c>
      <c r="W476" s="411">
        <f t="shared" si="60"/>
        <v>34200</v>
      </c>
    </row>
    <row r="477" spans="1:23" ht="12.75">
      <c r="A477" s="949" t="s">
        <v>2014</v>
      </c>
      <c r="B477" s="935"/>
      <c r="C477" s="31"/>
      <c r="D477" s="31">
        <v>15</v>
      </c>
      <c r="E477" s="31"/>
      <c r="F477" s="31"/>
      <c r="G477" s="31"/>
      <c r="H477" s="31"/>
      <c r="I477" s="31"/>
      <c r="J477" s="31"/>
      <c r="K477" s="444">
        <v>18000</v>
      </c>
      <c r="L477" s="413">
        <f t="shared" si="59"/>
        <v>216000</v>
      </c>
      <c r="M477" s="935"/>
      <c r="N477" s="31"/>
      <c r="O477" s="31">
        <v>15</v>
      </c>
      <c r="P477" s="31"/>
      <c r="Q477" s="31"/>
      <c r="R477" s="31"/>
      <c r="S477" s="31"/>
      <c r="T477" s="31"/>
      <c r="U477" s="31"/>
      <c r="V477" s="444">
        <v>18000</v>
      </c>
      <c r="W477" s="411">
        <f t="shared" si="60"/>
        <v>216000</v>
      </c>
    </row>
    <row r="478" spans="1:23" ht="12.75">
      <c r="A478" s="949" t="s">
        <v>2014</v>
      </c>
      <c r="B478" s="935"/>
      <c r="C478" s="31"/>
      <c r="D478" s="31">
        <v>1</v>
      </c>
      <c r="E478" s="31"/>
      <c r="F478" s="31"/>
      <c r="G478" s="31"/>
      <c r="H478" s="31"/>
      <c r="I478" s="31"/>
      <c r="J478" s="31"/>
      <c r="K478" s="444">
        <v>1300</v>
      </c>
      <c r="L478" s="413">
        <f t="shared" si="59"/>
        <v>15600</v>
      </c>
      <c r="M478" s="935"/>
      <c r="N478" s="31"/>
      <c r="O478" s="31">
        <v>1</v>
      </c>
      <c r="P478" s="31"/>
      <c r="Q478" s="31"/>
      <c r="R478" s="31"/>
      <c r="S478" s="31"/>
      <c r="T478" s="31"/>
      <c r="U478" s="31"/>
      <c r="V478" s="444">
        <v>1300</v>
      </c>
      <c r="W478" s="411">
        <f t="shared" si="60"/>
        <v>15600</v>
      </c>
    </row>
    <row r="479" spans="1:23" ht="12.75">
      <c r="A479" s="949" t="s">
        <v>2014</v>
      </c>
      <c r="B479" s="928"/>
      <c r="C479" s="31"/>
      <c r="D479" s="31">
        <v>1</v>
      </c>
      <c r="E479" s="31"/>
      <c r="F479" s="31"/>
      <c r="G479" s="31"/>
      <c r="H479" s="31"/>
      <c r="I479" s="31"/>
      <c r="J479" s="31"/>
      <c r="K479" s="444">
        <v>1600</v>
      </c>
      <c r="L479" s="413">
        <f t="shared" si="59"/>
        <v>19200</v>
      </c>
      <c r="M479" s="928"/>
      <c r="N479" s="31"/>
      <c r="O479" s="31">
        <v>1</v>
      </c>
      <c r="P479" s="31"/>
      <c r="Q479" s="31"/>
      <c r="R479" s="31"/>
      <c r="S479" s="31"/>
      <c r="T479" s="31"/>
      <c r="U479" s="31"/>
      <c r="V479" s="444">
        <v>1600</v>
      </c>
      <c r="W479" s="411">
        <f t="shared" si="60"/>
        <v>19200</v>
      </c>
    </row>
    <row r="480" spans="1:23" ht="12.75">
      <c r="A480" s="949" t="s">
        <v>2014</v>
      </c>
      <c r="B480" s="953"/>
      <c r="C480" s="953"/>
      <c r="D480" s="31">
        <v>4</v>
      </c>
      <c r="E480" s="475"/>
      <c r="F480" s="475"/>
      <c r="G480" s="475"/>
      <c r="H480" s="475"/>
      <c r="I480" s="475"/>
      <c r="J480" s="475"/>
      <c r="K480" s="444">
        <v>7200</v>
      </c>
      <c r="L480" s="413">
        <f t="shared" si="59"/>
        <v>86400</v>
      </c>
      <c r="M480" s="953"/>
      <c r="N480" s="953"/>
      <c r="O480" s="31">
        <v>4</v>
      </c>
      <c r="P480" s="475"/>
      <c r="Q480" s="475"/>
      <c r="R480" s="475"/>
      <c r="S480" s="475"/>
      <c r="T480" s="475"/>
      <c r="U480" s="475"/>
      <c r="V480" s="444">
        <v>7200</v>
      </c>
      <c r="W480" s="411">
        <f t="shared" si="60"/>
        <v>86400</v>
      </c>
    </row>
    <row r="481" spans="1:23" ht="12.75">
      <c r="A481" s="949" t="s">
        <v>2116</v>
      </c>
      <c r="B481" s="937"/>
      <c r="C481" s="31"/>
      <c r="D481" s="31">
        <v>1</v>
      </c>
      <c r="E481" s="31"/>
      <c r="F481" s="31"/>
      <c r="G481" s="31"/>
      <c r="H481" s="31"/>
      <c r="I481" s="31"/>
      <c r="J481" s="31"/>
      <c r="K481" s="444">
        <v>1200</v>
      </c>
      <c r="L481" s="413">
        <f t="shared" si="59"/>
        <v>14400</v>
      </c>
      <c r="M481" s="937"/>
      <c r="N481" s="31"/>
      <c r="O481" s="31">
        <v>1</v>
      </c>
      <c r="P481" s="31"/>
      <c r="Q481" s="31"/>
      <c r="R481" s="31"/>
      <c r="S481" s="31"/>
      <c r="T481" s="31"/>
      <c r="U481" s="31"/>
      <c r="V481" s="444">
        <v>1200</v>
      </c>
      <c r="W481" s="411">
        <f t="shared" si="60"/>
        <v>14400</v>
      </c>
    </row>
    <row r="482" spans="1:23" ht="12.75">
      <c r="A482" s="949" t="s">
        <v>2116</v>
      </c>
      <c r="B482" s="935"/>
      <c r="C482" s="31"/>
      <c r="D482" s="31">
        <v>1</v>
      </c>
      <c r="E482" s="31"/>
      <c r="F482" s="31"/>
      <c r="G482" s="31"/>
      <c r="H482" s="31"/>
      <c r="I482" s="31"/>
      <c r="J482" s="31"/>
      <c r="K482" s="444">
        <v>1100</v>
      </c>
      <c r="L482" s="413">
        <f t="shared" si="59"/>
        <v>13200</v>
      </c>
      <c r="M482" s="935"/>
      <c r="N482" s="31"/>
      <c r="O482" s="31">
        <v>1</v>
      </c>
      <c r="P482" s="31"/>
      <c r="Q482" s="31"/>
      <c r="R482" s="31"/>
      <c r="S482" s="31"/>
      <c r="T482" s="31"/>
      <c r="U482" s="31"/>
      <c r="V482" s="444">
        <v>1100</v>
      </c>
      <c r="W482" s="411">
        <f t="shared" si="60"/>
        <v>13200</v>
      </c>
    </row>
    <row r="483" spans="1:23" ht="12.75">
      <c r="A483" s="949" t="s">
        <v>2116</v>
      </c>
      <c r="B483" s="935"/>
      <c r="C483" s="31"/>
      <c r="D483" s="29">
        <v>1</v>
      </c>
      <c r="E483" s="31"/>
      <c r="F483" s="31"/>
      <c r="G483" s="31"/>
      <c r="H483" s="31"/>
      <c r="I483" s="31"/>
      <c r="J483" s="31"/>
      <c r="K483" s="444">
        <v>1800</v>
      </c>
      <c r="L483" s="413">
        <f t="shared" si="59"/>
        <v>21600</v>
      </c>
      <c r="M483" s="935"/>
      <c r="N483" s="31"/>
      <c r="O483" s="31">
        <v>1</v>
      </c>
      <c r="P483" s="31"/>
      <c r="Q483" s="31"/>
      <c r="R483" s="31"/>
      <c r="S483" s="31"/>
      <c r="T483" s="31"/>
      <c r="U483" s="31"/>
      <c r="V483" s="444">
        <v>1800</v>
      </c>
      <c r="W483" s="411">
        <f t="shared" si="60"/>
        <v>21600</v>
      </c>
    </row>
    <row r="484" spans="1:23" ht="12.75">
      <c r="A484" s="949" t="s">
        <v>2056</v>
      </c>
      <c r="B484" s="935"/>
      <c r="C484" s="31"/>
      <c r="D484" s="29">
        <v>1</v>
      </c>
      <c r="E484" s="31"/>
      <c r="F484" s="31"/>
      <c r="G484" s="31"/>
      <c r="H484" s="31"/>
      <c r="I484" s="31"/>
      <c r="J484" s="31"/>
      <c r="K484" s="444">
        <v>1050</v>
      </c>
      <c r="L484" s="413">
        <f t="shared" si="59"/>
        <v>12600</v>
      </c>
      <c r="M484" s="935"/>
      <c r="N484" s="31"/>
      <c r="O484" s="31">
        <v>1</v>
      </c>
      <c r="P484" s="31"/>
      <c r="Q484" s="31"/>
      <c r="R484" s="31"/>
      <c r="S484" s="31"/>
      <c r="T484" s="31"/>
      <c r="U484" s="31"/>
      <c r="V484" s="444">
        <v>1050</v>
      </c>
      <c r="W484" s="411">
        <f t="shared" si="60"/>
        <v>12600</v>
      </c>
    </row>
    <row r="485" spans="1:23" ht="12.75">
      <c r="A485" s="949" t="s">
        <v>2056</v>
      </c>
      <c r="B485" s="935"/>
      <c r="C485" s="31"/>
      <c r="D485" s="29">
        <v>4</v>
      </c>
      <c r="E485" s="31"/>
      <c r="F485" s="31"/>
      <c r="G485" s="31"/>
      <c r="H485" s="31"/>
      <c r="I485" s="31"/>
      <c r="J485" s="31"/>
      <c r="K485" s="444">
        <v>4800</v>
      </c>
      <c r="L485" s="413">
        <f t="shared" si="59"/>
        <v>57600</v>
      </c>
      <c r="M485" s="935"/>
      <c r="N485" s="31"/>
      <c r="O485" s="31">
        <v>4</v>
      </c>
      <c r="P485" s="31"/>
      <c r="Q485" s="31"/>
      <c r="R485" s="31"/>
      <c r="S485" s="31"/>
      <c r="T485" s="31"/>
      <c r="U485" s="31"/>
      <c r="V485" s="444">
        <v>4800</v>
      </c>
      <c r="W485" s="411">
        <f t="shared" si="60"/>
        <v>57600</v>
      </c>
    </row>
    <row r="486" spans="1:23" ht="12.75">
      <c r="A486" s="949" t="s">
        <v>2426</v>
      </c>
      <c r="B486" s="933"/>
      <c r="C486" s="31"/>
      <c r="D486" s="29">
        <v>1</v>
      </c>
      <c r="E486" s="31"/>
      <c r="F486" s="31"/>
      <c r="G486" s="31"/>
      <c r="H486" s="31"/>
      <c r="I486" s="31"/>
      <c r="J486" s="31"/>
      <c r="K486" s="444">
        <v>1200</v>
      </c>
      <c r="L486" s="413">
        <f t="shared" si="59"/>
        <v>14400</v>
      </c>
      <c r="M486" s="933"/>
      <c r="N486" s="31"/>
      <c r="O486" s="31">
        <v>1</v>
      </c>
      <c r="P486" s="31"/>
      <c r="Q486" s="31"/>
      <c r="R486" s="31"/>
      <c r="S486" s="31"/>
      <c r="T486" s="31"/>
      <c r="U486" s="31"/>
      <c r="V486" s="444">
        <v>1200</v>
      </c>
      <c r="W486" s="411">
        <f t="shared" si="60"/>
        <v>14400</v>
      </c>
    </row>
    <row r="487" spans="1:23" ht="12.75">
      <c r="A487" s="949" t="s">
        <v>2288</v>
      </c>
      <c r="B487" s="933"/>
      <c r="C487" s="31"/>
      <c r="D487" s="29">
        <v>1</v>
      </c>
      <c r="E487" s="31"/>
      <c r="F487" s="31"/>
      <c r="G487" s="31"/>
      <c r="H487" s="31"/>
      <c r="I487" s="31"/>
      <c r="J487" s="31"/>
      <c r="K487" s="444">
        <v>2500</v>
      </c>
      <c r="L487" s="413">
        <f t="shared" si="59"/>
        <v>30000</v>
      </c>
      <c r="M487" s="933"/>
      <c r="N487" s="31"/>
      <c r="O487" s="31">
        <v>1</v>
      </c>
      <c r="P487" s="31"/>
      <c r="Q487" s="31"/>
      <c r="R487" s="31"/>
      <c r="S487" s="31"/>
      <c r="T487" s="31"/>
      <c r="U487" s="31"/>
      <c r="V487" s="444">
        <v>2500</v>
      </c>
      <c r="W487" s="411">
        <f t="shared" si="60"/>
        <v>30000</v>
      </c>
    </row>
    <row r="488" spans="1:23" ht="12.75">
      <c r="A488" s="952" t="s">
        <v>6</v>
      </c>
      <c r="B488" s="933"/>
      <c r="C488" s="31"/>
      <c r="E488" s="31"/>
      <c r="F488" s="31"/>
      <c r="G488" s="31"/>
      <c r="H488" s="31"/>
      <c r="I488" s="31"/>
      <c r="J488" s="31"/>
      <c r="K488" s="926"/>
      <c r="L488" s="926"/>
      <c r="M488" s="933"/>
      <c r="N488" s="31"/>
      <c r="O488" s="31"/>
      <c r="P488" s="31"/>
      <c r="Q488" s="31"/>
      <c r="R488" s="31"/>
      <c r="S488" s="31"/>
      <c r="T488" s="31"/>
      <c r="U488" s="31"/>
      <c r="V488" s="926"/>
      <c r="W488" s="954"/>
    </row>
    <row r="489" spans="1:23" ht="12.75">
      <c r="A489" s="949" t="s">
        <v>2086</v>
      </c>
      <c r="B489" s="933"/>
      <c r="C489" s="31"/>
      <c r="D489" s="29">
        <v>2</v>
      </c>
      <c r="E489" s="31"/>
      <c r="F489" s="31"/>
      <c r="G489" s="31"/>
      <c r="H489" s="31"/>
      <c r="I489" s="31"/>
      <c r="J489" s="31"/>
      <c r="K489" s="444">
        <v>1900</v>
      </c>
      <c r="L489" s="413">
        <f aca="true" t="shared" si="61" ref="L489:L495">K489*12</f>
        <v>22800</v>
      </c>
      <c r="M489" s="933"/>
      <c r="N489" s="31"/>
      <c r="O489" s="31">
        <v>2</v>
      </c>
      <c r="P489" s="31"/>
      <c r="Q489" s="31"/>
      <c r="R489" s="31"/>
      <c r="S489" s="31"/>
      <c r="T489" s="31"/>
      <c r="U489" s="31"/>
      <c r="V489" s="444">
        <v>1900</v>
      </c>
      <c r="W489" s="411">
        <f aca="true" t="shared" si="62" ref="W489:W495">V489*12</f>
        <v>22800</v>
      </c>
    </row>
    <row r="490" spans="1:23" ht="12.75">
      <c r="A490" s="949" t="s">
        <v>2086</v>
      </c>
      <c r="B490" s="933"/>
      <c r="C490" s="31"/>
      <c r="D490" s="29">
        <v>1</v>
      </c>
      <c r="E490" s="31"/>
      <c r="F490" s="31"/>
      <c r="G490" s="31"/>
      <c r="H490" s="31"/>
      <c r="I490" s="31"/>
      <c r="J490" s="31"/>
      <c r="K490" s="444">
        <v>1000</v>
      </c>
      <c r="L490" s="413">
        <f t="shared" si="61"/>
        <v>12000</v>
      </c>
      <c r="M490" s="933"/>
      <c r="N490" s="31"/>
      <c r="O490" s="31">
        <v>1</v>
      </c>
      <c r="P490" s="31"/>
      <c r="Q490" s="31"/>
      <c r="R490" s="31"/>
      <c r="S490" s="31"/>
      <c r="T490" s="31"/>
      <c r="U490" s="31"/>
      <c r="V490" s="444">
        <v>1000</v>
      </c>
      <c r="W490" s="411">
        <f t="shared" si="62"/>
        <v>12000</v>
      </c>
    </row>
    <row r="491" spans="1:23" ht="12.75">
      <c r="A491" s="949" t="s">
        <v>2086</v>
      </c>
      <c r="B491" s="933"/>
      <c r="C491" s="31"/>
      <c r="D491" s="29">
        <v>2</v>
      </c>
      <c r="E491" s="31"/>
      <c r="F491" s="31"/>
      <c r="G491" s="31"/>
      <c r="H491" s="31"/>
      <c r="I491" s="31"/>
      <c r="J491" s="31"/>
      <c r="K491" s="444">
        <v>3000</v>
      </c>
      <c r="L491" s="413">
        <f t="shared" si="61"/>
        <v>36000</v>
      </c>
      <c r="M491" s="933"/>
      <c r="N491" s="31"/>
      <c r="O491" s="31">
        <v>2</v>
      </c>
      <c r="P491" s="31"/>
      <c r="Q491" s="31"/>
      <c r="R491" s="31"/>
      <c r="S491" s="31"/>
      <c r="T491" s="31"/>
      <c r="U491" s="31"/>
      <c r="V491" s="444">
        <v>3000</v>
      </c>
      <c r="W491" s="411">
        <f t="shared" si="62"/>
        <v>36000</v>
      </c>
    </row>
    <row r="492" spans="1:23" ht="12.75">
      <c r="A492" s="949" t="s">
        <v>2065</v>
      </c>
      <c r="B492" s="933"/>
      <c r="C492" s="31"/>
      <c r="D492" s="29">
        <v>4</v>
      </c>
      <c r="E492" s="31"/>
      <c r="F492" s="31"/>
      <c r="G492" s="31"/>
      <c r="H492" s="31"/>
      <c r="I492" s="31"/>
      <c r="J492" s="31"/>
      <c r="K492" s="444">
        <v>4000</v>
      </c>
      <c r="L492" s="413">
        <f t="shared" si="61"/>
        <v>48000</v>
      </c>
      <c r="M492" s="933"/>
      <c r="N492" s="31"/>
      <c r="O492" s="31">
        <v>4</v>
      </c>
      <c r="P492" s="31"/>
      <c r="Q492" s="31"/>
      <c r="R492" s="31"/>
      <c r="S492" s="31"/>
      <c r="T492" s="31"/>
      <c r="U492" s="31"/>
      <c r="V492" s="444">
        <v>4000</v>
      </c>
      <c r="W492" s="411">
        <f t="shared" si="62"/>
        <v>48000</v>
      </c>
    </row>
    <row r="493" spans="1:23" ht="12.75">
      <c r="A493" s="949" t="s">
        <v>2065</v>
      </c>
      <c r="B493" s="933"/>
      <c r="C493" s="31"/>
      <c r="D493" s="29">
        <v>2</v>
      </c>
      <c r="E493" s="31"/>
      <c r="F493" s="31"/>
      <c r="G493" s="31"/>
      <c r="H493" s="31"/>
      <c r="I493" s="31"/>
      <c r="J493" s="31"/>
      <c r="K493" s="444">
        <v>2200</v>
      </c>
      <c r="L493" s="413">
        <f t="shared" si="61"/>
        <v>26400</v>
      </c>
      <c r="M493" s="933"/>
      <c r="N493" s="31"/>
      <c r="O493" s="31">
        <v>2</v>
      </c>
      <c r="P493" s="31"/>
      <c r="Q493" s="31"/>
      <c r="R493" s="31"/>
      <c r="S493" s="31"/>
      <c r="T493" s="31"/>
      <c r="U493" s="31"/>
      <c r="V493" s="444">
        <v>2200</v>
      </c>
      <c r="W493" s="411">
        <f t="shared" si="62"/>
        <v>26400</v>
      </c>
    </row>
    <row r="494" spans="1:23" ht="12.75">
      <c r="A494" s="955" t="s">
        <v>2065</v>
      </c>
      <c r="B494" s="31"/>
      <c r="C494" s="31"/>
      <c r="D494" s="29">
        <v>2</v>
      </c>
      <c r="E494" s="31"/>
      <c r="F494" s="31"/>
      <c r="G494" s="31"/>
      <c r="H494" s="31"/>
      <c r="I494" s="31"/>
      <c r="J494" s="31"/>
      <c r="K494" s="444">
        <v>3000</v>
      </c>
      <c r="L494" s="413">
        <f t="shared" si="61"/>
        <v>36000</v>
      </c>
      <c r="M494" s="31"/>
      <c r="N494" s="31"/>
      <c r="O494" s="31">
        <v>2</v>
      </c>
      <c r="P494" s="31"/>
      <c r="Q494" s="31"/>
      <c r="R494" s="31"/>
      <c r="S494" s="31"/>
      <c r="T494" s="31"/>
      <c r="U494" s="31"/>
      <c r="V494" s="444">
        <v>3000</v>
      </c>
      <c r="W494" s="411">
        <f t="shared" si="62"/>
        <v>36000</v>
      </c>
    </row>
    <row r="495" spans="1:23" ht="12.75">
      <c r="A495" s="938" t="s">
        <v>2541</v>
      </c>
      <c r="B495" s="939"/>
      <c r="C495" s="536"/>
      <c r="D495" s="536">
        <v>147</v>
      </c>
      <c r="E495" s="536"/>
      <c r="F495" s="536"/>
      <c r="G495" s="536"/>
      <c r="H495" s="536"/>
      <c r="I495" s="536"/>
      <c r="J495" s="536"/>
      <c r="K495" s="940">
        <v>287228</v>
      </c>
      <c r="L495" s="940">
        <f t="shared" si="61"/>
        <v>3446736</v>
      </c>
      <c r="M495" s="956"/>
      <c r="N495" s="957"/>
      <c r="O495" s="957">
        <v>147</v>
      </c>
      <c r="P495" s="957"/>
      <c r="Q495" s="957"/>
      <c r="R495" s="957"/>
      <c r="S495" s="536"/>
      <c r="T495" s="536"/>
      <c r="U495" s="536"/>
      <c r="V495" s="940">
        <v>287228</v>
      </c>
      <c r="W495" s="940">
        <f t="shared" si="62"/>
        <v>3446736</v>
      </c>
    </row>
    <row r="496" spans="1:23" ht="12.75">
      <c r="A496" s="439" t="s">
        <v>303</v>
      </c>
      <c r="B496" s="440"/>
      <c r="C496" s="440"/>
      <c r="D496" s="440"/>
      <c r="E496" s="440"/>
      <c r="F496" s="440"/>
      <c r="G496" s="440"/>
      <c r="H496" s="440"/>
      <c r="I496" s="440"/>
      <c r="J496" s="440"/>
      <c r="K496" s="440"/>
      <c r="L496" s="440"/>
      <c r="M496" s="440"/>
      <c r="N496" s="440"/>
      <c r="O496" s="440"/>
      <c r="P496" s="3"/>
      <c r="Q496" s="85"/>
      <c r="R496"/>
      <c r="S496"/>
      <c r="T496" s="3"/>
      <c r="U496" s="3"/>
      <c r="V496" s="3"/>
      <c r="W496" s="3"/>
    </row>
    <row r="497" spans="1:23" ht="12.75">
      <c r="A497" s="29" t="s">
        <v>297</v>
      </c>
      <c r="P497" s="3"/>
      <c r="Q497" s="85"/>
      <c r="R497"/>
      <c r="S497"/>
      <c r="T497"/>
      <c r="U497"/>
      <c r="V497" s="3"/>
      <c r="W497" s="3"/>
    </row>
    <row r="499" ht="13.5" thickBot="1">
      <c r="A499" s="440" t="s">
        <v>2599</v>
      </c>
    </row>
    <row r="500" spans="1:23" ht="12.75">
      <c r="A500" s="481" t="s">
        <v>10</v>
      </c>
      <c r="B500" s="1545" t="s">
        <v>412</v>
      </c>
      <c r="C500" s="1546"/>
      <c r="D500" s="1546"/>
      <c r="E500" s="1546"/>
      <c r="F500" s="1546"/>
      <c r="G500" s="1546"/>
      <c r="H500" s="1546"/>
      <c r="I500" s="1546"/>
      <c r="J500" s="1546"/>
      <c r="K500" s="1546"/>
      <c r="L500" s="1547"/>
      <c r="M500" s="1545" t="s">
        <v>413</v>
      </c>
      <c r="N500" s="1546"/>
      <c r="O500" s="1546"/>
      <c r="P500" s="1546"/>
      <c r="Q500" s="1546"/>
      <c r="R500" s="1546"/>
      <c r="S500" s="1546"/>
      <c r="T500" s="1546"/>
      <c r="U500" s="1546"/>
      <c r="V500" s="1546"/>
      <c r="W500" s="1547"/>
    </row>
    <row r="501" spans="1:23" ht="135" thickBot="1">
      <c r="A501" s="1057" t="s">
        <v>9</v>
      </c>
      <c r="B501" s="1058" t="s">
        <v>335</v>
      </c>
      <c r="C501" s="1058" t="s">
        <v>127</v>
      </c>
      <c r="D501" s="1059" t="s">
        <v>296</v>
      </c>
      <c r="E501" s="1059" t="s">
        <v>291</v>
      </c>
      <c r="F501" s="1059" t="s">
        <v>298</v>
      </c>
      <c r="G501" s="1059" t="s">
        <v>299</v>
      </c>
      <c r="H501" s="1059" t="s">
        <v>300</v>
      </c>
      <c r="I501" s="1059" t="s">
        <v>307</v>
      </c>
      <c r="J501" s="1060" t="s">
        <v>302</v>
      </c>
      <c r="K501" s="1061" t="s">
        <v>304</v>
      </c>
      <c r="L501" s="1062" t="s">
        <v>306</v>
      </c>
      <c r="M501" s="1058" t="s">
        <v>335</v>
      </c>
      <c r="N501" s="1058" t="s">
        <v>127</v>
      </c>
      <c r="O501" s="1059" t="s">
        <v>296</v>
      </c>
      <c r="P501" s="1059" t="s">
        <v>291</v>
      </c>
      <c r="Q501" s="1059" t="s">
        <v>298</v>
      </c>
      <c r="R501" s="1059" t="s">
        <v>299</v>
      </c>
      <c r="S501" s="1059" t="s">
        <v>300</v>
      </c>
      <c r="T501" s="1059" t="s">
        <v>307</v>
      </c>
      <c r="U501" s="1060" t="s">
        <v>302</v>
      </c>
      <c r="V501" s="1061" t="s">
        <v>304</v>
      </c>
      <c r="W501" s="1062" t="s">
        <v>305</v>
      </c>
    </row>
    <row r="502" spans="1:23" ht="12.75">
      <c r="A502" s="34"/>
      <c r="B502" s="1063"/>
      <c r="C502" s="1064"/>
      <c r="D502" s="1064"/>
      <c r="E502" s="1064"/>
      <c r="F502" s="1064"/>
      <c r="G502" s="1064"/>
      <c r="H502" s="1064"/>
      <c r="I502" s="1064"/>
      <c r="J502" s="1064"/>
      <c r="K502" s="1064"/>
      <c r="L502" s="1065"/>
      <c r="M502" s="1064"/>
      <c r="N502" s="1064"/>
      <c r="O502" s="1064"/>
      <c r="P502" s="1064"/>
      <c r="Q502" s="1064"/>
      <c r="R502" s="1064"/>
      <c r="S502" s="1064"/>
      <c r="T502" s="1064"/>
      <c r="U502" s="1064"/>
      <c r="V502" s="1064"/>
      <c r="W502" s="1065"/>
    </row>
    <row r="503" spans="1:23" ht="12.75">
      <c r="A503" s="1066" t="s">
        <v>7</v>
      </c>
      <c r="B503" s="1067"/>
      <c r="C503" s="1068"/>
      <c r="D503" s="1068"/>
      <c r="E503" s="1068"/>
      <c r="F503" s="1068"/>
      <c r="G503" s="1068"/>
      <c r="H503" s="1068"/>
      <c r="I503" s="1068"/>
      <c r="J503" s="1068"/>
      <c r="K503" s="1068"/>
      <c r="L503" s="1069"/>
      <c r="M503" s="1068"/>
      <c r="N503" s="1068"/>
      <c r="O503" s="1068"/>
      <c r="P503" s="1068"/>
      <c r="Q503" s="1068"/>
      <c r="R503" s="1068"/>
      <c r="S503" s="1068"/>
      <c r="T503" s="1068"/>
      <c r="U503" s="1068"/>
      <c r="V503" s="1068"/>
      <c r="W503" s="1069"/>
    </row>
    <row r="504" spans="1:23" ht="12.75">
      <c r="A504" s="1070" t="s">
        <v>562</v>
      </c>
      <c r="B504" s="1071">
        <v>1</v>
      </c>
      <c r="C504" s="31"/>
      <c r="D504" s="31"/>
      <c r="E504" s="1072"/>
      <c r="F504" s="1073"/>
      <c r="G504" s="31"/>
      <c r="H504" s="31"/>
      <c r="I504" s="31"/>
      <c r="J504" s="31"/>
      <c r="K504" s="31">
        <f>SUM(B504:J504)</f>
        <v>1</v>
      </c>
      <c r="L504" s="379">
        <v>47149</v>
      </c>
      <c r="M504" s="953">
        <v>1</v>
      </c>
      <c r="N504" s="31"/>
      <c r="O504" s="31"/>
      <c r="P504" s="31"/>
      <c r="Q504" s="31"/>
      <c r="R504" s="31"/>
      <c r="S504" s="31"/>
      <c r="T504" s="31"/>
      <c r="U504" s="31"/>
      <c r="V504" s="31">
        <f>SUM(M504:U504)</f>
        <v>1</v>
      </c>
      <c r="W504" s="379">
        <v>47149</v>
      </c>
    </row>
    <row r="505" spans="1:23" ht="12.75">
      <c r="A505" s="1070" t="s">
        <v>560</v>
      </c>
      <c r="B505" s="1071">
        <v>7</v>
      </c>
      <c r="C505" s="31"/>
      <c r="D505" s="31"/>
      <c r="E505" s="1072"/>
      <c r="F505" s="1073"/>
      <c r="G505" s="31"/>
      <c r="H505" s="31"/>
      <c r="I505" s="31"/>
      <c r="J505" s="31"/>
      <c r="K505" s="31">
        <f>SUM(B505:J505)</f>
        <v>7</v>
      </c>
      <c r="L505" s="379">
        <v>267362</v>
      </c>
      <c r="M505" s="953">
        <v>7</v>
      </c>
      <c r="N505" s="31"/>
      <c r="O505" s="31"/>
      <c r="P505" s="31"/>
      <c r="Q505" s="31"/>
      <c r="R505" s="31"/>
      <c r="S505" s="31"/>
      <c r="T505" s="31"/>
      <c r="U505" s="31"/>
      <c r="V505" s="31">
        <f>SUM(M505:U505)</f>
        <v>7</v>
      </c>
      <c r="W505" s="379">
        <v>267362</v>
      </c>
    </row>
    <row r="506" spans="1:23" ht="12.75">
      <c r="A506" s="1074" t="s">
        <v>693</v>
      </c>
      <c r="B506" s="1071">
        <v>2</v>
      </c>
      <c r="C506" s="31"/>
      <c r="D506" s="31"/>
      <c r="E506" s="31"/>
      <c r="F506" s="31"/>
      <c r="G506" s="31"/>
      <c r="H506" s="31"/>
      <c r="I506" s="31"/>
      <c r="J506" s="31"/>
      <c r="K506" s="31">
        <f>SUM(B506:J506)</f>
        <v>2</v>
      </c>
      <c r="L506" s="379">
        <v>73287</v>
      </c>
      <c r="M506" s="953">
        <v>2</v>
      </c>
      <c r="N506" s="31"/>
      <c r="O506" s="31"/>
      <c r="P506" s="31"/>
      <c r="Q506" s="31"/>
      <c r="R506" s="31"/>
      <c r="S506" s="31"/>
      <c r="T506" s="31"/>
      <c r="U506" s="31"/>
      <c r="V506" s="31">
        <f>SUM(M506:U506)</f>
        <v>2</v>
      </c>
      <c r="W506" s="379">
        <v>73287</v>
      </c>
    </row>
    <row r="507" spans="1:23" ht="12.75">
      <c r="A507" s="1066" t="s">
        <v>4</v>
      </c>
      <c r="B507" s="1067"/>
      <c r="C507" s="1068"/>
      <c r="D507" s="1068"/>
      <c r="E507" s="1075"/>
      <c r="F507" s="1075"/>
      <c r="G507" s="1068"/>
      <c r="H507" s="1068"/>
      <c r="I507" s="1068"/>
      <c r="J507" s="1068"/>
      <c r="K507" s="1068"/>
      <c r="L507" s="1069"/>
      <c r="M507" s="1068"/>
      <c r="N507" s="1068"/>
      <c r="O507" s="1068"/>
      <c r="P507" s="1068"/>
      <c r="Q507" s="1068"/>
      <c r="R507" s="1068"/>
      <c r="S507" s="1068"/>
      <c r="T507" s="1068"/>
      <c r="U507" s="1068"/>
      <c r="V507" s="1068"/>
      <c r="W507" s="1069"/>
    </row>
    <row r="508" spans="1:23" ht="12.75">
      <c r="A508" s="1076" t="s">
        <v>769</v>
      </c>
      <c r="B508" s="1071">
        <v>10</v>
      </c>
      <c r="C508" s="31"/>
      <c r="D508" s="31"/>
      <c r="E508" s="1072"/>
      <c r="F508" s="1073"/>
      <c r="G508" s="31"/>
      <c r="H508" s="31"/>
      <c r="I508" s="31"/>
      <c r="J508" s="31"/>
      <c r="K508" s="31">
        <f aca="true" t="shared" si="63" ref="K508:K549">SUM(B508:J508)</f>
        <v>10</v>
      </c>
      <c r="L508" s="379">
        <v>678022</v>
      </c>
      <c r="M508" s="953">
        <v>10</v>
      </c>
      <c r="N508" s="31"/>
      <c r="O508" s="31"/>
      <c r="P508" s="31"/>
      <c r="Q508" s="31"/>
      <c r="R508" s="31"/>
      <c r="S508" s="31"/>
      <c r="T508" s="31"/>
      <c r="U508" s="31"/>
      <c r="V508" s="31">
        <f>SUM(M508:U508)</f>
        <v>10</v>
      </c>
      <c r="W508" s="379">
        <v>678022</v>
      </c>
    </row>
    <row r="509" spans="1:23" ht="12.75">
      <c r="A509" s="1076" t="s">
        <v>765</v>
      </c>
      <c r="B509" s="1071">
        <v>3</v>
      </c>
      <c r="C509" s="31"/>
      <c r="D509" s="31"/>
      <c r="E509" s="1072"/>
      <c r="F509" s="1073"/>
      <c r="G509" s="31"/>
      <c r="H509" s="31"/>
      <c r="I509" s="31"/>
      <c r="J509" s="31"/>
      <c r="K509" s="31">
        <f t="shared" si="63"/>
        <v>3</v>
      </c>
      <c r="L509" s="379">
        <v>204673</v>
      </c>
      <c r="M509" s="953">
        <v>3</v>
      </c>
      <c r="N509" s="31"/>
      <c r="O509" s="31"/>
      <c r="P509" s="31"/>
      <c r="Q509" s="31"/>
      <c r="R509" s="31"/>
      <c r="S509" s="31"/>
      <c r="T509" s="31"/>
      <c r="U509" s="31"/>
      <c r="V509" s="31">
        <f aca="true" t="shared" si="64" ref="V509:V547">SUM(M509:U509)</f>
        <v>3</v>
      </c>
      <c r="W509" s="379">
        <v>204673</v>
      </c>
    </row>
    <row r="510" spans="1:23" ht="12.75">
      <c r="A510" s="1076" t="s">
        <v>749</v>
      </c>
      <c r="B510" s="1071">
        <v>34</v>
      </c>
      <c r="C510" s="31"/>
      <c r="D510" s="31"/>
      <c r="E510" s="1072"/>
      <c r="F510" s="1073"/>
      <c r="G510" s="31"/>
      <c r="H510" s="31"/>
      <c r="I510" s="31"/>
      <c r="J510" s="31"/>
      <c r="K510" s="31">
        <f t="shared" si="63"/>
        <v>34</v>
      </c>
      <c r="L510" s="379">
        <v>2170729</v>
      </c>
      <c r="M510" s="953">
        <v>34</v>
      </c>
      <c r="N510" s="31"/>
      <c r="O510" s="31"/>
      <c r="P510" s="31"/>
      <c r="Q510" s="31"/>
      <c r="R510" s="31"/>
      <c r="S510" s="31"/>
      <c r="T510" s="31"/>
      <c r="U510" s="31"/>
      <c r="V510" s="31">
        <f t="shared" si="64"/>
        <v>34</v>
      </c>
      <c r="W510" s="379">
        <v>2170729</v>
      </c>
    </row>
    <row r="511" spans="1:23" ht="12.75">
      <c r="A511" s="1076" t="s">
        <v>748</v>
      </c>
      <c r="B511" s="1071">
        <v>5</v>
      </c>
      <c r="C511" s="31"/>
      <c r="D511" s="31"/>
      <c r="E511" s="1072"/>
      <c r="F511" s="1073"/>
      <c r="G511" s="31"/>
      <c r="H511" s="31"/>
      <c r="I511" s="31"/>
      <c r="J511" s="31"/>
      <c r="K511" s="31">
        <f t="shared" si="63"/>
        <v>5</v>
      </c>
      <c r="L511" s="379">
        <v>351188</v>
      </c>
      <c r="M511" s="953">
        <v>5</v>
      </c>
      <c r="N511" s="31"/>
      <c r="O511" s="31"/>
      <c r="P511" s="31"/>
      <c r="Q511" s="31"/>
      <c r="R511" s="31"/>
      <c r="S511" s="31"/>
      <c r="T511" s="31"/>
      <c r="U511" s="31"/>
      <c r="V511" s="31">
        <f t="shared" si="64"/>
        <v>5</v>
      </c>
      <c r="W511" s="379">
        <v>351188</v>
      </c>
    </row>
    <row r="512" spans="1:23" ht="12.75">
      <c r="A512" s="1076" t="s">
        <v>747</v>
      </c>
      <c r="B512" s="1071">
        <v>3</v>
      </c>
      <c r="C512" s="31"/>
      <c r="D512" s="31"/>
      <c r="E512" s="1072"/>
      <c r="F512" s="1073"/>
      <c r="G512" s="31"/>
      <c r="H512" s="31"/>
      <c r="I512" s="31"/>
      <c r="J512" s="31"/>
      <c r="K512" s="31">
        <f t="shared" si="63"/>
        <v>3</v>
      </c>
      <c r="L512" s="379">
        <v>185449</v>
      </c>
      <c r="M512" s="953">
        <v>3</v>
      </c>
      <c r="N512" s="31"/>
      <c r="O512" s="31"/>
      <c r="P512" s="31"/>
      <c r="Q512" s="31"/>
      <c r="R512" s="31"/>
      <c r="S512" s="31"/>
      <c r="T512" s="31"/>
      <c r="U512" s="31"/>
      <c r="V512" s="31">
        <f t="shared" si="64"/>
        <v>3</v>
      </c>
      <c r="W512" s="379">
        <v>185449</v>
      </c>
    </row>
    <row r="513" spans="1:23" ht="12.75">
      <c r="A513" s="1077" t="s">
        <v>745</v>
      </c>
      <c r="B513" s="1071">
        <v>8</v>
      </c>
      <c r="C513" s="31"/>
      <c r="D513" s="31"/>
      <c r="E513" s="1072"/>
      <c r="F513" s="1073"/>
      <c r="G513" s="31"/>
      <c r="H513" s="31"/>
      <c r="I513" s="31"/>
      <c r="J513" s="31"/>
      <c r="K513" s="31">
        <f t="shared" si="63"/>
        <v>8</v>
      </c>
      <c r="L513" s="379">
        <v>601492</v>
      </c>
      <c r="M513" s="953">
        <v>8</v>
      </c>
      <c r="N513" s="31"/>
      <c r="O513" s="31"/>
      <c r="P513" s="31"/>
      <c r="Q513" s="31"/>
      <c r="R513" s="31"/>
      <c r="S513" s="31"/>
      <c r="T513" s="31"/>
      <c r="U513" s="31"/>
      <c r="V513" s="31">
        <f t="shared" si="64"/>
        <v>8</v>
      </c>
      <c r="W513" s="379">
        <v>601492</v>
      </c>
    </row>
    <row r="514" spans="1:23" ht="12.75">
      <c r="A514" s="1077" t="s">
        <v>2595</v>
      </c>
      <c r="B514" s="1071">
        <v>1</v>
      </c>
      <c r="C514" s="31"/>
      <c r="D514" s="31"/>
      <c r="E514" s="1072"/>
      <c r="F514" s="1073"/>
      <c r="G514" s="31"/>
      <c r="H514" s="31"/>
      <c r="I514" s="31"/>
      <c r="J514" s="31"/>
      <c r="K514" s="31">
        <f t="shared" si="63"/>
        <v>1</v>
      </c>
      <c r="L514" s="379">
        <v>54391</v>
      </c>
      <c r="M514" s="953">
        <v>1</v>
      </c>
      <c r="N514" s="31"/>
      <c r="O514" s="31"/>
      <c r="P514" s="31"/>
      <c r="Q514" s="31"/>
      <c r="R514" s="31"/>
      <c r="S514" s="31"/>
      <c r="T514" s="31"/>
      <c r="U514" s="31"/>
      <c r="V514" s="31">
        <f t="shared" si="64"/>
        <v>1</v>
      </c>
      <c r="W514" s="379">
        <v>54391</v>
      </c>
    </row>
    <row r="515" spans="1:23" ht="12.75">
      <c r="A515" s="1077" t="s">
        <v>759</v>
      </c>
      <c r="B515" s="1071">
        <v>14</v>
      </c>
      <c r="C515" s="31"/>
      <c r="D515" s="31"/>
      <c r="E515" s="1072"/>
      <c r="F515" s="1073"/>
      <c r="G515" s="31"/>
      <c r="H515" s="31"/>
      <c r="I515" s="31"/>
      <c r="J515" s="31"/>
      <c r="K515" s="31">
        <f t="shared" si="63"/>
        <v>14</v>
      </c>
      <c r="L515" s="379">
        <v>1355184</v>
      </c>
      <c r="M515" s="953">
        <v>14</v>
      </c>
      <c r="N515" s="31"/>
      <c r="O515" s="31"/>
      <c r="P515" s="31"/>
      <c r="Q515" s="31"/>
      <c r="R515" s="31"/>
      <c r="S515" s="31"/>
      <c r="T515" s="31"/>
      <c r="U515" s="31"/>
      <c r="V515" s="31">
        <f t="shared" si="64"/>
        <v>14</v>
      </c>
      <c r="W515" s="379">
        <v>1355184</v>
      </c>
    </row>
    <row r="516" spans="1:23" ht="12.75">
      <c r="A516" s="1071" t="s">
        <v>758</v>
      </c>
      <c r="B516" s="1071">
        <v>10</v>
      </c>
      <c r="C516" s="31"/>
      <c r="D516" s="31"/>
      <c r="E516" s="1072"/>
      <c r="F516" s="1073"/>
      <c r="G516" s="31"/>
      <c r="H516" s="31"/>
      <c r="I516" s="31"/>
      <c r="J516" s="31"/>
      <c r="K516" s="31">
        <f t="shared" si="63"/>
        <v>10</v>
      </c>
      <c r="L516" s="379">
        <v>1116362</v>
      </c>
      <c r="M516" s="953">
        <v>10</v>
      </c>
      <c r="N516" s="31"/>
      <c r="O516" s="31"/>
      <c r="P516" s="31"/>
      <c r="Q516" s="31"/>
      <c r="R516" s="31"/>
      <c r="S516" s="31"/>
      <c r="T516" s="31"/>
      <c r="U516" s="31"/>
      <c r="V516" s="31">
        <f t="shared" si="64"/>
        <v>10</v>
      </c>
      <c r="W516" s="379">
        <v>1016362</v>
      </c>
    </row>
    <row r="517" spans="1:23" ht="12.75">
      <c r="A517" s="1077" t="s">
        <v>757</v>
      </c>
      <c r="B517" s="1071">
        <v>4</v>
      </c>
      <c r="C517" s="31"/>
      <c r="D517" s="31"/>
      <c r="E517" s="1072"/>
      <c r="F517" s="1073"/>
      <c r="G517" s="31"/>
      <c r="H517" s="31"/>
      <c r="I517" s="31"/>
      <c r="J517" s="31"/>
      <c r="K517" s="31">
        <f t="shared" si="63"/>
        <v>4</v>
      </c>
      <c r="L517" s="379">
        <v>441845</v>
      </c>
      <c r="M517" s="953">
        <v>4</v>
      </c>
      <c r="N517" s="31"/>
      <c r="O517" s="31"/>
      <c r="P517" s="31"/>
      <c r="Q517" s="31"/>
      <c r="R517" s="31"/>
      <c r="S517" s="31"/>
      <c r="T517" s="31"/>
      <c r="U517" s="31"/>
      <c r="V517" s="31">
        <f t="shared" si="64"/>
        <v>4</v>
      </c>
      <c r="W517" s="379">
        <v>441845</v>
      </c>
    </row>
    <row r="518" spans="1:23" ht="12.75">
      <c r="A518" s="1077" t="s">
        <v>2596</v>
      </c>
      <c r="B518" s="1071">
        <v>1</v>
      </c>
      <c r="C518" s="31"/>
      <c r="D518" s="31"/>
      <c r="E518" s="1072"/>
      <c r="F518" s="1073"/>
      <c r="G518" s="31"/>
      <c r="H518" s="31"/>
      <c r="I518" s="31"/>
      <c r="J518" s="31"/>
      <c r="K518" s="31">
        <f t="shared" si="63"/>
        <v>1</v>
      </c>
      <c r="L518" s="379">
        <v>125894</v>
      </c>
      <c r="M518" s="953">
        <v>1</v>
      </c>
      <c r="N518" s="31"/>
      <c r="O518" s="31"/>
      <c r="P518" s="31"/>
      <c r="Q518" s="31"/>
      <c r="R518" s="31"/>
      <c r="S518" s="31"/>
      <c r="T518" s="31"/>
      <c r="U518" s="31"/>
      <c r="V518" s="31">
        <f t="shared" si="64"/>
        <v>1</v>
      </c>
      <c r="W518" s="379">
        <v>125894</v>
      </c>
    </row>
    <row r="519" spans="1:23" ht="12.75">
      <c r="A519" s="1077" t="s">
        <v>756</v>
      </c>
      <c r="B519" s="1071">
        <v>4</v>
      </c>
      <c r="C519" s="31"/>
      <c r="D519" s="31"/>
      <c r="E519" s="1072"/>
      <c r="F519" s="1073"/>
      <c r="G519" s="31"/>
      <c r="H519" s="31"/>
      <c r="I519" s="31"/>
      <c r="J519" s="31"/>
      <c r="K519" s="31">
        <f t="shared" si="63"/>
        <v>4</v>
      </c>
      <c r="L519" s="379">
        <v>505505</v>
      </c>
      <c r="M519" s="953">
        <v>4</v>
      </c>
      <c r="N519" s="31"/>
      <c r="O519" s="31"/>
      <c r="P519" s="31"/>
      <c r="Q519" s="31"/>
      <c r="R519" s="31"/>
      <c r="S519" s="31"/>
      <c r="T519" s="31"/>
      <c r="U519" s="31"/>
      <c r="V519" s="31">
        <f t="shared" si="64"/>
        <v>4</v>
      </c>
      <c r="W519" s="379">
        <v>505505</v>
      </c>
    </row>
    <row r="520" spans="1:23" ht="12.75">
      <c r="A520" s="1077" t="s">
        <v>764</v>
      </c>
      <c r="B520" s="1071">
        <v>54</v>
      </c>
      <c r="C520" s="31"/>
      <c r="D520" s="31"/>
      <c r="E520" s="77"/>
      <c r="F520" s="77"/>
      <c r="G520" s="31"/>
      <c r="H520" s="31"/>
      <c r="I520" s="31"/>
      <c r="J520" s="31"/>
      <c r="K520" s="31">
        <f t="shared" si="63"/>
        <v>54</v>
      </c>
      <c r="L520" s="379">
        <v>3498994</v>
      </c>
      <c r="M520" s="953">
        <v>54</v>
      </c>
      <c r="N520" s="31"/>
      <c r="O520" s="31"/>
      <c r="P520" s="31"/>
      <c r="Q520" s="31"/>
      <c r="R520" s="31"/>
      <c r="S520" s="31"/>
      <c r="T520" s="31"/>
      <c r="U520" s="31"/>
      <c r="V520" s="31">
        <f t="shared" si="64"/>
        <v>54</v>
      </c>
      <c r="W520" s="379">
        <v>3498994</v>
      </c>
    </row>
    <row r="521" spans="1:23" ht="12.75">
      <c r="A521" s="1077" t="s">
        <v>763</v>
      </c>
      <c r="B521" s="1071">
        <v>5</v>
      </c>
      <c r="C521" s="31"/>
      <c r="D521" s="31"/>
      <c r="E521" s="77"/>
      <c r="F521" s="77"/>
      <c r="G521" s="31"/>
      <c r="H521" s="31"/>
      <c r="I521" s="31"/>
      <c r="J521" s="31"/>
      <c r="K521" s="31">
        <f t="shared" si="63"/>
        <v>5</v>
      </c>
      <c r="L521" s="379">
        <v>331869</v>
      </c>
      <c r="M521" s="953">
        <v>5</v>
      </c>
      <c r="N521" s="31"/>
      <c r="O521" s="31"/>
      <c r="P521" s="31"/>
      <c r="Q521" s="31"/>
      <c r="R521" s="31"/>
      <c r="S521" s="31"/>
      <c r="T521" s="31"/>
      <c r="U521" s="31"/>
      <c r="V521" s="31">
        <f t="shared" si="64"/>
        <v>5</v>
      </c>
      <c r="W521" s="379">
        <v>331869</v>
      </c>
    </row>
    <row r="522" spans="1:23" ht="12.75">
      <c r="A522" s="1077" t="s">
        <v>762</v>
      </c>
      <c r="B522" s="1071">
        <v>4</v>
      </c>
      <c r="C522" s="31"/>
      <c r="D522" s="31"/>
      <c r="E522" s="77"/>
      <c r="F522" s="77"/>
      <c r="G522" s="31"/>
      <c r="H522" s="31"/>
      <c r="I522" s="31"/>
      <c r="J522" s="31"/>
      <c r="K522" s="31">
        <f t="shared" si="63"/>
        <v>4</v>
      </c>
      <c r="L522" s="379">
        <v>292911</v>
      </c>
      <c r="M522" s="953">
        <v>4</v>
      </c>
      <c r="N522" s="31"/>
      <c r="O522" s="31"/>
      <c r="P522" s="31"/>
      <c r="Q522" s="31"/>
      <c r="R522" s="31"/>
      <c r="S522" s="31"/>
      <c r="T522" s="31"/>
      <c r="U522" s="31"/>
      <c r="V522" s="31">
        <f t="shared" si="64"/>
        <v>4</v>
      </c>
      <c r="W522" s="379">
        <v>292911</v>
      </c>
    </row>
    <row r="523" spans="1:23" ht="12.75">
      <c r="A523" s="1077" t="s">
        <v>761</v>
      </c>
      <c r="B523" s="1071">
        <v>1</v>
      </c>
      <c r="C523" s="31"/>
      <c r="D523" s="31"/>
      <c r="E523" s="77"/>
      <c r="F523" s="77"/>
      <c r="G523" s="31"/>
      <c r="H523" s="31"/>
      <c r="I523" s="31"/>
      <c r="J523" s="31"/>
      <c r="K523" s="31">
        <f t="shared" si="63"/>
        <v>1</v>
      </c>
      <c r="L523" s="379">
        <v>92701</v>
      </c>
      <c r="M523" s="953">
        <v>1</v>
      </c>
      <c r="N523" s="31"/>
      <c r="O523" s="31"/>
      <c r="P523" s="31"/>
      <c r="Q523" s="31"/>
      <c r="R523" s="31"/>
      <c r="S523" s="31"/>
      <c r="T523" s="31"/>
      <c r="U523" s="31"/>
      <c r="V523" s="31">
        <f t="shared" si="64"/>
        <v>1</v>
      </c>
      <c r="W523" s="379">
        <v>92701</v>
      </c>
    </row>
    <row r="524" spans="1:23" ht="12.75">
      <c r="A524" s="1077" t="s">
        <v>760</v>
      </c>
      <c r="B524" s="1071">
        <v>3</v>
      </c>
      <c r="C524" s="31"/>
      <c r="D524" s="31"/>
      <c r="E524" s="31"/>
      <c r="F524" s="31"/>
      <c r="G524" s="31"/>
      <c r="H524" s="31"/>
      <c r="I524" s="31"/>
      <c r="J524" s="31"/>
      <c r="K524" s="31">
        <f t="shared" si="63"/>
        <v>3</v>
      </c>
      <c r="L524" s="379">
        <v>211812</v>
      </c>
      <c r="M524" s="953">
        <v>3</v>
      </c>
      <c r="N524" s="31"/>
      <c r="O524" s="31"/>
      <c r="P524" s="31"/>
      <c r="Q524" s="31"/>
      <c r="R524" s="31"/>
      <c r="S524" s="31"/>
      <c r="T524" s="31"/>
      <c r="U524" s="31"/>
      <c r="V524" s="31">
        <f t="shared" si="64"/>
        <v>3</v>
      </c>
      <c r="W524" s="379">
        <v>211812</v>
      </c>
    </row>
    <row r="525" spans="1:23" ht="12.75">
      <c r="A525" s="1077" t="s">
        <v>753</v>
      </c>
      <c r="B525" s="1071">
        <v>9</v>
      </c>
      <c r="C525" s="31"/>
      <c r="D525" s="31"/>
      <c r="E525" s="31"/>
      <c r="F525" s="31"/>
      <c r="G525" s="31"/>
      <c r="H525" s="31"/>
      <c r="I525" s="31"/>
      <c r="J525" s="31"/>
      <c r="K525" s="31">
        <f t="shared" si="63"/>
        <v>9</v>
      </c>
      <c r="L525" s="379">
        <v>555463</v>
      </c>
      <c r="M525" s="953">
        <v>9</v>
      </c>
      <c r="N525" s="31"/>
      <c r="O525" s="31"/>
      <c r="P525" s="31"/>
      <c r="Q525" s="31"/>
      <c r="R525" s="31"/>
      <c r="S525" s="31"/>
      <c r="T525" s="31"/>
      <c r="U525" s="31"/>
      <c r="V525" s="31">
        <f t="shared" si="64"/>
        <v>9</v>
      </c>
      <c r="W525" s="379">
        <v>555463</v>
      </c>
    </row>
    <row r="526" spans="1:23" ht="12.75">
      <c r="A526" s="1077" t="s">
        <v>752</v>
      </c>
      <c r="B526" s="1071">
        <v>3</v>
      </c>
      <c r="C526" s="31"/>
      <c r="D526" s="31"/>
      <c r="E526" s="31"/>
      <c r="F526" s="31"/>
      <c r="G526" s="31"/>
      <c r="H526" s="31"/>
      <c r="I526" s="31"/>
      <c r="J526" s="31"/>
      <c r="K526" s="31">
        <f t="shared" si="63"/>
        <v>3</v>
      </c>
      <c r="L526" s="379">
        <v>211883</v>
      </c>
      <c r="M526" s="953">
        <v>3</v>
      </c>
      <c r="N526" s="31"/>
      <c r="O526" s="31"/>
      <c r="P526" s="31"/>
      <c r="Q526" s="31"/>
      <c r="R526" s="31"/>
      <c r="S526" s="31"/>
      <c r="T526" s="31"/>
      <c r="U526" s="31"/>
      <c r="V526" s="31">
        <f t="shared" si="64"/>
        <v>3</v>
      </c>
      <c r="W526" s="379">
        <v>211883</v>
      </c>
    </row>
    <row r="527" spans="1:23" ht="12.75">
      <c r="A527" s="1077" t="s">
        <v>751</v>
      </c>
      <c r="B527" s="1071">
        <v>2</v>
      </c>
      <c r="C527" s="31"/>
      <c r="D527" s="31"/>
      <c r="E527" s="31"/>
      <c r="F527" s="31"/>
      <c r="G527" s="31"/>
      <c r="H527" s="31"/>
      <c r="I527" s="31"/>
      <c r="J527" s="31"/>
      <c r="K527" s="31">
        <f t="shared" si="63"/>
        <v>2</v>
      </c>
      <c r="L527" s="379">
        <v>118884</v>
      </c>
      <c r="M527" s="953">
        <v>2</v>
      </c>
      <c r="N527" s="31"/>
      <c r="O527" s="31"/>
      <c r="P527" s="31"/>
      <c r="Q527" s="31"/>
      <c r="R527" s="31"/>
      <c r="S527" s="31"/>
      <c r="T527" s="31"/>
      <c r="U527" s="31"/>
      <c r="V527" s="31">
        <f t="shared" si="64"/>
        <v>2</v>
      </c>
      <c r="W527" s="379">
        <v>118884</v>
      </c>
    </row>
    <row r="528" spans="1:23" ht="12.75">
      <c r="A528" s="1077" t="s">
        <v>772</v>
      </c>
      <c r="B528" s="1071">
        <v>5</v>
      </c>
      <c r="C528" s="31"/>
      <c r="D528" s="31"/>
      <c r="E528" s="31"/>
      <c r="F528" s="31"/>
      <c r="G528" s="31"/>
      <c r="H528" s="31"/>
      <c r="I528" s="31"/>
      <c r="J528" s="31"/>
      <c r="K528" s="31">
        <f t="shared" si="63"/>
        <v>5</v>
      </c>
      <c r="L528" s="379">
        <v>327265</v>
      </c>
      <c r="M528" s="953">
        <v>5</v>
      </c>
      <c r="N528" s="31"/>
      <c r="O528" s="31"/>
      <c r="P528" s="31"/>
      <c r="Q528" s="31"/>
      <c r="R528" s="31"/>
      <c r="S528" s="31"/>
      <c r="T528" s="31"/>
      <c r="U528" s="31"/>
      <c r="V528" s="31">
        <f t="shared" si="64"/>
        <v>5</v>
      </c>
      <c r="W528" s="379">
        <v>327265</v>
      </c>
    </row>
    <row r="529" spans="1:23" ht="12.75">
      <c r="A529" s="1077" t="s">
        <v>774</v>
      </c>
      <c r="B529" s="1071">
        <v>2</v>
      </c>
      <c r="C529" s="31"/>
      <c r="D529" s="31"/>
      <c r="E529" s="31"/>
      <c r="F529" s="31"/>
      <c r="G529" s="31"/>
      <c r="H529" s="31"/>
      <c r="I529" s="31"/>
      <c r="J529" s="31"/>
      <c r="K529" s="31">
        <f t="shared" si="63"/>
        <v>2</v>
      </c>
      <c r="L529" s="379">
        <v>128551</v>
      </c>
      <c r="M529" s="953">
        <v>2</v>
      </c>
      <c r="N529" s="31"/>
      <c r="O529" s="31"/>
      <c r="P529" s="31"/>
      <c r="Q529" s="31"/>
      <c r="R529" s="31"/>
      <c r="S529" s="31"/>
      <c r="T529" s="31"/>
      <c r="U529" s="31"/>
      <c r="V529" s="31">
        <f t="shared" si="64"/>
        <v>2</v>
      </c>
      <c r="W529" s="379">
        <v>128551</v>
      </c>
    </row>
    <row r="530" spans="1:23" ht="12.75">
      <c r="A530" s="1071" t="s">
        <v>2597</v>
      </c>
      <c r="B530" s="1071">
        <v>2</v>
      </c>
      <c r="C530" s="31"/>
      <c r="D530" s="31"/>
      <c r="E530" s="31"/>
      <c r="F530" s="31"/>
      <c r="G530" s="31"/>
      <c r="H530" s="31"/>
      <c r="I530" s="31"/>
      <c r="J530" s="31"/>
      <c r="K530" s="31">
        <f t="shared" si="63"/>
        <v>2</v>
      </c>
      <c r="L530" s="379">
        <v>55700</v>
      </c>
      <c r="M530" s="953">
        <v>2</v>
      </c>
      <c r="N530" s="31"/>
      <c r="O530" s="31"/>
      <c r="P530" s="31"/>
      <c r="Q530" s="31"/>
      <c r="R530" s="31"/>
      <c r="S530" s="31"/>
      <c r="T530" s="31"/>
      <c r="U530" s="31"/>
      <c r="V530" s="31">
        <f t="shared" si="64"/>
        <v>2</v>
      </c>
      <c r="W530" s="379">
        <v>55700</v>
      </c>
    </row>
    <row r="531" spans="1:23" ht="12.75">
      <c r="A531" s="433" t="s">
        <v>2598</v>
      </c>
      <c r="B531" s="923"/>
      <c r="C531" s="36"/>
      <c r="D531" s="36"/>
      <c r="E531" s="36"/>
      <c r="F531" s="36"/>
      <c r="G531" s="36"/>
      <c r="H531" s="36"/>
      <c r="I531" s="36"/>
      <c r="J531" s="36"/>
      <c r="K531" s="36"/>
      <c r="L531" s="924"/>
      <c r="M531" s="36"/>
      <c r="N531" s="36"/>
      <c r="O531" s="36"/>
      <c r="P531" s="36"/>
      <c r="Q531" s="36"/>
      <c r="R531" s="36"/>
      <c r="S531" s="36"/>
      <c r="T531" s="36"/>
      <c r="U531" s="36"/>
      <c r="V531" s="36"/>
      <c r="W531" s="924"/>
    </row>
    <row r="532" spans="1:23" ht="12.75">
      <c r="A532" s="1077" t="s">
        <v>568</v>
      </c>
      <c r="B532" s="1071">
        <v>2</v>
      </c>
      <c r="C532" s="31"/>
      <c r="D532" s="77"/>
      <c r="E532" s="77"/>
      <c r="F532" s="31"/>
      <c r="G532" s="31"/>
      <c r="H532" s="31"/>
      <c r="I532" s="31"/>
      <c r="J532" s="31"/>
      <c r="K532" s="31">
        <f t="shared" si="63"/>
        <v>2</v>
      </c>
      <c r="L532" s="379">
        <v>59974</v>
      </c>
      <c r="M532" s="953">
        <v>2</v>
      </c>
      <c r="N532" s="31"/>
      <c r="O532" s="31"/>
      <c r="P532" s="31"/>
      <c r="Q532" s="31"/>
      <c r="R532" s="31"/>
      <c r="S532" s="31"/>
      <c r="T532" s="31"/>
      <c r="U532" s="31"/>
      <c r="V532" s="31">
        <f t="shared" si="64"/>
        <v>2</v>
      </c>
      <c r="W532" s="379">
        <v>59974</v>
      </c>
    </row>
    <row r="533" spans="1:23" ht="12.75">
      <c r="A533" s="1077" t="s">
        <v>15</v>
      </c>
      <c r="B533" s="1071">
        <v>19</v>
      </c>
      <c r="C533" s="31"/>
      <c r="D533" s="31"/>
      <c r="E533" s="31"/>
      <c r="F533" s="31"/>
      <c r="G533" s="31"/>
      <c r="H533" s="31"/>
      <c r="I533" s="31"/>
      <c r="J533" s="31"/>
      <c r="K533" s="31">
        <f t="shared" si="63"/>
        <v>19</v>
      </c>
      <c r="L533" s="379">
        <v>713317</v>
      </c>
      <c r="M533" s="953">
        <v>19</v>
      </c>
      <c r="N533" s="31"/>
      <c r="O533" s="31"/>
      <c r="P533" s="31"/>
      <c r="Q533" s="31"/>
      <c r="R533" s="31"/>
      <c r="S533" s="31"/>
      <c r="T533" s="31"/>
      <c r="U533" s="31"/>
      <c r="V533" s="31">
        <f t="shared" si="64"/>
        <v>19</v>
      </c>
      <c r="W533" s="379">
        <v>713317</v>
      </c>
    </row>
    <row r="534" spans="1:23" ht="12.75">
      <c r="A534" s="1077" t="s">
        <v>580</v>
      </c>
      <c r="B534" s="1071">
        <v>4</v>
      </c>
      <c r="C534" s="31"/>
      <c r="D534" s="31"/>
      <c r="E534" s="31"/>
      <c r="F534" s="31"/>
      <c r="G534" s="31"/>
      <c r="H534" s="31"/>
      <c r="I534" s="31"/>
      <c r="J534" s="31"/>
      <c r="K534" s="31">
        <f t="shared" si="63"/>
        <v>4</v>
      </c>
      <c r="L534" s="379">
        <v>124264</v>
      </c>
      <c r="M534" s="953">
        <v>4</v>
      </c>
      <c r="N534" s="31"/>
      <c r="O534" s="31"/>
      <c r="P534" s="31"/>
      <c r="Q534" s="31"/>
      <c r="R534" s="31"/>
      <c r="S534" s="31"/>
      <c r="T534" s="31"/>
      <c r="U534" s="31"/>
      <c r="V534" s="31">
        <f t="shared" si="64"/>
        <v>4</v>
      </c>
      <c r="W534" s="379">
        <v>124264</v>
      </c>
    </row>
    <row r="535" spans="1:23" ht="12.75">
      <c r="A535" s="433" t="s">
        <v>5</v>
      </c>
      <c r="B535" s="923"/>
      <c r="C535" s="36"/>
      <c r="D535" s="36"/>
      <c r="E535" s="36"/>
      <c r="F535" s="36"/>
      <c r="G535" s="36"/>
      <c r="H535" s="36"/>
      <c r="I535" s="36"/>
      <c r="J535" s="36"/>
      <c r="K535" s="36"/>
      <c r="L535" s="924"/>
      <c r="M535" s="36"/>
      <c r="N535" s="36"/>
      <c r="O535" s="36"/>
      <c r="P535" s="36"/>
      <c r="Q535" s="36"/>
      <c r="R535" s="36"/>
      <c r="S535" s="36"/>
      <c r="T535" s="36"/>
      <c r="U535" s="36"/>
      <c r="V535" s="36"/>
      <c r="W535" s="924"/>
    </row>
    <row r="536" spans="1:23" ht="12.75">
      <c r="A536" s="1077" t="s">
        <v>16</v>
      </c>
      <c r="B536" s="1071">
        <v>22</v>
      </c>
      <c r="C536" s="31"/>
      <c r="D536" s="1072"/>
      <c r="E536" s="1073"/>
      <c r="F536" s="31"/>
      <c r="G536" s="31"/>
      <c r="H536" s="31"/>
      <c r="I536" s="31"/>
      <c r="J536" s="31"/>
      <c r="K536" s="31">
        <f t="shared" si="63"/>
        <v>22</v>
      </c>
      <c r="L536" s="379">
        <v>784697</v>
      </c>
      <c r="M536" s="953">
        <v>22</v>
      </c>
      <c r="N536" s="31"/>
      <c r="O536" s="31"/>
      <c r="P536" s="31"/>
      <c r="Q536" s="31"/>
      <c r="R536" s="31"/>
      <c r="S536" s="31"/>
      <c r="T536" s="31"/>
      <c r="U536" s="31"/>
      <c r="V536" s="31">
        <f t="shared" si="64"/>
        <v>22</v>
      </c>
      <c r="W536" s="379">
        <v>709708</v>
      </c>
    </row>
    <row r="537" spans="1:23" ht="12.75">
      <c r="A537" s="1077" t="s">
        <v>569</v>
      </c>
      <c r="B537" s="1071">
        <v>33</v>
      </c>
      <c r="C537" s="31"/>
      <c r="D537" s="1072"/>
      <c r="E537" s="1073"/>
      <c r="F537" s="31"/>
      <c r="G537" s="31"/>
      <c r="H537" s="31"/>
      <c r="I537" s="31"/>
      <c r="J537" s="31"/>
      <c r="K537" s="31">
        <f t="shared" si="63"/>
        <v>33</v>
      </c>
      <c r="L537" s="379">
        <v>1187158</v>
      </c>
      <c r="M537" s="953">
        <v>33</v>
      </c>
      <c r="N537" s="31"/>
      <c r="O537" s="31"/>
      <c r="P537" s="31"/>
      <c r="Q537" s="31"/>
      <c r="R537" s="31"/>
      <c r="S537" s="31"/>
      <c r="T537" s="31"/>
      <c r="U537" s="31"/>
      <c r="V537" s="31">
        <f t="shared" si="64"/>
        <v>33</v>
      </c>
      <c r="W537" s="379">
        <v>1187158</v>
      </c>
    </row>
    <row r="538" spans="1:23" ht="12.75">
      <c r="A538" s="1077" t="s">
        <v>570</v>
      </c>
      <c r="B538" s="1071">
        <v>79</v>
      </c>
      <c r="C538" s="31"/>
      <c r="D538" s="1072"/>
      <c r="E538" s="1073"/>
      <c r="F538" s="31"/>
      <c r="G538" s="31"/>
      <c r="H538" s="31"/>
      <c r="I538" s="31"/>
      <c r="J538" s="31"/>
      <c r="K538" s="31">
        <f t="shared" si="63"/>
        <v>79</v>
      </c>
      <c r="L538" s="379">
        <v>3162321</v>
      </c>
      <c r="M538" s="953">
        <v>79</v>
      </c>
      <c r="N538" s="31"/>
      <c r="O538" s="31"/>
      <c r="P538" s="31"/>
      <c r="Q538" s="31"/>
      <c r="R538" s="31"/>
      <c r="S538" s="31"/>
      <c r="T538" s="31"/>
      <c r="U538" s="31"/>
      <c r="V538" s="31">
        <f t="shared" si="64"/>
        <v>79</v>
      </c>
      <c r="W538" s="379">
        <v>3162321</v>
      </c>
    </row>
    <row r="539" spans="1:23" ht="12.75">
      <c r="A539" s="1077" t="s">
        <v>571</v>
      </c>
      <c r="B539" s="1071">
        <v>32</v>
      </c>
      <c r="C539" s="31"/>
      <c r="D539" s="1072"/>
      <c r="E539" s="1073"/>
      <c r="F539" s="31"/>
      <c r="G539" s="31"/>
      <c r="H539" s="31"/>
      <c r="I539" s="31"/>
      <c r="J539" s="31"/>
      <c r="K539" s="31">
        <f t="shared" si="63"/>
        <v>32</v>
      </c>
      <c r="L539" s="379">
        <v>1218105</v>
      </c>
      <c r="M539" s="953">
        <v>32</v>
      </c>
      <c r="N539" s="31"/>
      <c r="O539" s="31"/>
      <c r="P539" s="31"/>
      <c r="Q539" s="31"/>
      <c r="R539" s="31"/>
      <c r="S539" s="31"/>
      <c r="T539" s="31"/>
      <c r="U539" s="31"/>
      <c r="V539" s="31">
        <f t="shared" si="64"/>
        <v>32</v>
      </c>
      <c r="W539" s="379">
        <v>1218105</v>
      </c>
    </row>
    <row r="540" spans="1:23" ht="12.75">
      <c r="A540" s="1077" t="s">
        <v>17</v>
      </c>
      <c r="B540" s="1071">
        <v>1</v>
      </c>
      <c r="C540" s="31"/>
      <c r="D540" s="1072"/>
      <c r="E540" s="1073"/>
      <c r="F540" s="31"/>
      <c r="G540" s="31"/>
      <c r="H540" s="31"/>
      <c r="I540" s="31"/>
      <c r="J540" s="31"/>
      <c r="K540" s="31">
        <f t="shared" si="63"/>
        <v>1</v>
      </c>
      <c r="L540" s="379">
        <v>28226</v>
      </c>
      <c r="M540" s="953">
        <v>1</v>
      </c>
      <c r="N540" s="31"/>
      <c r="O540" s="31"/>
      <c r="P540" s="31"/>
      <c r="Q540" s="31"/>
      <c r="R540" s="31"/>
      <c r="S540" s="31"/>
      <c r="T540" s="31"/>
      <c r="U540" s="31"/>
      <c r="V540" s="31">
        <f t="shared" si="64"/>
        <v>1</v>
      </c>
      <c r="W540" s="379">
        <v>28226</v>
      </c>
    </row>
    <row r="541" spans="1:23" ht="12.75">
      <c r="A541" s="1077" t="s">
        <v>581</v>
      </c>
      <c r="B541" s="1071">
        <v>94</v>
      </c>
      <c r="C541" s="31"/>
      <c r="D541" s="1072"/>
      <c r="E541" s="1073"/>
      <c r="F541" s="31"/>
      <c r="G541" s="31"/>
      <c r="H541" s="31"/>
      <c r="I541" s="31"/>
      <c r="J541" s="31"/>
      <c r="K541" s="31">
        <f t="shared" si="63"/>
        <v>94</v>
      </c>
      <c r="L541" s="379">
        <v>3614358</v>
      </c>
      <c r="M541" s="953">
        <v>94</v>
      </c>
      <c r="N541" s="31"/>
      <c r="O541" s="31"/>
      <c r="P541" s="31"/>
      <c r="Q541" s="31"/>
      <c r="R541" s="31"/>
      <c r="S541" s="31"/>
      <c r="T541" s="31"/>
      <c r="U541" s="31"/>
      <c r="V541" s="31">
        <f t="shared" si="64"/>
        <v>94</v>
      </c>
      <c r="W541" s="379">
        <v>3614358</v>
      </c>
    </row>
    <row r="542" spans="1:23" ht="12.75">
      <c r="A542" s="433" t="s">
        <v>6</v>
      </c>
      <c r="B542" s="923"/>
      <c r="C542" s="36"/>
      <c r="D542" s="36"/>
      <c r="E542" s="36"/>
      <c r="F542" s="36"/>
      <c r="G542" s="36"/>
      <c r="H542" s="36"/>
      <c r="I542" s="36"/>
      <c r="J542" s="36"/>
      <c r="K542" s="36"/>
      <c r="L542" s="924"/>
      <c r="M542" s="36"/>
      <c r="N542" s="36"/>
      <c r="O542" s="36"/>
      <c r="P542" s="36"/>
      <c r="Q542" s="36"/>
      <c r="R542" s="36"/>
      <c r="S542" s="36"/>
      <c r="T542" s="36"/>
      <c r="U542" s="36"/>
      <c r="V542" s="36"/>
      <c r="W542" s="924"/>
    </row>
    <row r="543" spans="1:23" ht="12.75">
      <c r="A543" s="1077" t="s">
        <v>18</v>
      </c>
      <c r="B543" s="1071">
        <v>12</v>
      </c>
      <c r="C543" s="31"/>
      <c r="D543" s="1072"/>
      <c r="E543" s="1073"/>
      <c r="F543" s="31"/>
      <c r="G543" s="31"/>
      <c r="H543" s="31"/>
      <c r="I543" s="31"/>
      <c r="J543" s="31"/>
      <c r="K543" s="31">
        <f t="shared" si="63"/>
        <v>12</v>
      </c>
      <c r="L543" s="379">
        <v>490369</v>
      </c>
      <c r="M543" s="953">
        <v>12</v>
      </c>
      <c r="N543" s="31"/>
      <c r="O543" s="31"/>
      <c r="P543" s="31"/>
      <c r="Q543" s="31"/>
      <c r="R543" s="31"/>
      <c r="S543" s="31"/>
      <c r="T543" s="31"/>
      <c r="U543" s="31"/>
      <c r="V543" s="31">
        <f t="shared" si="64"/>
        <v>12</v>
      </c>
      <c r="W543" s="379">
        <v>490369</v>
      </c>
    </row>
    <row r="544" spans="1:23" ht="12.75">
      <c r="A544" s="1077" t="s">
        <v>572</v>
      </c>
      <c r="B544" s="1071">
        <v>24</v>
      </c>
      <c r="C544" s="31"/>
      <c r="D544" s="31"/>
      <c r="E544" s="31"/>
      <c r="F544" s="31"/>
      <c r="G544" s="31"/>
      <c r="H544" s="31"/>
      <c r="I544" s="31"/>
      <c r="J544" s="31"/>
      <c r="K544" s="31">
        <f t="shared" si="63"/>
        <v>24</v>
      </c>
      <c r="L544" s="379">
        <v>852308</v>
      </c>
      <c r="M544" s="953">
        <v>24</v>
      </c>
      <c r="N544" s="31"/>
      <c r="O544" s="31"/>
      <c r="P544" s="31"/>
      <c r="Q544" s="31"/>
      <c r="R544" s="31"/>
      <c r="S544" s="31"/>
      <c r="T544" s="31"/>
      <c r="U544" s="31"/>
      <c r="V544" s="31">
        <f t="shared" si="64"/>
        <v>24</v>
      </c>
      <c r="W544" s="379">
        <v>852308</v>
      </c>
    </row>
    <row r="545" spans="1:23" ht="12.75">
      <c r="A545" s="1077" t="s">
        <v>573</v>
      </c>
      <c r="B545" s="1071">
        <v>5</v>
      </c>
      <c r="C545" s="31"/>
      <c r="D545" s="1072"/>
      <c r="E545" s="1073"/>
      <c r="F545" s="31"/>
      <c r="G545" s="31"/>
      <c r="H545" s="31"/>
      <c r="I545" s="31"/>
      <c r="J545" s="31"/>
      <c r="K545" s="31">
        <f t="shared" si="63"/>
        <v>5</v>
      </c>
      <c r="L545" s="379">
        <v>172778</v>
      </c>
      <c r="M545" s="953">
        <v>5</v>
      </c>
      <c r="N545" s="31"/>
      <c r="O545" s="31"/>
      <c r="P545" s="31"/>
      <c r="Q545" s="31"/>
      <c r="R545" s="31"/>
      <c r="S545" s="31"/>
      <c r="T545" s="31"/>
      <c r="U545" s="31"/>
      <c r="V545" s="31">
        <f t="shared" si="64"/>
        <v>5</v>
      </c>
      <c r="W545" s="379">
        <v>172778</v>
      </c>
    </row>
    <row r="546" spans="1:23" ht="12.75">
      <c r="A546" s="1077" t="s">
        <v>574</v>
      </c>
      <c r="B546" s="1071">
        <v>4</v>
      </c>
      <c r="C546" s="31"/>
      <c r="D546" s="1072"/>
      <c r="E546" s="1073"/>
      <c r="F546" s="31"/>
      <c r="G546" s="31"/>
      <c r="H546" s="31"/>
      <c r="I546" s="31"/>
      <c r="J546" s="31"/>
      <c r="K546" s="31">
        <f t="shared" si="63"/>
        <v>4</v>
      </c>
      <c r="L546" s="379">
        <v>134675</v>
      </c>
      <c r="M546" s="953">
        <v>4</v>
      </c>
      <c r="N546" s="31"/>
      <c r="O546" s="31"/>
      <c r="P546" s="31"/>
      <c r="Q546" s="31"/>
      <c r="R546" s="31"/>
      <c r="S546" s="31"/>
      <c r="T546" s="31"/>
      <c r="U546" s="31"/>
      <c r="V546" s="31">
        <f t="shared" si="64"/>
        <v>4</v>
      </c>
      <c r="W546" s="379">
        <v>134675</v>
      </c>
    </row>
    <row r="547" spans="1:23" ht="12.75">
      <c r="A547" s="1077" t="s">
        <v>583</v>
      </c>
      <c r="B547" s="1071">
        <v>4</v>
      </c>
      <c r="C547" s="31"/>
      <c r="D547" s="1072"/>
      <c r="E547" s="1073"/>
      <c r="F547" s="31"/>
      <c r="G547" s="31"/>
      <c r="H547" s="31"/>
      <c r="I547" s="31"/>
      <c r="J547" s="31"/>
      <c r="K547" s="31">
        <f t="shared" si="63"/>
        <v>4</v>
      </c>
      <c r="L547" s="379">
        <v>152970</v>
      </c>
      <c r="M547" s="953">
        <v>4</v>
      </c>
      <c r="N547" s="31"/>
      <c r="O547" s="31"/>
      <c r="P547" s="31"/>
      <c r="Q547" s="31"/>
      <c r="R547" s="31"/>
      <c r="S547" s="31"/>
      <c r="T547" s="31"/>
      <c r="U547" s="31"/>
      <c r="V547" s="31">
        <f t="shared" si="64"/>
        <v>4</v>
      </c>
      <c r="W547" s="379">
        <v>152970</v>
      </c>
    </row>
    <row r="548" spans="1:23" ht="12.75">
      <c r="A548" s="1078" t="s">
        <v>96</v>
      </c>
      <c r="B548" s="1079"/>
      <c r="C548" s="1080"/>
      <c r="D548" s="1080"/>
      <c r="E548" s="1080"/>
      <c r="F548" s="1080"/>
      <c r="G548" s="1080"/>
      <c r="H548" s="1080"/>
      <c r="I548" s="1080"/>
      <c r="J548" s="1080"/>
      <c r="K548" s="1080"/>
      <c r="L548" s="1081"/>
      <c r="M548" s="1082"/>
      <c r="N548" s="1080"/>
      <c r="O548" s="1080"/>
      <c r="P548" s="1080"/>
      <c r="Q548" s="1080"/>
      <c r="R548" s="1080"/>
      <c r="S548" s="1080"/>
      <c r="T548" s="1080"/>
      <c r="U548" s="1080"/>
      <c r="V548" s="1080"/>
      <c r="W548" s="1081"/>
    </row>
    <row r="549" spans="1:23" ht="13.5" thickBot="1">
      <c r="A549" s="1083" t="s">
        <v>775</v>
      </c>
      <c r="B549" s="1084"/>
      <c r="C549" s="1085"/>
      <c r="D549" s="1085">
        <v>327</v>
      </c>
      <c r="E549" s="1085"/>
      <c r="F549" s="1085"/>
      <c r="G549" s="1085"/>
      <c r="H549" s="1085"/>
      <c r="I549" s="1085"/>
      <c r="J549" s="1085"/>
      <c r="K549" s="1085">
        <f t="shared" si="63"/>
        <v>327</v>
      </c>
      <c r="L549" s="1086">
        <v>8565949</v>
      </c>
      <c r="M549" s="1087"/>
      <c r="N549" s="1085"/>
      <c r="O549" s="1085">
        <v>200</v>
      </c>
      <c r="P549" s="1085"/>
      <c r="Q549" s="1085"/>
      <c r="R549" s="1085"/>
      <c r="S549" s="1085"/>
      <c r="T549" s="1085"/>
      <c r="U549" s="1085"/>
      <c r="V549" s="1085">
        <f>SUM(N549:U549)</f>
        <v>200</v>
      </c>
      <c r="W549" s="1086">
        <v>4800485</v>
      </c>
    </row>
    <row r="550" spans="1:23" ht="13.5" thickBot="1">
      <c r="A550" s="1088" t="s">
        <v>24</v>
      </c>
      <c r="B550" s="1089">
        <f>SUM(B504:B547)</f>
        <v>532</v>
      </c>
      <c r="C550" s="39"/>
      <c r="D550" s="39"/>
      <c r="E550" s="39"/>
      <c r="F550" s="39"/>
      <c r="G550" s="39"/>
      <c r="H550" s="39"/>
      <c r="I550" s="39"/>
      <c r="J550" s="39"/>
      <c r="K550" s="1090">
        <f>SUM(K502:K549)</f>
        <v>859</v>
      </c>
      <c r="L550" s="1091">
        <f>SUM(L504:L549)</f>
        <v>35266034</v>
      </c>
      <c r="M550" s="1089">
        <f>SUM(M504:M547)</f>
        <v>532</v>
      </c>
      <c r="N550" s="39"/>
      <c r="O550" s="39"/>
      <c r="P550" s="39"/>
      <c r="Q550" s="39"/>
      <c r="R550" s="39"/>
      <c r="S550" s="39"/>
      <c r="T550" s="39"/>
      <c r="U550" s="39"/>
      <c r="V550" s="1090">
        <f>SUM(V502:V549)</f>
        <v>732</v>
      </c>
      <c r="W550" s="1091">
        <f>SUM(W504:W549)</f>
        <v>31325581</v>
      </c>
    </row>
  </sheetData>
  <sheetProtection/>
  <mergeCells count="26">
    <mergeCell ref="B132:L132"/>
    <mergeCell ref="M132:W132"/>
    <mergeCell ref="B161:L161"/>
    <mergeCell ref="M161:W161"/>
    <mergeCell ref="B196:L196"/>
    <mergeCell ref="M196:W196"/>
    <mergeCell ref="B217:L217"/>
    <mergeCell ref="M217:W217"/>
    <mergeCell ref="B5:L5"/>
    <mergeCell ref="M5:W5"/>
    <mergeCell ref="B68:L68"/>
    <mergeCell ref="M68:W68"/>
    <mergeCell ref="B101:L101"/>
    <mergeCell ref="M101:W101"/>
    <mergeCell ref="B45:L45"/>
    <mergeCell ref="M45:W45"/>
    <mergeCell ref="B253:L253"/>
    <mergeCell ref="M253:W253"/>
    <mergeCell ref="B331:L331"/>
    <mergeCell ref="M331:W331"/>
    <mergeCell ref="B500:L500"/>
    <mergeCell ref="M500:W500"/>
    <mergeCell ref="B306:L306"/>
    <mergeCell ref="M306:W306"/>
    <mergeCell ref="B398:L398"/>
    <mergeCell ref="M398:W398"/>
  </mergeCells>
  <printOptions horizontalCentered="1"/>
  <pageMargins left="0.25" right="0.25" top="0.75" bottom="0.75" header="0.3" footer="0.3"/>
  <pageSetup fitToHeight="1" fitToWidth="1" horizontalDpi="600" verticalDpi="600" orientation="landscape" paperSize="9" scale="66"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A1:V262"/>
  <sheetViews>
    <sheetView view="pageLayout" zoomScale="90" zoomScaleSheetLayoutView="100" zoomScalePageLayoutView="90" workbookViewId="0" topLeftCell="A4">
      <selection activeCell="A241" sqref="A241"/>
    </sheetView>
  </sheetViews>
  <sheetFormatPr defaultColWidth="11.421875" defaultRowHeight="12.75"/>
  <cols>
    <col min="1" max="1" width="62.00390625" style="3" customWidth="1"/>
    <col min="2" max="9" width="14.7109375" style="3" customWidth="1"/>
    <col min="10" max="16384" width="11.421875" style="3" customWidth="1"/>
  </cols>
  <sheetData>
    <row r="1" spans="1:9" s="98" customFormat="1" ht="15.75">
      <c r="A1" s="75"/>
      <c r="B1" s="103"/>
      <c r="C1" s="102"/>
      <c r="D1" s="102"/>
      <c r="E1" s="102"/>
      <c r="F1" s="102"/>
      <c r="H1" s="99"/>
      <c r="I1" s="99"/>
    </row>
    <row r="2" spans="1:22" s="100" customFormat="1" ht="15.75">
      <c r="A2" s="96" t="s">
        <v>607</v>
      </c>
      <c r="B2" s="99"/>
      <c r="C2" s="99"/>
      <c r="D2" s="99"/>
      <c r="E2" s="99"/>
      <c r="F2" s="99"/>
      <c r="G2" s="99"/>
      <c r="H2" s="99"/>
      <c r="I2" s="99"/>
      <c r="J2" s="99"/>
      <c r="K2" s="99"/>
      <c r="L2" s="99"/>
      <c r="M2" s="99"/>
      <c r="N2" s="99"/>
      <c r="O2" s="99"/>
      <c r="P2" s="99"/>
      <c r="Q2" s="99"/>
      <c r="R2" s="99"/>
      <c r="S2" s="99"/>
      <c r="T2" s="99"/>
      <c r="U2" s="99"/>
      <c r="V2" s="99"/>
    </row>
    <row r="3" spans="1:22" s="100" customFormat="1" ht="15.75">
      <c r="A3" s="96"/>
      <c r="B3" s="99"/>
      <c r="C3" s="99"/>
      <c r="D3" s="99"/>
      <c r="E3" s="99"/>
      <c r="F3" s="99"/>
      <c r="G3" s="99"/>
      <c r="H3" s="99"/>
      <c r="I3" s="99"/>
      <c r="J3" s="99"/>
      <c r="K3" s="99"/>
      <c r="L3" s="99"/>
      <c r="M3" s="99"/>
      <c r="N3" s="99"/>
      <c r="O3" s="99"/>
      <c r="P3" s="99"/>
      <c r="Q3" s="99"/>
      <c r="R3" s="99"/>
      <c r="S3" s="99"/>
      <c r="T3" s="99"/>
      <c r="U3" s="99"/>
      <c r="V3" s="99"/>
    </row>
    <row r="4" spans="1:5" ht="12">
      <c r="A4" s="10" t="s">
        <v>606</v>
      </c>
      <c r="B4" s="11"/>
      <c r="E4" s="11"/>
    </row>
    <row r="5" spans="1:5" ht="12.75" thickBot="1">
      <c r="A5" s="10"/>
      <c r="B5" s="11"/>
      <c r="E5" s="11"/>
    </row>
    <row r="6" spans="1:9" ht="12.75" thickBot="1">
      <c r="A6" s="509" t="s">
        <v>10</v>
      </c>
      <c r="B6" s="1548" t="s">
        <v>337</v>
      </c>
      <c r="C6" s="1548"/>
      <c r="D6" s="1549" t="s">
        <v>415</v>
      </c>
      <c r="E6" s="1550"/>
      <c r="F6" s="1549" t="s">
        <v>416</v>
      </c>
      <c r="G6" s="1551"/>
      <c r="H6" s="1549" t="s">
        <v>336</v>
      </c>
      <c r="I6" s="1551"/>
    </row>
    <row r="7" spans="1:9" s="57" customFormat="1" ht="24" customHeight="1">
      <c r="A7" s="487" t="s">
        <v>9</v>
      </c>
      <c r="B7" s="488" t="s">
        <v>145</v>
      </c>
      <c r="C7" s="489" t="s">
        <v>26</v>
      </c>
      <c r="D7" s="487" t="s">
        <v>145</v>
      </c>
      <c r="E7" s="511" t="s">
        <v>26</v>
      </c>
      <c r="F7" s="487" t="s">
        <v>145</v>
      </c>
      <c r="G7" s="511" t="s">
        <v>26</v>
      </c>
      <c r="H7" s="487" t="s">
        <v>145</v>
      </c>
      <c r="I7" s="511" t="s">
        <v>26</v>
      </c>
    </row>
    <row r="8" spans="1:9" ht="12">
      <c r="A8" s="477" t="s">
        <v>142</v>
      </c>
      <c r="B8" s="468">
        <v>137</v>
      </c>
      <c r="C8" s="517">
        <f>5938068.44-C13</f>
        <v>5801068.44</v>
      </c>
      <c r="D8" s="468">
        <v>137</v>
      </c>
      <c r="E8" s="517">
        <f>5938068.44-E13</f>
        <v>5801068.44</v>
      </c>
      <c r="F8" s="468">
        <v>137</v>
      </c>
      <c r="G8" s="517">
        <f>5938068.44-G13</f>
        <v>5801068.44</v>
      </c>
      <c r="H8" s="468">
        <f>F8-D8</f>
        <v>0</v>
      </c>
      <c r="I8" s="518">
        <f>G8-E8</f>
        <v>0</v>
      </c>
    </row>
    <row r="9" spans="1:9" ht="12">
      <c r="A9" s="477" t="s">
        <v>173</v>
      </c>
      <c r="B9" s="468"/>
      <c r="C9" s="469"/>
      <c r="D9" s="468"/>
      <c r="E9" s="469"/>
      <c r="F9" s="468"/>
      <c r="G9" s="469"/>
      <c r="H9" s="468"/>
      <c r="I9" s="469"/>
    </row>
    <row r="10" spans="1:9" ht="12">
      <c r="A10" s="477" t="s">
        <v>171</v>
      </c>
      <c r="B10" s="468"/>
      <c r="C10" s="469"/>
      <c r="D10" s="468"/>
      <c r="E10" s="469"/>
      <c r="F10" s="468"/>
      <c r="G10" s="469"/>
      <c r="H10" s="468"/>
      <c r="I10" s="469"/>
    </row>
    <row r="11" spans="1:9" ht="12">
      <c r="A11" s="464" t="s">
        <v>180</v>
      </c>
      <c r="B11" s="468"/>
      <c r="C11" s="469"/>
      <c r="D11" s="468"/>
      <c r="E11" s="469"/>
      <c r="F11" s="468"/>
      <c r="G11" s="469"/>
      <c r="H11" s="468"/>
      <c r="I11" s="469"/>
    </row>
    <row r="12" spans="1:9" ht="12">
      <c r="A12" s="477" t="s">
        <v>174</v>
      </c>
      <c r="B12" s="468">
        <v>9</v>
      </c>
      <c r="C12" s="517">
        <v>463320</v>
      </c>
      <c r="D12" s="468">
        <v>9</v>
      </c>
      <c r="E12" s="517">
        <v>463320</v>
      </c>
      <c r="F12" s="468">
        <v>9</v>
      </c>
      <c r="G12" s="517">
        <v>463320</v>
      </c>
      <c r="H12" s="468">
        <v>0</v>
      </c>
      <c r="I12" s="469">
        <v>0</v>
      </c>
    </row>
    <row r="13" spans="1:9" ht="12">
      <c r="A13" s="464" t="s">
        <v>172</v>
      </c>
      <c r="B13" s="472">
        <v>137</v>
      </c>
      <c r="C13" s="539">
        <f>B13*1000</f>
        <v>137000</v>
      </c>
      <c r="D13" s="472">
        <v>137</v>
      </c>
      <c r="E13" s="539">
        <f>D13*1000</f>
        <v>137000</v>
      </c>
      <c r="F13" s="472">
        <v>137</v>
      </c>
      <c r="G13" s="539">
        <f>F13*1000</f>
        <v>137000</v>
      </c>
      <c r="H13" s="468">
        <v>0</v>
      </c>
      <c r="I13" s="469">
        <v>0</v>
      </c>
    </row>
    <row r="14" spans="1:9" ht="12">
      <c r="A14" s="477" t="s">
        <v>179</v>
      </c>
      <c r="B14" s="472"/>
      <c r="C14" s="471"/>
      <c r="D14" s="468"/>
      <c r="E14" s="469"/>
      <c r="F14" s="468"/>
      <c r="G14" s="469"/>
      <c r="H14" s="468"/>
      <c r="I14" s="469"/>
    </row>
    <row r="15" spans="1:9" ht="12">
      <c r="A15" s="477" t="s">
        <v>28</v>
      </c>
      <c r="B15" s="472"/>
      <c r="C15" s="471"/>
      <c r="D15" s="468"/>
      <c r="E15" s="469"/>
      <c r="F15" s="468"/>
      <c r="G15" s="469"/>
      <c r="H15" s="468"/>
      <c r="I15" s="469"/>
    </row>
    <row r="16" spans="1:9" ht="12">
      <c r="A16" s="477" t="s">
        <v>176</v>
      </c>
      <c r="B16" s="472"/>
      <c r="C16" s="471"/>
      <c r="D16" s="468"/>
      <c r="E16" s="469"/>
      <c r="F16" s="468"/>
      <c r="G16" s="469"/>
      <c r="H16" s="468"/>
      <c r="I16" s="469"/>
    </row>
    <row r="17" spans="1:9" ht="12">
      <c r="A17" s="477" t="s">
        <v>27</v>
      </c>
      <c r="B17" s="472"/>
      <c r="C17" s="471"/>
      <c r="D17" s="468"/>
      <c r="E17" s="469"/>
      <c r="F17" s="468"/>
      <c r="G17" s="469"/>
      <c r="H17" s="468"/>
      <c r="I17" s="469"/>
    </row>
    <row r="18" spans="1:9" ht="12">
      <c r="A18" s="477" t="s">
        <v>177</v>
      </c>
      <c r="B18" s="472"/>
      <c r="C18" s="471"/>
      <c r="D18" s="468"/>
      <c r="E18" s="469"/>
      <c r="F18" s="468"/>
      <c r="G18" s="469"/>
      <c r="H18" s="468"/>
      <c r="I18" s="469"/>
    </row>
    <row r="19" spans="1:9" ht="12">
      <c r="A19" s="477" t="s">
        <v>175</v>
      </c>
      <c r="B19" s="472"/>
      <c r="C19" s="471"/>
      <c r="D19" s="468"/>
      <c r="E19" s="469"/>
      <c r="F19" s="468"/>
      <c r="G19" s="469"/>
      <c r="H19" s="468"/>
      <c r="I19" s="469"/>
    </row>
    <row r="20" spans="1:9" ht="12">
      <c r="A20" s="477" t="s">
        <v>178</v>
      </c>
      <c r="B20" s="472"/>
      <c r="C20" s="471"/>
      <c r="D20" s="468"/>
      <c r="E20" s="469"/>
      <c r="F20" s="468"/>
      <c r="G20" s="469"/>
      <c r="H20" s="468"/>
      <c r="I20" s="469"/>
    </row>
    <row r="21" spans="1:9" ht="12">
      <c r="A21" s="477" t="s">
        <v>29</v>
      </c>
      <c r="B21" s="472"/>
      <c r="C21" s="471"/>
      <c r="D21" s="468"/>
      <c r="E21" s="469"/>
      <c r="F21" s="468"/>
      <c r="G21" s="469"/>
      <c r="H21" s="468"/>
      <c r="I21" s="469"/>
    </row>
    <row r="22" spans="1:9" ht="12">
      <c r="A22" s="477" t="s">
        <v>170</v>
      </c>
      <c r="B22" s="472"/>
      <c r="C22" s="471"/>
      <c r="D22" s="468"/>
      <c r="E22" s="469"/>
      <c r="F22" s="468"/>
      <c r="G22" s="469"/>
      <c r="H22" s="468"/>
      <c r="I22" s="469"/>
    </row>
    <row r="23" spans="1:9" ht="12.75" thickBot="1">
      <c r="A23" s="477" t="s">
        <v>44</v>
      </c>
      <c r="B23" s="472"/>
      <c r="C23" s="471"/>
      <c r="D23" s="468"/>
      <c r="E23" s="469"/>
      <c r="F23" s="468"/>
      <c r="G23" s="469"/>
      <c r="H23" s="468"/>
      <c r="I23" s="469"/>
    </row>
    <row r="24" spans="1:9" ht="12.75" thickBot="1">
      <c r="A24" s="38" t="s">
        <v>43</v>
      </c>
      <c r="B24" s="40">
        <f>SUM(B8:B23)</f>
        <v>283</v>
      </c>
      <c r="C24" s="40">
        <f aca="true" t="shared" si="0" ref="C24:I24">SUM(C8:C23)</f>
        <v>6401388.44</v>
      </c>
      <c r="D24" s="40">
        <f t="shared" si="0"/>
        <v>283</v>
      </c>
      <c r="E24" s="40">
        <f t="shared" si="0"/>
        <v>6401388.44</v>
      </c>
      <c r="F24" s="40">
        <f t="shared" si="0"/>
        <v>283</v>
      </c>
      <c r="G24" s="40">
        <f t="shared" si="0"/>
        <v>6401388.44</v>
      </c>
      <c r="H24" s="40">
        <f t="shared" si="0"/>
        <v>0</v>
      </c>
      <c r="I24" s="40">
        <f t="shared" si="0"/>
        <v>0</v>
      </c>
    </row>
    <row r="25" spans="1:9" ht="12">
      <c r="A25" s="1" t="s">
        <v>338</v>
      </c>
      <c r="B25" s="2"/>
      <c r="C25" s="2"/>
      <c r="D25" s="2"/>
      <c r="E25" s="2"/>
      <c r="F25" s="2"/>
      <c r="G25" s="2"/>
      <c r="H25" s="2"/>
      <c r="I25" s="2"/>
    </row>
    <row r="26" spans="1:9" ht="12">
      <c r="A26" s="1" t="s">
        <v>93</v>
      </c>
      <c r="B26" s="2"/>
      <c r="C26" s="2"/>
      <c r="D26" s="2"/>
      <c r="E26" s="2"/>
      <c r="F26" s="2"/>
      <c r="G26" s="2"/>
      <c r="H26" s="2"/>
      <c r="I26" s="2"/>
    </row>
    <row r="27" spans="1:9" ht="12">
      <c r="A27" s="1"/>
      <c r="B27" s="2"/>
      <c r="C27" s="2"/>
      <c r="D27" s="2"/>
      <c r="E27" s="2"/>
      <c r="F27" s="2"/>
      <c r="G27" s="2"/>
      <c r="H27" s="2"/>
      <c r="I27" s="2"/>
    </row>
    <row r="28" spans="1:9" ht="15.75">
      <c r="A28" s="106" t="s">
        <v>608</v>
      </c>
      <c r="B28" s="99"/>
      <c r="C28" s="99"/>
      <c r="D28" s="99"/>
      <c r="E28" s="99"/>
      <c r="F28" s="99"/>
      <c r="G28" s="99"/>
      <c r="H28" s="99"/>
      <c r="I28" s="99"/>
    </row>
    <row r="29" spans="1:5" ht="12.75" thickBot="1">
      <c r="A29" s="9"/>
      <c r="B29" s="11"/>
      <c r="E29" s="11"/>
    </row>
    <row r="30" spans="1:9" ht="12.75" thickBot="1">
      <c r="A30" s="509" t="s">
        <v>10</v>
      </c>
      <c r="B30" s="1548" t="s">
        <v>337</v>
      </c>
      <c r="C30" s="1548"/>
      <c r="D30" s="1549" t="s">
        <v>415</v>
      </c>
      <c r="E30" s="1550"/>
      <c r="F30" s="1549" t="s">
        <v>416</v>
      </c>
      <c r="G30" s="1551"/>
      <c r="H30" s="1549" t="s">
        <v>336</v>
      </c>
      <c r="I30" s="1551"/>
    </row>
    <row r="31" spans="1:9" ht="24">
      <c r="A31" s="487" t="s">
        <v>9</v>
      </c>
      <c r="B31" s="488" t="s">
        <v>145</v>
      </c>
      <c r="C31" s="489" t="s">
        <v>26</v>
      </c>
      <c r="D31" s="487" t="s">
        <v>145</v>
      </c>
      <c r="E31" s="511" t="s">
        <v>26</v>
      </c>
      <c r="F31" s="487" t="s">
        <v>145</v>
      </c>
      <c r="G31" s="511" t="s">
        <v>26</v>
      </c>
      <c r="H31" s="487" t="s">
        <v>145</v>
      </c>
      <c r="I31" s="511" t="s">
        <v>26</v>
      </c>
    </row>
    <row r="32" spans="1:9" ht="12">
      <c r="A32" s="477" t="s">
        <v>142</v>
      </c>
      <c r="B32" s="472">
        <v>15</v>
      </c>
      <c r="C32" s="471">
        <v>382058</v>
      </c>
      <c r="D32" s="472">
        <v>15</v>
      </c>
      <c r="E32" s="471">
        <v>382059</v>
      </c>
      <c r="F32" s="468">
        <v>15</v>
      </c>
      <c r="G32" s="469">
        <v>627400</v>
      </c>
      <c r="H32" s="468">
        <f>+D32-B32</f>
        <v>0</v>
      </c>
      <c r="I32" s="469">
        <f>+E32-C32</f>
        <v>1</v>
      </c>
    </row>
    <row r="33" spans="1:9" ht="12">
      <c r="A33" s="477" t="s">
        <v>173</v>
      </c>
      <c r="B33" s="472"/>
      <c r="C33" s="471"/>
      <c r="D33" s="472"/>
      <c r="E33" s="471"/>
      <c r="F33" s="468"/>
      <c r="G33" s="469"/>
      <c r="H33" s="468"/>
      <c r="I33" s="469"/>
    </row>
    <row r="34" spans="1:9" ht="12">
      <c r="A34" s="477" t="s">
        <v>171</v>
      </c>
      <c r="B34" s="472"/>
      <c r="C34" s="471"/>
      <c r="D34" s="472"/>
      <c r="E34" s="471"/>
      <c r="F34" s="468"/>
      <c r="G34" s="469"/>
      <c r="H34" s="468"/>
      <c r="I34" s="469"/>
    </row>
    <row r="35" spans="1:9" ht="12">
      <c r="A35" s="464" t="s">
        <v>180</v>
      </c>
      <c r="B35" s="472"/>
      <c r="C35" s="471"/>
      <c r="D35" s="472"/>
      <c r="E35" s="471"/>
      <c r="F35" s="468"/>
      <c r="G35" s="469"/>
      <c r="H35" s="468"/>
      <c r="I35" s="469"/>
    </row>
    <row r="36" spans="1:9" ht="12">
      <c r="A36" s="477" t="s">
        <v>174</v>
      </c>
      <c r="B36" s="472"/>
      <c r="C36" s="471"/>
      <c r="D36" s="472"/>
      <c r="E36" s="471"/>
      <c r="F36" s="468"/>
      <c r="G36" s="469"/>
      <c r="H36" s="468"/>
      <c r="I36" s="469"/>
    </row>
    <row r="37" spans="1:9" ht="12">
      <c r="A37" s="464" t="s">
        <v>172</v>
      </c>
      <c r="B37" s="472">
        <v>15</v>
      </c>
      <c r="C37" s="471">
        <f>+((400+600)*15)</f>
        <v>15000</v>
      </c>
      <c r="D37" s="472">
        <v>15</v>
      </c>
      <c r="E37" s="471">
        <f>+((400+600)*15)</f>
        <v>15000</v>
      </c>
      <c r="F37" s="472">
        <v>15</v>
      </c>
      <c r="G37" s="471">
        <f>+((400+600)*15)</f>
        <v>15000</v>
      </c>
      <c r="H37" s="468">
        <f>+D37-B37</f>
        <v>0</v>
      </c>
      <c r="I37" s="469">
        <f>+E37-C37</f>
        <v>0</v>
      </c>
    </row>
    <row r="38" spans="1:9" ht="12">
      <c r="A38" s="477" t="s">
        <v>179</v>
      </c>
      <c r="B38" s="472"/>
      <c r="C38" s="471"/>
      <c r="D38" s="472"/>
      <c r="E38" s="471"/>
      <c r="F38" s="472"/>
      <c r="G38" s="471"/>
      <c r="H38" s="468"/>
      <c r="I38" s="469"/>
    </row>
    <row r="39" spans="1:9" ht="12">
      <c r="A39" s="477" t="s">
        <v>28</v>
      </c>
      <c r="B39" s="472"/>
      <c r="C39" s="471"/>
      <c r="D39" s="472"/>
      <c r="E39" s="471"/>
      <c r="F39" s="472"/>
      <c r="G39" s="471"/>
      <c r="H39" s="468"/>
      <c r="I39" s="469"/>
    </row>
    <row r="40" spans="1:9" ht="12">
      <c r="A40" s="477" t="s">
        <v>176</v>
      </c>
      <c r="B40" s="472"/>
      <c r="C40" s="471"/>
      <c r="D40" s="472"/>
      <c r="E40" s="471"/>
      <c r="F40" s="472"/>
      <c r="G40" s="471"/>
      <c r="H40" s="468"/>
      <c r="I40" s="469"/>
    </row>
    <row r="41" spans="1:9" ht="12">
      <c r="A41" s="477" t="s">
        <v>27</v>
      </c>
      <c r="B41" s="472">
        <v>15</v>
      </c>
      <c r="C41" s="471">
        <f>15066</f>
        <v>15066</v>
      </c>
      <c r="D41" s="472">
        <v>15</v>
      </c>
      <c r="E41" s="471">
        <f>15066</f>
        <v>15066</v>
      </c>
      <c r="F41" s="472">
        <v>15</v>
      </c>
      <c r="G41" s="471">
        <f>15066</f>
        <v>15066</v>
      </c>
      <c r="H41" s="468">
        <f>+D41-B41</f>
        <v>0</v>
      </c>
      <c r="I41" s="469">
        <f>+E41-C41</f>
        <v>0</v>
      </c>
    </row>
    <row r="42" spans="1:9" ht="12">
      <c r="A42" s="477" t="s">
        <v>177</v>
      </c>
      <c r="B42" s="472"/>
      <c r="C42" s="471"/>
      <c r="D42" s="472"/>
      <c r="E42" s="471"/>
      <c r="F42" s="472"/>
      <c r="G42" s="471"/>
      <c r="H42" s="468"/>
      <c r="I42" s="469"/>
    </row>
    <row r="43" spans="1:9" ht="12">
      <c r="A43" s="477" t="s">
        <v>175</v>
      </c>
      <c r="B43" s="472"/>
      <c r="C43" s="471"/>
      <c r="D43" s="472"/>
      <c r="E43" s="471"/>
      <c r="F43" s="472"/>
      <c r="G43" s="471"/>
      <c r="H43" s="468"/>
      <c r="I43" s="469"/>
    </row>
    <row r="44" spans="1:9" ht="12">
      <c r="A44" s="477" t="s">
        <v>178</v>
      </c>
      <c r="B44" s="472"/>
      <c r="C44" s="471"/>
      <c r="D44" s="472"/>
      <c r="E44" s="471"/>
      <c r="F44" s="472"/>
      <c r="G44" s="471"/>
      <c r="H44" s="468"/>
      <c r="I44" s="469"/>
    </row>
    <row r="45" spans="1:9" ht="12">
      <c r="A45" s="477" t="s">
        <v>29</v>
      </c>
      <c r="B45" s="472">
        <v>15</v>
      </c>
      <c r="C45" s="471">
        <v>295662</v>
      </c>
      <c r="D45" s="472">
        <v>15</v>
      </c>
      <c r="E45" s="471">
        <v>295662</v>
      </c>
      <c r="F45" s="472">
        <v>15</v>
      </c>
      <c r="G45" s="471">
        <v>257342</v>
      </c>
      <c r="H45" s="468">
        <f>+D45-B45</f>
        <v>0</v>
      </c>
      <c r="I45" s="469">
        <f>+E45-C45</f>
        <v>0</v>
      </c>
    </row>
    <row r="46" spans="1:9" ht="12">
      <c r="A46" s="477" t="s">
        <v>170</v>
      </c>
      <c r="B46" s="472"/>
      <c r="C46" s="471"/>
      <c r="D46" s="472"/>
      <c r="E46" s="471"/>
      <c r="F46" s="472"/>
      <c r="G46" s="471"/>
      <c r="H46" s="468"/>
      <c r="I46" s="469"/>
    </row>
    <row r="47" spans="1:9" ht="12.75" thickBot="1">
      <c r="A47" s="477" t="s">
        <v>44</v>
      </c>
      <c r="B47" s="472"/>
      <c r="C47" s="471"/>
      <c r="D47" s="472"/>
      <c r="E47" s="471"/>
      <c r="F47" s="472"/>
      <c r="G47" s="471"/>
      <c r="H47" s="468"/>
      <c r="I47" s="469"/>
    </row>
    <row r="48" spans="1:9" ht="12.75" thickBot="1">
      <c r="A48" s="38" t="s">
        <v>43</v>
      </c>
      <c r="B48" s="40">
        <v>15</v>
      </c>
      <c r="C48" s="40">
        <v>677720</v>
      </c>
      <c r="D48" s="40">
        <v>15</v>
      </c>
      <c r="E48" s="40">
        <v>677721</v>
      </c>
      <c r="F48" s="40">
        <v>15</v>
      </c>
      <c r="G48" s="40">
        <f>+G32</f>
        <v>627400</v>
      </c>
      <c r="H48" s="460">
        <f>+D48-B48</f>
        <v>0</v>
      </c>
      <c r="I48" s="461">
        <f>+E48-C48</f>
        <v>1</v>
      </c>
    </row>
    <row r="49" spans="1:9" ht="12">
      <c r="A49" s="552"/>
      <c r="B49" s="475"/>
      <c r="C49" s="475"/>
      <c r="D49" s="475"/>
      <c r="E49" s="475"/>
      <c r="F49" s="475"/>
      <c r="G49" s="475"/>
      <c r="H49" s="475"/>
      <c r="I49" s="475"/>
    </row>
    <row r="50" ht="13.5" thickBot="1">
      <c r="A50" s="249" t="s">
        <v>599</v>
      </c>
    </row>
    <row r="51" spans="1:9" ht="12.75" thickBot="1">
      <c r="A51" s="509" t="s">
        <v>10</v>
      </c>
      <c r="B51" s="1548" t="s">
        <v>337</v>
      </c>
      <c r="C51" s="1548"/>
      <c r="D51" s="1549" t="s">
        <v>415</v>
      </c>
      <c r="E51" s="1550"/>
      <c r="F51" s="1549" t="s">
        <v>416</v>
      </c>
      <c r="G51" s="1551"/>
      <c r="H51" s="1549" t="s">
        <v>336</v>
      </c>
      <c r="I51" s="1551"/>
    </row>
    <row r="52" spans="1:9" ht="24">
      <c r="A52" s="487" t="s">
        <v>9</v>
      </c>
      <c r="B52" s="488" t="s">
        <v>145</v>
      </c>
      <c r="C52" s="489" t="s">
        <v>26</v>
      </c>
      <c r="D52" s="487" t="s">
        <v>145</v>
      </c>
      <c r="E52" s="511" t="s">
        <v>26</v>
      </c>
      <c r="F52" s="487" t="s">
        <v>145</v>
      </c>
      <c r="G52" s="511" t="s">
        <v>26</v>
      </c>
      <c r="H52" s="487" t="s">
        <v>145</v>
      </c>
      <c r="I52" s="511" t="s">
        <v>26</v>
      </c>
    </row>
    <row r="53" spans="1:9" ht="12">
      <c r="A53" s="477" t="s">
        <v>142</v>
      </c>
      <c r="B53" s="543">
        <v>18</v>
      </c>
      <c r="C53" s="544">
        <v>156321</v>
      </c>
      <c r="D53" s="545">
        <v>18</v>
      </c>
      <c r="E53" s="546">
        <v>156321</v>
      </c>
      <c r="F53" s="545">
        <v>18</v>
      </c>
      <c r="G53" s="544">
        <v>157021</v>
      </c>
      <c r="H53" s="468"/>
      <c r="I53" s="469"/>
    </row>
    <row r="54" spans="1:9" ht="12">
      <c r="A54" s="477" t="s">
        <v>173</v>
      </c>
      <c r="B54" s="543"/>
      <c r="C54" s="544"/>
      <c r="D54" s="545"/>
      <c r="E54" s="546"/>
      <c r="F54" s="545"/>
      <c r="G54" s="544"/>
      <c r="H54" s="547"/>
      <c r="I54" s="548"/>
    </row>
    <row r="55" spans="1:9" ht="12">
      <c r="A55" s="477" t="s">
        <v>171</v>
      </c>
      <c r="B55" s="543"/>
      <c r="C55" s="544"/>
      <c r="D55" s="545"/>
      <c r="E55" s="546"/>
      <c r="F55" s="545"/>
      <c r="G55" s="544"/>
      <c r="H55" s="547"/>
      <c r="I55" s="548"/>
    </row>
    <row r="56" spans="1:9" ht="12">
      <c r="A56" s="464" t="s">
        <v>180</v>
      </c>
      <c r="B56" s="543"/>
      <c r="C56" s="544"/>
      <c r="D56" s="545"/>
      <c r="E56" s="546"/>
      <c r="F56" s="545"/>
      <c r="G56" s="544"/>
      <c r="H56" s="547"/>
      <c r="I56" s="548"/>
    </row>
    <row r="57" spans="1:9" ht="12">
      <c r="A57" s="477" t="s">
        <v>174</v>
      </c>
      <c r="B57" s="543"/>
      <c r="C57" s="544"/>
      <c r="D57" s="545"/>
      <c r="E57" s="546"/>
      <c r="F57" s="545"/>
      <c r="G57" s="544"/>
      <c r="H57" s="547"/>
      <c r="I57" s="548"/>
    </row>
    <row r="58" spans="1:9" ht="12">
      <c r="A58" s="464" t="s">
        <v>172</v>
      </c>
      <c r="B58" s="543"/>
      <c r="C58" s="544">
        <v>18000</v>
      </c>
      <c r="D58" s="545"/>
      <c r="E58" s="546">
        <v>18000</v>
      </c>
      <c r="F58" s="545"/>
      <c r="G58" s="544">
        <v>18000</v>
      </c>
      <c r="H58" s="547"/>
      <c r="I58" s="548"/>
    </row>
    <row r="59" spans="1:9" ht="12">
      <c r="A59" s="477" t="s">
        <v>179</v>
      </c>
      <c r="B59" s="543"/>
      <c r="C59" s="544"/>
      <c r="D59" s="545"/>
      <c r="E59" s="546"/>
      <c r="F59" s="545"/>
      <c r="G59" s="544"/>
      <c r="H59" s="547"/>
      <c r="I59" s="548"/>
    </row>
    <row r="60" spans="1:9" ht="12">
      <c r="A60" s="477" t="s">
        <v>28</v>
      </c>
      <c r="B60" s="543"/>
      <c r="C60" s="544"/>
      <c r="D60" s="545"/>
      <c r="E60" s="546"/>
      <c r="G60" s="544"/>
      <c r="H60" s="547"/>
      <c r="I60" s="548"/>
    </row>
    <row r="61" spans="1:9" ht="12">
      <c r="A61" s="477" t="s">
        <v>176</v>
      </c>
      <c r="B61" s="543"/>
      <c r="C61" s="544"/>
      <c r="D61" s="545"/>
      <c r="E61" s="546"/>
      <c r="F61" s="545"/>
      <c r="G61" s="544"/>
      <c r="H61" s="547"/>
      <c r="I61" s="548"/>
    </row>
    <row r="62" spans="1:9" ht="12">
      <c r="A62" s="477" t="s">
        <v>27</v>
      </c>
      <c r="B62" s="543"/>
      <c r="C62" s="544">
        <v>18144</v>
      </c>
      <c r="D62" s="545"/>
      <c r="E62" s="546">
        <v>18144</v>
      </c>
      <c r="F62" s="545"/>
      <c r="G62" s="544">
        <v>18144</v>
      </c>
      <c r="H62" s="547"/>
      <c r="I62" s="548"/>
    </row>
    <row r="63" spans="1:9" ht="12">
      <c r="A63" s="477" t="s">
        <v>177</v>
      </c>
      <c r="B63" s="543"/>
      <c r="C63" s="544">
        <v>252098</v>
      </c>
      <c r="D63" s="545"/>
      <c r="E63" s="546">
        <v>252098</v>
      </c>
      <c r="F63" s="545"/>
      <c r="G63" s="544">
        <v>552302</v>
      </c>
      <c r="H63" s="547"/>
      <c r="I63" s="548"/>
    </row>
    <row r="64" spans="1:9" ht="12">
      <c r="A64" s="477" t="s">
        <v>175</v>
      </c>
      <c r="B64" s="543"/>
      <c r="C64" s="544"/>
      <c r="D64" s="545"/>
      <c r="E64" s="546"/>
      <c r="F64" s="545"/>
      <c r="G64" s="544"/>
      <c r="H64" s="547"/>
      <c r="I64" s="548"/>
    </row>
    <row r="65" spans="1:9" ht="12">
      <c r="A65" s="477" t="s">
        <v>178</v>
      </c>
      <c r="B65" s="543"/>
      <c r="C65" s="544"/>
      <c r="D65" s="545"/>
      <c r="E65" s="546"/>
      <c r="F65" s="545"/>
      <c r="G65" s="544"/>
      <c r="H65" s="547"/>
      <c r="I65" s="548"/>
    </row>
    <row r="66" spans="1:9" ht="12">
      <c r="A66" s="477" t="s">
        <v>29</v>
      </c>
      <c r="B66" s="543"/>
      <c r="C66" s="544"/>
      <c r="D66" s="545"/>
      <c r="E66" s="546"/>
      <c r="F66" s="545"/>
      <c r="G66" s="544"/>
      <c r="H66" s="547"/>
      <c r="I66" s="548"/>
    </row>
    <row r="67" spans="1:9" ht="12">
      <c r="A67" s="477" t="s">
        <v>170</v>
      </c>
      <c r="B67" s="543"/>
      <c r="C67" s="544"/>
      <c r="D67" s="545"/>
      <c r="E67" s="546"/>
      <c r="F67" s="545"/>
      <c r="G67" s="544"/>
      <c r="H67" s="547"/>
      <c r="I67" s="548"/>
    </row>
    <row r="68" spans="1:9" ht="12.75" thickBot="1">
      <c r="A68" s="477" t="s">
        <v>44</v>
      </c>
      <c r="B68" s="543"/>
      <c r="C68" s="544"/>
      <c r="D68" s="545"/>
      <c r="E68" s="546"/>
      <c r="F68" s="545"/>
      <c r="G68" s="544"/>
      <c r="H68" s="547"/>
      <c r="I68" s="548"/>
    </row>
    <row r="69" spans="1:9" ht="12.75" thickBot="1">
      <c r="A69" s="38" t="s">
        <v>43</v>
      </c>
      <c r="B69" s="549"/>
      <c r="C69" s="549">
        <f>SUM(C53:C68)</f>
        <v>444563</v>
      </c>
      <c r="D69" s="550"/>
      <c r="E69" s="551">
        <f>SUM(E53:E68)</f>
        <v>444563</v>
      </c>
      <c r="F69" s="550"/>
      <c r="G69" s="549">
        <f>SUM(G53:G68)</f>
        <v>745467</v>
      </c>
      <c r="H69" s="460"/>
      <c r="I69" s="461"/>
    </row>
    <row r="70" spans="1:9" ht="12">
      <c r="A70" s="1" t="s">
        <v>338</v>
      </c>
      <c r="B70" s="2"/>
      <c r="C70" s="2"/>
      <c r="D70" s="2"/>
      <c r="E70" s="2"/>
      <c r="F70" s="2"/>
      <c r="G70" s="2"/>
      <c r="H70" s="2"/>
      <c r="I70" s="2"/>
    </row>
    <row r="71" spans="1:9" ht="12">
      <c r="A71" s="1" t="s">
        <v>93</v>
      </c>
      <c r="B71" s="2"/>
      <c r="C71" s="2"/>
      <c r="D71" s="2"/>
      <c r="E71" s="2"/>
      <c r="F71" s="2"/>
      <c r="G71" s="2"/>
      <c r="H71" s="2"/>
      <c r="I71" s="2"/>
    </row>
    <row r="74" ht="13.5" thickBot="1">
      <c r="A74" s="249" t="s">
        <v>664</v>
      </c>
    </row>
    <row r="75" spans="1:9" ht="12.75" thickBot="1">
      <c r="A75" s="509" t="s">
        <v>10</v>
      </c>
      <c r="B75" s="1548" t="s">
        <v>337</v>
      </c>
      <c r="C75" s="1548"/>
      <c r="D75" s="1549" t="s">
        <v>415</v>
      </c>
      <c r="E75" s="1550"/>
      <c r="F75" s="1549" t="s">
        <v>416</v>
      </c>
      <c r="G75" s="1551"/>
      <c r="H75" s="1549" t="s">
        <v>336</v>
      </c>
      <c r="I75" s="1551"/>
    </row>
    <row r="76" spans="1:9" ht="24">
      <c r="A76" s="487" t="s">
        <v>9</v>
      </c>
      <c r="B76" s="488" t="s">
        <v>145</v>
      </c>
      <c r="C76" s="489" t="s">
        <v>26</v>
      </c>
      <c r="D76" s="487" t="s">
        <v>145</v>
      </c>
      <c r="E76" s="511" t="s">
        <v>26</v>
      </c>
      <c r="F76" s="487" t="s">
        <v>145</v>
      </c>
      <c r="G76" s="511" t="s">
        <v>26</v>
      </c>
      <c r="H76" s="487" t="s">
        <v>145</v>
      </c>
      <c r="I76" s="511" t="s">
        <v>26</v>
      </c>
    </row>
    <row r="77" spans="1:9" ht="12">
      <c r="A77" s="553" t="s">
        <v>142</v>
      </c>
      <c r="B77" s="554">
        <v>34</v>
      </c>
      <c r="C77" s="555">
        <f>26743.15*12*B77</f>
        <v>10911205.200000001</v>
      </c>
      <c r="D77" s="554">
        <v>34</v>
      </c>
      <c r="E77" s="555">
        <f>26743.15*12*D77</f>
        <v>10911205.200000001</v>
      </c>
      <c r="F77" s="554">
        <v>34</v>
      </c>
      <c r="G77" s="555">
        <f>26743.15*12*F77</f>
        <v>10911205.200000001</v>
      </c>
      <c r="H77" s="554">
        <f>D77-B77</f>
        <v>0</v>
      </c>
      <c r="I77" s="556">
        <f>E77-C77</f>
        <v>0</v>
      </c>
    </row>
    <row r="78" spans="1:9" ht="12">
      <c r="A78" s="553" t="s">
        <v>173</v>
      </c>
      <c r="B78" s="554"/>
      <c r="C78" s="557"/>
      <c r="D78" s="554"/>
      <c r="E78" s="557"/>
      <c r="F78" s="554"/>
      <c r="G78" s="557"/>
      <c r="H78" s="554"/>
      <c r="I78" s="556"/>
    </row>
    <row r="79" spans="1:9" ht="12">
      <c r="A79" s="553" t="s">
        <v>171</v>
      </c>
      <c r="B79" s="554"/>
      <c r="C79" s="557"/>
      <c r="D79" s="554"/>
      <c r="E79" s="557"/>
      <c r="F79" s="554"/>
      <c r="G79" s="557"/>
      <c r="H79" s="554"/>
      <c r="I79" s="556"/>
    </row>
    <row r="80" spans="1:9" ht="12">
      <c r="A80" s="558" t="s">
        <v>180</v>
      </c>
      <c r="B80" s="554"/>
      <c r="C80" s="557"/>
      <c r="D80" s="554"/>
      <c r="E80" s="557"/>
      <c r="F80" s="554"/>
      <c r="G80" s="557"/>
      <c r="H80" s="554"/>
      <c r="I80" s="556"/>
    </row>
    <row r="81" spans="1:9" ht="12">
      <c r="A81" s="553" t="s">
        <v>174</v>
      </c>
      <c r="B81" s="554"/>
      <c r="C81" s="557"/>
      <c r="D81" s="554"/>
      <c r="E81" s="557"/>
      <c r="F81" s="554"/>
      <c r="G81" s="557"/>
      <c r="H81" s="554"/>
      <c r="I81" s="556"/>
    </row>
    <row r="82" spans="1:9" ht="12">
      <c r="A82" s="558" t="s">
        <v>172</v>
      </c>
      <c r="B82" s="554">
        <v>34</v>
      </c>
      <c r="C82" s="555">
        <f>+B82*1000</f>
        <v>34000</v>
      </c>
      <c r="D82" s="554">
        <v>34</v>
      </c>
      <c r="E82" s="555">
        <f>+D82*1000</f>
        <v>34000</v>
      </c>
      <c r="F82" s="554">
        <v>34</v>
      </c>
      <c r="G82" s="555">
        <f>+F82*1000</f>
        <v>34000</v>
      </c>
      <c r="H82" s="554">
        <f>D82-B82</f>
        <v>0</v>
      </c>
      <c r="I82" s="556">
        <f>E82-C82</f>
        <v>0</v>
      </c>
    </row>
    <row r="83" spans="1:9" ht="12">
      <c r="A83" s="553" t="s">
        <v>179</v>
      </c>
      <c r="B83" s="554"/>
      <c r="C83" s="557"/>
      <c r="D83" s="554"/>
      <c r="E83" s="557"/>
      <c r="F83" s="554"/>
      <c r="G83" s="557"/>
      <c r="H83" s="554"/>
      <c r="I83" s="556"/>
    </row>
    <row r="84" spans="1:9" ht="12">
      <c r="A84" s="553" t="s">
        <v>28</v>
      </c>
      <c r="B84" s="554"/>
      <c r="C84" s="557"/>
      <c r="D84" s="554"/>
      <c r="E84" s="557"/>
      <c r="F84" s="554"/>
      <c r="G84" s="557"/>
      <c r="H84" s="554"/>
      <c r="I84" s="556"/>
    </row>
    <row r="85" spans="1:9" ht="12">
      <c r="A85" s="553" t="s">
        <v>176</v>
      </c>
      <c r="B85" s="554"/>
      <c r="C85" s="557"/>
      <c r="D85" s="554"/>
      <c r="E85" s="557"/>
      <c r="F85" s="554"/>
      <c r="G85" s="557"/>
      <c r="H85" s="554"/>
      <c r="I85" s="556"/>
    </row>
    <row r="86" spans="1:9" ht="12">
      <c r="A86" s="553" t="s">
        <v>27</v>
      </c>
      <c r="B86" s="554">
        <v>34</v>
      </c>
      <c r="C86" s="557">
        <f>2779*12*B86</f>
        <v>1133832</v>
      </c>
      <c r="D86" s="554">
        <v>34</v>
      </c>
      <c r="E86" s="557">
        <f>2779*12*D86</f>
        <v>1133832</v>
      </c>
      <c r="F86" s="554">
        <v>34</v>
      </c>
      <c r="G86" s="557">
        <f>2779*12*F86</f>
        <v>1133832</v>
      </c>
      <c r="H86" s="554">
        <f>D86-B86</f>
        <v>0</v>
      </c>
      <c r="I86" s="556">
        <f>E86-C86</f>
        <v>0</v>
      </c>
    </row>
    <row r="87" spans="1:9" ht="12">
      <c r="A87" s="553" t="s">
        <v>177</v>
      </c>
      <c r="B87" s="554"/>
      <c r="C87" s="557"/>
      <c r="D87" s="554"/>
      <c r="E87" s="557"/>
      <c r="F87" s="554"/>
      <c r="G87" s="557"/>
      <c r="H87" s="554"/>
      <c r="I87" s="556"/>
    </row>
    <row r="88" spans="1:9" ht="12">
      <c r="A88" s="553" t="s">
        <v>175</v>
      </c>
      <c r="B88" s="554"/>
      <c r="C88" s="557"/>
      <c r="D88" s="554"/>
      <c r="E88" s="557"/>
      <c r="F88" s="554"/>
      <c r="G88" s="557"/>
      <c r="H88" s="554"/>
      <c r="I88" s="556"/>
    </row>
    <row r="89" spans="1:9" ht="12">
      <c r="A89" s="553" t="s">
        <v>178</v>
      </c>
      <c r="B89" s="554"/>
      <c r="C89" s="557"/>
      <c r="D89" s="554"/>
      <c r="E89" s="557"/>
      <c r="F89" s="554"/>
      <c r="G89" s="557"/>
      <c r="H89" s="554"/>
      <c r="I89" s="556"/>
    </row>
    <row r="90" spans="1:9" ht="12">
      <c r="A90" s="553" t="s">
        <v>29</v>
      </c>
      <c r="B90" s="554">
        <v>34</v>
      </c>
      <c r="C90" s="557">
        <f>84100*12*B90</f>
        <v>34312800</v>
      </c>
      <c r="D90" s="554">
        <v>34</v>
      </c>
      <c r="E90" s="557">
        <f>84100*12*D90</f>
        <v>34312800</v>
      </c>
      <c r="F90" s="554">
        <v>34</v>
      </c>
      <c r="G90" s="557">
        <f>84100*12*F90</f>
        <v>34312800</v>
      </c>
      <c r="H90" s="554">
        <f>B90-D90</f>
        <v>0</v>
      </c>
      <c r="I90" s="556">
        <f>E90-C90</f>
        <v>0</v>
      </c>
    </row>
    <row r="91" spans="1:9" ht="12">
      <c r="A91" s="553" t="s">
        <v>170</v>
      </c>
      <c r="B91" s="559"/>
      <c r="C91" s="556"/>
      <c r="D91" s="559"/>
      <c r="E91" s="556"/>
      <c r="F91" s="559"/>
      <c r="G91" s="556"/>
      <c r="H91" s="554">
        <f>B91-D91</f>
        <v>0</v>
      </c>
      <c r="I91" s="556">
        <f>C91-E91</f>
        <v>0</v>
      </c>
    </row>
    <row r="92" spans="1:9" ht="12.75" thickBot="1">
      <c r="A92" s="553" t="s">
        <v>44</v>
      </c>
      <c r="B92" s="554"/>
      <c r="C92" s="557"/>
      <c r="D92" s="554"/>
      <c r="E92" s="557"/>
      <c r="F92" s="554"/>
      <c r="G92" s="557"/>
      <c r="H92" s="560"/>
      <c r="I92" s="556"/>
    </row>
    <row r="93" spans="1:9" ht="12.75" thickBot="1">
      <c r="A93" s="38" t="s">
        <v>43</v>
      </c>
      <c r="B93" s="460">
        <v>175</v>
      </c>
      <c r="C93" s="417">
        <f>SUM(C77:C92)</f>
        <v>46391837.2</v>
      </c>
      <c r="D93" s="460">
        <v>175</v>
      </c>
      <c r="E93" s="417">
        <f>SUM(E77:E92)</f>
        <v>46391837.2</v>
      </c>
      <c r="F93" s="460">
        <v>175</v>
      </c>
      <c r="G93" s="417">
        <f>SUM(G77:G92)</f>
        <v>46391837.2</v>
      </c>
      <c r="H93" s="460">
        <v>3</v>
      </c>
      <c r="I93" s="383">
        <f>SUM(I77:I92)</f>
        <v>0</v>
      </c>
    </row>
    <row r="94" spans="1:9" ht="12">
      <c r="A94" s="439" t="s">
        <v>338</v>
      </c>
      <c r="B94" s="440"/>
      <c r="C94" s="440"/>
      <c r="D94" s="440"/>
      <c r="E94" s="440"/>
      <c r="F94" s="440"/>
      <c r="G94" s="440"/>
      <c r="H94" s="440"/>
      <c r="I94" s="440"/>
    </row>
    <row r="95" spans="1:9" ht="12">
      <c r="A95" s="439" t="s">
        <v>93</v>
      </c>
      <c r="B95" s="440"/>
      <c r="C95" s="440"/>
      <c r="D95" s="440"/>
      <c r="E95" s="440"/>
      <c r="F95" s="440"/>
      <c r="G95" s="440"/>
      <c r="H95" s="440"/>
      <c r="I95" s="440"/>
    </row>
    <row r="96" spans="1:9" ht="12">
      <c r="A96" s="439"/>
      <c r="B96" s="440"/>
      <c r="C96" s="440"/>
      <c r="D96" s="440"/>
      <c r="E96" s="440"/>
      <c r="F96" s="440"/>
      <c r="G96" s="440"/>
      <c r="H96" s="440"/>
      <c r="I96" s="440"/>
    </row>
    <row r="97" ht="12.75" thickBot="1">
      <c r="A97" s="3" t="s">
        <v>665</v>
      </c>
    </row>
    <row r="98" spans="1:9" ht="12.75" thickBot="1">
      <c r="A98" s="509" t="s">
        <v>10</v>
      </c>
      <c r="B98" s="1548" t="s">
        <v>337</v>
      </c>
      <c r="C98" s="1548"/>
      <c r="D98" s="1549" t="s">
        <v>415</v>
      </c>
      <c r="E98" s="1550"/>
      <c r="F98" s="1549" t="s">
        <v>416</v>
      </c>
      <c r="G98" s="1551"/>
      <c r="H98" s="1549" t="s">
        <v>336</v>
      </c>
      <c r="I98" s="1551"/>
    </row>
    <row r="99" spans="1:9" ht="24">
      <c r="A99" s="487" t="s">
        <v>9</v>
      </c>
      <c r="B99" s="488" t="s">
        <v>145</v>
      </c>
      <c r="C99" s="489" t="s">
        <v>26</v>
      </c>
      <c r="D99" s="487" t="s">
        <v>145</v>
      </c>
      <c r="E99" s="511" t="s">
        <v>26</v>
      </c>
      <c r="F99" s="487" t="s">
        <v>145</v>
      </c>
      <c r="G99" s="511" t="s">
        <v>26</v>
      </c>
      <c r="H99" s="487" t="s">
        <v>145</v>
      </c>
      <c r="I99" s="511" t="s">
        <v>26</v>
      </c>
    </row>
    <row r="100" spans="1:9" ht="12">
      <c r="A100" s="562" t="s">
        <v>142</v>
      </c>
      <c r="B100" s="563">
        <v>395</v>
      </c>
      <c r="C100" s="564">
        <f>14065969.32-304050-861843.84-2032800</f>
        <v>10867275.48</v>
      </c>
      <c r="D100" s="563">
        <v>395</v>
      </c>
      <c r="E100" s="564">
        <f>14133649.32-304050-861843.84-2100480</f>
        <v>10867275.48</v>
      </c>
      <c r="F100" s="563">
        <v>395</v>
      </c>
      <c r="G100" s="564">
        <f>14133649.32-304050-861843.84-2100480</f>
        <v>10867275.48</v>
      </c>
      <c r="H100" s="563">
        <f>+D100-B100</f>
        <v>0</v>
      </c>
      <c r="I100" s="564">
        <f>+E100-C100</f>
        <v>0</v>
      </c>
    </row>
    <row r="101" spans="1:9" ht="12">
      <c r="A101" s="562" t="s">
        <v>173</v>
      </c>
      <c r="B101" s="565"/>
      <c r="C101" s="566"/>
      <c r="D101" s="563"/>
      <c r="E101" s="567"/>
      <c r="F101" s="563"/>
      <c r="G101" s="567"/>
      <c r="H101" s="563"/>
      <c r="I101" s="567"/>
    </row>
    <row r="102" spans="1:9" ht="12">
      <c r="A102" s="562" t="s">
        <v>171</v>
      </c>
      <c r="B102" s="565"/>
      <c r="C102" s="566"/>
      <c r="D102" s="563"/>
      <c r="E102" s="567"/>
      <c r="F102" s="563"/>
      <c r="G102" s="567"/>
      <c r="H102" s="563"/>
      <c r="I102" s="567"/>
    </row>
    <row r="103" spans="1:9" ht="12">
      <c r="A103" s="568" t="s">
        <v>180</v>
      </c>
      <c r="B103" s="565"/>
      <c r="C103" s="566"/>
      <c r="D103" s="563"/>
      <c r="E103" s="567"/>
      <c r="F103" s="563"/>
      <c r="G103" s="567"/>
      <c r="H103" s="563"/>
      <c r="I103" s="567"/>
    </row>
    <row r="104" spans="1:9" ht="12">
      <c r="A104" s="562" t="s">
        <v>174</v>
      </c>
      <c r="B104" s="565"/>
      <c r="C104" s="566"/>
      <c r="D104" s="563"/>
      <c r="E104" s="567"/>
      <c r="F104" s="563"/>
      <c r="G104" s="567"/>
      <c r="H104" s="563"/>
      <c r="I104" s="567"/>
    </row>
    <row r="105" spans="1:9" ht="12">
      <c r="A105" s="568" t="s">
        <v>172</v>
      </c>
      <c r="B105" s="563">
        <v>395</v>
      </c>
      <c r="C105" s="564">
        <v>304050</v>
      </c>
      <c r="D105" s="563">
        <v>395</v>
      </c>
      <c r="E105" s="564">
        <v>304050</v>
      </c>
      <c r="F105" s="563">
        <v>395</v>
      </c>
      <c r="G105" s="564">
        <v>304050</v>
      </c>
      <c r="H105" s="563">
        <f>+D105-B105</f>
        <v>0</v>
      </c>
      <c r="I105" s="564">
        <f>+E105-C105</f>
        <v>0</v>
      </c>
    </row>
    <row r="106" spans="1:9" ht="12">
      <c r="A106" s="562" t="s">
        <v>179</v>
      </c>
      <c r="B106" s="565"/>
      <c r="C106" s="566"/>
      <c r="D106" s="563"/>
      <c r="E106" s="567"/>
      <c r="F106" s="563"/>
      <c r="G106" s="567"/>
      <c r="H106" s="563"/>
      <c r="I106" s="567"/>
    </row>
    <row r="107" spans="1:9" ht="12">
      <c r="A107" s="562" t="s">
        <v>28</v>
      </c>
      <c r="B107" s="565"/>
      <c r="C107" s="566"/>
      <c r="D107" s="563"/>
      <c r="E107" s="567"/>
      <c r="F107" s="563"/>
      <c r="G107" s="567"/>
      <c r="H107" s="563">
        <f>+D107-B107</f>
        <v>0</v>
      </c>
      <c r="I107" s="564">
        <f>+E107-C107</f>
        <v>0</v>
      </c>
    </row>
    <row r="108" spans="1:9" ht="12">
      <c r="A108" s="562" t="s">
        <v>176</v>
      </c>
      <c r="B108" s="565"/>
      <c r="C108" s="566"/>
      <c r="D108" s="563"/>
      <c r="E108" s="567"/>
      <c r="F108" s="563"/>
      <c r="G108" s="567"/>
      <c r="H108" s="563"/>
      <c r="I108" s="567"/>
    </row>
    <row r="109" spans="1:9" ht="12">
      <c r="A109" s="562" t="s">
        <v>27</v>
      </c>
      <c r="B109" s="563">
        <v>395</v>
      </c>
      <c r="C109" s="564">
        <v>861843.8399999992</v>
      </c>
      <c r="D109" s="563">
        <v>395</v>
      </c>
      <c r="E109" s="564">
        <v>861843.8399999992</v>
      </c>
      <c r="F109" s="563">
        <v>395</v>
      </c>
      <c r="G109" s="564">
        <v>861843.8399999992</v>
      </c>
      <c r="H109" s="563">
        <f>+D109-B109</f>
        <v>0</v>
      </c>
      <c r="I109" s="564">
        <f>+E109-C109</f>
        <v>0</v>
      </c>
    </row>
    <row r="110" spans="1:9" ht="12">
      <c r="A110" s="562" t="s">
        <v>177</v>
      </c>
      <c r="B110" s="565"/>
      <c r="C110" s="566"/>
      <c r="D110" s="563"/>
      <c r="E110" s="567"/>
      <c r="F110" s="563"/>
      <c r="G110" s="567"/>
      <c r="H110" s="563"/>
      <c r="I110" s="567"/>
    </row>
    <row r="111" spans="1:9" ht="12">
      <c r="A111" s="562" t="s">
        <v>175</v>
      </c>
      <c r="B111" s="565"/>
      <c r="C111" s="566"/>
      <c r="D111" s="563"/>
      <c r="E111" s="567"/>
      <c r="F111" s="563"/>
      <c r="G111" s="567"/>
      <c r="H111" s="563"/>
      <c r="I111" s="567"/>
    </row>
    <row r="112" spans="1:9" ht="12">
      <c r="A112" s="562" t="s">
        <v>178</v>
      </c>
      <c r="B112" s="565"/>
      <c r="C112" s="566"/>
      <c r="D112" s="563"/>
      <c r="E112" s="567"/>
      <c r="F112" s="563"/>
      <c r="G112" s="567"/>
      <c r="H112" s="563"/>
      <c r="I112" s="567"/>
    </row>
    <row r="113" spans="1:9" ht="12">
      <c r="A113" s="562" t="s">
        <v>29</v>
      </c>
      <c r="B113" s="565">
        <v>99</v>
      </c>
      <c r="C113" s="564">
        <v>2032800</v>
      </c>
      <c r="D113" s="563">
        <v>99</v>
      </c>
      <c r="E113" s="564">
        <v>2100480</v>
      </c>
      <c r="F113" s="563">
        <v>99</v>
      </c>
      <c r="G113" s="567">
        <v>2100480</v>
      </c>
      <c r="H113" s="563">
        <f>+D113-B113</f>
        <v>0</v>
      </c>
      <c r="I113" s="564">
        <f>+E113-C113</f>
        <v>67680</v>
      </c>
    </row>
    <row r="114" spans="1:9" ht="12">
      <c r="A114" s="562" t="s">
        <v>170</v>
      </c>
      <c r="B114" s="565"/>
      <c r="C114" s="566"/>
      <c r="D114" s="563"/>
      <c r="E114" s="567"/>
      <c r="F114" s="563"/>
      <c r="G114" s="567"/>
      <c r="H114" s="563"/>
      <c r="I114" s="567"/>
    </row>
    <row r="115" spans="1:9" ht="12.75" thickBot="1">
      <c r="A115" s="562" t="s">
        <v>44</v>
      </c>
      <c r="B115" s="565"/>
      <c r="C115" s="566"/>
      <c r="D115" s="563"/>
      <c r="E115" s="567"/>
      <c r="F115" s="563"/>
      <c r="G115" s="567"/>
      <c r="H115" s="563"/>
      <c r="I115" s="567"/>
    </row>
    <row r="116" spans="1:9" ht="12.75" thickBot="1">
      <c r="A116" s="38" t="s">
        <v>43</v>
      </c>
      <c r="B116" s="40">
        <v>395</v>
      </c>
      <c r="C116" s="417">
        <f>+C100+C105+C109+C113</f>
        <v>14065969.32</v>
      </c>
      <c r="D116" s="40">
        <v>395</v>
      </c>
      <c r="E116" s="561">
        <f>+E100+E105+E109+E113</f>
        <v>14133649.32</v>
      </c>
      <c r="F116" s="460">
        <v>395</v>
      </c>
      <c r="G116" s="561">
        <f>+G100+G105+G109+G113</f>
        <v>14133649.32</v>
      </c>
      <c r="H116" s="561">
        <f>+D116-B116</f>
        <v>0</v>
      </c>
      <c r="I116" s="561">
        <f>+E116-C116</f>
        <v>67680</v>
      </c>
    </row>
    <row r="117" spans="1:9" ht="12">
      <c r="A117" s="1" t="s">
        <v>338</v>
      </c>
      <c r="B117" s="2"/>
      <c r="C117" s="2"/>
      <c r="D117" s="2"/>
      <c r="E117" s="2"/>
      <c r="F117" s="2"/>
      <c r="G117" s="2"/>
      <c r="H117" s="2"/>
      <c r="I117" s="2"/>
    </row>
    <row r="118" spans="1:9" ht="12">
      <c r="A118" s="1" t="s">
        <v>93</v>
      </c>
      <c r="B118" s="2"/>
      <c r="C118" s="2"/>
      <c r="D118" s="2"/>
      <c r="E118" s="2"/>
      <c r="F118" s="2"/>
      <c r="G118" s="2"/>
      <c r="H118" s="2"/>
      <c r="I118" s="2"/>
    </row>
    <row r="119" spans="1:9" ht="12">
      <c r="A119" s="1"/>
      <c r="B119" s="2"/>
      <c r="C119" s="2"/>
      <c r="D119" s="2"/>
      <c r="E119" s="2"/>
      <c r="F119" s="2"/>
      <c r="G119" s="2"/>
      <c r="H119" s="2"/>
      <c r="I119" s="2"/>
    </row>
    <row r="120" ht="12.75" thickBot="1">
      <c r="A120" s="3" t="s">
        <v>666</v>
      </c>
    </row>
    <row r="121" spans="1:9" ht="12.75" thickBot="1">
      <c r="A121" s="509" t="s">
        <v>10</v>
      </c>
      <c r="B121" s="1548" t="s">
        <v>337</v>
      </c>
      <c r="C121" s="1548"/>
      <c r="D121" s="1549" t="s">
        <v>415</v>
      </c>
      <c r="E121" s="1550"/>
      <c r="F121" s="1549" t="s">
        <v>416</v>
      </c>
      <c r="G121" s="1551"/>
      <c r="H121" s="1549" t="s">
        <v>336</v>
      </c>
      <c r="I121" s="1551"/>
    </row>
    <row r="122" spans="1:9" ht="24">
      <c r="A122" s="487" t="s">
        <v>9</v>
      </c>
      <c r="B122" s="488" t="s">
        <v>145</v>
      </c>
      <c r="C122" s="489" t="s">
        <v>26</v>
      </c>
      <c r="D122" s="487" t="s">
        <v>145</v>
      </c>
      <c r="E122" s="511" t="s">
        <v>26</v>
      </c>
      <c r="F122" s="487" t="s">
        <v>145</v>
      </c>
      <c r="G122" s="511" t="s">
        <v>26</v>
      </c>
      <c r="H122" s="487" t="s">
        <v>145</v>
      </c>
      <c r="I122" s="511" t="s">
        <v>26</v>
      </c>
    </row>
    <row r="123" spans="1:9" ht="12">
      <c r="A123" s="477" t="s">
        <v>142</v>
      </c>
      <c r="B123" s="472">
        <v>2336</v>
      </c>
      <c r="C123" s="517">
        <v>74291930.32</v>
      </c>
      <c r="D123" s="468">
        <v>2442</v>
      </c>
      <c r="E123" s="518">
        <v>86674583</v>
      </c>
      <c r="F123" s="468">
        <v>2442</v>
      </c>
      <c r="G123" s="518">
        <v>86674583</v>
      </c>
      <c r="H123" s="468">
        <f>D123-B123</f>
        <v>106</v>
      </c>
      <c r="I123" s="518">
        <f>E123-C123</f>
        <v>12382652.680000007</v>
      </c>
    </row>
    <row r="124" spans="1:9" ht="12">
      <c r="A124" s="477" t="s">
        <v>173</v>
      </c>
      <c r="B124" s="472"/>
      <c r="C124" s="471"/>
      <c r="D124" s="468"/>
      <c r="E124" s="469"/>
      <c r="F124" s="468"/>
      <c r="G124" s="469"/>
      <c r="H124" s="468"/>
      <c r="I124" s="469"/>
    </row>
    <row r="125" spans="1:9" ht="12">
      <c r="A125" s="477" t="s">
        <v>171</v>
      </c>
      <c r="B125" s="472"/>
      <c r="C125" s="471"/>
      <c r="D125" s="468"/>
      <c r="E125" s="469"/>
      <c r="F125" s="468"/>
      <c r="G125" s="469"/>
      <c r="H125" s="468"/>
      <c r="I125" s="469"/>
    </row>
    <row r="126" spans="1:9" ht="12">
      <c r="A126" s="464" t="s">
        <v>180</v>
      </c>
      <c r="B126" s="472"/>
      <c r="C126" s="471"/>
      <c r="D126" s="468"/>
      <c r="E126" s="469"/>
      <c r="F126" s="468"/>
      <c r="G126" s="469"/>
      <c r="H126" s="468"/>
      <c r="I126" s="469"/>
    </row>
    <row r="127" spans="1:9" ht="12">
      <c r="A127" s="477" t="s">
        <v>174</v>
      </c>
      <c r="B127" s="472"/>
      <c r="C127" s="471"/>
      <c r="D127" s="468"/>
      <c r="E127" s="469"/>
      <c r="F127" s="468"/>
      <c r="G127" s="469"/>
      <c r="H127" s="468"/>
      <c r="I127" s="469"/>
    </row>
    <row r="128" spans="1:9" ht="12">
      <c r="A128" s="464" t="s">
        <v>172</v>
      </c>
      <c r="B128" s="472">
        <v>2336</v>
      </c>
      <c r="C128" s="517">
        <v>1757860</v>
      </c>
      <c r="D128" s="468">
        <v>2442</v>
      </c>
      <c r="E128" s="517">
        <v>1841420</v>
      </c>
      <c r="F128" s="468">
        <v>2442</v>
      </c>
      <c r="G128" s="469">
        <v>1841420</v>
      </c>
      <c r="H128" s="468">
        <f>D128-B128</f>
        <v>106</v>
      </c>
      <c r="I128" s="518">
        <f>E128-C128</f>
        <v>83560</v>
      </c>
    </row>
    <row r="129" spans="1:9" ht="12">
      <c r="A129" s="477" t="s">
        <v>179</v>
      </c>
      <c r="B129" s="472"/>
      <c r="C129" s="517"/>
      <c r="D129" s="468"/>
      <c r="E129" s="518"/>
      <c r="F129" s="468"/>
      <c r="G129" s="469"/>
      <c r="H129" s="468">
        <f aca="true" t="shared" si="1" ref="H129:I136">D129-B129</f>
        <v>0</v>
      </c>
      <c r="I129" s="518">
        <f t="shared" si="1"/>
        <v>0</v>
      </c>
    </row>
    <row r="130" spans="1:9" ht="12">
      <c r="A130" s="477" t="s">
        <v>28</v>
      </c>
      <c r="B130" s="472"/>
      <c r="C130" s="517"/>
      <c r="D130" s="468"/>
      <c r="E130" s="518"/>
      <c r="F130" s="468"/>
      <c r="G130" s="469"/>
      <c r="H130" s="468">
        <f t="shared" si="1"/>
        <v>0</v>
      </c>
      <c r="I130" s="518">
        <f t="shared" si="1"/>
        <v>0</v>
      </c>
    </row>
    <row r="131" spans="1:9" ht="12">
      <c r="A131" s="477" t="s">
        <v>176</v>
      </c>
      <c r="B131" s="472"/>
      <c r="C131" s="517"/>
      <c r="D131" s="468"/>
      <c r="E131" s="518"/>
      <c r="F131" s="468"/>
      <c r="G131" s="469"/>
      <c r="H131" s="468">
        <f t="shared" si="1"/>
        <v>0</v>
      </c>
      <c r="I131" s="518">
        <f t="shared" si="1"/>
        <v>0</v>
      </c>
    </row>
    <row r="132" spans="1:9" ht="12">
      <c r="A132" s="477" t="s">
        <v>27</v>
      </c>
      <c r="B132" s="472">
        <v>2336</v>
      </c>
      <c r="C132" s="517">
        <v>3495327.48</v>
      </c>
      <c r="D132" s="468">
        <v>2442</v>
      </c>
      <c r="E132" s="518">
        <v>4014208.44</v>
      </c>
      <c r="F132" s="468">
        <v>2442</v>
      </c>
      <c r="G132" s="469">
        <v>4014208.44</v>
      </c>
      <c r="H132" s="468">
        <f t="shared" si="1"/>
        <v>106</v>
      </c>
      <c r="I132" s="518">
        <f t="shared" si="1"/>
        <v>518880.95999999996</v>
      </c>
    </row>
    <row r="133" spans="1:9" ht="12">
      <c r="A133" s="477" t="s">
        <v>177</v>
      </c>
      <c r="B133" s="472"/>
      <c r="C133" s="517"/>
      <c r="D133" s="468"/>
      <c r="E133" s="518"/>
      <c r="F133" s="468"/>
      <c r="G133" s="469"/>
      <c r="H133" s="468">
        <f t="shared" si="1"/>
        <v>0</v>
      </c>
      <c r="I133" s="518">
        <f t="shared" si="1"/>
        <v>0</v>
      </c>
    </row>
    <row r="134" spans="1:9" ht="12">
      <c r="A134" s="477" t="s">
        <v>175</v>
      </c>
      <c r="B134" s="472"/>
      <c r="C134" s="517"/>
      <c r="D134" s="468"/>
      <c r="E134" s="518"/>
      <c r="F134" s="468"/>
      <c r="G134" s="469"/>
      <c r="H134" s="468">
        <f t="shared" si="1"/>
        <v>0</v>
      </c>
      <c r="I134" s="518">
        <f t="shared" si="1"/>
        <v>0</v>
      </c>
    </row>
    <row r="135" spans="1:9" ht="12">
      <c r="A135" s="477" t="s">
        <v>178</v>
      </c>
      <c r="B135" s="472"/>
      <c r="C135" s="517"/>
      <c r="D135" s="468"/>
      <c r="E135" s="518"/>
      <c r="F135" s="468"/>
      <c r="G135" s="469"/>
      <c r="H135" s="468">
        <f t="shared" si="1"/>
        <v>0</v>
      </c>
      <c r="I135" s="518">
        <f t="shared" si="1"/>
        <v>0</v>
      </c>
    </row>
    <row r="136" spans="1:9" ht="12">
      <c r="A136" s="477" t="s">
        <v>29</v>
      </c>
      <c r="B136" s="472">
        <v>2336</v>
      </c>
      <c r="C136" s="517">
        <v>1353000</v>
      </c>
      <c r="D136" s="468">
        <v>2442</v>
      </c>
      <c r="E136" s="518">
        <v>1500240</v>
      </c>
      <c r="F136" s="468">
        <v>2442</v>
      </c>
      <c r="G136" s="469">
        <v>1500240</v>
      </c>
      <c r="H136" s="468">
        <f t="shared" si="1"/>
        <v>106</v>
      </c>
      <c r="I136" s="518">
        <f t="shared" si="1"/>
        <v>147240</v>
      </c>
    </row>
    <row r="137" spans="1:9" ht="12">
      <c r="A137" s="477" t="s">
        <v>170</v>
      </c>
      <c r="B137" s="472"/>
      <c r="C137" s="471"/>
      <c r="D137" s="468"/>
      <c r="E137" s="469"/>
      <c r="F137" s="468"/>
      <c r="G137" s="469"/>
      <c r="H137" s="468"/>
      <c r="I137" s="469"/>
    </row>
    <row r="138" spans="1:9" ht="12.75" thickBot="1">
      <c r="A138" s="477" t="s">
        <v>44</v>
      </c>
      <c r="B138" s="472"/>
      <c r="C138" s="471"/>
      <c r="D138" s="468"/>
      <c r="E138" s="469"/>
      <c r="F138" s="468"/>
      <c r="G138" s="469"/>
      <c r="H138" s="468"/>
      <c r="I138" s="469"/>
    </row>
    <row r="139" spans="1:9" ht="12.75" thickBot="1">
      <c r="A139" s="38" t="s">
        <v>43</v>
      </c>
      <c r="B139" s="40"/>
      <c r="C139" s="417">
        <f>SUM(C123+C128+C132+C136)</f>
        <v>80898117.8</v>
      </c>
      <c r="D139" s="460"/>
      <c r="E139" s="417">
        <f>SUM(E123+E128+E132+E136)</f>
        <v>94030451.44</v>
      </c>
      <c r="F139" s="460"/>
      <c r="G139" s="417">
        <f>SUM(G123+G128+G132+G136)</f>
        <v>94030451.44</v>
      </c>
      <c r="H139" s="460"/>
      <c r="I139" s="417">
        <f>SUM(I123+I128+I132+I136)</f>
        <v>13132333.640000008</v>
      </c>
    </row>
    <row r="140" spans="1:9" ht="12">
      <c r="A140" s="1" t="s">
        <v>338</v>
      </c>
      <c r="B140" s="2"/>
      <c r="C140" s="2"/>
      <c r="D140" s="2"/>
      <c r="E140" s="2"/>
      <c r="F140" s="2"/>
      <c r="G140" s="2"/>
      <c r="H140" s="2"/>
      <c r="I140" s="2"/>
    </row>
    <row r="141" spans="1:9" ht="12">
      <c r="A141" s="1" t="s">
        <v>93</v>
      </c>
      <c r="B141" s="2"/>
      <c r="C141" s="2"/>
      <c r="D141" s="2"/>
      <c r="E141" s="2"/>
      <c r="F141" s="2"/>
      <c r="G141" s="2"/>
      <c r="H141" s="2"/>
      <c r="I141" s="2"/>
    </row>
    <row r="144" spans="1:9" ht="15.75">
      <c r="A144" s="96" t="s">
        <v>667</v>
      </c>
      <c r="B144" s="99"/>
      <c r="C144" s="99"/>
      <c r="D144" s="99"/>
      <c r="E144" s="99"/>
      <c r="F144" s="99"/>
      <c r="G144" s="99"/>
      <c r="H144" s="99"/>
      <c r="I144" s="99"/>
    </row>
    <row r="145" spans="1:5" ht="12.75" thickBot="1">
      <c r="A145" s="9"/>
      <c r="B145" s="11"/>
      <c r="E145" s="11"/>
    </row>
    <row r="146" spans="1:9" ht="12.75" thickBot="1">
      <c r="A146" s="509" t="s">
        <v>10</v>
      </c>
      <c r="B146" s="1548" t="s">
        <v>337</v>
      </c>
      <c r="C146" s="1548"/>
      <c r="D146" s="1549" t="s">
        <v>415</v>
      </c>
      <c r="E146" s="1550"/>
      <c r="F146" s="1549" t="s">
        <v>416</v>
      </c>
      <c r="G146" s="1551"/>
      <c r="H146" s="1549" t="s">
        <v>336</v>
      </c>
      <c r="I146" s="1551"/>
    </row>
    <row r="147" spans="1:9" ht="24">
      <c r="A147" s="487" t="s">
        <v>9</v>
      </c>
      <c r="B147" s="488" t="s">
        <v>145</v>
      </c>
      <c r="C147" s="489" t="s">
        <v>26</v>
      </c>
      <c r="D147" s="487" t="s">
        <v>145</v>
      </c>
      <c r="E147" s="511" t="s">
        <v>26</v>
      </c>
      <c r="F147" s="487" t="s">
        <v>145</v>
      </c>
      <c r="G147" s="511" t="s">
        <v>26</v>
      </c>
      <c r="H147" s="487" t="s">
        <v>145</v>
      </c>
      <c r="I147" s="511" t="s">
        <v>26</v>
      </c>
    </row>
    <row r="148" spans="1:9" ht="12">
      <c r="A148" s="477" t="s">
        <v>142</v>
      </c>
      <c r="B148" s="472">
        <v>1370</v>
      </c>
      <c r="C148" s="569">
        <v>38678342.56</v>
      </c>
      <c r="D148" s="468">
        <v>1385</v>
      </c>
      <c r="E148" s="570">
        <v>43693447.4</v>
      </c>
      <c r="F148" s="468"/>
      <c r="G148" s="469"/>
      <c r="H148" s="468">
        <f>+D148-B148</f>
        <v>15</v>
      </c>
      <c r="I148" s="570">
        <v>5015104.839999996</v>
      </c>
    </row>
    <row r="149" spans="1:9" ht="12">
      <c r="A149" s="477" t="s">
        <v>173</v>
      </c>
      <c r="B149" s="472"/>
      <c r="C149" s="471"/>
      <c r="D149" s="468"/>
      <c r="E149" s="469"/>
      <c r="F149" s="468"/>
      <c r="G149" s="469"/>
      <c r="H149" s="468"/>
      <c r="I149" s="570">
        <v>0</v>
      </c>
    </row>
    <row r="150" spans="1:9" ht="12">
      <c r="A150" s="477" t="s">
        <v>171</v>
      </c>
      <c r="B150" s="472"/>
      <c r="C150" s="471"/>
      <c r="D150" s="468"/>
      <c r="E150" s="469"/>
      <c r="F150" s="468"/>
      <c r="G150" s="469"/>
      <c r="H150" s="468"/>
      <c r="I150" s="570">
        <v>0</v>
      </c>
    </row>
    <row r="151" spans="1:9" ht="12">
      <c r="A151" s="464" t="s">
        <v>180</v>
      </c>
      <c r="B151" s="472"/>
      <c r="C151" s="471"/>
      <c r="D151" s="468"/>
      <c r="E151" s="469"/>
      <c r="F151" s="468"/>
      <c r="G151" s="469"/>
      <c r="H151" s="468"/>
      <c r="I151" s="570">
        <v>0</v>
      </c>
    </row>
    <row r="152" spans="1:9" ht="12">
      <c r="A152" s="477" t="s">
        <v>174</v>
      </c>
      <c r="B152" s="472"/>
      <c r="C152" s="471"/>
      <c r="D152" s="468"/>
      <c r="E152" s="469"/>
      <c r="F152" s="468"/>
      <c r="G152" s="469"/>
      <c r="H152" s="468"/>
      <c r="I152" s="570">
        <v>0</v>
      </c>
    </row>
    <row r="153" spans="1:9" ht="12">
      <c r="A153" s="464" t="s">
        <v>172</v>
      </c>
      <c r="B153" s="472">
        <v>1370</v>
      </c>
      <c r="C153" s="517">
        <v>1370000</v>
      </c>
      <c r="D153" s="468">
        <v>1385</v>
      </c>
      <c r="E153" s="517">
        <v>1385000</v>
      </c>
      <c r="F153" s="468"/>
      <c r="G153" s="469"/>
      <c r="H153" s="468">
        <f>+D153-B153</f>
        <v>15</v>
      </c>
      <c r="I153" s="570">
        <f>+E153-C153</f>
        <v>15000</v>
      </c>
    </row>
    <row r="154" spans="1:9" ht="12">
      <c r="A154" s="477" t="s">
        <v>179</v>
      </c>
      <c r="B154" s="472"/>
      <c r="C154" s="471"/>
      <c r="D154" s="468"/>
      <c r="E154" s="469"/>
      <c r="F154" s="468"/>
      <c r="G154" s="469"/>
      <c r="H154" s="468"/>
      <c r="I154" s="469"/>
    </row>
    <row r="155" spans="1:9" ht="12">
      <c r="A155" s="477" t="s">
        <v>28</v>
      </c>
      <c r="B155" s="472"/>
      <c r="C155" s="471"/>
      <c r="D155" s="468"/>
      <c r="E155" s="469"/>
      <c r="F155" s="468"/>
      <c r="G155" s="469"/>
      <c r="H155" s="468"/>
      <c r="I155" s="469"/>
    </row>
    <row r="156" spans="1:9" ht="12">
      <c r="A156" s="477" t="s">
        <v>176</v>
      </c>
      <c r="B156" s="472"/>
      <c r="C156" s="471"/>
      <c r="D156" s="468"/>
      <c r="E156" s="469"/>
      <c r="F156" s="468"/>
      <c r="G156" s="469"/>
      <c r="H156" s="468"/>
      <c r="I156" s="469"/>
    </row>
    <row r="157" spans="1:9" ht="12">
      <c r="A157" s="477" t="s">
        <v>27</v>
      </c>
      <c r="B157" s="472"/>
      <c r="C157" s="471"/>
      <c r="D157" s="468"/>
      <c r="E157" s="469"/>
      <c r="F157" s="468"/>
      <c r="G157" s="469"/>
      <c r="H157" s="468"/>
      <c r="I157" s="469"/>
    </row>
    <row r="158" spans="1:9" ht="12">
      <c r="A158" s="477" t="s">
        <v>177</v>
      </c>
      <c r="B158" s="472"/>
      <c r="C158" s="471"/>
      <c r="D158" s="468"/>
      <c r="E158" s="469"/>
      <c r="F158" s="468"/>
      <c r="G158" s="469"/>
      <c r="H158" s="468"/>
      <c r="I158" s="469"/>
    </row>
    <row r="159" spans="1:9" ht="12">
      <c r="A159" s="477" t="s">
        <v>175</v>
      </c>
      <c r="B159" s="472"/>
      <c r="C159" s="471"/>
      <c r="D159" s="468"/>
      <c r="E159" s="469"/>
      <c r="F159" s="468"/>
      <c r="G159" s="469"/>
      <c r="H159" s="468"/>
      <c r="I159" s="469"/>
    </row>
    <row r="160" spans="1:9" ht="12">
      <c r="A160" s="477" t="s">
        <v>178</v>
      </c>
      <c r="B160" s="472"/>
      <c r="C160" s="471"/>
      <c r="D160" s="468"/>
      <c r="E160" s="469"/>
      <c r="F160" s="468"/>
      <c r="G160" s="469"/>
      <c r="H160" s="468"/>
      <c r="I160" s="469"/>
    </row>
    <row r="161" spans="1:9" ht="12">
      <c r="A161" s="477" t="s">
        <v>29</v>
      </c>
      <c r="B161" s="472"/>
      <c r="C161" s="471"/>
      <c r="D161" s="468"/>
      <c r="E161" s="469"/>
      <c r="F161" s="468"/>
      <c r="G161" s="469"/>
      <c r="H161" s="468"/>
      <c r="I161" s="469"/>
    </row>
    <row r="162" spans="1:9" ht="12">
      <c r="A162" s="477" t="s">
        <v>170</v>
      </c>
      <c r="B162" s="472"/>
      <c r="C162" s="471"/>
      <c r="D162" s="468"/>
      <c r="E162" s="469"/>
      <c r="F162" s="468"/>
      <c r="G162" s="469"/>
      <c r="H162" s="468"/>
      <c r="I162" s="469"/>
    </row>
    <row r="163" spans="1:9" ht="12.75" thickBot="1">
      <c r="A163" s="477" t="s">
        <v>44</v>
      </c>
      <c r="B163" s="472"/>
      <c r="C163" s="471"/>
      <c r="D163" s="468"/>
      <c r="E163" s="469"/>
      <c r="F163" s="468"/>
      <c r="G163" s="469"/>
      <c r="H163" s="468"/>
      <c r="I163" s="469"/>
    </row>
    <row r="164" spans="1:9" ht="12.75" thickBot="1">
      <c r="A164" s="38" t="s">
        <v>43</v>
      </c>
      <c r="B164" s="40">
        <f>SUM(B148:B163)</f>
        <v>2740</v>
      </c>
      <c r="C164" s="571">
        <f>SUM(C148:C163)</f>
        <v>40048342.56</v>
      </c>
      <c r="D164" s="460">
        <f>SUM(D148:D163)</f>
        <v>2770</v>
      </c>
      <c r="E164" s="572">
        <f>SUM(E148:E163)</f>
        <v>45078447.4</v>
      </c>
      <c r="F164" s="460"/>
      <c r="G164" s="461"/>
      <c r="H164" s="460">
        <f>SUM(H148:H163)</f>
        <v>30</v>
      </c>
      <c r="I164" s="572">
        <f>SUM(I148:I163)</f>
        <v>5030104.839999996</v>
      </c>
    </row>
    <row r="165" spans="1:9" ht="12">
      <c r="A165" s="1" t="s">
        <v>338</v>
      </c>
      <c r="B165" s="2"/>
      <c r="C165" s="2"/>
      <c r="D165" s="2"/>
      <c r="E165" s="2"/>
      <c r="F165" s="2"/>
      <c r="G165" s="2"/>
      <c r="H165" s="2"/>
      <c r="I165" s="2"/>
    </row>
    <row r="166" spans="1:9" ht="12">
      <c r="A166" s="1" t="s">
        <v>93</v>
      </c>
      <c r="B166" s="2"/>
      <c r="C166" s="2"/>
      <c r="D166" s="2"/>
      <c r="E166" s="2"/>
      <c r="F166" s="2"/>
      <c r="G166" s="2"/>
      <c r="H166" s="2"/>
      <c r="I166" s="2"/>
    </row>
    <row r="168" spans="1:9" ht="12.75" thickBot="1">
      <c r="A168" s="106" t="s">
        <v>585</v>
      </c>
      <c r="B168" s="11"/>
      <c r="C168" s="508"/>
      <c r="D168" s="508"/>
      <c r="E168" s="11"/>
      <c r="F168" s="508"/>
      <c r="G168" s="508"/>
      <c r="H168" s="508"/>
      <c r="I168" s="508"/>
    </row>
    <row r="169" spans="1:9" ht="12.75" thickBot="1">
      <c r="A169" s="509" t="s">
        <v>10</v>
      </c>
      <c r="B169" s="1548" t="s">
        <v>337</v>
      </c>
      <c r="C169" s="1548"/>
      <c r="D169" s="1549" t="s">
        <v>415</v>
      </c>
      <c r="E169" s="1550"/>
      <c r="F169" s="1549" t="s">
        <v>416</v>
      </c>
      <c r="G169" s="1551"/>
      <c r="H169" s="1549" t="s">
        <v>336</v>
      </c>
      <c r="I169" s="1551"/>
    </row>
    <row r="170" spans="1:9" ht="24">
      <c r="A170" s="487" t="s">
        <v>9</v>
      </c>
      <c r="B170" s="488" t="s">
        <v>145</v>
      </c>
      <c r="C170" s="489" t="s">
        <v>26</v>
      </c>
      <c r="D170" s="487" t="s">
        <v>145</v>
      </c>
      <c r="E170" s="511" t="s">
        <v>26</v>
      </c>
      <c r="F170" s="487" t="s">
        <v>145</v>
      </c>
      <c r="G170" s="511" t="s">
        <v>26</v>
      </c>
      <c r="H170" s="487" t="s">
        <v>145</v>
      </c>
      <c r="I170" s="511" t="s">
        <v>26</v>
      </c>
    </row>
    <row r="171" spans="1:9" ht="12">
      <c r="A171" s="553" t="s">
        <v>142</v>
      </c>
      <c r="B171" s="554">
        <v>3350</v>
      </c>
      <c r="C171" s="557">
        <v>83863834.88000001</v>
      </c>
      <c r="D171" s="554">
        <v>3328</v>
      </c>
      <c r="E171" s="557">
        <v>91027236.29000002</v>
      </c>
      <c r="F171" s="554">
        <v>3328</v>
      </c>
      <c r="G171" s="557">
        <v>98163501.76</v>
      </c>
      <c r="H171" s="554">
        <f>D171-B171</f>
        <v>-22</v>
      </c>
      <c r="I171" s="556">
        <f>E171-C171</f>
        <v>7163401.410000011</v>
      </c>
    </row>
    <row r="172" spans="1:9" ht="12">
      <c r="A172" s="553" t="s">
        <v>173</v>
      </c>
      <c r="B172" s="554"/>
      <c r="C172" s="557"/>
      <c r="D172" s="554"/>
      <c r="E172" s="557"/>
      <c r="F172" s="554"/>
      <c r="G172" s="557"/>
      <c r="H172" s="554"/>
      <c r="I172" s="556"/>
    </row>
    <row r="173" spans="1:9" ht="12">
      <c r="A173" s="553" t="s">
        <v>171</v>
      </c>
      <c r="B173" s="554"/>
      <c r="C173" s="557"/>
      <c r="D173" s="554"/>
      <c r="E173" s="557"/>
      <c r="F173" s="554"/>
      <c r="G173" s="557"/>
      <c r="H173" s="554"/>
      <c r="I173" s="556"/>
    </row>
    <row r="174" spans="1:9" ht="12">
      <c r="A174" s="558" t="s">
        <v>180</v>
      </c>
      <c r="B174" s="554"/>
      <c r="C174" s="557"/>
      <c r="D174" s="554"/>
      <c r="E174" s="557"/>
      <c r="F174" s="554"/>
      <c r="G174" s="557"/>
      <c r="H174" s="554"/>
      <c r="I174" s="556"/>
    </row>
    <row r="175" spans="1:9" ht="12">
      <c r="A175" s="553" t="s">
        <v>174</v>
      </c>
      <c r="B175" s="554"/>
      <c r="C175" s="557"/>
      <c r="D175" s="554"/>
      <c r="E175" s="557"/>
      <c r="F175" s="554"/>
      <c r="G175" s="557"/>
      <c r="H175" s="554"/>
      <c r="I175" s="556"/>
    </row>
    <row r="176" spans="1:9" ht="12">
      <c r="A176" s="558" t="s">
        <v>172</v>
      </c>
      <c r="B176" s="554">
        <v>3075</v>
      </c>
      <c r="C176" s="557">
        <v>2504965.95</v>
      </c>
      <c r="D176" s="554">
        <v>3075</v>
      </c>
      <c r="E176" s="557">
        <v>2505358.52</v>
      </c>
      <c r="F176" s="554">
        <v>3075</v>
      </c>
      <c r="G176" s="557">
        <v>2505358.52</v>
      </c>
      <c r="H176" s="554">
        <f>D176-B176</f>
        <v>0</v>
      </c>
      <c r="I176" s="556">
        <f>E176-C176</f>
        <v>392.56999999983236</v>
      </c>
    </row>
    <row r="177" spans="1:9" ht="12">
      <c r="A177" s="553" t="s">
        <v>179</v>
      </c>
      <c r="B177" s="554"/>
      <c r="C177" s="557"/>
      <c r="D177" s="554"/>
      <c r="E177" s="557"/>
      <c r="F177" s="554"/>
      <c r="G177" s="557"/>
      <c r="H177" s="554"/>
      <c r="I177" s="556"/>
    </row>
    <row r="178" spans="1:9" ht="12">
      <c r="A178" s="553" t="s">
        <v>28</v>
      </c>
      <c r="B178" s="554"/>
      <c r="C178" s="557"/>
      <c r="D178" s="554"/>
      <c r="E178" s="557"/>
      <c r="F178" s="554"/>
      <c r="G178" s="557"/>
      <c r="H178" s="554"/>
      <c r="I178" s="556"/>
    </row>
    <row r="179" spans="1:9" ht="12">
      <c r="A179" s="553" t="s">
        <v>176</v>
      </c>
      <c r="B179" s="554"/>
      <c r="C179" s="557"/>
      <c r="D179" s="554"/>
      <c r="E179" s="557"/>
      <c r="F179" s="554"/>
      <c r="G179" s="557"/>
      <c r="H179" s="554"/>
      <c r="I179" s="556"/>
    </row>
    <row r="180" spans="1:9" ht="12">
      <c r="A180" s="553" t="s">
        <v>27</v>
      </c>
      <c r="B180" s="554">
        <v>3350</v>
      </c>
      <c r="C180" s="557">
        <v>4806554.250000001</v>
      </c>
      <c r="D180" s="554">
        <v>3328</v>
      </c>
      <c r="E180" s="557">
        <v>5190187.4</v>
      </c>
      <c r="F180" s="554">
        <v>3328</v>
      </c>
      <c r="G180" s="557">
        <v>5639112.880000002</v>
      </c>
      <c r="H180" s="554">
        <f>D180-B180</f>
        <v>-22</v>
      </c>
      <c r="I180" s="556">
        <f>E180-C180</f>
        <v>383633.14999999944</v>
      </c>
    </row>
    <row r="181" spans="1:9" ht="12">
      <c r="A181" s="553" t="s">
        <v>177</v>
      </c>
      <c r="B181" s="554"/>
      <c r="C181" s="557"/>
      <c r="D181" s="554"/>
      <c r="E181" s="557"/>
      <c r="F181" s="554"/>
      <c r="G181" s="557"/>
      <c r="H181" s="554"/>
      <c r="I181" s="556"/>
    </row>
    <row r="182" spans="1:9" ht="12">
      <c r="A182" s="553" t="s">
        <v>175</v>
      </c>
      <c r="B182" s="554"/>
      <c r="C182" s="557"/>
      <c r="D182" s="554"/>
      <c r="E182" s="557"/>
      <c r="F182" s="554"/>
      <c r="G182" s="557"/>
      <c r="H182" s="554"/>
      <c r="I182" s="556"/>
    </row>
    <row r="183" spans="1:9" ht="12">
      <c r="A183" s="553" t="s">
        <v>178</v>
      </c>
      <c r="B183" s="554"/>
      <c r="C183" s="557"/>
      <c r="D183" s="554"/>
      <c r="E183" s="557"/>
      <c r="F183" s="554"/>
      <c r="G183" s="557"/>
      <c r="H183" s="554"/>
      <c r="I183" s="556"/>
    </row>
    <row r="184" spans="1:9" ht="12">
      <c r="A184" s="553" t="s">
        <v>29</v>
      </c>
      <c r="B184" s="554">
        <v>260</v>
      </c>
      <c r="C184" s="557">
        <f>252750*12</f>
        <v>3033000</v>
      </c>
      <c r="D184" s="554">
        <v>259</v>
      </c>
      <c r="E184" s="557">
        <v>3491233</v>
      </c>
      <c r="F184" s="554">
        <v>259</v>
      </c>
      <c r="G184" s="557">
        <v>3491233</v>
      </c>
      <c r="H184" s="554">
        <f>B184-D184</f>
        <v>1</v>
      </c>
      <c r="I184" s="556">
        <f>E184-C184</f>
        <v>458233</v>
      </c>
    </row>
    <row r="185" spans="1:9" ht="12">
      <c r="A185" s="553" t="s">
        <v>170</v>
      </c>
      <c r="B185" s="559"/>
      <c r="C185" s="556"/>
      <c r="D185" s="554"/>
      <c r="E185" s="557"/>
      <c r="F185" s="554"/>
      <c r="G185" s="557"/>
      <c r="H185" s="554"/>
      <c r="I185" s="556"/>
    </row>
    <row r="186" spans="1:9" ht="12.75" thickBot="1">
      <c r="A186" s="553" t="s">
        <v>44</v>
      </c>
      <c r="B186" s="554"/>
      <c r="C186" s="557"/>
      <c r="D186" s="554"/>
      <c r="E186" s="557"/>
      <c r="F186" s="554"/>
      <c r="G186" s="557"/>
      <c r="H186" s="560"/>
      <c r="I186" s="556"/>
    </row>
    <row r="187" spans="1:9" ht="12.75" thickBot="1">
      <c r="A187" s="38" t="s">
        <v>43</v>
      </c>
      <c r="B187" s="460">
        <v>3350</v>
      </c>
      <c r="C187" s="383">
        <f>SUM(C171:C186)</f>
        <v>94208355.08000001</v>
      </c>
      <c r="D187" s="460">
        <v>3328</v>
      </c>
      <c r="E187" s="383">
        <f>SUM(E171:E186)</f>
        <v>102214015.21000002</v>
      </c>
      <c r="F187" s="460">
        <v>3328</v>
      </c>
      <c r="G187" s="383">
        <f>SUM(G171:G186)</f>
        <v>109799206.16</v>
      </c>
      <c r="H187" s="460">
        <f>SUM(H171:H186)</f>
        <v>-43</v>
      </c>
      <c r="I187" s="383">
        <f>SUM(I171:I186)</f>
        <v>8005660.130000011</v>
      </c>
    </row>
    <row r="188" spans="1:9" ht="12">
      <c r="A188" s="439" t="s">
        <v>338</v>
      </c>
      <c r="B188" s="440"/>
      <c r="C188" s="440"/>
      <c r="D188" s="440"/>
      <c r="E188" s="440"/>
      <c r="F188" s="440"/>
      <c r="G188" s="440"/>
      <c r="H188" s="440"/>
      <c r="I188" s="440"/>
    </row>
    <row r="189" spans="1:9" ht="12">
      <c r="A189" s="439" t="s">
        <v>93</v>
      </c>
      <c r="B189" s="440"/>
      <c r="C189" s="440"/>
      <c r="D189" s="440"/>
      <c r="E189" s="440"/>
      <c r="F189" s="440"/>
      <c r="G189" s="440"/>
      <c r="H189" s="440"/>
      <c r="I189" s="440"/>
    </row>
    <row r="190" spans="1:9" ht="15.75">
      <c r="A190" s="249" t="s">
        <v>711</v>
      </c>
      <c r="B190" s="81"/>
      <c r="C190" s="81"/>
      <c r="D190" s="81"/>
      <c r="E190" s="81"/>
      <c r="F190" s="81"/>
      <c r="G190" s="81"/>
      <c r="H190" s="81"/>
      <c r="I190" s="81"/>
    </row>
    <row r="191" spans="1:9" ht="12.75" thickBot="1">
      <c r="A191" s="29"/>
      <c r="B191" s="29"/>
      <c r="C191" s="29"/>
      <c r="D191" s="29"/>
      <c r="E191" s="29"/>
      <c r="F191" s="29"/>
      <c r="G191" s="29"/>
      <c r="H191" s="29"/>
      <c r="I191" s="29"/>
    </row>
    <row r="192" spans="1:9" ht="12.75" thickBot="1">
      <c r="A192" s="509" t="s">
        <v>10</v>
      </c>
      <c r="B192" s="1548" t="s">
        <v>337</v>
      </c>
      <c r="C192" s="1548"/>
      <c r="D192" s="1549" t="s">
        <v>415</v>
      </c>
      <c r="E192" s="1550"/>
      <c r="F192" s="1549" t="s">
        <v>416</v>
      </c>
      <c r="G192" s="1551"/>
      <c r="H192" s="1549" t="s">
        <v>336</v>
      </c>
      <c r="I192" s="1551"/>
    </row>
    <row r="193" spans="1:9" ht="24">
      <c r="A193" s="487" t="s">
        <v>9</v>
      </c>
      <c r="B193" s="488" t="s">
        <v>145</v>
      </c>
      <c r="C193" s="489" t="s">
        <v>26</v>
      </c>
      <c r="D193" s="487" t="s">
        <v>145</v>
      </c>
      <c r="E193" s="511" t="s">
        <v>26</v>
      </c>
      <c r="F193" s="487" t="s">
        <v>145</v>
      </c>
      <c r="G193" s="511" t="s">
        <v>26</v>
      </c>
      <c r="H193" s="487" t="s">
        <v>145</v>
      </c>
      <c r="I193" s="511" t="s">
        <v>26</v>
      </c>
    </row>
    <row r="194" spans="1:9" ht="12">
      <c r="A194" s="553" t="s">
        <v>142</v>
      </c>
      <c r="B194" s="554">
        <v>276</v>
      </c>
      <c r="C194" s="557">
        <v>10235865.24</v>
      </c>
      <c r="D194" s="554">
        <v>276</v>
      </c>
      <c r="E194" s="557">
        <v>10235865.24</v>
      </c>
      <c r="F194" s="554">
        <v>277</v>
      </c>
      <c r="G194" s="557">
        <v>11471181.2</v>
      </c>
      <c r="H194" s="554">
        <f>D194-B194</f>
        <v>0</v>
      </c>
      <c r="I194" s="556">
        <f>E194-C194</f>
        <v>0</v>
      </c>
    </row>
    <row r="195" spans="1:9" ht="12">
      <c r="A195" s="553" t="s">
        <v>173</v>
      </c>
      <c r="B195" s="554"/>
      <c r="C195" s="557"/>
      <c r="D195" s="554"/>
      <c r="E195" s="557"/>
      <c r="F195" s="554"/>
      <c r="G195" s="557"/>
      <c r="H195" s="554"/>
      <c r="I195" s="556"/>
    </row>
    <row r="196" spans="1:9" ht="12">
      <c r="A196" s="553" t="s">
        <v>171</v>
      </c>
      <c r="B196" s="554"/>
      <c r="C196" s="557"/>
      <c r="D196" s="554"/>
      <c r="E196" s="557"/>
      <c r="F196" s="554"/>
      <c r="G196" s="557"/>
      <c r="H196" s="554"/>
      <c r="I196" s="556"/>
    </row>
    <row r="197" spans="1:9" ht="12">
      <c r="A197" s="558" t="s">
        <v>180</v>
      </c>
      <c r="B197" s="554"/>
      <c r="C197" s="557"/>
      <c r="D197" s="554"/>
      <c r="E197" s="557"/>
      <c r="F197" s="554"/>
      <c r="G197" s="557"/>
      <c r="H197" s="554"/>
      <c r="I197" s="556"/>
    </row>
    <row r="198" spans="1:9" ht="12">
      <c r="A198" s="553" t="s">
        <v>174</v>
      </c>
      <c r="B198" s="554"/>
      <c r="C198" s="557"/>
      <c r="D198" s="554"/>
      <c r="E198" s="557"/>
      <c r="F198" s="554"/>
      <c r="G198" s="557"/>
      <c r="H198" s="554"/>
      <c r="I198" s="556"/>
    </row>
    <row r="199" spans="1:9" ht="12">
      <c r="A199" s="558" t="s">
        <v>172</v>
      </c>
      <c r="B199" s="554">
        <v>276</v>
      </c>
      <c r="C199" s="557">
        <f>1000*B199</f>
        <v>276000</v>
      </c>
      <c r="D199" s="554">
        <v>276</v>
      </c>
      <c r="E199" s="557">
        <f>1000*D199</f>
        <v>276000</v>
      </c>
      <c r="F199" s="554">
        <v>277</v>
      </c>
      <c r="G199" s="557">
        <f>1000*277</f>
        <v>277000</v>
      </c>
      <c r="H199" s="554">
        <f>D199-B199</f>
        <v>0</v>
      </c>
      <c r="I199" s="556">
        <f>E199-C199</f>
        <v>0</v>
      </c>
    </row>
    <row r="200" spans="1:9" ht="12">
      <c r="A200" s="553" t="s">
        <v>179</v>
      </c>
      <c r="B200" s="554"/>
      <c r="C200" s="557"/>
      <c r="D200" s="554"/>
      <c r="E200" s="557"/>
      <c r="F200" s="554"/>
      <c r="G200" s="557"/>
      <c r="H200" s="554"/>
      <c r="I200" s="556"/>
    </row>
    <row r="201" spans="1:9" ht="12">
      <c r="A201" s="553" t="s">
        <v>28</v>
      </c>
      <c r="B201" s="554"/>
      <c r="C201" s="557"/>
      <c r="D201" s="554"/>
      <c r="E201" s="557"/>
      <c r="F201" s="554"/>
      <c r="G201" s="557"/>
      <c r="H201" s="554"/>
      <c r="I201" s="556"/>
    </row>
    <row r="202" spans="1:9" ht="12">
      <c r="A202" s="553" t="s">
        <v>176</v>
      </c>
      <c r="B202" s="554"/>
      <c r="C202" s="557"/>
      <c r="D202" s="554"/>
      <c r="E202" s="557"/>
      <c r="F202" s="554"/>
      <c r="G202" s="557"/>
      <c r="H202" s="554"/>
      <c r="I202" s="556"/>
    </row>
    <row r="203" spans="1:9" ht="12">
      <c r="A203" s="553" t="s">
        <v>27</v>
      </c>
      <c r="B203" s="554">
        <v>276</v>
      </c>
      <c r="C203" s="557">
        <v>444231</v>
      </c>
      <c r="D203" s="554">
        <v>276</v>
      </c>
      <c r="E203" s="557">
        <v>444231</v>
      </c>
      <c r="F203" s="554">
        <v>277</v>
      </c>
      <c r="G203" s="557">
        <f>E203+2568</f>
        <v>446799</v>
      </c>
      <c r="H203" s="554">
        <f>D203-B203</f>
        <v>0</v>
      </c>
      <c r="I203" s="556">
        <f>E203-C203</f>
        <v>0</v>
      </c>
    </row>
    <row r="204" spans="1:9" ht="12">
      <c r="A204" s="553" t="s">
        <v>177</v>
      </c>
      <c r="B204" s="554">
        <v>22</v>
      </c>
      <c r="C204" s="557">
        <v>566880</v>
      </c>
      <c r="D204" s="554">
        <v>22</v>
      </c>
      <c r="E204" s="557">
        <v>566880</v>
      </c>
      <c r="F204" s="554">
        <v>22</v>
      </c>
      <c r="G204" s="557">
        <v>566880</v>
      </c>
      <c r="H204" s="554">
        <f>D204-B204</f>
        <v>0</v>
      </c>
      <c r="I204" s="556">
        <f>E204-C204</f>
        <v>0</v>
      </c>
    </row>
    <row r="205" spans="1:9" ht="12">
      <c r="A205" s="553" t="s">
        <v>175</v>
      </c>
      <c r="B205" s="554"/>
      <c r="C205" s="557"/>
      <c r="D205" s="554"/>
      <c r="E205" s="557"/>
      <c r="F205" s="554"/>
      <c r="G205" s="557"/>
      <c r="H205" s="554"/>
      <c r="I205" s="556"/>
    </row>
    <row r="206" spans="1:9" ht="12">
      <c r="A206" s="553" t="s">
        <v>178</v>
      </c>
      <c r="B206" s="554"/>
      <c r="C206" s="557"/>
      <c r="D206" s="554"/>
      <c r="E206" s="557"/>
      <c r="F206" s="554"/>
      <c r="G206" s="557"/>
      <c r="H206" s="554"/>
      <c r="I206" s="556"/>
    </row>
    <row r="207" spans="1:9" ht="12">
      <c r="A207" s="553" t="s">
        <v>29</v>
      </c>
      <c r="B207" s="554"/>
      <c r="C207" s="557"/>
      <c r="D207" s="554"/>
      <c r="E207" s="557"/>
      <c r="F207" s="554"/>
      <c r="G207" s="557"/>
      <c r="H207" s="554">
        <f>B207-D207</f>
        <v>0</v>
      </c>
      <c r="I207" s="556">
        <f>E207-C207</f>
        <v>0</v>
      </c>
    </row>
    <row r="208" spans="1:9" ht="12">
      <c r="A208" s="553" t="s">
        <v>170</v>
      </c>
      <c r="B208" s="559"/>
      <c r="C208" s="556"/>
      <c r="D208" s="554"/>
      <c r="E208" s="557"/>
      <c r="F208" s="554"/>
      <c r="G208" s="557"/>
      <c r="H208" s="554">
        <f>B208-D208</f>
        <v>0</v>
      </c>
      <c r="I208" s="556">
        <f>C208-E208</f>
        <v>0</v>
      </c>
    </row>
    <row r="209" spans="1:9" ht="12.75" thickBot="1">
      <c r="A209" s="553" t="s">
        <v>44</v>
      </c>
      <c r="B209" s="554"/>
      <c r="C209" s="557"/>
      <c r="D209" s="554"/>
      <c r="E209" s="557"/>
      <c r="F209" s="554"/>
      <c r="G209" s="557"/>
      <c r="H209" s="560"/>
      <c r="I209" s="556"/>
    </row>
    <row r="210" spans="1:9" ht="12.75" thickBot="1">
      <c r="A210" s="38" t="s">
        <v>43</v>
      </c>
      <c r="B210" s="460">
        <v>276</v>
      </c>
      <c r="C210" s="383">
        <f>SUM(C194:C209)</f>
        <v>11522976.24</v>
      </c>
      <c r="D210" s="460">
        <v>172</v>
      </c>
      <c r="E210" s="383">
        <f>SUM(E194:E209)</f>
        <v>11522976.24</v>
      </c>
      <c r="F210" s="460">
        <v>172</v>
      </c>
      <c r="G210" s="383">
        <f>SUM(G194:G209)</f>
        <v>12761860.2</v>
      </c>
      <c r="H210" s="460">
        <v>3</v>
      </c>
      <c r="I210" s="383">
        <f>SUM(I194:I209)</f>
        <v>0</v>
      </c>
    </row>
    <row r="211" spans="1:9" ht="12">
      <c r="A211" s="30"/>
      <c r="B211" s="2"/>
      <c r="C211" s="512"/>
      <c r="D211" s="2"/>
      <c r="E211" s="512"/>
      <c r="F211" s="2"/>
      <c r="G211" s="512"/>
      <c r="H211" s="2"/>
      <c r="I211" s="512"/>
    </row>
    <row r="212" spans="1:9" ht="12">
      <c r="A212" s="439" t="s">
        <v>338</v>
      </c>
      <c r="B212" s="440"/>
      <c r="C212" s="440"/>
      <c r="D212" s="440"/>
      <c r="E212" s="440"/>
      <c r="F212" s="440"/>
      <c r="G212" s="440"/>
      <c r="H212" s="440"/>
      <c r="I212" s="440"/>
    </row>
    <row r="213" spans="1:9" ht="12">
      <c r="A213" s="439" t="s">
        <v>93</v>
      </c>
      <c r="B213" s="440"/>
      <c r="C213" s="440"/>
      <c r="D213" s="440"/>
      <c r="E213" s="440"/>
      <c r="F213" s="440"/>
      <c r="G213" s="440"/>
      <c r="H213" s="440"/>
      <c r="I213" s="440"/>
    </row>
    <row r="214" spans="1:9" ht="12">
      <c r="A214" s="439"/>
      <c r="B214" s="440"/>
      <c r="C214" s="440"/>
      <c r="D214" s="440"/>
      <c r="E214" s="440"/>
      <c r="F214" s="440"/>
      <c r="G214" s="440"/>
      <c r="H214" s="440"/>
      <c r="I214" s="440"/>
    </row>
    <row r="215" ht="12.75" thickBot="1">
      <c r="A215" s="15" t="s">
        <v>2550</v>
      </c>
    </row>
    <row r="216" spans="1:9" ht="12.75" thickBot="1">
      <c r="A216" s="509" t="s">
        <v>10</v>
      </c>
      <c r="B216" s="1548" t="s">
        <v>337</v>
      </c>
      <c r="C216" s="1548"/>
      <c r="D216" s="1549" t="s">
        <v>415</v>
      </c>
      <c r="E216" s="1550"/>
      <c r="F216" s="1549" t="s">
        <v>416</v>
      </c>
      <c r="G216" s="1551"/>
      <c r="H216" s="1549" t="s">
        <v>336</v>
      </c>
      <c r="I216" s="1551"/>
    </row>
    <row r="217" spans="1:9" ht="24">
      <c r="A217" s="487" t="s">
        <v>9</v>
      </c>
      <c r="B217" s="488" t="s">
        <v>145</v>
      </c>
      <c r="C217" s="489" t="s">
        <v>26</v>
      </c>
      <c r="D217" s="487" t="s">
        <v>145</v>
      </c>
      <c r="E217" s="511" t="s">
        <v>26</v>
      </c>
      <c r="F217" s="487" t="s">
        <v>145</v>
      </c>
      <c r="G217" s="511" t="s">
        <v>26</v>
      </c>
      <c r="H217" s="487" t="s">
        <v>145</v>
      </c>
      <c r="I217" s="511" t="s">
        <v>26</v>
      </c>
    </row>
    <row r="218" spans="1:9" ht="12">
      <c r="A218" s="958" t="s">
        <v>142</v>
      </c>
      <c r="B218" s="959" t="s">
        <v>2543</v>
      </c>
      <c r="C218" s="960">
        <v>25649237</v>
      </c>
      <c r="D218" s="959" t="s">
        <v>2543</v>
      </c>
      <c r="E218" s="960">
        <v>28393866</v>
      </c>
      <c r="F218" s="961" t="s">
        <v>2544</v>
      </c>
      <c r="G218" s="962">
        <v>28493050</v>
      </c>
      <c r="H218" s="961" t="s">
        <v>1138</v>
      </c>
      <c r="I218" s="962">
        <f>E218-C218</f>
        <v>2744629</v>
      </c>
    </row>
    <row r="219" spans="1:9" ht="12">
      <c r="A219" s="958" t="s">
        <v>2545</v>
      </c>
      <c r="B219" s="963">
        <v>244</v>
      </c>
      <c r="C219" s="964" t="s">
        <v>1981</v>
      </c>
      <c r="D219" s="965">
        <v>175</v>
      </c>
      <c r="E219" s="962">
        <v>4221839.64</v>
      </c>
      <c r="F219" s="965">
        <f>D219</f>
        <v>175</v>
      </c>
      <c r="G219" s="962">
        <f>E219</f>
        <v>4221839.64</v>
      </c>
      <c r="H219" s="961" t="s">
        <v>2546</v>
      </c>
      <c r="I219" s="962">
        <v>426225.75</v>
      </c>
    </row>
    <row r="220" spans="1:9" ht="12">
      <c r="A220" s="553" t="s">
        <v>173</v>
      </c>
      <c r="B220" s="966"/>
      <c r="C220" s="967"/>
      <c r="D220" s="961"/>
      <c r="E220" s="962"/>
      <c r="F220" s="961"/>
      <c r="G220" s="962"/>
      <c r="H220" s="961"/>
      <c r="I220" s="962"/>
    </row>
    <row r="221" spans="1:9" ht="12">
      <c r="A221" s="553" t="s">
        <v>171</v>
      </c>
      <c r="B221" s="966"/>
      <c r="C221" s="967"/>
      <c r="D221" s="961"/>
      <c r="E221" s="962"/>
      <c r="F221" s="961"/>
      <c r="G221" s="962"/>
      <c r="H221" s="961"/>
      <c r="I221" s="962"/>
    </row>
    <row r="222" spans="1:9" ht="12">
      <c r="A222" s="558" t="s">
        <v>180</v>
      </c>
      <c r="B222" s="966"/>
      <c r="C222" s="967"/>
      <c r="D222" s="961"/>
      <c r="E222" s="962"/>
      <c r="F222" s="961"/>
      <c r="G222" s="962"/>
      <c r="H222" s="961"/>
      <c r="I222" s="962"/>
    </row>
    <row r="223" spans="1:9" ht="12">
      <c r="A223" s="553" t="s">
        <v>174</v>
      </c>
      <c r="B223" s="966"/>
      <c r="C223" s="967"/>
      <c r="D223" s="961"/>
      <c r="E223" s="962"/>
      <c r="F223" s="961"/>
      <c r="G223" s="962"/>
      <c r="H223" s="961"/>
      <c r="I223" s="962"/>
    </row>
    <row r="224" spans="1:9" ht="12">
      <c r="A224" s="968" t="s">
        <v>172</v>
      </c>
      <c r="B224" s="959" t="s">
        <v>2543</v>
      </c>
      <c r="C224" s="967">
        <v>558000</v>
      </c>
      <c r="D224" s="961" t="s">
        <v>2543</v>
      </c>
      <c r="E224" s="962">
        <v>559099</v>
      </c>
      <c r="F224" s="961" t="s">
        <v>2544</v>
      </c>
      <c r="G224" s="962">
        <v>563000</v>
      </c>
      <c r="H224" s="961" t="s">
        <v>1138</v>
      </c>
      <c r="I224" s="962">
        <f>E224-C224</f>
        <v>1099</v>
      </c>
    </row>
    <row r="225" spans="1:9" ht="12">
      <c r="A225" s="968" t="s">
        <v>2547</v>
      </c>
      <c r="B225" s="963">
        <v>244</v>
      </c>
      <c r="C225" s="967">
        <f>600*B225</f>
        <v>146400</v>
      </c>
      <c r="D225" s="965">
        <v>175</v>
      </c>
      <c r="E225" s="962">
        <f>600*D225</f>
        <v>105000</v>
      </c>
      <c r="F225" s="965">
        <f>D225</f>
        <v>175</v>
      </c>
      <c r="G225" s="962">
        <f>E225</f>
        <v>105000</v>
      </c>
      <c r="H225" s="961" t="s">
        <v>2546</v>
      </c>
      <c r="I225" s="962">
        <v>41400</v>
      </c>
    </row>
    <row r="226" spans="1:9" ht="12">
      <c r="A226" s="553" t="s">
        <v>179</v>
      </c>
      <c r="B226" s="959"/>
      <c r="C226" s="967"/>
      <c r="D226" s="961"/>
      <c r="E226" s="962"/>
      <c r="F226" s="961"/>
      <c r="G226" s="962"/>
      <c r="H226" s="961"/>
      <c r="I226" s="962"/>
    </row>
    <row r="227" spans="1:9" ht="12">
      <c r="A227" s="553" t="s">
        <v>28</v>
      </c>
      <c r="B227" s="959"/>
      <c r="C227" s="967"/>
      <c r="D227" s="961"/>
      <c r="E227" s="962"/>
      <c r="F227" s="961"/>
      <c r="G227" s="962"/>
      <c r="H227" s="961"/>
      <c r="I227" s="962"/>
    </row>
    <row r="228" spans="1:9" ht="12">
      <c r="A228" s="553" t="s">
        <v>176</v>
      </c>
      <c r="B228" s="959"/>
      <c r="C228" s="967"/>
      <c r="D228" s="961"/>
      <c r="E228" s="962"/>
      <c r="F228" s="961"/>
      <c r="G228" s="962"/>
      <c r="H228" s="961"/>
      <c r="I228" s="962"/>
    </row>
    <row r="229" spans="1:9" ht="12">
      <c r="A229" s="958" t="s">
        <v>27</v>
      </c>
      <c r="B229" s="959" t="s">
        <v>2543</v>
      </c>
      <c r="C229" s="967">
        <v>1017323</v>
      </c>
      <c r="D229" s="961" t="s">
        <v>2543</v>
      </c>
      <c r="E229" s="962">
        <v>1178228</v>
      </c>
      <c r="F229" s="961" t="s">
        <v>2544</v>
      </c>
      <c r="G229" s="962">
        <v>1258300</v>
      </c>
      <c r="H229" s="961" t="s">
        <v>1138</v>
      </c>
      <c r="I229" s="962">
        <f>E229-C229</f>
        <v>160905</v>
      </c>
    </row>
    <row r="230" spans="1:9" ht="12">
      <c r="A230" s="553" t="s">
        <v>177</v>
      </c>
      <c r="B230" s="966"/>
      <c r="C230" s="967"/>
      <c r="D230" s="961"/>
      <c r="E230" s="962"/>
      <c r="F230" s="961"/>
      <c r="G230" s="962"/>
      <c r="H230" s="961"/>
      <c r="I230" s="962"/>
    </row>
    <row r="231" spans="1:9" ht="12">
      <c r="A231" s="553" t="s">
        <v>175</v>
      </c>
      <c r="B231" s="966"/>
      <c r="C231" s="967"/>
      <c r="D231" s="961"/>
      <c r="E231" s="962"/>
      <c r="F231" s="961"/>
      <c r="G231" s="962"/>
      <c r="H231" s="961"/>
      <c r="I231" s="962"/>
    </row>
    <row r="232" spans="1:9" ht="12">
      <c r="A232" s="553" t="s">
        <v>178</v>
      </c>
      <c r="B232" s="966"/>
      <c r="C232" s="967"/>
      <c r="D232" s="961"/>
      <c r="E232" s="962"/>
      <c r="F232" s="961"/>
      <c r="G232" s="962"/>
      <c r="H232" s="961"/>
      <c r="I232" s="962"/>
    </row>
    <row r="233" spans="1:9" ht="12">
      <c r="A233" s="958" t="s">
        <v>29</v>
      </c>
      <c r="B233" s="959" t="s">
        <v>2548</v>
      </c>
      <c r="C233" s="967">
        <v>2203220</v>
      </c>
      <c r="D233" s="961">
        <v>84</v>
      </c>
      <c r="E233" s="962">
        <v>2479273</v>
      </c>
      <c r="F233" s="961" t="s">
        <v>2544</v>
      </c>
      <c r="G233" s="962">
        <v>2224280</v>
      </c>
      <c r="H233" s="961" t="s">
        <v>1138</v>
      </c>
      <c r="I233" s="962">
        <v>0</v>
      </c>
    </row>
    <row r="234" spans="1:9" ht="12">
      <c r="A234" s="562" t="s">
        <v>170</v>
      </c>
      <c r="B234" s="966"/>
      <c r="C234" s="967"/>
      <c r="D234" s="969"/>
      <c r="E234" s="962"/>
      <c r="F234" s="961"/>
      <c r="G234" s="962"/>
      <c r="H234" s="961"/>
      <c r="I234" s="962"/>
    </row>
    <row r="235" spans="1:9" ht="12.75" thickBot="1">
      <c r="A235" s="553" t="s">
        <v>44</v>
      </c>
      <c r="B235" s="966"/>
      <c r="C235" s="967"/>
      <c r="D235" s="969"/>
      <c r="E235" s="962"/>
      <c r="F235" s="961"/>
      <c r="G235" s="962"/>
      <c r="H235" s="970"/>
      <c r="I235" s="962"/>
    </row>
    <row r="236" spans="1:9" ht="12.75" thickBot="1">
      <c r="A236" s="38" t="s">
        <v>43</v>
      </c>
      <c r="B236" s="40"/>
      <c r="C236" s="40"/>
      <c r="D236" s="460"/>
      <c r="E236" s="461"/>
      <c r="F236" s="460"/>
      <c r="G236" s="461"/>
      <c r="H236" s="460"/>
      <c r="I236" s="461"/>
    </row>
    <row r="237" spans="1:9" ht="12">
      <c r="A237" s="439" t="s">
        <v>338</v>
      </c>
      <c r="B237" s="440"/>
      <c r="C237" s="440"/>
      <c r="D237" s="440"/>
      <c r="E237" s="440"/>
      <c r="F237" s="440"/>
      <c r="G237" s="440"/>
      <c r="H237" s="440"/>
      <c r="I237" s="440"/>
    </row>
    <row r="238" spans="1:9" ht="12">
      <c r="A238" s="439" t="s">
        <v>93</v>
      </c>
      <c r="B238" s="440"/>
      <c r="C238" s="440"/>
      <c r="D238" s="440"/>
      <c r="E238" s="440"/>
      <c r="F238" s="440"/>
      <c r="G238" s="440"/>
      <c r="H238" s="440"/>
      <c r="I238" s="440"/>
    </row>
    <row r="239" spans="1:9" ht="12.75">
      <c r="A239" s="1" t="s">
        <v>2549</v>
      </c>
      <c r="B239"/>
      <c r="C239"/>
      <c r="D239"/>
      <c r="E239"/>
      <c r="F239"/>
      <c r="G239"/>
      <c r="H239"/>
      <c r="I239"/>
    </row>
    <row r="241" ht="12.75" thickBot="1">
      <c r="A241" s="440" t="s">
        <v>2599</v>
      </c>
    </row>
    <row r="242" spans="1:9" ht="12.75" thickBot="1">
      <c r="A242" s="509" t="s">
        <v>10</v>
      </c>
      <c r="B242" s="1548" t="s">
        <v>337</v>
      </c>
      <c r="C242" s="1548"/>
      <c r="D242" s="1549" t="s">
        <v>415</v>
      </c>
      <c r="E242" s="1550"/>
      <c r="F242" s="1549" t="s">
        <v>416</v>
      </c>
      <c r="G242" s="1551"/>
      <c r="H242" s="1549" t="s">
        <v>336</v>
      </c>
      <c r="I242" s="1551"/>
    </row>
    <row r="243" spans="1:9" ht="24.75" thickBot="1">
      <c r="A243" s="487" t="s">
        <v>9</v>
      </c>
      <c r="B243" s="488" t="s">
        <v>145</v>
      </c>
      <c r="C243" s="488" t="s">
        <v>26</v>
      </c>
      <c r="D243" s="487" t="s">
        <v>145</v>
      </c>
      <c r="E243" s="1092" t="s">
        <v>26</v>
      </c>
      <c r="F243" s="487" t="s">
        <v>145</v>
      </c>
      <c r="G243" s="1092" t="s">
        <v>26</v>
      </c>
      <c r="H243" s="487" t="s">
        <v>145</v>
      </c>
      <c r="I243" s="1092" t="s">
        <v>26</v>
      </c>
    </row>
    <row r="244" spans="1:9" ht="12.75" thickBot="1">
      <c r="A244" s="477" t="s">
        <v>142</v>
      </c>
      <c r="B244" s="1093">
        <v>527</v>
      </c>
      <c r="C244" s="1094">
        <v>20111166</v>
      </c>
      <c r="D244" s="1093">
        <v>532</v>
      </c>
      <c r="E244" s="1095">
        <v>19985600</v>
      </c>
      <c r="F244" s="1093">
        <v>532</v>
      </c>
      <c r="G244" s="1095">
        <v>19629319</v>
      </c>
      <c r="H244" s="1093">
        <f>+B244-D244</f>
        <v>-5</v>
      </c>
      <c r="I244" s="1095">
        <f>+C244-E244</f>
        <v>125566</v>
      </c>
    </row>
    <row r="245" spans="1:9" ht="12">
      <c r="A245" s="477" t="s">
        <v>173</v>
      </c>
      <c r="B245" s="468">
        <v>480</v>
      </c>
      <c r="C245" s="1096">
        <v>3154174</v>
      </c>
      <c r="D245" s="468">
        <v>480</v>
      </c>
      <c r="E245" s="1097">
        <v>3997454</v>
      </c>
      <c r="F245" s="468">
        <v>488</v>
      </c>
      <c r="G245" s="1097">
        <v>4077935</v>
      </c>
      <c r="H245" s="468">
        <f>+B245-D245</f>
        <v>0</v>
      </c>
      <c r="I245" s="1095">
        <f>+C245-E245</f>
        <v>-843280</v>
      </c>
    </row>
    <row r="246" spans="1:9" ht="12">
      <c r="A246" s="477" t="s">
        <v>171</v>
      </c>
      <c r="B246" s="468"/>
      <c r="C246" s="1096"/>
      <c r="D246" s="468"/>
      <c r="E246" s="1097"/>
      <c r="F246" s="468"/>
      <c r="G246" s="1097"/>
      <c r="H246" s="468"/>
      <c r="I246" s="469"/>
    </row>
    <row r="247" spans="1:9" ht="12">
      <c r="A247" s="464" t="s">
        <v>180</v>
      </c>
      <c r="B247" s="468"/>
      <c r="C247" s="1096"/>
      <c r="D247" s="468"/>
      <c r="E247" s="1097"/>
      <c r="F247" s="468"/>
      <c r="G247" s="1097"/>
      <c r="H247" s="468"/>
      <c r="I247" s="469"/>
    </row>
    <row r="248" spans="1:9" ht="12.75" thickBot="1">
      <c r="A248" s="477" t="s">
        <v>174</v>
      </c>
      <c r="B248" s="468"/>
      <c r="C248" s="1096"/>
      <c r="D248" s="468"/>
      <c r="E248" s="1097"/>
      <c r="F248" s="468"/>
      <c r="G248" s="1097"/>
      <c r="H248" s="468"/>
      <c r="I248" s="469"/>
    </row>
    <row r="249" spans="1:9" ht="12">
      <c r="A249" s="464" t="s">
        <v>172</v>
      </c>
      <c r="B249" s="468">
        <v>527</v>
      </c>
      <c r="C249" s="1096">
        <v>323370</v>
      </c>
      <c r="D249" s="468">
        <v>532</v>
      </c>
      <c r="E249" s="1097">
        <v>548600</v>
      </c>
      <c r="F249" s="468">
        <v>532</v>
      </c>
      <c r="G249" s="1097">
        <v>614000</v>
      </c>
      <c r="H249" s="468">
        <f>+B249-D249</f>
        <v>-5</v>
      </c>
      <c r="I249" s="1095">
        <f>+C249-E249</f>
        <v>-225230</v>
      </c>
    </row>
    <row r="250" spans="1:9" ht="12">
      <c r="A250" s="477" t="s">
        <v>179</v>
      </c>
      <c r="B250" s="468"/>
      <c r="C250" s="1096"/>
      <c r="D250" s="468"/>
      <c r="E250" s="1097"/>
      <c r="F250" s="468"/>
      <c r="G250" s="1097"/>
      <c r="H250" s="468"/>
      <c r="I250" s="469"/>
    </row>
    <row r="251" spans="1:9" ht="12">
      <c r="A251" s="477" t="s">
        <v>28</v>
      </c>
      <c r="B251" s="468"/>
      <c r="C251" s="1096"/>
      <c r="D251" s="468"/>
      <c r="E251" s="1097"/>
      <c r="F251" s="468"/>
      <c r="G251" s="1097"/>
      <c r="H251" s="468"/>
      <c r="I251" s="469"/>
    </row>
    <row r="252" spans="1:9" ht="12.75" thickBot="1">
      <c r="A252" s="477" t="s">
        <v>176</v>
      </c>
      <c r="B252" s="468"/>
      <c r="C252" s="1096"/>
      <c r="D252" s="468"/>
      <c r="E252" s="1097"/>
      <c r="F252" s="468"/>
      <c r="G252" s="1097"/>
      <c r="H252" s="468"/>
      <c r="I252" s="469"/>
    </row>
    <row r="253" spans="1:9" ht="12">
      <c r="A253" s="477" t="s">
        <v>27</v>
      </c>
      <c r="B253" s="468">
        <v>527</v>
      </c>
      <c r="C253" s="1096">
        <v>1395703</v>
      </c>
      <c r="D253" s="468">
        <v>532</v>
      </c>
      <c r="E253" s="1097">
        <v>1286547</v>
      </c>
      <c r="F253" s="468">
        <v>532</v>
      </c>
      <c r="G253" s="1097">
        <v>1300298</v>
      </c>
      <c r="H253" s="468">
        <f>+B253-D253</f>
        <v>-5</v>
      </c>
      <c r="I253" s="1095">
        <f>+C253-E253</f>
        <v>109156</v>
      </c>
    </row>
    <row r="254" spans="1:9" ht="12">
      <c r="A254" s="477" t="s">
        <v>177</v>
      </c>
      <c r="C254" s="1096"/>
      <c r="E254" s="1097"/>
      <c r="G254" s="1097"/>
      <c r="H254" s="468"/>
      <c r="I254" s="469"/>
    </row>
    <row r="255" spans="1:9" ht="12">
      <c r="A255" s="477" t="s">
        <v>175</v>
      </c>
      <c r="B255" s="468"/>
      <c r="C255" s="1096"/>
      <c r="D255" s="468"/>
      <c r="E255" s="1097"/>
      <c r="F255" s="468"/>
      <c r="G255" s="1097"/>
      <c r="H255" s="468"/>
      <c r="I255" s="469"/>
    </row>
    <row r="256" spans="1:9" ht="12.75" thickBot="1">
      <c r="A256" s="477" t="s">
        <v>178</v>
      </c>
      <c r="B256" s="468"/>
      <c r="C256" s="1096"/>
      <c r="D256" s="468"/>
      <c r="E256" s="1097"/>
      <c r="F256" s="468"/>
      <c r="G256" s="1097"/>
      <c r="H256" s="468"/>
      <c r="I256" s="469"/>
    </row>
    <row r="257" spans="1:9" ht="12.75" thickBot="1">
      <c r="A257" s="477" t="s">
        <v>29</v>
      </c>
      <c r="B257" s="468">
        <v>45</v>
      </c>
      <c r="C257" s="1096">
        <v>689789</v>
      </c>
      <c r="D257" s="468">
        <v>50</v>
      </c>
      <c r="E257" s="1097">
        <v>841884</v>
      </c>
      <c r="F257" s="468">
        <v>50</v>
      </c>
      <c r="G257" s="1097">
        <v>863544</v>
      </c>
      <c r="H257" s="468">
        <f>+B257-D257</f>
        <v>-5</v>
      </c>
      <c r="I257" s="1095">
        <f>+C257-E257</f>
        <v>-152095</v>
      </c>
    </row>
    <row r="258" spans="1:9" ht="12">
      <c r="A258" s="477" t="s">
        <v>170</v>
      </c>
      <c r="B258" s="468">
        <v>65</v>
      </c>
      <c r="C258" s="1096">
        <v>40000</v>
      </c>
      <c r="D258" s="468">
        <v>65</v>
      </c>
      <c r="E258" s="1097">
        <v>40000</v>
      </c>
      <c r="F258" s="468">
        <v>65</v>
      </c>
      <c r="G258" s="1097">
        <v>40000</v>
      </c>
      <c r="H258" s="468">
        <f>+B258-D258</f>
        <v>0</v>
      </c>
      <c r="I258" s="1095">
        <f>+C258-E258</f>
        <v>0</v>
      </c>
    </row>
    <row r="259" spans="1:9" ht="12.75" thickBot="1">
      <c r="A259" s="477" t="s">
        <v>44</v>
      </c>
      <c r="B259" s="1098"/>
      <c r="C259" s="1099"/>
      <c r="D259" s="1098"/>
      <c r="E259" s="1100"/>
      <c r="F259" s="1098"/>
      <c r="G259" s="1100"/>
      <c r="H259" s="1098"/>
      <c r="I259" s="1101"/>
    </row>
    <row r="260" spans="1:9" ht="12.75" thickBot="1">
      <c r="A260" s="38" t="s">
        <v>43</v>
      </c>
      <c r="B260" s="40"/>
      <c r="C260" s="383">
        <f>SUM(C244:C259)</f>
        <v>25714202</v>
      </c>
      <c r="D260" s="460"/>
      <c r="E260" s="1102">
        <f>SUM(E244:E259)</f>
        <v>26700085</v>
      </c>
      <c r="F260" s="460"/>
      <c r="G260" s="1102">
        <f>SUM(G244:G259)</f>
        <v>26525096</v>
      </c>
      <c r="H260" s="460"/>
      <c r="I260" s="461"/>
    </row>
    <row r="261" spans="1:9" ht="12">
      <c r="A261" s="1" t="s">
        <v>338</v>
      </c>
      <c r="B261" s="2"/>
      <c r="C261" s="2"/>
      <c r="D261" s="2"/>
      <c r="E261" s="2"/>
      <c r="F261" s="2"/>
      <c r="G261" s="512"/>
      <c r="H261" s="2"/>
      <c r="I261" s="2"/>
    </row>
    <row r="262" spans="1:9" ht="12">
      <c r="A262" s="1" t="s">
        <v>93</v>
      </c>
      <c r="B262" s="2"/>
      <c r="C262" s="2"/>
      <c r="D262" s="2"/>
      <c r="E262" s="2"/>
      <c r="F262" s="2"/>
      <c r="G262" s="512"/>
      <c r="H262" s="2"/>
      <c r="I262" s="2"/>
    </row>
  </sheetData>
  <sheetProtection/>
  <mergeCells count="44">
    <mergeCell ref="F75:G75"/>
    <mergeCell ref="H75:I75"/>
    <mergeCell ref="B98:C98"/>
    <mergeCell ref="D98:E98"/>
    <mergeCell ref="F98:G98"/>
    <mergeCell ref="H98:I98"/>
    <mergeCell ref="B242:C242"/>
    <mergeCell ref="D242:E242"/>
    <mergeCell ref="F242:G242"/>
    <mergeCell ref="H242:I242"/>
    <mergeCell ref="B51:C51"/>
    <mergeCell ref="D51:E51"/>
    <mergeCell ref="F51:G51"/>
    <mergeCell ref="H51:I51"/>
    <mergeCell ref="B75:C75"/>
    <mergeCell ref="D75:E75"/>
    <mergeCell ref="B6:C6"/>
    <mergeCell ref="F6:G6"/>
    <mergeCell ref="H6:I6"/>
    <mergeCell ref="D6:E6"/>
    <mergeCell ref="B30:C30"/>
    <mergeCell ref="D30:E30"/>
    <mergeCell ref="F30:G30"/>
    <mergeCell ref="H30:I30"/>
    <mergeCell ref="F192:G192"/>
    <mergeCell ref="H192:I192"/>
    <mergeCell ref="B121:C121"/>
    <mergeCell ref="D121:E121"/>
    <mergeCell ref="F121:G121"/>
    <mergeCell ref="H121:I121"/>
    <mergeCell ref="B146:C146"/>
    <mergeCell ref="D146:E146"/>
    <mergeCell ref="F146:G146"/>
    <mergeCell ref="H146:I146"/>
    <mergeCell ref="B216:C216"/>
    <mergeCell ref="D216:E216"/>
    <mergeCell ref="F216:G216"/>
    <mergeCell ref="H216:I216"/>
    <mergeCell ref="B169:C169"/>
    <mergeCell ref="D169:E169"/>
    <mergeCell ref="F169:G169"/>
    <mergeCell ref="H169:I169"/>
    <mergeCell ref="B192:C192"/>
    <mergeCell ref="D192:E192"/>
  </mergeCells>
  <printOptions horizontalCentered="1"/>
  <pageMargins left="0.25" right="0.25" top="0.75" bottom="0.75" header="0.3" footer="0.3"/>
  <pageSetup fitToHeight="1" fitToWidth="1" horizontalDpi="600" verticalDpi="600" orientation="landscape" paperSize="9" scale="14"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A1:AJ631"/>
  <sheetViews>
    <sheetView zoomScaleSheetLayoutView="80" zoomScalePageLayoutView="85" workbookViewId="0" topLeftCell="A1">
      <selection activeCell="D16" sqref="D16"/>
    </sheetView>
  </sheetViews>
  <sheetFormatPr defaultColWidth="11.421875" defaultRowHeight="12.75"/>
  <cols>
    <col min="1" max="1" width="43.7109375" style="3" customWidth="1"/>
    <col min="2" max="2" width="8.7109375" style="580" customWidth="1"/>
    <col min="3" max="3" width="11.28125" style="3" bestFit="1" customWidth="1"/>
    <col min="4" max="4" width="10.28125" style="3" bestFit="1" customWidth="1"/>
    <col min="5" max="10" width="8.7109375" style="3" customWidth="1"/>
    <col min="11" max="12" width="11.28125" style="3" bestFit="1" customWidth="1"/>
    <col min="13" max="13" width="8.7109375" style="3" customWidth="1"/>
    <col min="14" max="14" width="10.00390625" style="3" bestFit="1" customWidth="1"/>
    <col min="15" max="16" width="11.57421875" style="3" bestFit="1" customWidth="1"/>
    <col min="17" max="17" width="8.7109375" style="3" customWidth="1"/>
    <col min="18" max="18" width="10.00390625" style="3" bestFit="1" customWidth="1"/>
    <col min="19" max="19" width="10.28125" style="3" bestFit="1" customWidth="1"/>
    <col min="20" max="29" width="8.7109375" style="3" customWidth="1"/>
    <col min="30" max="30" width="11.57421875" style="3" bestFit="1" customWidth="1"/>
    <col min="31" max="32" width="11.8515625" style="3" bestFit="1" customWidth="1"/>
    <col min="33" max="33" width="9.28125" style="3" bestFit="1" customWidth="1"/>
    <col min="34" max="34" width="8.7109375" style="3" customWidth="1"/>
    <col min="35" max="35" width="11.8515625" style="3" bestFit="1" customWidth="1"/>
    <col min="36" max="16384" width="11.421875" style="3" customWidth="1"/>
  </cols>
  <sheetData>
    <row r="1" spans="1:2" s="85" customFormat="1" ht="12">
      <c r="A1" s="82" t="s">
        <v>433</v>
      </c>
      <c r="B1" s="574"/>
    </row>
    <row r="2" spans="1:30" s="85" customFormat="1" ht="12">
      <c r="A2" s="83" t="s">
        <v>454</v>
      </c>
      <c r="B2" s="575"/>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row>
    <row r="3" spans="1:20" s="82" customFormat="1" ht="12.75" thickBot="1">
      <c r="A3" s="82" t="s">
        <v>529</v>
      </c>
      <c r="B3" s="576"/>
      <c r="T3" s="84"/>
    </row>
    <row r="4" spans="1:35" ht="30.75" customHeight="1" thickBot="1">
      <c r="A4" s="1543" t="s">
        <v>47</v>
      </c>
      <c r="B4" s="1554" t="s">
        <v>339</v>
      </c>
      <c r="C4" s="1554"/>
      <c r="D4" s="1554"/>
      <c r="E4" s="1554"/>
      <c r="F4" s="1554"/>
      <c r="G4" s="1554"/>
      <c r="H4" s="1554"/>
      <c r="I4" s="1554"/>
      <c r="J4" s="1554"/>
      <c r="K4" s="1554"/>
      <c r="L4" s="1554"/>
      <c r="M4" s="1554"/>
      <c r="N4" s="1554"/>
      <c r="O4" s="1554"/>
      <c r="P4" s="1554"/>
      <c r="Q4" s="1555" t="s">
        <v>434</v>
      </c>
      <c r="R4" s="1554"/>
      <c r="S4" s="1554"/>
      <c r="T4" s="1554"/>
      <c r="U4" s="1554"/>
      <c r="V4" s="1554"/>
      <c r="W4" s="1554"/>
      <c r="X4" s="1554"/>
      <c r="Y4" s="1554"/>
      <c r="Z4" s="1554"/>
      <c r="AA4" s="1554"/>
      <c r="AB4" s="1554"/>
      <c r="AC4" s="1554"/>
      <c r="AD4" s="1554"/>
      <c r="AE4" s="1556"/>
      <c r="AF4" s="1557" t="s">
        <v>436</v>
      </c>
      <c r="AG4" s="1558"/>
      <c r="AH4" s="1557" t="s">
        <v>435</v>
      </c>
      <c r="AI4" s="1558"/>
    </row>
    <row r="5" spans="1:35" ht="172.5" customHeight="1">
      <c r="A5" s="1552"/>
      <c r="B5" s="171" t="s">
        <v>11</v>
      </c>
      <c r="C5" s="172" t="s">
        <v>146</v>
      </c>
      <c r="D5" s="173" t="s">
        <v>270</v>
      </c>
      <c r="E5" s="173" t="s">
        <v>148</v>
      </c>
      <c r="F5" s="173" t="s">
        <v>182</v>
      </c>
      <c r="G5" s="173" t="s">
        <v>183</v>
      </c>
      <c r="H5" s="173" t="s">
        <v>184</v>
      </c>
      <c r="I5" s="173" t="s">
        <v>185</v>
      </c>
      <c r="J5" s="173" t="s">
        <v>149</v>
      </c>
      <c r="K5" s="173" t="s">
        <v>150</v>
      </c>
      <c r="L5" s="173" t="s">
        <v>151</v>
      </c>
      <c r="M5" s="173" t="s">
        <v>181</v>
      </c>
      <c r="N5" s="174" t="s">
        <v>119</v>
      </c>
      <c r="O5" s="175" t="s">
        <v>156</v>
      </c>
      <c r="P5" s="176" t="s">
        <v>155</v>
      </c>
      <c r="Q5" s="171" t="s">
        <v>11</v>
      </c>
      <c r="R5" s="172" t="s">
        <v>146</v>
      </c>
      <c r="S5" s="173" t="s">
        <v>147</v>
      </c>
      <c r="T5" s="173" t="s">
        <v>148</v>
      </c>
      <c r="U5" s="173" t="s">
        <v>182</v>
      </c>
      <c r="V5" s="173" t="s">
        <v>183</v>
      </c>
      <c r="W5" s="173" t="s">
        <v>184</v>
      </c>
      <c r="X5" s="173" t="s">
        <v>185</v>
      </c>
      <c r="Y5" s="173" t="s">
        <v>149</v>
      </c>
      <c r="Z5" s="173" t="s">
        <v>150</v>
      </c>
      <c r="AA5" s="173" t="s">
        <v>151</v>
      </c>
      <c r="AB5" s="173" t="s">
        <v>181</v>
      </c>
      <c r="AC5" s="174" t="s">
        <v>119</v>
      </c>
      <c r="AD5" s="175" t="s">
        <v>156</v>
      </c>
      <c r="AE5" s="176" t="s">
        <v>340</v>
      </c>
      <c r="AF5" s="177" t="s">
        <v>160</v>
      </c>
      <c r="AG5" s="177" t="s">
        <v>159</v>
      </c>
      <c r="AH5" s="177" t="s">
        <v>11</v>
      </c>
      <c r="AI5" s="176" t="s">
        <v>341</v>
      </c>
    </row>
    <row r="6" spans="1:35" ht="15.75" customHeight="1" thickBot="1">
      <c r="A6" s="1567"/>
      <c r="B6" s="401" t="s">
        <v>48</v>
      </c>
      <c r="C6" s="179" t="s">
        <v>49</v>
      </c>
      <c r="D6" s="180" t="s">
        <v>50</v>
      </c>
      <c r="E6" s="180" t="s">
        <v>51</v>
      </c>
      <c r="F6" s="181" t="s">
        <v>52</v>
      </c>
      <c r="G6" s="181" t="s">
        <v>53</v>
      </c>
      <c r="H6" s="181" t="s">
        <v>79</v>
      </c>
      <c r="I6" s="181" t="s">
        <v>118</v>
      </c>
      <c r="J6" s="181" t="s">
        <v>154</v>
      </c>
      <c r="K6" s="181" t="s">
        <v>158</v>
      </c>
      <c r="L6" s="181" t="s">
        <v>190</v>
      </c>
      <c r="M6" s="181" t="s">
        <v>191</v>
      </c>
      <c r="N6" s="182" t="s">
        <v>193</v>
      </c>
      <c r="O6" s="183" t="s">
        <v>194</v>
      </c>
      <c r="P6" s="184" t="s">
        <v>195</v>
      </c>
      <c r="Q6" s="178" t="s">
        <v>48</v>
      </c>
      <c r="R6" s="179" t="s">
        <v>49</v>
      </c>
      <c r="S6" s="180" t="s">
        <v>50</v>
      </c>
      <c r="T6" s="180" t="s">
        <v>51</v>
      </c>
      <c r="U6" s="181" t="s">
        <v>52</v>
      </c>
      <c r="V6" s="181" t="s">
        <v>53</v>
      </c>
      <c r="W6" s="181" t="s">
        <v>79</v>
      </c>
      <c r="X6" s="181" t="s">
        <v>118</v>
      </c>
      <c r="Y6" s="181" t="s">
        <v>154</v>
      </c>
      <c r="Z6" s="181" t="s">
        <v>158</v>
      </c>
      <c r="AA6" s="181" t="s">
        <v>190</v>
      </c>
      <c r="AB6" s="181" t="s">
        <v>191</v>
      </c>
      <c r="AC6" s="182" t="s">
        <v>193</v>
      </c>
      <c r="AD6" s="183" t="s">
        <v>194</v>
      </c>
      <c r="AE6" s="184" t="s">
        <v>195</v>
      </c>
      <c r="AF6" s="185"/>
      <c r="AG6" s="178"/>
      <c r="AH6" s="185"/>
      <c r="AI6" s="178"/>
    </row>
    <row r="7" spans="1:35" ht="12">
      <c r="A7" s="41"/>
      <c r="B7" s="577"/>
      <c r="C7" s="12"/>
      <c r="D7" s="12"/>
      <c r="E7" s="12"/>
      <c r="F7" s="12"/>
      <c r="G7" s="12"/>
      <c r="H7" s="12"/>
      <c r="I7" s="12"/>
      <c r="J7" s="12"/>
      <c r="K7" s="12"/>
      <c r="L7" s="12"/>
      <c r="M7" s="12"/>
      <c r="N7" s="9"/>
      <c r="O7" s="44"/>
      <c r="P7" s="17"/>
      <c r="Q7" s="16"/>
      <c r="R7" s="12"/>
      <c r="S7" s="12"/>
      <c r="T7" s="12"/>
      <c r="U7" s="12"/>
      <c r="V7" s="12"/>
      <c r="W7" s="12"/>
      <c r="X7" s="12"/>
      <c r="Y7" s="12"/>
      <c r="Z7" s="12"/>
      <c r="AA7" s="12"/>
      <c r="AB7" s="12"/>
      <c r="AC7" s="9"/>
      <c r="AD7" s="44"/>
      <c r="AE7" s="17"/>
      <c r="AF7" s="17"/>
      <c r="AG7" s="16"/>
      <c r="AH7" s="17"/>
      <c r="AI7" s="16"/>
    </row>
    <row r="8" spans="1:35" ht="12">
      <c r="A8" s="16" t="s">
        <v>54</v>
      </c>
      <c r="B8" s="577"/>
      <c r="C8" s="12"/>
      <c r="D8" s="12"/>
      <c r="E8" s="12"/>
      <c r="F8" s="12"/>
      <c r="G8" s="12"/>
      <c r="H8" s="12"/>
      <c r="I8" s="12"/>
      <c r="J8" s="12"/>
      <c r="K8" s="12"/>
      <c r="L8" s="12"/>
      <c r="M8" s="12"/>
      <c r="N8" s="9"/>
      <c r="O8" s="44"/>
      <c r="P8" s="17"/>
      <c r="Q8" s="16"/>
      <c r="R8" s="12"/>
      <c r="S8" s="12"/>
      <c r="T8" s="12"/>
      <c r="U8" s="12"/>
      <c r="V8" s="12"/>
      <c r="W8" s="12"/>
      <c r="X8" s="12"/>
      <c r="Y8" s="12"/>
      <c r="Z8" s="12"/>
      <c r="AA8" s="12"/>
      <c r="AB8" s="12"/>
      <c r="AC8" s="9"/>
      <c r="AD8" s="44"/>
      <c r="AE8" s="17"/>
      <c r="AF8" s="17"/>
      <c r="AG8" s="16"/>
      <c r="AH8" s="17"/>
      <c r="AI8" s="16"/>
    </row>
    <row r="9" spans="1:35" ht="12">
      <c r="A9" s="573" t="s">
        <v>565</v>
      </c>
      <c r="B9" s="577">
        <v>1</v>
      </c>
      <c r="C9" s="12">
        <v>1289.04</v>
      </c>
      <c r="D9" s="12">
        <v>0</v>
      </c>
      <c r="E9" s="12"/>
      <c r="F9" s="12">
        <v>13010.96</v>
      </c>
      <c r="G9" s="12"/>
      <c r="H9" s="12"/>
      <c r="I9" s="12"/>
      <c r="J9" s="12"/>
      <c r="K9" s="12">
        <v>14300</v>
      </c>
      <c r="L9" s="12">
        <v>1000</v>
      </c>
      <c r="M9" s="12"/>
      <c r="N9" s="9">
        <v>1000</v>
      </c>
      <c r="O9" s="44">
        <v>172600</v>
      </c>
      <c r="P9" s="17">
        <v>1289.04</v>
      </c>
      <c r="Q9" s="16">
        <v>1</v>
      </c>
      <c r="R9" s="12">
        <v>1289.04</v>
      </c>
      <c r="S9" s="12">
        <v>0</v>
      </c>
      <c r="T9" s="12"/>
      <c r="U9" s="12">
        <v>13010.96</v>
      </c>
      <c r="V9" s="12"/>
      <c r="W9" s="12"/>
      <c r="X9" s="12"/>
      <c r="Y9" s="12"/>
      <c r="Z9" s="12">
        <v>14300</v>
      </c>
      <c r="AA9" s="12">
        <v>1000</v>
      </c>
      <c r="AB9" s="12"/>
      <c r="AC9" s="9">
        <v>1000</v>
      </c>
      <c r="AD9" s="44">
        <v>172600</v>
      </c>
      <c r="AE9" s="17">
        <v>1289.04</v>
      </c>
      <c r="AF9" s="17"/>
      <c r="AG9" s="16"/>
      <c r="AH9" s="17"/>
      <c r="AI9" s="16"/>
    </row>
    <row r="10" spans="1:35" ht="12">
      <c r="A10" s="573" t="s">
        <v>564</v>
      </c>
      <c r="B10" s="577">
        <v>1</v>
      </c>
      <c r="C10" s="54">
        <v>1229.38</v>
      </c>
      <c r="D10" s="54"/>
      <c r="E10" s="54"/>
      <c r="F10" s="54">
        <v>7090.62</v>
      </c>
      <c r="G10" s="54"/>
      <c r="H10" s="54"/>
      <c r="I10" s="54"/>
      <c r="J10" s="54"/>
      <c r="K10" s="12">
        <v>8320</v>
      </c>
      <c r="L10" s="12">
        <v>1000</v>
      </c>
      <c r="M10" s="12"/>
      <c r="N10" s="9">
        <v>1000</v>
      </c>
      <c r="O10" s="44">
        <v>100840</v>
      </c>
      <c r="P10" s="17">
        <v>1229.38</v>
      </c>
      <c r="Q10" s="16">
        <v>1</v>
      </c>
      <c r="R10" s="12">
        <v>1229.38</v>
      </c>
      <c r="S10" s="12"/>
      <c r="T10" s="12"/>
      <c r="U10" s="12">
        <v>7090.62</v>
      </c>
      <c r="V10" s="12"/>
      <c r="W10" s="12"/>
      <c r="X10" s="12"/>
      <c r="Y10" s="12"/>
      <c r="Z10" s="12">
        <v>8320</v>
      </c>
      <c r="AA10" s="12">
        <v>1000</v>
      </c>
      <c r="AB10" s="12"/>
      <c r="AC10" s="9">
        <v>1000</v>
      </c>
      <c r="AD10" s="44">
        <v>100840</v>
      </c>
      <c r="AE10" s="17">
        <v>1229.38</v>
      </c>
      <c r="AF10" s="17"/>
      <c r="AG10" s="16"/>
      <c r="AH10" s="17"/>
      <c r="AI10" s="16"/>
    </row>
    <row r="11" spans="1:35" ht="12">
      <c r="A11" s="573" t="s">
        <v>564</v>
      </c>
      <c r="B11" s="577">
        <v>1</v>
      </c>
      <c r="C11" s="12">
        <v>1239.44</v>
      </c>
      <c r="D11" s="12"/>
      <c r="E11" s="12"/>
      <c r="F11" s="12"/>
      <c r="G11" s="12"/>
      <c r="H11" s="12"/>
      <c r="I11" s="12"/>
      <c r="J11" s="12"/>
      <c r="K11" s="12">
        <v>1239.44</v>
      </c>
      <c r="L11" s="12">
        <v>1000</v>
      </c>
      <c r="M11" s="12"/>
      <c r="N11" s="9">
        <v>1000</v>
      </c>
      <c r="O11" s="44">
        <v>15873.28</v>
      </c>
      <c r="P11" s="17">
        <v>1239.44</v>
      </c>
      <c r="Q11" s="16">
        <v>1</v>
      </c>
      <c r="R11" s="12">
        <v>1239.44</v>
      </c>
      <c r="S11" s="12"/>
      <c r="T11" s="12"/>
      <c r="U11" s="12"/>
      <c r="V11" s="12"/>
      <c r="W11" s="12"/>
      <c r="X11" s="12"/>
      <c r="Y11" s="12"/>
      <c r="Z11" s="12">
        <v>1239.44</v>
      </c>
      <c r="AA11" s="12">
        <v>1000</v>
      </c>
      <c r="AB11" s="12"/>
      <c r="AC11" s="9">
        <v>1000</v>
      </c>
      <c r="AD11" s="44">
        <v>15873.28</v>
      </c>
      <c r="AE11" s="17">
        <v>1239.44</v>
      </c>
      <c r="AF11" s="17"/>
      <c r="AG11" s="16"/>
      <c r="AH11" s="17"/>
      <c r="AI11" s="16"/>
    </row>
    <row r="12" spans="1:35" ht="12">
      <c r="A12" s="573" t="s">
        <v>563</v>
      </c>
      <c r="B12" s="577">
        <v>14</v>
      </c>
      <c r="C12" s="12">
        <v>16205.92</v>
      </c>
      <c r="D12" s="12">
        <v>39468</v>
      </c>
      <c r="E12" s="12"/>
      <c r="F12" s="12"/>
      <c r="G12" s="12"/>
      <c r="H12" s="12"/>
      <c r="I12" s="12"/>
      <c r="J12" s="12"/>
      <c r="K12" s="12">
        <v>55673.92</v>
      </c>
      <c r="L12" s="12">
        <v>1000</v>
      </c>
      <c r="M12" s="12"/>
      <c r="N12" s="9">
        <v>1000</v>
      </c>
      <c r="O12" s="44">
        <v>669087.04</v>
      </c>
      <c r="P12" s="17">
        <v>489821.92</v>
      </c>
      <c r="Q12" s="16">
        <v>14</v>
      </c>
      <c r="R12" s="12">
        <v>16205.92</v>
      </c>
      <c r="S12" s="12">
        <v>39468</v>
      </c>
      <c r="T12" s="12"/>
      <c r="U12" s="12"/>
      <c r="V12" s="12"/>
      <c r="W12" s="12"/>
      <c r="X12" s="12"/>
      <c r="Y12" s="12"/>
      <c r="Z12" s="12">
        <v>55673.92</v>
      </c>
      <c r="AA12" s="12">
        <v>1000</v>
      </c>
      <c r="AB12" s="12"/>
      <c r="AC12" s="9">
        <v>1000</v>
      </c>
      <c r="AD12" s="44">
        <v>669087.04</v>
      </c>
      <c r="AE12" s="17">
        <v>489821.92</v>
      </c>
      <c r="AF12" s="17"/>
      <c r="AG12" s="16"/>
      <c r="AH12" s="17"/>
      <c r="AI12" s="16"/>
    </row>
    <row r="13" spans="1:35" ht="12">
      <c r="A13" s="573" t="s">
        <v>562</v>
      </c>
      <c r="B13" s="577">
        <v>20</v>
      </c>
      <c r="C13" s="12">
        <v>21956.14</v>
      </c>
      <c r="D13" s="12">
        <v>54400</v>
      </c>
      <c r="E13" s="12"/>
      <c r="F13" s="12"/>
      <c r="G13" s="12"/>
      <c r="H13" s="12"/>
      <c r="I13" s="12"/>
      <c r="J13" s="12"/>
      <c r="K13" s="12">
        <v>76356.14</v>
      </c>
      <c r="L13" s="12">
        <v>1000</v>
      </c>
      <c r="M13" s="12"/>
      <c r="N13" s="9">
        <v>1000</v>
      </c>
      <c r="O13" s="44">
        <v>917273.6799999999</v>
      </c>
      <c r="P13" s="17">
        <v>674756.14</v>
      </c>
      <c r="Q13" s="16">
        <v>20</v>
      </c>
      <c r="R13" s="12">
        <v>21956.14</v>
      </c>
      <c r="S13" s="12">
        <v>54400</v>
      </c>
      <c r="T13" s="12"/>
      <c r="U13" s="12"/>
      <c r="V13" s="12"/>
      <c r="W13" s="12"/>
      <c r="X13" s="12"/>
      <c r="Y13" s="12"/>
      <c r="Z13" s="12">
        <v>76356.14</v>
      </c>
      <c r="AA13" s="12">
        <v>1000</v>
      </c>
      <c r="AB13" s="12"/>
      <c r="AC13" s="9">
        <v>1000</v>
      </c>
      <c r="AD13" s="44">
        <v>917273.6799999999</v>
      </c>
      <c r="AE13" s="17">
        <v>674756.14</v>
      </c>
      <c r="AF13" s="17"/>
      <c r="AG13" s="16"/>
      <c r="AH13" s="17"/>
      <c r="AI13" s="16"/>
    </row>
    <row r="14" spans="1:35" ht="12">
      <c r="A14" s="573" t="s">
        <v>561</v>
      </c>
      <c r="B14" s="577">
        <v>1</v>
      </c>
      <c r="C14" s="12">
        <v>1230.04</v>
      </c>
      <c r="D14" s="12">
        <v>3100</v>
      </c>
      <c r="E14" s="12"/>
      <c r="F14" s="12"/>
      <c r="G14" s="12"/>
      <c r="H14" s="12"/>
      <c r="I14" s="12"/>
      <c r="J14" s="12"/>
      <c r="K14" s="12">
        <v>4330.04</v>
      </c>
      <c r="L14" s="12">
        <v>1000</v>
      </c>
      <c r="M14" s="12"/>
      <c r="N14" s="9">
        <v>1000</v>
      </c>
      <c r="O14" s="44">
        <v>52960.479999999996</v>
      </c>
      <c r="P14" s="17">
        <v>38430.04</v>
      </c>
      <c r="Q14" s="16">
        <v>1</v>
      </c>
      <c r="R14" s="12">
        <v>1230.04</v>
      </c>
      <c r="S14" s="12">
        <v>3100</v>
      </c>
      <c r="T14" s="12"/>
      <c r="U14" s="12"/>
      <c r="V14" s="12"/>
      <c r="W14" s="12"/>
      <c r="X14" s="12"/>
      <c r="Y14" s="12"/>
      <c r="Z14" s="12">
        <v>4330.04</v>
      </c>
      <c r="AA14" s="12">
        <v>1000</v>
      </c>
      <c r="AB14" s="12"/>
      <c r="AC14" s="9">
        <v>1000</v>
      </c>
      <c r="AD14" s="44">
        <v>52960.479999999996</v>
      </c>
      <c r="AE14" s="17">
        <v>38430.04</v>
      </c>
      <c r="AF14" s="17"/>
      <c r="AG14" s="16"/>
      <c r="AH14" s="17"/>
      <c r="AI14" s="16"/>
    </row>
    <row r="15" spans="1:35" ht="12">
      <c r="A15" s="573" t="s">
        <v>560</v>
      </c>
      <c r="B15" s="577">
        <v>7</v>
      </c>
      <c r="C15" s="12">
        <v>7260.68</v>
      </c>
      <c r="D15" s="12">
        <v>18000</v>
      </c>
      <c r="E15" s="12"/>
      <c r="F15" s="12"/>
      <c r="G15" s="12"/>
      <c r="H15" s="12"/>
      <c r="I15" s="12"/>
      <c r="J15" s="12"/>
      <c r="K15" s="12">
        <v>25260.68</v>
      </c>
      <c r="L15" s="12">
        <v>1000</v>
      </c>
      <c r="M15" s="12"/>
      <c r="N15" s="9">
        <v>1000</v>
      </c>
      <c r="O15" s="44">
        <v>304128.16000000003</v>
      </c>
      <c r="P15" s="17">
        <v>223260.68</v>
      </c>
      <c r="Q15" s="16">
        <v>7</v>
      </c>
      <c r="R15" s="12">
        <v>7260.68</v>
      </c>
      <c r="S15" s="12">
        <v>18000</v>
      </c>
      <c r="T15" s="12"/>
      <c r="U15" s="12"/>
      <c r="V15" s="12"/>
      <c r="W15" s="12"/>
      <c r="X15" s="12"/>
      <c r="Y15" s="12"/>
      <c r="Z15" s="12">
        <v>25260.68</v>
      </c>
      <c r="AA15" s="12">
        <v>1000</v>
      </c>
      <c r="AB15" s="12"/>
      <c r="AC15" s="9">
        <v>1000</v>
      </c>
      <c r="AD15" s="44">
        <v>304128.16000000003</v>
      </c>
      <c r="AE15" s="17">
        <v>223260.68</v>
      </c>
      <c r="AF15" s="17"/>
      <c r="AG15" s="16"/>
      <c r="AH15" s="17"/>
      <c r="AI15" s="16"/>
    </row>
    <row r="16" spans="1:35" ht="12">
      <c r="A16" s="573" t="s">
        <v>12</v>
      </c>
      <c r="B16" s="577">
        <v>17</v>
      </c>
      <c r="C16" s="12">
        <v>17117.27</v>
      </c>
      <c r="D16" s="12">
        <v>34800</v>
      </c>
      <c r="E16" s="12"/>
      <c r="F16" s="12"/>
      <c r="G16" s="12"/>
      <c r="H16" s="12"/>
      <c r="I16" s="12"/>
      <c r="J16" s="12"/>
      <c r="K16" s="12">
        <v>51917.270000000004</v>
      </c>
      <c r="L16" s="12">
        <v>1000</v>
      </c>
      <c r="M16" s="12"/>
      <c r="N16" s="9">
        <v>1000</v>
      </c>
      <c r="O16" s="44">
        <v>624007.24</v>
      </c>
      <c r="P16" s="17">
        <v>434717.27</v>
      </c>
      <c r="Q16" s="16">
        <v>17</v>
      </c>
      <c r="R16" s="12">
        <v>17117.27</v>
      </c>
      <c r="S16" s="12">
        <v>34800</v>
      </c>
      <c r="T16" s="12"/>
      <c r="U16" s="12"/>
      <c r="V16" s="12"/>
      <c r="W16" s="12"/>
      <c r="X16" s="12"/>
      <c r="Y16" s="12"/>
      <c r="Z16" s="12">
        <v>51917.270000000004</v>
      </c>
      <c r="AA16" s="12">
        <v>1000</v>
      </c>
      <c r="AB16" s="12"/>
      <c r="AC16" s="9">
        <v>1000</v>
      </c>
      <c r="AD16" s="44">
        <v>624007.24</v>
      </c>
      <c r="AE16" s="17">
        <v>434717.27</v>
      </c>
      <c r="AF16" s="17"/>
      <c r="AG16" s="16"/>
      <c r="AH16" s="17"/>
      <c r="AI16" s="16"/>
    </row>
    <row r="17" spans="1:35" ht="12">
      <c r="A17" s="573" t="s">
        <v>13</v>
      </c>
      <c r="B17" s="577">
        <v>5</v>
      </c>
      <c r="C17" s="12">
        <v>3924.68</v>
      </c>
      <c r="D17" s="12">
        <v>13500</v>
      </c>
      <c r="E17" s="12"/>
      <c r="F17" s="12"/>
      <c r="G17" s="12"/>
      <c r="H17" s="12"/>
      <c r="I17" s="12"/>
      <c r="J17" s="12"/>
      <c r="K17" s="12">
        <v>17424.68</v>
      </c>
      <c r="L17" s="12">
        <v>1000</v>
      </c>
      <c r="M17" s="12"/>
      <c r="N17" s="9">
        <v>1000</v>
      </c>
      <c r="O17" s="44">
        <v>210096.16</v>
      </c>
      <c r="P17" s="17">
        <v>165924.68</v>
      </c>
      <c r="Q17" s="16">
        <v>5</v>
      </c>
      <c r="R17" s="12">
        <v>3924.68</v>
      </c>
      <c r="S17" s="12">
        <v>13500</v>
      </c>
      <c r="T17" s="12"/>
      <c r="U17" s="12"/>
      <c r="V17" s="12"/>
      <c r="W17" s="12"/>
      <c r="X17" s="12"/>
      <c r="Y17" s="12"/>
      <c r="Z17" s="12">
        <v>17424.68</v>
      </c>
      <c r="AA17" s="12">
        <v>1000</v>
      </c>
      <c r="AB17" s="12"/>
      <c r="AC17" s="9">
        <v>1000</v>
      </c>
      <c r="AD17" s="44">
        <v>210096.16</v>
      </c>
      <c r="AE17" s="17">
        <v>165924.68</v>
      </c>
      <c r="AF17" s="17"/>
      <c r="AG17" s="16"/>
      <c r="AH17" s="17"/>
      <c r="AI17" s="16"/>
    </row>
    <row r="18" spans="1:35" ht="12">
      <c r="A18" s="573" t="s">
        <v>566</v>
      </c>
      <c r="B18" s="577">
        <v>5</v>
      </c>
      <c r="C18" s="12">
        <v>4412.18</v>
      </c>
      <c r="D18" s="12">
        <v>10800</v>
      </c>
      <c r="E18" s="12"/>
      <c r="F18" s="12"/>
      <c r="G18" s="12"/>
      <c r="H18" s="12"/>
      <c r="I18" s="12"/>
      <c r="J18" s="12"/>
      <c r="K18" s="12">
        <v>15212.18</v>
      </c>
      <c r="L18" s="12">
        <v>1000</v>
      </c>
      <c r="M18" s="12"/>
      <c r="N18" s="9">
        <v>1000</v>
      </c>
      <c r="O18" s="44">
        <v>183546.16</v>
      </c>
      <c r="P18" s="17">
        <v>134012.18</v>
      </c>
      <c r="Q18" s="16">
        <v>5</v>
      </c>
      <c r="R18" s="12">
        <v>4412.18</v>
      </c>
      <c r="S18" s="12">
        <v>10800</v>
      </c>
      <c r="T18" s="12"/>
      <c r="U18" s="12"/>
      <c r="V18" s="12"/>
      <c r="W18" s="12"/>
      <c r="X18" s="12"/>
      <c r="Y18" s="12"/>
      <c r="Z18" s="12">
        <v>15212.18</v>
      </c>
      <c r="AA18" s="12">
        <v>1000</v>
      </c>
      <c r="AB18" s="12"/>
      <c r="AC18" s="9">
        <v>1000</v>
      </c>
      <c r="AD18" s="44">
        <v>183546.16</v>
      </c>
      <c r="AE18" s="17">
        <v>134012.18</v>
      </c>
      <c r="AF18" s="17"/>
      <c r="AG18" s="16"/>
      <c r="AH18" s="17"/>
      <c r="AI18" s="16"/>
    </row>
    <row r="19" spans="1:35" ht="12">
      <c r="A19" s="573" t="s">
        <v>567</v>
      </c>
      <c r="B19" s="577">
        <v>10</v>
      </c>
      <c r="C19" s="12">
        <v>7720.54</v>
      </c>
      <c r="D19" s="12">
        <v>24300</v>
      </c>
      <c r="E19" s="12"/>
      <c r="F19" s="12"/>
      <c r="G19" s="12"/>
      <c r="H19" s="12"/>
      <c r="I19" s="12"/>
      <c r="J19" s="12"/>
      <c r="K19" s="12">
        <v>32020.54</v>
      </c>
      <c r="L19" s="12">
        <v>1000</v>
      </c>
      <c r="M19" s="12"/>
      <c r="N19" s="9">
        <v>1000</v>
      </c>
      <c r="O19" s="44">
        <v>385246.48</v>
      </c>
      <c r="P19" s="17">
        <v>299320.54</v>
      </c>
      <c r="Q19" s="16">
        <v>10</v>
      </c>
      <c r="R19" s="12">
        <v>7720.54</v>
      </c>
      <c r="S19" s="12">
        <v>24300</v>
      </c>
      <c r="T19" s="12"/>
      <c r="U19" s="12"/>
      <c r="V19" s="12"/>
      <c r="W19" s="12"/>
      <c r="X19" s="12"/>
      <c r="Y19" s="12"/>
      <c r="Z19" s="12">
        <v>32020.54</v>
      </c>
      <c r="AA19" s="12">
        <v>1000</v>
      </c>
      <c r="AB19" s="12"/>
      <c r="AC19" s="9">
        <v>1000</v>
      </c>
      <c r="AD19" s="44">
        <v>385246.48</v>
      </c>
      <c r="AE19" s="17">
        <v>299320.54</v>
      </c>
      <c r="AF19" s="17"/>
      <c r="AG19" s="16"/>
      <c r="AH19" s="17"/>
      <c r="AI19" s="16"/>
    </row>
    <row r="20" spans="1:35" ht="12">
      <c r="A20" s="573" t="s">
        <v>568</v>
      </c>
      <c r="B20" s="577">
        <v>4</v>
      </c>
      <c r="C20" s="12">
        <v>2692.3</v>
      </c>
      <c r="D20" s="12">
        <v>10800</v>
      </c>
      <c r="E20" s="12"/>
      <c r="F20" s="12"/>
      <c r="G20" s="12"/>
      <c r="H20" s="12"/>
      <c r="I20" s="12"/>
      <c r="J20" s="12"/>
      <c r="K20" s="12">
        <v>13492.3</v>
      </c>
      <c r="L20" s="12">
        <v>1000</v>
      </c>
      <c r="M20" s="12"/>
      <c r="N20" s="9">
        <v>1000</v>
      </c>
      <c r="O20" s="44">
        <v>162907.59999999998</v>
      </c>
      <c r="P20" s="17">
        <v>132292.3</v>
      </c>
      <c r="Q20" s="16">
        <v>4</v>
      </c>
      <c r="R20" s="12">
        <v>2692.3</v>
      </c>
      <c r="S20" s="12">
        <v>10800</v>
      </c>
      <c r="T20" s="12"/>
      <c r="U20" s="12"/>
      <c r="V20" s="12"/>
      <c r="W20" s="12"/>
      <c r="X20" s="12"/>
      <c r="Y20" s="12"/>
      <c r="Z20" s="12">
        <v>13492.3</v>
      </c>
      <c r="AA20" s="12">
        <v>1000</v>
      </c>
      <c r="AB20" s="12"/>
      <c r="AC20" s="9">
        <v>1000</v>
      </c>
      <c r="AD20" s="44">
        <v>162907.59999999998</v>
      </c>
      <c r="AE20" s="17">
        <v>132292.3</v>
      </c>
      <c r="AF20" s="17"/>
      <c r="AG20" s="16"/>
      <c r="AH20" s="17"/>
      <c r="AI20" s="16"/>
    </row>
    <row r="21" spans="1:35" ht="12">
      <c r="A21" s="573" t="s">
        <v>15</v>
      </c>
      <c r="B21" s="577">
        <v>24</v>
      </c>
      <c r="C21" s="12">
        <v>15955.26</v>
      </c>
      <c r="D21" s="12">
        <v>62100</v>
      </c>
      <c r="E21" s="12"/>
      <c r="F21" s="12"/>
      <c r="G21" s="12"/>
      <c r="H21" s="12"/>
      <c r="I21" s="12"/>
      <c r="J21" s="12"/>
      <c r="K21" s="12">
        <v>78055.26</v>
      </c>
      <c r="L21" s="12">
        <v>1000</v>
      </c>
      <c r="M21" s="12"/>
      <c r="N21" s="9">
        <v>1000</v>
      </c>
      <c r="O21" s="44">
        <v>937663.1199999999</v>
      </c>
      <c r="P21" s="17">
        <v>761155.26</v>
      </c>
      <c r="Q21" s="16">
        <v>24</v>
      </c>
      <c r="R21" s="12">
        <v>15955.26</v>
      </c>
      <c r="S21" s="12">
        <v>62100</v>
      </c>
      <c r="T21" s="12"/>
      <c r="U21" s="12"/>
      <c r="V21" s="12"/>
      <c r="W21" s="12"/>
      <c r="X21" s="12"/>
      <c r="Y21" s="12"/>
      <c r="Z21" s="12">
        <v>78055.26</v>
      </c>
      <c r="AA21" s="12">
        <v>1000</v>
      </c>
      <c r="AB21" s="12"/>
      <c r="AC21" s="9">
        <v>1000</v>
      </c>
      <c r="AD21" s="44">
        <v>937663.1199999999</v>
      </c>
      <c r="AE21" s="17">
        <v>761155.26</v>
      </c>
      <c r="AF21" s="17"/>
      <c r="AG21" s="16"/>
      <c r="AH21" s="17"/>
      <c r="AI21" s="16"/>
    </row>
    <row r="22" spans="1:35" ht="12">
      <c r="A22" s="573" t="s">
        <v>16</v>
      </c>
      <c r="B22" s="577">
        <v>11</v>
      </c>
      <c r="C22" s="12">
        <v>6957.83</v>
      </c>
      <c r="D22" s="12">
        <v>25000</v>
      </c>
      <c r="E22" s="12"/>
      <c r="F22" s="12"/>
      <c r="G22" s="12"/>
      <c r="H22" s="12"/>
      <c r="I22" s="12"/>
      <c r="J22" s="12"/>
      <c r="K22" s="12">
        <v>31957.83</v>
      </c>
      <c r="L22" s="12">
        <v>1000</v>
      </c>
      <c r="M22" s="12"/>
      <c r="N22" s="9">
        <v>1000</v>
      </c>
      <c r="O22" s="44">
        <v>384493.96</v>
      </c>
      <c r="P22" s="17">
        <v>306957.83</v>
      </c>
      <c r="Q22" s="16">
        <v>11</v>
      </c>
      <c r="R22" s="12">
        <v>6957.83</v>
      </c>
      <c r="S22" s="12">
        <v>25000</v>
      </c>
      <c r="T22" s="12"/>
      <c r="U22" s="12"/>
      <c r="V22" s="12"/>
      <c r="W22" s="12"/>
      <c r="X22" s="12"/>
      <c r="Y22" s="12"/>
      <c r="Z22" s="12">
        <v>31957.83</v>
      </c>
      <c r="AA22" s="12">
        <v>1000</v>
      </c>
      <c r="AB22" s="12"/>
      <c r="AC22" s="9">
        <v>1000</v>
      </c>
      <c r="AD22" s="44">
        <v>384493.96</v>
      </c>
      <c r="AE22" s="17">
        <v>306957.83</v>
      </c>
      <c r="AF22" s="17"/>
      <c r="AG22" s="16"/>
      <c r="AH22" s="17"/>
      <c r="AI22" s="16"/>
    </row>
    <row r="23" spans="1:35" ht="12">
      <c r="A23" s="573" t="s">
        <v>569</v>
      </c>
      <c r="B23" s="577">
        <v>7</v>
      </c>
      <c r="C23" s="12">
        <v>4187.34</v>
      </c>
      <c r="D23" s="12">
        <v>15000</v>
      </c>
      <c r="E23" s="12"/>
      <c r="F23" s="12"/>
      <c r="G23" s="12"/>
      <c r="H23" s="12"/>
      <c r="I23" s="12"/>
      <c r="J23" s="12"/>
      <c r="K23" s="12">
        <v>19187.34</v>
      </c>
      <c r="L23" s="12">
        <v>1000</v>
      </c>
      <c r="M23" s="12"/>
      <c r="N23" s="9">
        <v>1000</v>
      </c>
      <c r="O23" s="44">
        <v>231248.08000000002</v>
      </c>
      <c r="P23" s="17">
        <v>184187.34</v>
      </c>
      <c r="Q23" s="16">
        <v>7</v>
      </c>
      <c r="R23" s="12">
        <v>4187.34</v>
      </c>
      <c r="S23" s="12">
        <v>15000</v>
      </c>
      <c r="T23" s="12"/>
      <c r="U23" s="12"/>
      <c r="V23" s="12"/>
      <c r="W23" s="12"/>
      <c r="X23" s="12"/>
      <c r="Y23" s="12"/>
      <c r="Z23" s="12">
        <v>19187.34</v>
      </c>
      <c r="AA23" s="12">
        <v>1000</v>
      </c>
      <c r="AB23" s="12"/>
      <c r="AC23" s="9">
        <v>1000</v>
      </c>
      <c r="AD23" s="44">
        <v>231248.08000000002</v>
      </c>
      <c r="AE23" s="17">
        <v>184187.34</v>
      </c>
      <c r="AF23" s="17"/>
      <c r="AG23" s="16"/>
      <c r="AH23" s="17"/>
      <c r="AI23" s="16"/>
    </row>
    <row r="24" spans="1:35" ht="12">
      <c r="A24" s="573" t="s">
        <v>570</v>
      </c>
      <c r="B24" s="577">
        <v>6</v>
      </c>
      <c r="C24" s="12">
        <v>3512.65</v>
      </c>
      <c r="D24" s="12">
        <v>15000</v>
      </c>
      <c r="E24" s="12"/>
      <c r="F24" s="12"/>
      <c r="G24" s="12"/>
      <c r="H24" s="12"/>
      <c r="I24" s="12"/>
      <c r="J24" s="12"/>
      <c r="K24" s="12">
        <v>18512.65</v>
      </c>
      <c r="L24" s="12">
        <v>1000</v>
      </c>
      <c r="M24" s="12"/>
      <c r="N24" s="9">
        <v>1000</v>
      </c>
      <c r="O24" s="44">
        <v>223151.80000000002</v>
      </c>
      <c r="P24" s="17">
        <v>183512.65</v>
      </c>
      <c r="Q24" s="16">
        <v>6</v>
      </c>
      <c r="R24" s="12">
        <v>3512.65</v>
      </c>
      <c r="S24" s="12">
        <v>15000</v>
      </c>
      <c r="T24" s="12"/>
      <c r="U24" s="12"/>
      <c r="V24" s="12"/>
      <c r="W24" s="12"/>
      <c r="X24" s="12"/>
      <c r="Y24" s="12"/>
      <c r="Z24" s="12">
        <v>18512.65</v>
      </c>
      <c r="AA24" s="12">
        <v>1000</v>
      </c>
      <c r="AB24" s="12"/>
      <c r="AC24" s="9">
        <v>1000</v>
      </c>
      <c r="AD24" s="44">
        <v>223151.80000000002</v>
      </c>
      <c r="AE24" s="17">
        <v>183512.65</v>
      </c>
      <c r="AF24" s="17"/>
      <c r="AG24" s="16"/>
      <c r="AH24" s="17"/>
      <c r="AI24" s="16"/>
    </row>
    <row r="25" spans="1:35" ht="12">
      <c r="A25" s="573" t="s">
        <v>571</v>
      </c>
      <c r="B25" s="577">
        <v>2</v>
      </c>
      <c r="C25" s="12">
        <v>1144.44</v>
      </c>
      <c r="D25" s="12">
        <v>5000</v>
      </c>
      <c r="E25" s="12"/>
      <c r="F25" s="12"/>
      <c r="G25" s="12"/>
      <c r="H25" s="12"/>
      <c r="I25" s="12"/>
      <c r="J25" s="12"/>
      <c r="K25" s="12">
        <v>6144.4400000000005</v>
      </c>
      <c r="L25" s="12">
        <v>1000</v>
      </c>
      <c r="M25" s="12"/>
      <c r="N25" s="9">
        <v>1000</v>
      </c>
      <c r="O25" s="44">
        <v>74733.28</v>
      </c>
      <c r="P25" s="17">
        <v>61144.44</v>
      </c>
      <c r="Q25" s="16">
        <v>2</v>
      </c>
      <c r="R25" s="12">
        <v>1144.44</v>
      </c>
      <c r="S25" s="12">
        <v>5000</v>
      </c>
      <c r="T25" s="12"/>
      <c r="U25" s="12"/>
      <c r="V25" s="12"/>
      <c r="W25" s="12"/>
      <c r="X25" s="12"/>
      <c r="Y25" s="12"/>
      <c r="Z25" s="12">
        <v>6144.4400000000005</v>
      </c>
      <c r="AA25" s="12">
        <v>1000</v>
      </c>
      <c r="AB25" s="12"/>
      <c r="AC25" s="9">
        <v>1000</v>
      </c>
      <c r="AD25" s="44">
        <v>74733.28</v>
      </c>
      <c r="AE25" s="17">
        <v>61144.44</v>
      </c>
      <c r="AF25" s="17"/>
      <c r="AG25" s="16"/>
      <c r="AH25" s="17"/>
      <c r="AI25" s="16"/>
    </row>
    <row r="26" spans="1:35" ht="12">
      <c r="A26" s="573" t="s">
        <v>573</v>
      </c>
      <c r="B26" s="577">
        <v>1</v>
      </c>
      <c r="C26" s="12">
        <v>561.13</v>
      </c>
      <c r="D26" s="12">
        <v>2500</v>
      </c>
      <c r="E26" s="12"/>
      <c r="F26" s="12"/>
      <c r="G26" s="12"/>
      <c r="H26" s="12"/>
      <c r="I26" s="12"/>
      <c r="J26" s="12"/>
      <c r="K26" s="12">
        <v>3061.13</v>
      </c>
      <c r="L26" s="12">
        <v>1000</v>
      </c>
      <c r="M26" s="12"/>
      <c r="N26" s="9">
        <v>1000</v>
      </c>
      <c r="O26" s="44">
        <v>37733.56</v>
      </c>
      <c r="P26" s="17">
        <v>30561.13</v>
      </c>
      <c r="Q26" s="16">
        <v>1</v>
      </c>
      <c r="R26" s="12">
        <v>561.13</v>
      </c>
      <c r="S26" s="12">
        <v>2500</v>
      </c>
      <c r="T26" s="12"/>
      <c r="U26" s="12"/>
      <c r="V26" s="12"/>
      <c r="W26" s="12"/>
      <c r="X26" s="12"/>
      <c r="Y26" s="12"/>
      <c r="Z26" s="12">
        <v>3061.13</v>
      </c>
      <c r="AA26" s="12">
        <v>1000</v>
      </c>
      <c r="AB26" s="12"/>
      <c r="AC26" s="9">
        <v>1000</v>
      </c>
      <c r="AD26" s="44">
        <v>37733.56</v>
      </c>
      <c r="AE26" s="17">
        <v>30561.13</v>
      </c>
      <c r="AF26" s="17"/>
      <c r="AG26" s="16"/>
      <c r="AH26" s="17"/>
      <c r="AI26" s="16"/>
    </row>
    <row r="27" spans="1:35" ht="12">
      <c r="A27" s="16" t="s">
        <v>55</v>
      </c>
      <c r="B27" s="577"/>
      <c r="C27" s="12"/>
      <c r="D27" s="12"/>
      <c r="E27" s="12"/>
      <c r="F27" s="12"/>
      <c r="G27" s="12"/>
      <c r="H27" s="12"/>
      <c r="I27" s="12"/>
      <c r="J27" s="12"/>
      <c r="K27" s="12"/>
      <c r="L27" s="12"/>
      <c r="M27" s="12"/>
      <c r="N27" s="9"/>
      <c r="O27" s="44"/>
      <c r="P27" s="17"/>
      <c r="Q27" s="16"/>
      <c r="R27" s="12"/>
      <c r="S27" s="12"/>
      <c r="T27" s="12"/>
      <c r="U27" s="12"/>
      <c r="V27" s="12"/>
      <c r="W27" s="12"/>
      <c r="X27" s="12"/>
      <c r="Y27" s="12"/>
      <c r="Z27" s="12"/>
      <c r="AA27" s="12"/>
      <c r="AB27" s="12"/>
      <c r="AC27" s="9"/>
      <c r="AD27" s="44"/>
      <c r="AE27" s="17"/>
      <c r="AF27" s="17"/>
      <c r="AG27" s="16"/>
      <c r="AH27" s="17"/>
      <c r="AI27" s="16"/>
    </row>
    <row r="28" spans="1:35" ht="12">
      <c r="A28" s="16" t="s">
        <v>55</v>
      </c>
      <c r="B28" s="577"/>
      <c r="C28" s="12"/>
      <c r="D28" s="12"/>
      <c r="E28" s="12"/>
      <c r="F28" s="12"/>
      <c r="G28" s="12"/>
      <c r="H28" s="12"/>
      <c r="I28" s="12"/>
      <c r="J28" s="12"/>
      <c r="K28" s="12"/>
      <c r="L28" s="12"/>
      <c r="M28" s="12"/>
      <c r="N28" s="9"/>
      <c r="O28" s="44"/>
      <c r="P28" s="17"/>
      <c r="Q28" s="16"/>
      <c r="R28" s="12"/>
      <c r="S28" s="12"/>
      <c r="T28" s="12"/>
      <c r="U28" s="12"/>
      <c r="V28" s="12"/>
      <c r="W28" s="12"/>
      <c r="X28" s="12"/>
      <c r="Y28" s="12"/>
      <c r="Z28" s="12"/>
      <c r="AA28" s="12"/>
      <c r="AB28" s="12"/>
      <c r="AC28" s="9"/>
      <c r="AD28" s="44"/>
      <c r="AE28" s="17"/>
      <c r="AF28" s="17"/>
      <c r="AG28" s="16"/>
      <c r="AH28" s="17"/>
      <c r="AI28" s="16"/>
    </row>
    <row r="29" spans="1:35" ht="12">
      <c r="A29" s="16" t="s">
        <v>58</v>
      </c>
      <c r="B29" s="577"/>
      <c r="C29" s="12"/>
      <c r="D29" s="12"/>
      <c r="E29" s="12"/>
      <c r="F29" s="12"/>
      <c r="G29" s="12"/>
      <c r="H29" s="12"/>
      <c r="I29" s="12"/>
      <c r="J29" s="12"/>
      <c r="K29" s="12"/>
      <c r="L29" s="12"/>
      <c r="M29" s="12"/>
      <c r="N29" s="9"/>
      <c r="O29" s="44"/>
      <c r="P29" s="17"/>
      <c r="Q29" s="16"/>
      <c r="R29" s="12"/>
      <c r="S29" s="12"/>
      <c r="T29" s="12"/>
      <c r="U29" s="12"/>
      <c r="V29" s="12"/>
      <c r="W29" s="12"/>
      <c r="X29" s="12"/>
      <c r="Y29" s="12"/>
      <c r="Z29" s="12"/>
      <c r="AA29" s="12"/>
      <c r="AB29" s="12"/>
      <c r="AC29" s="9"/>
      <c r="AD29" s="44"/>
      <c r="AE29" s="17"/>
      <c r="AF29" s="17"/>
      <c r="AG29" s="16"/>
      <c r="AH29" s="17"/>
      <c r="AI29" s="16"/>
    </row>
    <row r="30" spans="1:35" ht="12">
      <c r="A30" s="16" t="s">
        <v>55</v>
      </c>
      <c r="B30" s="577"/>
      <c r="C30" s="12"/>
      <c r="D30" s="12"/>
      <c r="E30" s="12"/>
      <c r="F30" s="12"/>
      <c r="G30" s="12"/>
      <c r="H30" s="12"/>
      <c r="I30" s="12"/>
      <c r="J30" s="12"/>
      <c r="K30" s="12"/>
      <c r="L30" s="12"/>
      <c r="M30" s="12"/>
      <c r="N30" s="9"/>
      <c r="O30" s="44"/>
      <c r="P30" s="17"/>
      <c r="Q30" s="16"/>
      <c r="R30" s="12"/>
      <c r="S30" s="12"/>
      <c r="T30" s="12"/>
      <c r="U30" s="12"/>
      <c r="V30" s="12"/>
      <c r="W30" s="12"/>
      <c r="X30" s="12"/>
      <c r="Y30" s="12"/>
      <c r="Z30" s="12"/>
      <c r="AA30" s="12"/>
      <c r="AB30" s="12"/>
      <c r="AC30" s="9"/>
      <c r="AD30" s="44"/>
      <c r="AE30" s="17"/>
      <c r="AF30" s="17"/>
      <c r="AG30" s="16"/>
      <c r="AH30" s="17"/>
      <c r="AI30" s="16"/>
    </row>
    <row r="31" spans="1:35" ht="12">
      <c r="A31" s="16" t="s">
        <v>55</v>
      </c>
      <c r="B31" s="577"/>
      <c r="C31" s="12"/>
      <c r="D31" s="12"/>
      <c r="E31" s="12"/>
      <c r="F31" s="12"/>
      <c r="G31" s="12"/>
      <c r="H31" s="12"/>
      <c r="I31" s="12"/>
      <c r="J31" s="12"/>
      <c r="K31" s="12"/>
      <c r="L31" s="12"/>
      <c r="M31" s="12"/>
      <c r="N31" s="9"/>
      <c r="O31" s="44"/>
      <c r="P31" s="17"/>
      <c r="Q31" s="16"/>
      <c r="R31" s="12"/>
      <c r="S31" s="12"/>
      <c r="T31" s="12"/>
      <c r="U31" s="12"/>
      <c r="V31" s="12"/>
      <c r="W31" s="12"/>
      <c r="X31" s="12"/>
      <c r="Y31" s="12"/>
      <c r="Z31" s="12"/>
      <c r="AA31" s="12"/>
      <c r="AB31" s="12"/>
      <c r="AC31" s="9"/>
      <c r="AD31" s="44"/>
      <c r="AE31" s="17"/>
      <c r="AF31" s="17"/>
      <c r="AG31" s="16"/>
      <c r="AH31" s="17"/>
      <c r="AI31" s="16"/>
    </row>
    <row r="32" spans="1:35" ht="12">
      <c r="A32" s="16" t="s">
        <v>59</v>
      </c>
      <c r="B32" s="577"/>
      <c r="C32" s="12"/>
      <c r="D32" s="12"/>
      <c r="E32" s="12"/>
      <c r="F32" s="12"/>
      <c r="G32" s="12"/>
      <c r="H32" s="12"/>
      <c r="I32" s="12"/>
      <c r="J32" s="12"/>
      <c r="K32" s="12"/>
      <c r="L32" s="12"/>
      <c r="M32" s="12"/>
      <c r="N32" s="9"/>
      <c r="O32" s="44"/>
      <c r="P32" s="17"/>
      <c r="Q32" s="16"/>
      <c r="R32" s="12"/>
      <c r="S32" s="12"/>
      <c r="T32" s="12"/>
      <c r="U32" s="12"/>
      <c r="V32" s="12"/>
      <c r="W32" s="12"/>
      <c r="X32" s="12"/>
      <c r="Y32" s="12"/>
      <c r="Z32" s="12"/>
      <c r="AA32" s="12"/>
      <c r="AB32" s="12"/>
      <c r="AC32" s="9"/>
      <c r="AD32" s="44"/>
      <c r="AE32" s="17"/>
      <c r="AF32" s="17"/>
      <c r="AG32" s="16"/>
      <c r="AH32" s="17"/>
      <c r="AI32" s="16"/>
    </row>
    <row r="33" spans="1:35" ht="12">
      <c r="A33" s="16" t="s">
        <v>55</v>
      </c>
      <c r="B33" s="577"/>
      <c r="C33" s="12"/>
      <c r="D33" s="12"/>
      <c r="E33" s="12"/>
      <c r="F33" s="12"/>
      <c r="G33" s="12"/>
      <c r="H33" s="12"/>
      <c r="I33" s="12"/>
      <c r="J33" s="12"/>
      <c r="K33" s="12"/>
      <c r="L33" s="12"/>
      <c r="M33" s="12"/>
      <c r="N33" s="9"/>
      <c r="O33" s="44"/>
      <c r="P33" s="17"/>
      <c r="Q33" s="16"/>
      <c r="R33" s="12"/>
      <c r="S33" s="12"/>
      <c r="T33" s="12"/>
      <c r="U33" s="12"/>
      <c r="V33" s="12"/>
      <c r="W33" s="12"/>
      <c r="X33" s="12"/>
      <c r="Y33" s="12"/>
      <c r="Z33" s="12"/>
      <c r="AA33" s="12"/>
      <c r="AB33" s="12"/>
      <c r="AC33" s="9"/>
      <c r="AD33" s="44"/>
      <c r="AE33" s="17"/>
      <c r="AF33" s="17"/>
      <c r="AG33" s="16"/>
      <c r="AH33" s="17"/>
      <c r="AI33" s="16"/>
    </row>
    <row r="34" spans="1:35" ht="12">
      <c r="A34" s="16" t="s">
        <v>55</v>
      </c>
      <c r="B34" s="577"/>
      <c r="C34" s="12"/>
      <c r="D34" s="12"/>
      <c r="E34" s="12"/>
      <c r="F34" s="12"/>
      <c r="G34" s="12"/>
      <c r="H34" s="12"/>
      <c r="I34" s="12"/>
      <c r="J34" s="12"/>
      <c r="K34" s="12"/>
      <c r="L34" s="12"/>
      <c r="M34" s="12"/>
      <c r="N34" s="9"/>
      <c r="O34" s="44"/>
      <c r="P34" s="17"/>
      <c r="Q34" s="16"/>
      <c r="R34" s="12"/>
      <c r="S34" s="12"/>
      <c r="T34" s="12"/>
      <c r="U34" s="12"/>
      <c r="V34" s="12"/>
      <c r="W34" s="12"/>
      <c r="X34" s="12"/>
      <c r="Y34" s="12"/>
      <c r="Z34" s="12"/>
      <c r="AA34" s="12"/>
      <c r="AB34" s="12"/>
      <c r="AC34" s="9"/>
      <c r="AD34" s="44"/>
      <c r="AE34" s="17"/>
      <c r="AF34" s="17"/>
      <c r="AG34" s="16"/>
      <c r="AH34" s="17"/>
      <c r="AI34" s="16"/>
    </row>
    <row r="35" spans="1:35" ht="12">
      <c r="A35" s="16" t="s">
        <v>60</v>
      </c>
      <c r="B35" s="577"/>
      <c r="C35" s="12"/>
      <c r="D35" s="12"/>
      <c r="E35" s="12"/>
      <c r="F35" s="12"/>
      <c r="G35" s="12"/>
      <c r="H35" s="12"/>
      <c r="I35" s="12"/>
      <c r="J35" s="12"/>
      <c r="K35" s="12"/>
      <c r="L35" s="12"/>
      <c r="M35" s="12"/>
      <c r="N35" s="9"/>
      <c r="O35" s="44"/>
      <c r="P35" s="17"/>
      <c r="Q35" s="16"/>
      <c r="R35" s="12"/>
      <c r="S35" s="12"/>
      <c r="T35" s="12"/>
      <c r="U35" s="12"/>
      <c r="V35" s="12"/>
      <c r="W35" s="12"/>
      <c r="X35" s="12"/>
      <c r="Y35" s="12"/>
      <c r="Z35" s="12"/>
      <c r="AA35" s="12"/>
      <c r="AB35" s="12"/>
      <c r="AC35" s="9"/>
      <c r="AD35" s="44"/>
      <c r="AE35" s="17"/>
      <c r="AF35" s="17"/>
      <c r="AG35" s="16"/>
      <c r="AH35" s="17"/>
      <c r="AI35" s="16"/>
    </row>
    <row r="36" spans="1:35" ht="12">
      <c r="A36" s="16" t="s">
        <v>55</v>
      </c>
      <c r="B36" s="577"/>
      <c r="C36" s="12"/>
      <c r="D36" s="12"/>
      <c r="E36" s="12"/>
      <c r="F36" s="12"/>
      <c r="G36" s="12"/>
      <c r="H36" s="12"/>
      <c r="I36" s="12"/>
      <c r="J36" s="12"/>
      <c r="K36" s="12"/>
      <c r="L36" s="12"/>
      <c r="M36" s="12"/>
      <c r="N36" s="9"/>
      <c r="O36" s="44"/>
      <c r="P36" s="17"/>
      <c r="Q36" s="16"/>
      <c r="R36" s="12"/>
      <c r="S36" s="12"/>
      <c r="T36" s="12"/>
      <c r="U36" s="12"/>
      <c r="V36" s="12"/>
      <c r="W36" s="12"/>
      <c r="X36" s="12"/>
      <c r="Y36" s="12"/>
      <c r="Z36" s="12"/>
      <c r="AA36" s="12"/>
      <c r="AB36" s="12"/>
      <c r="AC36" s="9"/>
      <c r="AD36" s="44"/>
      <c r="AE36" s="17"/>
      <c r="AF36" s="17"/>
      <c r="AG36" s="16"/>
      <c r="AH36" s="17"/>
      <c r="AI36" s="16"/>
    </row>
    <row r="37" spans="1:35" ht="12">
      <c r="A37" s="16" t="s">
        <v>55</v>
      </c>
      <c r="B37" s="577"/>
      <c r="C37" s="12"/>
      <c r="D37" s="12"/>
      <c r="E37" s="12"/>
      <c r="F37" s="12"/>
      <c r="G37" s="12"/>
      <c r="H37" s="12"/>
      <c r="I37" s="12"/>
      <c r="J37" s="12"/>
      <c r="K37" s="12"/>
      <c r="L37" s="12"/>
      <c r="M37" s="12"/>
      <c r="N37" s="9"/>
      <c r="O37" s="44"/>
      <c r="P37" s="17"/>
      <c r="Q37" s="16"/>
      <c r="R37" s="12"/>
      <c r="S37" s="12"/>
      <c r="T37" s="12"/>
      <c r="U37" s="12"/>
      <c r="V37" s="12"/>
      <c r="W37" s="12"/>
      <c r="X37" s="12"/>
      <c r="Y37" s="12"/>
      <c r="Z37" s="12"/>
      <c r="AA37" s="12"/>
      <c r="AB37" s="12"/>
      <c r="AC37" s="9"/>
      <c r="AD37" s="44"/>
      <c r="AE37" s="17"/>
      <c r="AF37" s="17"/>
      <c r="AG37" s="16"/>
      <c r="AH37" s="17"/>
      <c r="AI37" s="16"/>
    </row>
    <row r="38" spans="1:35" ht="12">
      <c r="A38" s="16" t="s">
        <v>25</v>
      </c>
      <c r="B38" s="577"/>
      <c r="C38" s="12"/>
      <c r="D38" s="12"/>
      <c r="E38" s="12"/>
      <c r="F38" s="12"/>
      <c r="G38" s="12"/>
      <c r="H38" s="12"/>
      <c r="I38" s="12"/>
      <c r="J38" s="12"/>
      <c r="K38" s="12"/>
      <c r="L38" s="12"/>
      <c r="M38" s="12"/>
      <c r="N38" s="9"/>
      <c r="O38" s="44"/>
      <c r="P38" s="17"/>
      <c r="Q38" s="16"/>
      <c r="R38" s="12"/>
      <c r="S38" s="12"/>
      <c r="T38" s="12"/>
      <c r="U38" s="12"/>
      <c r="V38" s="12"/>
      <c r="W38" s="12"/>
      <c r="X38" s="12"/>
      <c r="Y38" s="12"/>
      <c r="Z38" s="12"/>
      <c r="AA38" s="12"/>
      <c r="AB38" s="12"/>
      <c r="AC38" s="9"/>
      <c r="AD38" s="44"/>
      <c r="AE38" s="17"/>
      <c r="AF38" s="17"/>
      <c r="AG38" s="16"/>
      <c r="AH38" s="17"/>
      <c r="AI38" s="16"/>
    </row>
    <row r="39" spans="1:35" ht="12">
      <c r="A39" s="16" t="s">
        <v>61</v>
      </c>
      <c r="B39" s="577"/>
      <c r="C39" s="12"/>
      <c r="D39" s="12"/>
      <c r="E39" s="12"/>
      <c r="F39" s="12"/>
      <c r="G39" s="12"/>
      <c r="H39" s="12"/>
      <c r="I39" s="12"/>
      <c r="J39" s="12"/>
      <c r="K39" s="12"/>
      <c r="L39" s="12"/>
      <c r="M39" s="12"/>
      <c r="N39" s="9"/>
      <c r="O39" s="44"/>
      <c r="P39" s="17"/>
      <c r="Q39" s="16"/>
      <c r="R39" s="12"/>
      <c r="S39" s="12"/>
      <c r="T39" s="12"/>
      <c r="U39" s="12"/>
      <c r="V39" s="12"/>
      <c r="W39" s="12"/>
      <c r="X39" s="12"/>
      <c r="Y39" s="12"/>
      <c r="Z39" s="12"/>
      <c r="AA39" s="12"/>
      <c r="AB39" s="12"/>
      <c r="AC39" s="9"/>
      <c r="AD39" s="44"/>
      <c r="AE39" s="17"/>
      <c r="AF39" s="17"/>
      <c r="AG39" s="16"/>
      <c r="AH39" s="17"/>
      <c r="AI39" s="16"/>
    </row>
    <row r="40" spans="1:35" ht="12">
      <c r="A40" s="16" t="s">
        <v>62</v>
      </c>
      <c r="B40" s="577"/>
      <c r="C40" s="12"/>
      <c r="D40" s="12"/>
      <c r="E40" s="12"/>
      <c r="F40" s="12"/>
      <c r="G40" s="12"/>
      <c r="H40" s="12"/>
      <c r="I40" s="12"/>
      <c r="J40" s="12"/>
      <c r="K40" s="12"/>
      <c r="L40" s="12"/>
      <c r="M40" s="12"/>
      <c r="N40" s="9"/>
      <c r="O40" s="44"/>
      <c r="P40" s="17"/>
      <c r="Q40" s="16"/>
      <c r="R40" s="12"/>
      <c r="S40" s="12"/>
      <c r="T40" s="12"/>
      <c r="U40" s="12"/>
      <c r="V40" s="12"/>
      <c r="W40" s="12"/>
      <c r="X40" s="12"/>
      <c r="Y40" s="12"/>
      <c r="Z40" s="12"/>
      <c r="AA40" s="12"/>
      <c r="AB40" s="12"/>
      <c r="AC40" s="9"/>
      <c r="AD40" s="44"/>
      <c r="AE40" s="17"/>
      <c r="AF40" s="17"/>
      <c r="AG40" s="16"/>
      <c r="AH40" s="17"/>
      <c r="AI40" s="16"/>
    </row>
    <row r="41" spans="1:35" ht="12">
      <c r="A41" s="16" t="s">
        <v>62</v>
      </c>
      <c r="B41" s="577"/>
      <c r="C41" s="12"/>
      <c r="D41" s="12"/>
      <c r="E41" s="12"/>
      <c r="F41" s="12"/>
      <c r="G41" s="12"/>
      <c r="H41" s="12"/>
      <c r="I41" s="12"/>
      <c r="J41" s="12"/>
      <c r="K41" s="12"/>
      <c r="L41" s="12"/>
      <c r="M41" s="12"/>
      <c r="N41" s="9"/>
      <c r="O41" s="44"/>
      <c r="P41" s="17"/>
      <c r="Q41" s="16"/>
      <c r="R41" s="12"/>
      <c r="S41" s="12"/>
      <c r="T41" s="12"/>
      <c r="U41" s="12"/>
      <c r="V41" s="12"/>
      <c r="W41" s="12"/>
      <c r="X41" s="12"/>
      <c r="Y41" s="12"/>
      <c r="Z41" s="12"/>
      <c r="AA41" s="12"/>
      <c r="AB41" s="12"/>
      <c r="AC41" s="9"/>
      <c r="AD41" s="44"/>
      <c r="AE41" s="17"/>
      <c r="AF41" s="17"/>
      <c r="AG41" s="16"/>
      <c r="AH41" s="17"/>
      <c r="AI41" s="16"/>
    </row>
    <row r="42" spans="1:35" ht="12">
      <c r="A42" s="16" t="s">
        <v>63</v>
      </c>
      <c r="B42" s="577"/>
      <c r="C42" s="12"/>
      <c r="D42" s="12"/>
      <c r="E42" s="12"/>
      <c r="F42" s="12"/>
      <c r="G42" s="12"/>
      <c r="H42" s="12"/>
      <c r="I42" s="12"/>
      <c r="J42" s="12"/>
      <c r="K42" s="12"/>
      <c r="L42" s="12"/>
      <c r="M42" s="12"/>
      <c r="N42" s="9"/>
      <c r="O42" s="44"/>
      <c r="P42" s="17"/>
      <c r="Q42" s="16"/>
      <c r="R42" s="12"/>
      <c r="S42" s="12"/>
      <c r="T42" s="12"/>
      <c r="U42" s="12"/>
      <c r="V42" s="12"/>
      <c r="W42" s="12"/>
      <c r="X42" s="12"/>
      <c r="Y42" s="12"/>
      <c r="Z42" s="12"/>
      <c r="AA42" s="12"/>
      <c r="AB42" s="12"/>
      <c r="AC42" s="9"/>
      <c r="AD42" s="44"/>
      <c r="AE42" s="17"/>
      <c r="AF42" s="17"/>
      <c r="AG42" s="16"/>
      <c r="AH42" s="17"/>
      <c r="AI42" s="16"/>
    </row>
    <row r="43" spans="1:35" ht="12">
      <c r="A43" s="16" t="s">
        <v>62</v>
      </c>
      <c r="B43" s="577"/>
      <c r="C43" s="12"/>
      <c r="D43" s="12"/>
      <c r="E43" s="12"/>
      <c r="F43" s="12"/>
      <c r="G43" s="12"/>
      <c r="H43" s="12"/>
      <c r="I43" s="12"/>
      <c r="J43" s="12"/>
      <c r="K43" s="12"/>
      <c r="L43" s="12"/>
      <c r="M43" s="12"/>
      <c r="N43" s="9"/>
      <c r="O43" s="44"/>
      <c r="P43" s="17"/>
      <c r="Q43" s="16"/>
      <c r="R43" s="12"/>
      <c r="S43" s="12"/>
      <c r="T43" s="12"/>
      <c r="U43" s="12"/>
      <c r="V43" s="12"/>
      <c r="W43" s="12"/>
      <c r="X43" s="12"/>
      <c r="Y43" s="12"/>
      <c r="Z43" s="12"/>
      <c r="AA43" s="12"/>
      <c r="AB43" s="12"/>
      <c r="AC43" s="9"/>
      <c r="AD43" s="44"/>
      <c r="AE43" s="17"/>
      <c r="AF43" s="17"/>
      <c r="AG43" s="16"/>
      <c r="AH43" s="17"/>
      <c r="AI43" s="16"/>
    </row>
    <row r="44" spans="1:35" ht="12">
      <c r="A44" s="16" t="s">
        <v>64</v>
      </c>
      <c r="B44" s="577"/>
      <c r="C44" s="12"/>
      <c r="D44" s="12"/>
      <c r="E44" s="12"/>
      <c r="F44" s="12"/>
      <c r="G44" s="12"/>
      <c r="H44" s="12"/>
      <c r="I44" s="12"/>
      <c r="J44" s="12"/>
      <c r="K44" s="12"/>
      <c r="L44" s="12"/>
      <c r="M44" s="12"/>
      <c r="N44" s="9"/>
      <c r="O44" s="44"/>
      <c r="P44" s="17"/>
      <c r="Q44" s="16"/>
      <c r="R44" s="12"/>
      <c r="S44" s="12"/>
      <c r="T44" s="12"/>
      <c r="U44" s="12"/>
      <c r="V44" s="12"/>
      <c r="W44" s="12"/>
      <c r="X44" s="12"/>
      <c r="Y44" s="12"/>
      <c r="Z44" s="12"/>
      <c r="AA44" s="12"/>
      <c r="AB44" s="12"/>
      <c r="AC44" s="9"/>
      <c r="AD44" s="44"/>
      <c r="AE44" s="17"/>
      <c r="AF44" s="17"/>
      <c r="AG44" s="16"/>
      <c r="AH44" s="17"/>
      <c r="AI44" s="16"/>
    </row>
    <row r="45" spans="1:35" ht="12">
      <c r="A45" s="16" t="s">
        <v>62</v>
      </c>
      <c r="B45" s="577"/>
      <c r="C45" s="12"/>
      <c r="D45" s="12"/>
      <c r="E45" s="12"/>
      <c r="F45" s="12"/>
      <c r="G45" s="12"/>
      <c r="H45" s="12"/>
      <c r="I45" s="12"/>
      <c r="J45" s="12"/>
      <c r="K45" s="12"/>
      <c r="L45" s="12"/>
      <c r="M45" s="12"/>
      <c r="N45" s="9"/>
      <c r="O45" s="44"/>
      <c r="P45" s="17"/>
      <c r="Q45" s="16"/>
      <c r="R45" s="12"/>
      <c r="S45" s="12"/>
      <c r="T45" s="12"/>
      <c r="U45" s="12"/>
      <c r="V45" s="12"/>
      <c r="W45" s="12"/>
      <c r="X45" s="12"/>
      <c r="Y45" s="12"/>
      <c r="Z45" s="12"/>
      <c r="AA45" s="12"/>
      <c r="AB45" s="12"/>
      <c r="AC45" s="9"/>
      <c r="AD45" s="44"/>
      <c r="AE45" s="17"/>
      <c r="AF45" s="17"/>
      <c r="AG45" s="16"/>
      <c r="AH45" s="17"/>
      <c r="AI45" s="16"/>
    </row>
    <row r="46" spans="1:35" ht="12">
      <c r="A46" s="16"/>
      <c r="B46" s="577"/>
      <c r="C46" s="12"/>
      <c r="D46" s="12"/>
      <c r="E46" s="12"/>
      <c r="F46" s="12"/>
      <c r="G46" s="12"/>
      <c r="H46" s="12"/>
      <c r="I46" s="12"/>
      <c r="J46" s="12"/>
      <c r="K46" s="12"/>
      <c r="L46" s="12"/>
      <c r="M46" s="12"/>
      <c r="N46" s="9"/>
      <c r="O46" s="44"/>
      <c r="P46" s="17"/>
      <c r="Q46" s="16"/>
      <c r="R46" s="12"/>
      <c r="S46" s="12"/>
      <c r="T46" s="12"/>
      <c r="U46" s="12"/>
      <c r="V46" s="12"/>
      <c r="W46" s="12"/>
      <c r="X46" s="12"/>
      <c r="Y46" s="12"/>
      <c r="Z46" s="12"/>
      <c r="AA46" s="12"/>
      <c r="AB46" s="12"/>
      <c r="AC46" s="9"/>
      <c r="AD46" s="44"/>
      <c r="AE46" s="17"/>
      <c r="AF46" s="17"/>
      <c r="AG46" s="16"/>
      <c r="AH46" s="17"/>
      <c r="AI46" s="16"/>
    </row>
    <row r="47" spans="1:35" ht="12">
      <c r="A47" s="16" t="s">
        <v>65</v>
      </c>
      <c r="B47" s="577"/>
      <c r="C47" s="12"/>
      <c r="D47" s="12"/>
      <c r="E47" s="12"/>
      <c r="F47" s="12"/>
      <c r="G47" s="12"/>
      <c r="H47" s="12"/>
      <c r="I47" s="12"/>
      <c r="J47" s="12"/>
      <c r="K47" s="12"/>
      <c r="L47" s="12"/>
      <c r="M47" s="12"/>
      <c r="N47" s="9"/>
      <c r="O47" s="44"/>
      <c r="P47" s="17"/>
      <c r="Q47" s="16"/>
      <c r="R47" s="12"/>
      <c r="S47" s="12"/>
      <c r="T47" s="12"/>
      <c r="U47" s="12"/>
      <c r="V47" s="12"/>
      <c r="W47" s="12"/>
      <c r="X47" s="12"/>
      <c r="Y47" s="12"/>
      <c r="Z47" s="12"/>
      <c r="AA47" s="12"/>
      <c r="AB47" s="12"/>
      <c r="AC47" s="9"/>
      <c r="AD47" s="44"/>
      <c r="AE47" s="17"/>
      <c r="AF47" s="17"/>
      <c r="AG47" s="16"/>
      <c r="AH47" s="17"/>
      <c r="AI47" s="16"/>
    </row>
    <row r="48" spans="1:35" ht="12">
      <c r="A48" s="16" t="s">
        <v>62</v>
      </c>
      <c r="B48" s="577"/>
      <c r="C48" s="12"/>
      <c r="D48" s="12"/>
      <c r="E48" s="12"/>
      <c r="F48" s="12"/>
      <c r="G48" s="12"/>
      <c r="H48" s="12"/>
      <c r="I48" s="12"/>
      <c r="J48" s="12"/>
      <c r="K48" s="12"/>
      <c r="L48" s="12"/>
      <c r="M48" s="12"/>
      <c r="N48" s="9"/>
      <c r="O48" s="44"/>
      <c r="P48" s="17"/>
      <c r="Q48" s="16"/>
      <c r="R48" s="12"/>
      <c r="S48" s="12"/>
      <c r="T48" s="12"/>
      <c r="U48" s="12"/>
      <c r="V48" s="12"/>
      <c r="W48" s="12"/>
      <c r="X48" s="12"/>
      <c r="Y48" s="12"/>
      <c r="Z48" s="12"/>
      <c r="AA48" s="12"/>
      <c r="AB48" s="12"/>
      <c r="AC48" s="9"/>
      <c r="AD48" s="44"/>
      <c r="AE48" s="17"/>
      <c r="AF48" s="17"/>
      <c r="AG48" s="16"/>
      <c r="AH48" s="17"/>
      <c r="AI48" s="16"/>
    </row>
    <row r="49" spans="1:35" ht="12">
      <c r="A49" s="16"/>
      <c r="B49" s="577"/>
      <c r="C49" s="12"/>
      <c r="D49" s="12"/>
      <c r="E49" s="12"/>
      <c r="F49" s="12"/>
      <c r="G49" s="12"/>
      <c r="H49" s="12"/>
      <c r="I49" s="12"/>
      <c r="J49" s="12"/>
      <c r="K49" s="12"/>
      <c r="L49" s="12"/>
      <c r="M49" s="12"/>
      <c r="N49" s="9"/>
      <c r="O49" s="44"/>
      <c r="P49" s="17"/>
      <c r="Q49" s="16"/>
      <c r="R49" s="12"/>
      <c r="S49" s="12"/>
      <c r="T49" s="12"/>
      <c r="U49" s="12"/>
      <c r="V49" s="12"/>
      <c r="W49" s="12"/>
      <c r="X49" s="12"/>
      <c r="Y49" s="12"/>
      <c r="Z49" s="12"/>
      <c r="AA49" s="12"/>
      <c r="AB49" s="12"/>
      <c r="AC49" s="9"/>
      <c r="AD49" s="44"/>
      <c r="AE49" s="17"/>
      <c r="AF49" s="17"/>
      <c r="AG49" s="16"/>
      <c r="AH49" s="17"/>
      <c r="AI49" s="16"/>
    </row>
    <row r="50" spans="1:35" ht="12.75" thickBot="1">
      <c r="A50" s="42"/>
      <c r="B50" s="578"/>
      <c r="C50" s="14"/>
      <c r="D50" s="14"/>
      <c r="E50" s="14"/>
      <c r="F50" s="14"/>
      <c r="G50" s="14"/>
      <c r="H50" s="14"/>
      <c r="I50" s="14"/>
      <c r="J50" s="14"/>
      <c r="K50" s="14"/>
      <c r="L50" s="14"/>
      <c r="M50" s="14"/>
      <c r="N50" s="13"/>
      <c r="O50" s="45"/>
      <c r="P50" s="46"/>
      <c r="Q50" s="73"/>
      <c r="R50" s="14"/>
      <c r="S50" s="14"/>
      <c r="T50" s="14"/>
      <c r="U50" s="14"/>
      <c r="V50" s="14"/>
      <c r="W50" s="14"/>
      <c r="X50" s="14"/>
      <c r="Y50" s="14"/>
      <c r="Z50" s="14"/>
      <c r="AA50" s="14"/>
      <c r="AB50" s="14"/>
      <c r="AC50" s="13"/>
      <c r="AD50" s="45"/>
      <c r="AE50" s="46"/>
      <c r="AF50" s="46"/>
      <c r="AG50" s="73"/>
      <c r="AH50" s="46"/>
      <c r="AI50" s="73"/>
    </row>
    <row r="51" spans="1:35" ht="12.75" thickBot="1">
      <c r="A51" s="69" t="s">
        <v>0</v>
      </c>
      <c r="B51" s="579"/>
      <c r="C51" s="72"/>
      <c r="D51" s="47"/>
      <c r="E51" s="47"/>
      <c r="F51" s="47"/>
      <c r="G51" s="47"/>
      <c r="H51" s="47"/>
      <c r="I51" s="47"/>
      <c r="J51" s="47"/>
      <c r="K51" s="47"/>
      <c r="L51" s="47"/>
      <c r="M51" s="47"/>
      <c r="N51" s="51"/>
      <c r="O51" s="58"/>
      <c r="P51" s="8"/>
      <c r="Q51" s="42"/>
      <c r="R51" s="72"/>
      <c r="S51" s="47"/>
      <c r="T51" s="47"/>
      <c r="U51" s="47"/>
      <c r="V51" s="47"/>
      <c r="W51" s="47"/>
      <c r="X51" s="47"/>
      <c r="Y51" s="47"/>
      <c r="Z51" s="47"/>
      <c r="AA51" s="47"/>
      <c r="AB51" s="47"/>
      <c r="AC51" s="51"/>
      <c r="AD51" s="58"/>
      <c r="AE51" s="8"/>
      <c r="AF51" s="8"/>
      <c r="AG51" s="42"/>
      <c r="AH51" s="8"/>
      <c r="AI51" s="42"/>
    </row>
    <row r="52" ht="12">
      <c r="A52" s="3" t="s">
        <v>66</v>
      </c>
    </row>
    <row r="53" spans="1:2" ht="12">
      <c r="A53" s="3" t="s">
        <v>67</v>
      </c>
      <c r="B53" s="580" t="s">
        <v>161</v>
      </c>
    </row>
    <row r="54" spans="1:2" ht="12">
      <c r="A54" s="3" t="s">
        <v>68</v>
      </c>
      <c r="B54" s="580" t="s">
        <v>69</v>
      </c>
    </row>
    <row r="55" spans="1:2" ht="12">
      <c r="A55" s="3" t="s">
        <v>70</v>
      </c>
      <c r="B55" s="580" t="s">
        <v>71</v>
      </c>
    </row>
    <row r="56" spans="1:2" ht="12">
      <c r="A56" s="3" t="s">
        <v>72</v>
      </c>
      <c r="B56" s="580" t="s">
        <v>73</v>
      </c>
    </row>
    <row r="57" ht="12">
      <c r="B57" s="580" t="s">
        <v>74</v>
      </c>
    </row>
    <row r="58" spans="1:2" ht="12">
      <c r="A58" s="3" t="s">
        <v>75</v>
      </c>
      <c r="B58" s="580" t="s">
        <v>152</v>
      </c>
    </row>
    <row r="59" ht="12">
      <c r="B59" s="580" t="s">
        <v>76</v>
      </c>
    </row>
    <row r="60" ht="12">
      <c r="B60" s="580" t="s">
        <v>77</v>
      </c>
    </row>
    <row r="61" ht="12">
      <c r="B61" s="580" t="s">
        <v>78</v>
      </c>
    </row>
    <row r="62" spans="1:2" ht="12">
      <c r="A62" s="3" t="s">
        <v>186</v>
      </c>
      <c r="B62" s="580" t="s">
        <v>187</v>
      </c>
    </row>
    <row r="63" spans="1:2" ht="12">
      <c r="A63" s="3" t="s">
        <v>188</v>
      </c>
      <c r="B63" s="580" t="s">
        <v>157</v>
      </c>
    </row>
    <row r="64" spans="1:2" ht="12">
      <c r="A64" s="3" t="s">
        <v>189</v>
      </c>
      <c r="B64" s="580" t="s">
        <v>153</v>
      </c>
    </row>
    <row r="65" ht="12">
      <c r="B65" s="580" t="s">
        <v>76</v>
      </c>
    </row>
    <row r="66" ht="12">
      <c r="B66" s="580" t="s">
        <v>77</v>
      </c>
    </row>
    <row r="67" ht="12">
      <c r="B67" s="580" t="s">
        <v>117</v>
      </c>
    </row>
    <row r="68" spans="1:2" ht="12">
      <c r="A68" s="3" t="s">
        <v>198</v>
      </c>
      <c r="B68" s="580" t="s">
        <v>199</v>
      </c>
    </row>
    <row r="69" spans="1:2" ht="12">
      <c r="A69" s="3" t="s">
        <v>196</v>
      </c>
      <c r="B69" s="580" t="s">
        <v>192</v>
      </c>
    </row>
    <row r="70" spans="1:2" ht="12">
      <c r="A70" s="3" t="s">
        <v>197</v>
      </c>
      <c r="B70" s="580" t="s">
        <v>200</v>
      </c>
    </row>
    <row r="73" ht="12.75" thickBot="1">
      <c r="A73" s="15" t="s">
        <v>674</v>
      </c>
    </row>
    <row r="74" spans="1:35" ht="12.75" thickBot="1">
      <c r="A74" s="1543" t="s">
        <v>47</v>
      </c>
      <c r="B74" s="1554" t="s">
        <v>339</v>
      </c>
      <c r="C74" s="1554"/>
      <c r="D74" s="1554"/>
      <c r="E74" s="1554"/>
      <c r="F74" s="1554"/>
      <c r="G74" s="1554"/>
      <c r="H74" s="1554"/>
      <c r="I74" s="1554"/>
      <c r="J74" s="1554"/>
      <c r="K74" s="1554"/>
      <c r="L74" s="1554"/>
      <c r="M74" s="1554"/>
      <c r="N74" s="1554"/>
      <c r="O74" s="1554"/>
      <c r="P74" s="1554"/>
      <c r="Q74" s="1555" t="s">
        <v>434</v>
      </c>
      <c r="R74" s="1554"/>
      <c r="S74" s="1554"/>
      <c r="T74" s="1554"/>
      <c r="U74" s="1554"/>
      <c r="V74" s="1554"/>
      <c r="W74" s="1554"/>
      <c r="X74" s="1554"/>
      <c r="Y74" s="1554"/>
      <c r="Z74" s="1554"/>
      <c r="AA74" s="1554"/>
      <c r="AB74" s="1554"/>
      <c r="AC74" s="1554"/>
      <c r="AD74" s="1554"/>
      <c r="AE74" s="1556"/>
      <c r="AF74" s="1557" t="s">
        <v>436</v>
      </c>
      <c r="AG74" s="1558"/>
      <c r="AH74" s="1557" t="s">
        <v>435</v>
      </c>
      <c r="AI74" s="1558"/>
    </row>
    <row r="75" spans="1:35" ht="140.25">
      <c r="A75" s="1552"/>
      <c r="B75" s="171" t="s">
        <v>11</v>
      </c>
      <c r="C75" s="172" t="s">
        <v>146</v>
      </c>
      <c r="D75" s="173" t="s">
        <v>270</v>
      </c>
      <c r="E75" s="173" t="s">
        <v>148</v>
      </c>
      <c r="F75" s="173" t="s">
        <v>182</v>
      </c>
      <c r="G75" s="173" t="s">
        <v>183</v>
      </c>
      <c r="H75" s="173" t="s">
        <v>184</v>
      </c>
      <c r="I75" s="173" t="s">
        <v>185</v>
      </c>
      <c r="J75" s="173" t="s">
        <v>149</v>
      </c>
      <c r="K75" s="173" t="s">
        <v>150</v>
      </c>
      <c r="L75" s="173" t="s">
        <v>151</v>
      </c>
      <c r="M75" s="173" t="s">
        <v>181</v>
      </c>
      <c r="N75" s="174" t="s">
        <v>119</v>
      </c>
      <c r="O75" s="175" t="s">
        <v>156</v>
      </c>
      <c r="P75" s="176" t="s">
        <v>155</v>
      </c>
      <c r="Q75" s="171" t="s">
        <v>11</v>
      </c>
      <c r="R75" s="172" t="s">
        <v>146</v>
      </c>
      <c r="S75" s="173" t="s">
        <v>147</v>
      </c>
      <c r="T75" s="173" t="s">
        <v>148</v>
      </c>
      <c r="U75" s="173" t="s">
        <v>182</v>
      </c>
      <c r="V75" s="173" t="s">
        <v>183</v>
      </c>
      <c r="W75" s="173" t="s">
        <v>184</v>
      </c>
      <c r="X75" s="173" t="s">
        <v>185</v>
      </c>
      <c r="Y75" s="173" t="s">
        <v>149</v>
      </c>
      <c r="Z75" s="173" t="s">
        <v>150</v>
      </c>
      <c r="AA75" s="173" t="s">
        <v>151</v>
      </c>
      <c r="AB75" s="173" t="s">
        <v>181</v>
      </c>
      <c r="AC75" s="174" t="s">
        <v>119</v>
      </c>
      <c r="AD75" s="175" t="s">
        <v>156</v>
      </c>
      <c r="AE75" s="176" t="s">
        <v>340</v>
      </c>
      <c r="AF75" s="177" t="s">
        <v>160</v>
      </c>
      <c r="AG75" s="177" t="s">
        <v>159</v>
      </c>
      <c r="AH75" s="177" t="s">
        <v>11</v>
      </c>
      <c r="AI75" s="176" t="s">
        <v>341</v>
      </c>
    </row>
    <row r="76" spans="1:35" ht="12.75" thickBot="1">
      <c r="A76" s="1567"/>
      <c r="B76" s="178" t="s">
        <v>48</v>
      </c>
      <c r="C76" s="179" t="s">
        <v>49</v>
      </c>
      <c r="D76" s="180" t="s">
        <v>50</v>
      </c>
      <c r="E76" s="180" t="s">
        <v>51</v>
      </c>
      <c r="F76" s="181" t="s">
        <v>52</v>
      </c>
      <c r="G76" s="181" t="s">
        <v>53</v>
      </c>
      <c r="H76" s="181" t="s">
        <v>79</v>
      </c>
      <c r="I76" s="181" t="s">
        <v>118</v>
      </c>
      <c r="J76" s="181" t="s">
        <v>154</v>
      </c>
      <c r="K76" s="181" t="s">
        <v>158</v>
      </c>
      <c r="L76" s="181" t="s">
        <v>190</v>
      </c>
      <c r="M76" s="181" t="s">
        <v>191</v>
      </c>
      <c r="N76" s="182" t="s">
        <v>193</v>
      </c>
      <c r="O76" s="183" t="s">
        <v>194</v>
      </c>
      <c r="P76" s="184" t="s">
        <v>195</v>
      </c>
      <c r="Q76" s="178" t="s">
        <v>48</v>
      </c>
      <c r="R76" s="179" t="s">
        <v>49</v>
      </c>
      <c r="S76" s="180" t="s">
        <v>50</v>
      </c>
      <c r="T76" s="180" t="s">
        <v>51</v>
      </c>
      <c r="U76" s="181" t="s">
        <v>52</v>
      </c>
      <c r="V76" s="181" t="s">
        <v>53</v>
      </c>
      <c r="W76" s="181" t="s">
        <v>79</v>
      </c>
      <c r="X76" s="181" t="s">
        <v>118</v>
      </c>
      <c r="Y76" s="181" t="s">
        <v>154</v>
      </c>
      <c r="Z76" s="181" t="s">
        <v>158</v>
      </c>
      <c r="AA76" s="181" t="s">
        <v>190</v>
      </c>
      <c r="AB76" s="181" t="s">
        <v>191</v>
      </c>
      <c r="AC76" s="182" t="s">
        <v>193</v>
      </c>
      <c r="AD76" s="183" t="s">
        <v>194</v>
      </c>
      <c r="AE76" s="184" t="s">
        <v>195</v>
      </c>
      <c r="AF76" s="185"/>
      <c r="AG76" s="178"/>
      <c r="AH76" s="185"/>
      <c r="AI76" s="178"/>
    </row>
    <row r="77" spans="1:35" ht="12">
      <c r="A77" s="41"/>
      <c r="B77" s="16"/>
      <c r="C77" s="12"/>
      <c r="D77" s="12"/>
      <c r="E77" s="12"/>
      <c r="F77" s="12"/>
      <c r="G77" s="12"/>
      <c r="H77" s="12"/>
      <c r="I77" s="12"/>
      <c r="J77" s="12"/>
      <c r="K77" s="12"/>
      <c r="L77" s="12"/>
      <c r="M77" s="12"/>
      <c r="N77" s="9"/>
      <c r="O77" s="44"/>
      <c r="P77" s="17"/>
      <c r="Q77" s="16"/>
      <c r="R77" s="12"/>
      <c r="S77" s="12"/>
      <c r="T77" s="12"/>
      <c r="U77" s="12"/>
      <c r="V77" s="12"/>
      <c r="W77" s="12"/>
      <c r="X77" s="12"/>
      <c r="Y77" s="12"/>
      <c r="Z77" s="12"/>
      <c r="AA77" s="12"/>
      <c r="AB77" s="12"/>
      <c r="AC77" s="9"/>
      <c r="AD77" s="44"/>
      <c r="AE77" s="17"/>
      <c r="AF77" s="17"/>
      <c r="AG77" s="16"/>
      <c r="AH77" s="17"/>
      <c r="AI77" s="16"/>
    </row>
    <row r="78" spans="1:35" ht="12">
      <c r="A78" s="16" t="s">
        <v>54</v>
      </c>
      <c r="B78" s="16"/>
      <c r="C78" s="12"/>
      <c r="D78" s="12"/>
      <c r="E78" s="12"/>
      <c r="F78" s="12"/>
      <c r="G78" s="12"/>
      <c r="H78" s="12"/>
      <c r="I78" s="12"/>
      <c r="J78" s="12"/>
      <c r="K78" s="12"/>
      <c r="L78" s="12"/>
      <c r="M78" s="12"/>
      <c r="N78" s="9"/>
      <c r="O78" s="44"/>
      <c r="P78" s="17"/>
      <c r="Q78" s="16"/>
      <c r="R78" s="12"/>
      <c r="S78" s="12"/>
      <c r="T78" s="12"/>
      <c r="U78" s="12"/>
      <c r="V78" s="12"/>
      <c r="W78" s="12"/>
      <c r="X78" s="12"/>
      <c r="Y78" s="12"/>
      <c r="Z78" s="12"/>
      <c r="AA78" s="12"/>
      <c r="AB78" s="12"/>
      <c r="AC78" s="9"/>
      <c r="AD78" s="44"/>
      <c r="AE78" s="17"/>
      <c r="AF78" s="17"/>
      <c r="AG78" s="16"/>
      <c r="AH78" s="17"/>
      <c r="AI78" s="16"/>
    </row>
    <row r="79" spans="1:35" ht="12.75">
      <c r="A79" s="581" t="s">
        <v>668</v>
      </c>
      <c r="B79" s="16"/>
      <c r="C79" s="12"/>
      <c r="D79" s="12"/>
      <c r="E79" s="12"/>
      <c r="F79" s="12"/>
      <c r="G79" s="12"/>
      <c r="H79" s="12"/>
      <c r="I79" s="12"/>
      <c r="J79" s="12"/>
      <c r="K79" s="12"/>
      <c r="L79" s="12"/>
      <c r="M79" s="12"/>
      <c r="N79" s="9"/>
      <c r="O79" s="44"/>
      <c r="P79" s="17"/>
      <c r="Q79" s="16"/>
      <c r="R79" s="12"/>
      <c r="S79" s="12"/>
      <c r="T79" s="12"/>
      <c r="U79" s="12"/>
      <c r="V79" s="12"/>
      <c r="W79" s="12"/>
      <c r="X79" s="12"/>
      <c r="Y79" s="12"/>
      <c r="Z79" s="12"/>
      <c r="AA79" s="12"/>
      <c r="AB79" s="12"/>
      <c r="AC79" s="9"/>
      <c r="AD79" s="44"/>
      <c r="AE79" s="17"/>
      <c r="AF79" s="17"/>
      <c r="AG79" s="16"/>
      <c r="AH79" s="17"/>
      <c r="AI79" s="16"/>
    </row>
    <row r="80" spans="1:35" ht="12.75">
      <c r="A80" s="582" t="s">
        <v>562</v>
      </c>
      <c r="B80" s="16">
        <v>1</v>
      </c>
      <c r="C80" s="12">
        <v>1092.65</v>
      </c>
      <c r="D80" s="12">
        <v>3283</v>
      </c>
      <c r="E80" s="12">
        <v>0</v>
      </c>
      <c r="F80" s="12">
        <v>0</v>
      </c>
      <c r="G80" s="12">
        <v>0</v>
      </c>
      <c r="H80" s="12">
        <v>0</v>
      </c>
      <c r="I80" s="12">
        <v>0</v>
      </c>
      <c r="J80" s="12">
        <v>0</v>
      </c>
      <c r="K80" s="12">
        <f>+C80+D80</f>
        <v>4375.65</v>
      </c>
      <c r="L80" s="12">
        <v>1000</v>
      </c>
      <c r="M80" s="12">
        <v>0</v>
      </c>
      <c r="N80" s="9">
        <f>+L80+M80</f>
        <v>1000</v>
      </c>
      <c r="O80" s="44">
        <f>+(K80*12)+N80</f>
        <v>53507.799999999996</v>
      </c>
      <c r="P80" s="17">
        <f>+B80*O80</f>
        <v>53507.799999999996</v>
      </c>
      <c r="Q80" s="16">
        <v>1</v>
      </c>
      <c r="R80" s="12">
        <v>1092.65</v>
      </c>
      <c r="S80" s="12">
        <v>3283</v>
      </c>
      <c r="T80" s="12">
        <v>0</v>
      </c>
      <c r="U80" s="12">
        <v>0</v>
      </c>
      <c r="V80" s="12">
        <v>0</v>
      </c>
      <c r="W80" s="12">
        <v>0</v>
      </c>
      <c r="X80" s="12">
        <v>0</v>
      </c>
      <c r="Y80" s="12">
        <v>0</v>
      </c>
      <c r="Z80" s="12">
        <f aca="true" t="shared" si="0" ref="Z80:Z85">+R80+S80</f>
        <v>4375.65</v>
      </c>
      <c r="AA80" s="12">
        <v>1000</v>
      </c>
      <c r="AB80" s="12">
        <v>0</v>
      </c>
      <c r="AC80" s="9">
        <f aca="true" t="shared" si="1" ref="AC80:AC85">+AA80+AB80</f>
        <v>1000</v>
      </c>
      <c r="AD80" s="44">
        <f aca="true" t="shared" si="2" ref="AD80:AD85">+(Z80*12)+AC80</f>
        <v>53507.799999999996</v>
      </c>
      <c r="AE80" s="17">
        <f aca="true" t="shared" si="3" ref="AE80:AE85">+Q80*AD80</f>
        <v>53507.799999999996</v>
      </c>
      <c r="AF80" s="583">
        <f>+AD80-O80</f>
        <v>0</v>
      </c>
      <c r="AG80" s="583">
        <f aca="true" t="shared" si="4" ref="AG80:AG94">+AE80-P80</f>
        <v>0</v>
      </c>
      <c r="AH80" s="17">
        <v>1</v>
      </c>
      <c r="AI80" s="583">
        <f>+AH80*AD80</f>
        <v>53507.799999999996</v>
      </c>
    </row>
    <row r="81" spans="1:35" ht="12.75">
      <c r="A81" s="582" t="s">
        <v>560</v>
      </c>
      <c r="B81" s="16">
        <v>2</v>
      </c>
      <c r="C81" s="12">
        <v>867.69</v>
      </c>
      <c r="D81" s="12">
        <v>3083</v>
      </c>
      <c r="E81" s="12">
        <v>0</v>
      </c>
      <c r="F81" s="12">
        <v>0</v>
      </c>
      <c r="G81" s="12">
        <v>0</v>
      </c>
      <c r="H81" s="12">
        <v>0</v>
      </c>
      <c r="I81" s="12">
        <v>0</v>
      </c>
      <c r="J81" s="12">
        <v>0</v>
      </c>
      <c r="K81" s="12">
        <f aca="true" t="shared" si="5" ref="K81:K94">+C81+D81</f>
        <v>3950.69</v>
      </c>
      <c r="L81" s="12">
        <v>1000</v>
      </c>
      <c r="M81" s="12">
        <v>0</v>
      </c>
      <c r="N81" s="9">
        <f aca="true" t="shared" si="6" ref="N81:N94">+L81+M81</f>
        <v>1000</v>
      </c>
      <c r="O81" s="44">
        <f aca="true" t="shared" si="7" ref="O81:O94">+(K81*12)+N81</f>
        <v>48408.28</v>
      </c>
      <c r="P81" s="17">
        <f aca="true" t="shared" si="8" ref="P81:P94">+B81*O81</f>
        <v>96816.56</v>
      </c>
      <c r="Q81" s="16">
        <v>2</v>
      </c>
      <c r="R81" s="12">
        <v>867.69</v>
      </c>
      <c r="S81" s="12">
        <v>3083</v>
      </c>
      <c r="T81" s="12">
        <v>0</v>
      </c>
      <c r="U81" s="12">
        <v>0</v>
      </c>
      <c r="V81" s="12">
        <v>0</v>
      </c>
      <c r="W81" s="12">
        <v>0</v>
      </c>
      <c r="X81" s="12">
        <v>0</v>
      </c>
      <c r="Y81" s="12">
        <v>0</v>
      </c>
      <c r="Z81" s="12">
        <f t="shared" si="0"/>
        <v>3950.69</v>
      </c>
      <c r="AA81" s="12">
        <v>1000</v>
      </c>
      <c r="AB81" s="12">
        <v>0</v>
      </c>
      <c r="AC81" s="9">
        <f t="shared" si="1"/>
        <v>1000</v>
      </c>
      <c r="AD81" s="44">
        <f t="shared" si="2"/>
        <v>48408.28</v>
      </c>
      <c r="AE81" s="17">
        <f t="shared" si="3"/>
        <v>96816.56</v>
      </c>
      <c r="AF81" s="583">
        <f aca="true" t="shared" si="9" ref="AF81:AF94">+AD81-O81</f>
        <v>0</v>
      </c>
      <c r="AG81" s="583">
        <f t="shared" si="4"/>
        <v>0</v>
      </c>
      <c r="AH81" s="17">
        <v>2</v>
      </c>
      <c r="AI81" s="583">
        <f aca="true" t="shared" si="10" ref="AI81:AI94">+AH81*AD81</f>
        <v>96816.56</v>
      </c>
    </row>
    <row r="82" spans="1:35" ht="12.75">
      <c r="A82" s="582" t="s">
        <v>12</v>
      </c>
      <c r="B82" s="16">
        <v>1</v>
      </c>
      <c r="C82" s="12">
        <v>855.18</v>
      </c>
      <c r="D82" s="12">
        <v>2983</v>
      </c>
      <c r="E82" s="12">
        <v>0</v>
      </c>
      <c r="F82" s="12">
        <v>0</v>
      </c>
      <c r="G82" s="12">
        <v>0</v>
      </c>
      <c r="H82" s="12">
        <v>0</v>
      </c>
      <c r="I82" s="12">
        <v>0</v>
      </c>
      <c r="J82" s="12">
        <v>0</v>
      </c>
      <c r="K82" s="12">
        <f t="shared" si="5"/>
        <v>3838.18</v>
      </c>
      <c r="L82" s="12">
        <v>1000</v>
      </c>
      <c r="M82" s="12">
        <v>0</v>
      </c>
      <c r="N82" s="9">
        <f t="shared" si="6"/>
        <v>1000</v>
      </c>
      <c r="O82" s="44">
        <f t="shared" si="7"/>
        <v>47058.159999999996</v>
      </c>
      <c r="P82" s="17">
        <f t="shared" si="8"/>
        <v>47058.159999999996</v>
      </c>
      <c r="Q82" s="16">
        <v>1</v>
      </c>
      <c r="R82" s="12">
        <v>855.18</v>
      </c>
      <c r="S82" s="12">
        <v>2983</v>
      </c>
      <c r="T82" s="12">
        <v>0</v>
      </c>
      <c r="U82" s="12">
        <v>0</v>
      </c>
      <c r="V82" s="12">
        <v>0</v>
      </c>
      <c r="W82" s="12">
        <v>0</v>
      </c>
      <c r="X82" s="12">
        <v>0</v>
      </c>
      <c r="Y82" s="12">
        <v>0</v>
      </c>
      <c r="Z82" s="12">
        <f t="shared" si="0"/>
        <v>3838.18</v>
      </c>
      <c r="AA82" s="12">
        <v>1000</v>
      </c>
      <c r="AB82" s="12">
        <v>0</v>
      </c>
      <c r="AC82" s="9">
        <f t="shared" si="1"/>
        <v>1000</v>
      </c>
      <c r="AD82" s="44">
        <f t="shared" si="2"/>
        <v>47058.159999999996</v>
      </c>
      <c r="AE82" s="17">
        <f t="shared" si="3"/>
        <v>47058.159999999996</v>
      </c>
      <c r="AF82" s="583">
        <f t="shared" si="9"/>
        <v>0</v>
      </c>
      <c r="AG82" s="583">
        <f t="shared" si="4"/>
        <v>0</v>
      </c>
      <c r="AH82" s="17">
        <v>2</v>
      </c>
      <c r="AI82" s="583">
        <f t="shared" si="10"/>
        <v>94116.31999999999</v>
      </c>
    </row>
    <row r="83" spans="1:35" ht="12.75">
      <c r="A83" s="582" t="s">
        <v>12</v>
      </c>
      <c r="B83" s="16">
        <v>1</v>
      </c>
      <c r="C83" s="12">
        <v>856.1</v>
      </c>
      <c r="D83" s="12">
        <v>2983</v>
      </c>
      <c r="E83" s="12">
        <v>0</v>
      </c>
      <c r="F83" s="12">
        <v>0</v>
      </c>
      <c r="G83" s="12">
        <v>0</v>
      </c>
      <c r="H83" s="12">
        <v>0</v>
      </c>
      <c r="I83" s="12">
        <v>0</v>
      </c>
      <c r="J83" s="12">
        <v>0</v>
      </c>
      <c r="K83" s="12">
        <f t="shared" si="5"/>
        <v>3839.1</v>
      </c>
      <c r="L83" s="12">
        <v>1000</v>
      </c>
      <c r="M83" s="12">
        <v>0</v>
      </c>
      <c r="N83" s="9">
        <f t="shared" si="6"/>
        <v>1000</v>
      </c>
      <c r="O83" s="44">
        <f t="shared" si="7"/>
        <v>47069.2</v>
      </c>
      <c r="P83" s="17">
        <f t="shared" si="8"/>
        <v>47069.2</v>
      </c>
      <c r="Q83" s="16">
        <v>1</v>
      </c>
      <c r="R83" s="12">
        <v>856.1</v>
      </c>
      <c r="S83" s="12">
        <v>2983</v>
      </c>
      <c r="T83" s="12">
        <v>0</v>
      </c>
      <c r="U83" s="12">
        <v>0</v>
      </c>
      <c r="V83" s="12">
        <v>0</v>
      </c>
      <c r="W83" s="12">
        <v>0</v>
      </c>
      <c r="X83" s="12">
        <v>0</v>
      </c>
      <c r="Y83" s="12">
        <v>0</v>
      </c>
      <c r="Z83" s="12">
        <f t="shared" si="0"/>
        <v>3839.1</v>
      </c>
      <c r="AA83" s="12">
        <v>1000</v>
      </c>
      <c r="AB83" s="12">
        <v>0</v>
      </c>
      <c r="AC83" s="9">
        <f t="shared" si="1"/>
        <v>1000</v>
      </c>
      <c r="AD83" s="44">
        <f t="shared" si="2"/>
        <v>47069.2</v>
      </c>
      <c r="AE83" s="17">
        <f t="shared" si="3"/>
        <v>47069.2</v>
      </c>
      <c r="AF83" s="583">
        <f t="shared" si="9"/>
        <v>0</v>
      </c>
      <c r="AG83" s="583">
        <f t="shared" si="4"/>
        <v>0</v>
      </c>
      <c r="AH83" s="17">
        <v>1</v>
      </c>
      <c r="AI83" s="583">
        <f t="shared" si="10"/>
        <v>47069.2</v>
      </c>
    </row>
    <row r="84" spans="1:35" ht="12.75">
      <c r="A84" s="582" t="s">
        <v>12</v>
      </c>
      <c r="B84" s="16">
        <v>1</v>
      </c>
      <c r="C84" s="12">
        <v>1045.86</v>
      </c>
      <c r="D84" s="12">
        <v>2983</v>
      </c>
      <c r="E84" s="12">
        <v>0</v>
      </c>
      <c r="F84" s="12">
        <v>0</v>
      </c>
      <c r="G84" s="12">
        <v>0</v>
      </c>
      <c r="H84" s="12">
        <v>0</v>
      </c>
      <c r="I84" s="12">
        <v>0</v>
      </c>
      <c r="J84" s="12">
        <v>0</v>
      </c>
      <c r="K84" s="12">
        <f t="shared" si="5"/>
        <v>4028.8599999999997</v>
      </c>
      <c r="L84" s="12">
        <v>1000</v>
      </c>
      <c r="M84" s="12">
        <v>0</v>
      </c>
      <c r="N84" s="9">
        <f t="shared" si="6"/>
        <v>1000</v>
      </c>
      <c r="O84" s="44">
        <f t="shared" si="7"/>
        <v>49346.31999999999</v>
      </c>
      <c r="P84" s="17">
        <f t="shared" si="8"/>
        <v>49346.31999999999</v>
      </c>
      <c r="Q84" s="16">
        <v>1</v>
      </c>
      <c r="R84" s="12">
        <v>1045.86</v>
      </c>
      <c r="S84" s="12">
        <v>2983</v>
      </c>
      <c r="T84" s="12">
        <v>0</v>
      </c>
      <c r="U84" s="12">
        <v>0</v>
      </c>
      <c r="V84" s="12">
        <v>0</v>
      </c>
      <c r="W84" s="12">
        <v>0</v>
      </c>
      <c r="X84" s="12">
        <v>0</v>
      </c>
      <c r="Y84" s="12">
        <v>0</v>
      </c>
      <c r="Z84" s="12">
        <f t="shared" si="0"/>
        <v>4028.8599999999997</v>
      </c>
      <c r="AA84" s="12">
        <v>1000</v>
      </c>
      <c r="AB84" s="12">
        <v>0</v>
      </c>
      <c r="AC84" s="9">
        <f t="shared" si="1"/>
        <v>1000</v>
      </c>
      <c r="AD84" s="44">
        <f t="shared" si="2"/>
        <v>49346.31999999999</v>
      </c>
      <c r="AE84" s="17">
        <f t="shared" si="3"/>
        <v>49346.31999999999</v>
      </c>
      <c r="AF84" s="583">
        <f t="shared" si="9"/>
        <v>0</v>
      </c>
      <c r="AG84" s="583">
        <f t="shared" si="4"/>
        <v>0</v>
      </c>
      <c r="AH84" s="17">
        <v>1</v>
      </c>
      <c r="AI84" s="583">
        <f t="shared" si="10"/>
        <v>49346.31999999999</v>
      </c>
    </row>
    <row r="85" spans="1:35" ht="12.75">
      <c r="A85" s="582" t="s">
        <v>12</v>
      </c>
      <c r="B85" s="16">
        <v>1</v>
      </c>
      <c r="C85" s="12">
        <v>989.07</v>
      </c>
      <c r="D85" s="12">
        <v>2983</v>
      </c>
      <c r="E85" s="12">
        <v>0</v>
      </c>
      <c r="F85" s="12">
        <v>0</v>
      </c>
      <c r="G85" s="12">
        <v>0</v>
      </c>
      <c r="H85" s="12">
        <v>0</v>
      </c>
      <c r="I85" s="12">
        <v>0</v>
      </c>
      <c r="J85" s="12">
        <v>0</v>
      </c>
      <c r="K85" s="12">
        <f t="shared" si="5"/>
        <v>3972.07</v>
      </c>
      <c r="L85" s="12">
        <v>1000</v>
      </c>
      <c r="M85" s="12">
        <v>0</v>
      </c>
      <c r="N85" s="9">
        <f t="shared" si="6"/>
        <v>1000</v>
      </c>
      <c r="O85" s="44">
        <f t="shared" si="7"/>
        <v>48664.840000000004</v>
      </c>
      <c r="P85" s="17">
        <f t="shared" si="8"/>
        <v>48664.840000000004</v>
      </c>
      <c r="Q85" s="16">
        <v>1</v>
      </c>
      <c r="R85" s="12">
        <v>989.07</v>
      </c>
      <c r="S85" s="12">
        <v>2983</v>
      </c>
      <c r="T85" s="12">
        <v>0</v>
      </c>
      <c r="U85" s="12">
        <v>0</v>
      </c>
      <c r="V85" s="12">
        <v>0</v>
      </c>
      <c r="W85" s="12">
        <v>0</v>
      </c>
      <c r="X85" s="12">
        <v>0</v>
      </c>
      <c r="Y85" s="12">
        <v>0</v>
      </c>
      <c r="Z85" s="12">
        <f t="shared" si="0"/>
        <v>3972.07</v>
      </c>
      <c r="AA85" s="12">
        <v>1000</v>
      </c>
      <c r="AB85" s="12">
        <v>0</v>
      </c>
      <c r="AC85" s="9">
        <f t="shared" si="1"/>
        <v>1000</v>
      </c>
      <c r="AD85" s="44">
        <f t="shared" si="2"/>
        <v>48664.840000000004</v>
      </c>
      <c r="AE85" s="17">
        <f t="shared" si="3"/>
        <v>48664.840000000004</v>
      </c>
      <c r="AF85" s="583">
        <f t="shared" si="9"/>
        <v>0</v>
      </c>
      <c r="AG85" s="583">
        <f t="shared" si="4"/>
        <v>0</v>
      </c>
      <c r="AH85" s="17">
        <v>1</v>
      </c>
      <c r="AI85" s="583">
        <f t="shared" si="10"/>
        <v>48664.840000000004</v>
      </c>
    </row>
    <row r="86" spans="1:35" ht="12.75">
      <c r="A86" s="581" t="s">
        <v>4</v>
      </c>
      <c r="B86" s="16"/>
      <c r="C86" s="12"/>
      <c r="D86" s="12"/>
      <c r="E86" s="12"/>
      <c r="F86" s="12"/>
      <c r="G86" s="12"/>
      <c r="H86" s="12"/>
      <c r="I86" s="12"/>
      <c r="J86" s="12"/>
      <c r="K86" s="12"/>
      <c r="L86" s="12"/>
      <c r="M86" s="12"/>
      <c r="N86" s="9"/>
      <c r="O86" s="44"/>
      <c r="P86" s="17"/>
      <c r="Q86" s="16"/>
      <c r="R86" s="12"/>
      <c r="S86" s="12"/>
      <c r="T86" s="12"/>
      <c r="U86" s="12"/>
      <c r="V86" s="12"/>
      <c r="W86" s="12"/>
      <c r="X86" s="12"/>
      <c r="Y86" s="12"/>
      <c r="Z86" s="12"/>
      <c r="AA86" s="12"/>
      <c r="AB86" s="12"/>
      <c r="AC86" s="9"/>
      <c r="AD86" s="44"/>
      <c r="AE86" s="17"/>
      <c r="AF86" s="583"/>
      <c r="AG86" s="583"/>
      <c r="AH86" s="17"/>
      <c r="AI86" s="583"/>
    </row>
    <row r="87" spans="1:35" ht="12.75">
      <c r="A87" s="582" t="s">
        <v>669</v>
      </c>
      <c r="B87" s="16">
        <v>1</v>
      </c>
      <c r="C87" s="12">
        <v>685.92</v>
      </c>
      <c r="D87" s="12">
        <v>2783</v>
      </c>
      <c r="E87" s="12">
        <v>0</v>
      </c>
      <c r="F87" s="12">
        <v>0</v>
      </c>
      <c r="G87" s="12">
        <v>0</v>
      </c>
      <c r="H87" s="12">
        <v>0</v>
      </c>
      <c r="I87" s="12">
        <v>0</v>
      </c>
      <c r="J87" s="12">
        <v>0</v>
      </c>
      <c r="K87" s="12">
        <f t="shared" si="5"/>
        <v>3468.92</v>
      </c>
      <c r="L87" s="12">
        <v>1000</v>
      </c>
      <c r="M87" s="12">
        <v>0</v>
      </c>
      <c r="N87" s="9">
        <f t="shared" si="6"/>
        <v>1000</v>
      </c>
      <c r="O87" s="44">
        <f t="shared" si="7"/>
        <v>42627.04</v>
      </c>
      <c r="P87" s="17">
        <f t="shared" si="8"/>
        <v>42627.04</v>
      </c>
      <c r="Q87" s="16">
        <v>1</v>
      </c>
      <c r="R87" s="12">
        <v>685.92</v>
      </c>
      <c r="S87" s="12">
        <v>2783</v>
      </c>
      <c r="T87" s="12">
        <v>0</v>
      </c>
      <c r="U87" s="12">
        <v>0</v>
      </c>
      <c r="V87" s="12">
        <v>0</v>
      </c>
      <c r="W87" s="12">
        <v>0</v>
      </c>
      <c r="X87" s="12">
        <v>0</v>
      </c>
      <c r="Y87" s="12">
        <v>0</v>
      </c>
      <c r="Z87" s="12">
        <f>+R87+S87</f>
        <v>3468.92</v>
      </c>
      <c r="AA87" s="12">
        <v>1000</v>
      </c>
      <c r="AB87" s="12">
        <v>0</v>
      </c>
      <c r="AC87" s="9">
        <f>+AA87+AB87</f>
        <v>1000</v>
      </c>
      <c r="AD87" s="44">
        <f>+(Z87*12)+AC87</f>
        <v>42627.04</v>
      </c>
      <c r="AE87" s="17">
        <f>+Q87*AD87</f>
        <v>42627.04</v>
      </c>
      <c r="AF87" s="583">
        <f t="shared" si="9"/>
        <v>0</v>
      </c>
      <c r="AG87" s="583">
        <f t="shared" si="4"/>
        <v>0</v>
      </c>
      <c r="AH87" s="17">
        <v>1</v>
      </c>
      <c r="AI87" s="583">
        <f t="shared" si="10"/>
        <v>42627.04</v>
      </c>
    </row>
    <row r="88" spans="1:35" ht="12.75">
      <c r="A88" s="582" t="s">
        <v>669</v>
      </c>
      <c r="B88" s="16">
        <v>1</v>
      </c>
      <c r="C88" s="12">
        <v>672.92</v>
      </c>
      <c r="D88" s="12">
        <v>2783</v>
      </c>
      <c r="E88" s="12">
        <v>0</v>
      </c>
      <c r="F88" s="12">
        <v>0</v>
      </c>
      <c r="G88" s="12">
        <v>0</v>
      </c>
      <c r="H88" s="12">
        <v>0</v>
      </c>
      <c r="I88" s="12">
        <v>0</v>
      </c>
      <c r="J88" s="12">
        <v>0</v>
      </c>
      <c r="K88" s="12">
        <f t="shared" si="5"/>
        <v>3455.92</v>
      </c>
      <c r="L88" s="12">
        <v>1000</v>
      </c>
      <c r="M88" s="12">
        <v>0</v>
      </c>
      <c r="N88" s="9">
        <f t="shared" si="6"/>
        <v>1000</v>
      </c>
      <c r="O88" s="44">
        <f t="shared" si="7"/>
        <v>42471.04</v>
      </c>
      <c r="P88" s="17">
        <f t="shared" si="8"/>
        <v>42471.04</v>
      </c>
      <c r="Q88" s="16">
        <v>1</v>
      </c>
      <c r="R88" s="12">
        <v>672.92</v>
      </c>
      <c r="S88" s="12">
        <v>2783</v>
      </c>
      <c r="T88" s="12">
        <v>0</v>
      </c>
      <c r="U88" s="12">
        <v>0</v>
      </c>
      <c r="V88" s="12">
        <v>0</v>
      </c>
      <c r="W88" s="12">
        <v>0</v>
      </c>
      <c r="X88" s="12">
        <v>0</v>
      </c>
      <c r="Y88" s="12">
        <v>0</v>
      </c>
      <c r="Z88" s="12">
        <f>+R88+S88</f>
        <v>3455.92</v>
      </c>
      <c r="AA88" s="12">
        <v>1000</v>
      </c>
      <c r="AB88" s="12">
        <v>0</v>
      </c>
      <c r="AC88" s="9">
        <f>+AA88+AB88</f>
        <v>1000</v>
      </c>
      <c r="AD88" s="44">
        <f>+(Z88*12)+AC88</f>
        <v>42471.04</v>
      </c>
      <c r="AE88" s="17">
        <f>+Q88*AD88</f>
        <v>42471.04</v>
      </c>
      <c r="AF88" s="583">
        <f t="shared" si="9"/>
        <v>0</v>
      </c>
      <c r="AG88" s="583">
        <f t="shared" si="4"/>
        <v>0</v>
      </c>
      <c r="AH88" s="17">
        <v>1</v>
      </c>
      <c r="AI88" s="583">
        <f t="shared" si="10"/>
        <v>42471.04</v>
      </c>
    </row>
    <row r="89" spans="1:35" ht="12.75">
      <c r="A89" s="582" t="s">
        <v>670</v>
      </c>
      <c r="B89" s="16">
        <v>1</v>
      </c>
      <c r="C89" s="12">
        <v>655.58</v>
      </c>
      <c r="D89" s="12">
        <v>2783</v>
      </c>
      <c r="E89" s="12">
        <v>0</v>
      </c>
      <c r="F89" s="12">
        <v>0</v>
      </c>
      <c r="G89" s="12">
        <v>0</v>
      </c>
      <c r="H89" s="12">
        <v>0</v>
      </c>
      <c r="I89" s="12">
        <v>0</v>
      </c>
      <c r="J89" s="12">
        <v>0</v>
      </c>
      <c r="K89" s="12">
        <f t="shared" si="5"/>
        <v>3438.58</v>
      </c>
      <c r="L89" s="12">
        <v>1000</v>
      </c>
      <c r="M89" s="12">
        <v>0</v>
      </c>
      <c r="N89" s="9">
        <f t="shared" si="6"/>
        <v>1000</v>
      </c>
      <c r="O89" s="44">
        <f t="shared" si="7"/>
        <v>42262.96</v>
      </c>
      <c r="P89" s="17">
        <f t="shared" si="8"/>
        <v>42262.96</v>
      </c>
      <c r="Q89" s="16">
        <v>1</v>
      </c>
      <c r="R89" s="12">
        <v>655.58</v>
      </c>
      <c r="S89" s="12">
        <v>2783</v>
      </c>
      <c r="T89" s="12">
        <v>0</v>
      </c>
      <c r="U89" s="12">
        <v>0</v>
      </c>
      <c r="V89" s="12">
        <v>0</v>
      </c>
      <c r="W89" s="12">
        <v>0</v>
      </c>
      <c r="X89" s="12">
        <v>0</v>
      </c>
      <c r="Y89" s="12">
        <v>0</v>
      </c>
      <c r="Z89" s="12">
        <f>+R89+S89</f>
        <v>3438.58</v>
      </c>
      <c r="AA89" s="12">
        <v>1000</v>
      </c>
      <c r="AB89" s="12">
        <v>0</v>
      </c>
      <c r="AC89" s="9">
        <f>+AA89+AB89</f>
        <v>1000</v>
      </c>
      <c r="AD89" s="44">
        <f>+(Z89*12)+AC89</f>
        <v>42262.96</v>
      </c>
      <c r="AE89" s="17">
        <f>+Q89*AD89</f>
        <v>42262.96</v>
      </c>
      <c r="AF89" s="583">
        <f t="shared" si="9"/>
        <v>0</v>
      </c>
      <c r="AG89" s="583">
        <f t="shared" si="4"/>
        <v>0</v>
      </c>
      <c r="AH89" s="17">
        <v>1</v>
      </c>
      <c r="AI89" s="583">
        <f t="shared" si="10"/>
        <v>42262.96</v>
      </c>
    </row>
    <row r="90" spans="1:35" ht="12.75">
      <c r="A90" s="582" t="s">
        <v>671</v>
      </c>
      <c r="B90" s="16">
        <v>1</v>
      </c>
      <c r="C90" s="12">
        <v>632.06</v>
      </c>
      <c r="D90" s="12">
        <v>2783</v>
      </c>
      <c r="E90" s="12">
        <v>0</v>
      </c>
      <c r="F90" s="12">
        <v>0</v>
      </c>
      <c r="G90" s="12">
        <v>0</v>
      </c>
      <c r="H90" s="12">
        <v>0</v>
      </c>
      <c r="I90" s="12">
        <v>0</v>
      </c>
      <c r="J90" s="12">
        <v>0</v>
      </c>
      <c r="K90" s="12">
        <f t="shared" si="5"/>
        <v>3415.06</v>
      </c>
      <c r="L90" s="12">
        <v>1000</v>
      </c>
      <c r="M90" s="12">
        <v>0</v>
      </c>
      <c r="N90" s="9">
        <f t="shared" si="6"/>
        <v>1000</v>
      </c>
      <c r="O90" s="44">
        <f t="shared" si="7"/>
        <v>41980.72</v>
      </c>
      <c r="P90" s="17">
        <f t="shared" si="8"/>
        <v>41980.72</v>
      </c>
      <c r="Q90" s="16">
        <v>1</v>
      </c>
      <c r="R90" s="12">
        <v>632.06</v>
      </c>
      <c r="S90" s="12">
        <v>2783</v>
      </c>
      <c r="T90" s="12">
        <v>0</v>
      </c>
      <c r="U90" s="12">
        <v>0</v>
      </c>
      <c r="V90" s="12">
        <v>0</v>
      </c>
      <c r="W90" s="12">
        <v>0</v>
      </c>
      <c r="X90" s="12">
        <v>0</v>
      </c>
      <c r="Y90" s="12">
        <v>0</v>
      </c>
      <c r="Z90" s="12">
        <f>+R90+S90</f>
        <v>3415.06</v>
      </c>
      <c r="AA90" s="12">
        <v>1000</v>
      </c>
      <c r="AB90" s="12">
        <v>0</v>
      </c>
      <c r="AC90" s="9">
        <f>+AA90+AB90</f>
        <v>1000</v>
      </c>
      <c r="AD90" s="44">
        <f>+(Z90*12)+AC90</f>
        <v>41980.72</v>
      </c>
      <c r="AE90" s="17">
        <f>+Q90*AD90</f>
        <v>41980.72</v>
      </c>
      <c r="AF90" s="583">
        <f t="shared" si="9"/>
        <v>0</v>
      </c>
      <c r="AG90" s="583">
        <f t="shared" si="4"/>
        <v>0</v>
      </c>
      <c r="AH90" s="17">
        <v>1</v>
      </c>
      <c r="AI90" s="583">
        <f t="shared" si="10"/>
        <v>41980.72</v>
      </c>
    </row>
    <row r="91" spans="1:35" ht="12.75">
      <c r="A91" s="581" t="s">
        <v>5</v>
      </c>
      <c r="B91" s="16"/>
      <c r="C91" s="12"/>
      <c r="D91" s="12"/>
      <c r="E91" s="12"/>
      <c r="F91" s="12"/>
      <c r="G91" s="12"/>
      <c r="H91" s="12"/>
      <c r="I91" s="12"/>
      <c r="J91" s="12"/>
      <c r="K91" s="12"/>
      <c r="L91" s="12"/>
      <c r="M91" s="12"/>
      <c r="N91" s="9"/>
      <c r="O91" s="44"/>
      <c r="P91" s="17"/>
      <c r="Q91" s="16"/>
      <c r="R91" s="12"/>
      <c r="S91" s="12"/>
      <c r="T91" s="12"/>
      <c r="U91" s="12"/>
      <c r="V91" s="12"/>
      <c r="W91" s="12"/>
      <c r="X91" s="12"/>
      <c r="Y91" s="12"/>
      <c r="Z91" s="12"/>
      <c r="AA91" s="12"/>
      <c r="AB91" s="12"/>
      <c r="AC91" s="9"/>
      <c r="AD91" s="44"/>
      <c r="AE91" s="17"/>
      <c r="AF91" s="583"/>
      <c r="AG91" s="583"/>
      <c r="AH91" s="17"/>
      <c r="AI91" s="583"/>
    </row>
    <row r="92" spans="1:35" ht="12.75">
      <c r="A92" s="582" t="s">
        <v>672</v>
      </c>
      <c r="B92" s="16">
        <v>1</v>
      </c>
      <c r="C92" s="12">
        <v>613.37</v>
      </c>
      <c r="D92" s="12">
        <v>2583</v>
      </c>
      <c r="E92" s="12">
        <v>0</v>
      </c>
      <c r="F92" s="12">
        <v>0</v>
      </c>
      <c r="G92" s="12">
        <v>0</v>
      </c>
      <c r="H92" s="12">
        <v>0</v>
      </c>
      <c r="I92" s="12">
        <v>0</v>
      </c>
      <c r="J92" s="12">
        <v>0</v>
      </c>
      <c r="K92" s="12">
        <f t="shared" si="5"/>
        <v>3196.37</v>
      </c>
      <c r="L92" s="12">
        <v>1000</v>
      </c>
      <c r="M92" s="12">
        <v>0</v>
      </c>
      <c r="N92" s="9">
        <f t="shared" si="6"/>
        <v>1000</v>
      </c>
      <c r="O92" s="44">
        <f t="shared" si="7"/>
        <v>39356.44</v>
      </c>
      <c r="P92" s="17">
        <f t="shared" si="8"/>
        <v>39356.44</v>
      </c>
      <c r="Q92" s="16">
        <v>1</v>
      </c>
      <c r="R92" s="12">
        <v>613.37</v>
      </c>
      <c r="S92" s="12">
        <v>2583</v>
      </c>
      <c r="T92" s="12">
        <v>0</v>
      </c>
      <c r="U92" s="12">
        <v>0</v>
      </c>
      <c r="V92" s="12">
        <v>0</v>
      </c>
      <c r="W92" s="12">
        <v>0</v>
      </c>
      <c r="X92" s="12">
        <v>0</v>
      </c>
      <c r="Y92" s="12">
        <v>0</v>
      </c>
      <c r="Z92" s="12">
        <f>+R92+S92</f>
        <v>3196.37</v>
      </c>
      <c r="AA92" s="12">
        <v>1000</v>
      </c>
      <c r="AB92" s="12">
        <v>0</v>
      </c>
      <c r="AC92" s="9">
        <f>+AA92+AB92</f>
        <v>1000</v>
      </c>
      <c r="AD92" s="44">
        <f>+(Z92*12)+AC92</f>
        <v>39356.44</v>
      </c>
      <c r="AE92" s="17">
        <f>+Q92*AD92</f>
        <v>39356.44</v>
      </c>
      <c r="AF92" s="583">
        <f t="shared" si="9"/>
        <v>0</v>
      </c>
      <c r="AG92" s="583">
        <f t="shared" si="4"/>
        <v>0</v>
      </c>
      <c r="AH92" s="17">
        <v>1</v>
      </c>
      <c r="AI92" s="583">
        <f t="shared" si="10"/>
        <v>39356.44</v>
      </c>
    </row>
    <row r="93" spans="1:35" ht="12.75">
      <c r="A93" s="582" t="s">
        <v>672</v>
      </c>
      <c r="B93" s="16"/>
      <c r="C93" s="12"/>
      <c r="D93" s="12"/>
      <c r="E93" s="12"/>
      <c r="F93" s="12"/>
      <c r="G93" s="12"/>
      <c r="H93" s="12"/>
      <c r="I93" s="12"/>
      <c r="J93" s="12"/>
      <c r="K93" s="12"/>
      <c r="L93" s="12"/>
      <c r="M93" s="12"/>
      <c r="N93" s="9"/>
      <c r="O93" s="44"/>
      <c r="P93" s="17"/>
      <c r="Q93" s="16">
        <v>1</v>
      </c>
      <c r="R93" s="12">
        <v>612.82</v>
      </c>
      <c r="S93" s="12">
        <v>2583</v>
      </c>
      <c r="T93" s="12">
        <v>0</v>
      </c>
      <c r="U93" s="12">
        <v>0</v>
      </c>
      <c r="V93" s="12">
        <v>0</v>
      </c>
      <c r="W93" s="12">
        <v>0</v>
      </c>
      <c r="X93" s="12">
        <v>0</v>
      </c>
      <c r="Y93" s="12">
        <v>0</v>
      </c>
      <c r="Z93" s="12">
        <f>+R93+S93</f>
        <v>3195.82</v>
      </c>
      <c r="AA93" s="12">
        <v>1000</v>
      </c>
      <c r="AB93" s="12">
        <v>0</v>
      </c>
      <c r="AC93" s="9">
        <f>+AA93+AB93</f>
        <v>1000</v>
      </c>
      <c r="AD93" s="44">
        <f>+(Z93*12)+AC93</f>
        <v>39349.840000000004</v>
      </c>
      <c r="AE93" s="17">
        <f>+Q93*AD93</f>
        <v>39349.840000000004</v>
      </c>
      <c r="AF93" s="583">
        <f t="shared" si="9"/>
        <v>39349.840000000004</v>
      </c>
      <c r="AG93" s="583">
        <f t="shared" si="4"/>
        <v>39349.840000000004</v>
      </c>
      <c r="AH93" s="17">
        <v>1</v>
      </c>
      <c r="AI93" s="583">
        <f t="shared" si="10"/>
        <v>39349.840000000004</v>
      </c>
    </row>
    <row r="94" spans="1:35" ht="12.75">
      <c r="A94" s="582" t="s">
        <v>673</v>
      </c>
      <c r="B94" s="16">
        <v>1</v>
      </c>
      <c r="C94" s="12">
        <v>605.01</v>
      </c>
      <c r="D94" s="12">
        <v>2583</v>
      </c>
      <c r="E94" s="12">
        <v>0</v>
      </c>
      <c r="F94" s="12">
        <v>0</v>
      </c>
      <c r="G94" s="12">
        <v>0</v>
      </c>
      <c r="H94" s="12">
        <v>0</v>
      </c>
      <c r="I94" s="12">
        <v>0</v>
      </c>
      <c r="J94" s="12">
        <v>0</v>
      </c>
      <c r="K94" s="12">
        <f t="shared" si="5"/>
        <v>3188.01</v>
      </c>
      <c r="L94" s="12">
        <v>1000</v>
      </c>
      <c r="M94" s="12">
        <v>0</v>
      </c>
      <c r="N94" s="9">
        <f t="shared" si="6"/>
        <v>1000</v>
      </c>
      <c r="O94" s="44">
        <f t="shared" si="7"/>
        <v>39256.12</v>
      </c>
      <c r="P94" s="17">
        <f t="shared" si="8"/>
        <v>39256.12</v>
      </c>
      <c r="Q94" s="16">
        <v>1</v>
      </c>
      <c r="R94" s="12">
        <v>605.01</v>
      </c>
      <c r="S94" s="12">
        <v>2583</v>
      </c>
      <c r="T94" s="12">
        <v>0</v>
      </c>
      <c r="U94" s="12">
        <v>0</v>
      </c>
      <c r="V94" s="12">
        <v>0</v>
      </c>
      <c r="W94" s="12">
        <v>0</v>
      </c>
      <c r="X94" s="12">
        <v>0</v>
      </c>
      <c r="Y94" s="12">
        <v>0</v>
      </c>
      <c r="Z94" s="12">
        <f>+R94+S94</f>
        <v>3188.01</v>
      </c>
      <c r="AA94" s="12">
        <v>1000</v>
      </c>
      <c r="AB94" s="12">
        <v>0</v>
      </c>
      <c r="AC94" s="9">
        <f>+AA94+AB94</f>
        <v>1000</v>
      </c>
      <c r="AD94" s="44">
        <f>+(Z94*12)+AC94</f>
        <v>39256.12</v>
      </c>
      <c r="AE94" s="17">
        <f>+Q94*AD94</f>
        <v>39256.12</v>
      </c>
      <c r="AF94" s="583">
        <f t="shared" si="9"/>
        <v>0</v>
      </c>
      <c r="AG94" s="583">
        <f t="shared" si="4"/>
        <v>0</v>
      </c>
      <c r="AH94" s="17">
        <v>1</v>
      </c>
      <c r="AI94" s="583">
        <f t="shared" si="10"/>
        <v>39256.12</v>
      </c>
    </row>
    <row r="95" spans="1:35" ht="12">
      <c r="A95" s="16" t="s">
        <v>64</v>
      </c>
      <c r="B95" s="16"/>
      <c r="C95" s="12"/>
      <c r="D95" s="12"/>
      <c r="E95" s="12"/>
      <c r="F95" s="12"/>
      <c r="G95" s="12"/>
      <c r="H95" s="12"/>
      <c r="I95" s="12"/>
      <c r="J95" s="12"/>
      <c r="K95" s="12"/>
      <c r="L95" s="12"/>
      <c r="M95" s="12"/>
      <c r="N95" s="9"/>
      <c r="O95" s="44"/>
      <c r="P95" s="17"/>
      <c r="Q95" s="16"/>
      <c r="R95" s="12"/>
      <c r="S95" s="12"/>
      <c r="T95" s="12"/>
      <c r="U95" s="12"/>
      <c r="V95" s="12"/>
      <c r="W95" s="12"/>
      <c r="X95" s="12"/>
      <c r="Y95" s="12"/>
      <c r="Z95" s="12"/>
      <c r="AA95" s="12"/>
      <c r="AB95" s="12"/>
      <c r="AC95" s="9"/>
      <c r="AD95" s="44"/>
      <c r="AE95" s="17"/>
      <c r="AF95" s="17"/>
      <c r="AG95" s="16"/>
      <c r="AH95" s="17"/>
      <c r="AI95" s="16"/>
    </row>
    <row r="96" spans="1:35" ht="12">
      <c r="A96" s="16" t="s">
        <v>62</v>
      </c>
      <c r="B96" s="16"/>
      <c r="C96" s="12"/>
      <c r="D96" s="12"/>
      <c r="E96" s="12"/>
      <c r="F96" s="12"/>
      <c r="G96" s="12"/>
      <c r="H96" s="12"/>
      <c r="I96" s="12"/>
      <c r="J96" s="12"/>
      <c r="K96" s="12"/>
      <c r="L96" s="12"/>
      <c r="M96" s="12"/>
      <c r="N96" s="9"/>
      <c r="O96" s="44"/>
      <c r="P96" s="17"/>
      <c r="Q96" s="16"/>
      <c r="R96" s="12"/>
      <c r="S96" s="12"/>
      <c r="T96" s="12"/>
      <c r="U96" s="12"/>
      <c r="V96" s="12"/>
      <c r="W96" s="12"/>
      <c r="X96" s="12"/>
      <c r="Y96" s="12"/>
      <c r="Z96" s="12"/>
      <c r="AA96" s="12"/>
      <c r="AB96" s="12"/>
      <c r="AC96" s="9"/>
      <c r="AD96" s="44"/>
      <c r="AE96" s="17"/>
      <c r="AF96" s="17"/>
      <c r="AG96" s="16"/>
      <c r="AH96" s="17"/>
      <c r="AI96" s="16"/>
    </row>
    <row r="97" spans="1:35" ht="12">
      <c r="A97" s="16"/>
      <c r="B97" s="16"/>
      <c r="C97" s="12"/>
      <c r="D97" s="12"/>
      <c r="E97" s="12"/>
      <c r="F97" s="12"/>
      <c r="G97" s="12"/>
      <c r="H97" s="12"/>
      <c r="I97" s="12"/>
      <c r="J97" s="12"/>
      <c r="K97" s="12"/>
      <c r="L97" s="12"/>
      <c r="M97" s="12"/>
      <c r="N97" s="9"/>
      <c r="O97" s="44"/>
      <c r="P97" s="17"/>
      <c r="Q97" s="16"/>
      <c r="R97" s="12"/>
      <c r="S97" s="12"/>
      <c r="T97" s="12"/>
      <c r="U97" s="12"/>
      <c r="V97" s="12"/>
      <c r="W97" s="12"/>
      <c r="X97" s="12"/>
      <c r="Y97" s="12"/>
      <c r="Z97" s="12"/>
      <c r="AA97" s="12"/>
      <c r="AB97" s="12"/>
      <c r="AC97" s="9"/>
      <c r="AD97" s="44"/>
      <c r="AE97" s="17"/>
      <c r="AF97" s="17"/>
      <c r="AG97" s="16"/>
      <c r="AH97" s="17"/>
      <c r="AI97" s="16"/>
    </row>
    <row r="98" spans="1:35" ht="12">
      <c r="A98" s="16" t="s">
        <v>65</v>
      </c>
      <c r="B98" s="16"/>
      <c r="C98" s="12"/>
      <c r="D98" s="12"/>
      <c r="E98" s="12"/>
      <c r="F98" s="12"/>
      <c r="G98" s="12"/>
      <c r="H98" s="12"/>
      <c r="I98" s="12"/>
      <c r="J98" s="12"/>
      <c r="K98" s="12"/>
      <c r="L98" s="12"/>
      <c r="M98" s="12"/>
      <c r="N98" s="9"/>
      <c r="O98" s="44"/>
      <c r="P98" s="17"/>
      <c r="Q98" s="16"/>
      <c r="R98" s="12"/>
      <c r="S98" s="12"/>
      <c r="T98" s="12"/>
      <c r="U98" s="12"/>
      <c r="V98" s="12"/>
      <c r="W98" s="12"/>
      <c r="X98" s="12"/>
      <c r="Y98" s="12"/>
      <c r="Z98" s="12"/>
      <c r="AA98" s="12"/>
      <c r="AB98" s="12"/>
      <c r="AC98" s="9"/>
      <c r="AD98" s="44"/>
      <c r="AE98" s="17"/>
      <c r="AF98" s="17"/>
      <c r="AG98" s="16"/>
      <c r="AH98" s="17"/>
      <c r="AI98" s="16"/>
    </row>
    <row r="99" spans="1:35" ht="12">
      <c r="A99" s="16" t="s">
        <v>62</v>
      </c>
      <c r="B99" s="16"/>
      <c r="C99" s="12"/>
      <c r="D99" s="12"/>
      <c r="E99" s="12"/>
      <c r="F99" s="12"/>
      <c r="G99" s="12"/>
      <c r="H99" s="12"/>
      <c r="I99" s="12"/>
      <c r="J99" s="12"/>
      <c r="K99" s="12"/>
      <c r="L99" s="12"/>
      <c r="M99" s="12"/>
      <c r="N99" s="9"/>
      <c r="O99" s="44"/>
      <c r="P99" s="17"/>
      <c r="Q99" s="16"/>
      <c r="R99" s="12"/>
      <c r="S99" s="12"/>
      <c r="T99" s="12"/>
      <c r="U99" s="12"/>
      <c r="V99" s="12"/>
      <c r="W99" s="12"/>
      <c r="X99" s="12"/>
      <c r="Y99" s="12"/>
      <c r="Z99" s="12"/>
      <c r="AA99" s="12"/>
      <c r="AB99" s="12"/>
      <c r="AC99" s="9"/>
      <c r="AD99" s="44"/>
      <c r="AE99" s="17"/>
      <c r="AF99" s="17"/>
      <c r="AG99" s="16"/>
      <c r="AH99" s="17"/>
      <c r="AI99" s="16"/>
    </row>
    <row r="100" spans="1:35" ht="12">
      <c r="A100" s="16"/>
      <c r="B100" s="16"/>
      <c r="C100" s="12"/>
      <c r="D100" s="12"/>
      <c r="E100" s="12"/>
      <c r="F100" s="12"/>
      <c r="G100" s="12"/>
      <c r="H100" s="12"/>
      <c r="I100" s="12"/>
      <c r="J100" s="12"/>
      <c r="K100" s="12"/>
      <c r="L100" s="12"/>
      <c r="M100" s="12"/>
      <c r="N100" s="9"/>
      <c r="O100" s="44"/>
      <c r="P100" s="17"/>
      <c r="Q100" s="16"/>
      <c r="R100" s="12"/>
      <c r="S100" s="12"/>
      <c r="T100" s="12"/>
      <c r="U100" s="12"/>
      <c r="V100" s="12"/>
      <c r="W100" s="12"/>
      <c r="X100" s="12"/>
      <c r="Y100" s="12"/>
      <c r="Z100" s="12"/>
      <c r="AA100" s="12"/>
      <c r="AB100" s="12"/>
      <c r="AC100" s="9"/>
      <c r="AD100" s="44"/>
      <c r="AE100" s="17"/>
      <c r="AF100" s="17"/>
      <c r="AG100" s="16"/>
      <c r="AH100" s="17"/>
      <c r="AI100" s="16"/>
    </row>
    <row r="101" spans="1:35" ht="12.75" thickBot="1">
      <c r="A101" s="42"/>
      <c r="B101" s="73"/>
      <c r="C101" s="14"/>
      <c r="D101" s="14"/>
      <c r="E101" s="14"/>
      <c r="F101" s="14"/>
      <c r="G101" s="14"/>
      <c r="H101" s="14"/>
      <c r="I101" s="14"/>
      <c r="J101" s="14"/>
      <c r="K101" s="14"/>
      <c r="L101" s="14"/>
      <c r="M101" s="14"/>
      <c r="N101" s="13"/>
      <c r="O101" s="45"/>
      <c r="P101" s="46"/>
      <c r="Q101" s="73"/>
      <c r="R101" s="14"/>
      <c r="S101" s="14"/>
      <c r="T101" s="14"/>
      <c r="U101" s="14"/>
      <c r="V101" s="14"/>
      <c r="W101" s="14"/>
      <c r="X101" s="14"/>
      <c r="Y101" s="14"/>
      <c r="Z101" s="14"/>
      <c r="AA101" s="14"/>
      <c r="AB101" s="14"/>
      <c r="AC101" s="13"/>
      <c r="AD101" s="45"/>
      <c r="AE101" s="46"/>
      <c r="AF101" s="46"/>
      <c r="AG101" s="73"/>
      <c r="AH101" s="46"/>
      <c r="AI101" s="73"/>
    </row>
    <row r="102" spans="1:35" ht="12.75" thickBot="1">
      <c r="A102" s="69" t="s">
        <v>0</v>
      </c>
      <c r="B102" s="74">
        <f>+SUM(B77:B101)</f>
        <v>13</v>
      </c>
      <c r="C102" s="72">
        <f>+SUM(C77:C101)</f>
        <v>9571.41</v>
      </c>
      <c r="D102" s="72">
        <f aca="true" t="shared" si="11" ref="D102:N102">+SUM(D77:D101)</f>
        <v>34596</v>
      </c>
      <c r="E102" s="72">
        <f t="shared" si="11"/>
        <v>0</v>
      </c>
      <c r="F102" s="72">
        <f t="shared" si="11"/>
        <v>0</v>
      </c>
      <c r="G102" s="72">
        <f t="shared" si="11"/>
        <v>0</v>
      </c>
      <c r="H102" s="72">
        <f t="shared" si="11"/>
        <v>0</v>
      </c>
      <c r="I102" s="72">
        <f t="shared" si="11"/>
        <v>0</v>
      </c>
      <c r="J102" s="72">
        <f t="shared" si="11"/>
        <v>0</v>
      </c>
      <c r="K102" s="72">
        <f t="shared" si="11"/>
        <v>44167.41</v>
      </c>
      <c r="L102" s="72">
        <f t="shared" si="11"/>
        <v>12000</v>
      </c>
      <c r="M102" s="72">
        <f t="shared" si="11"/>
        <v>0</v>
      </c>
      <c r="N102" s="72">
        <f t="shared" si="11"/>
        <v>12000</v>
      </c>
      <c r="O102" s="58">
        <f>+SUM(O77:O101)</f>
        <v>542008.92</v>
      </c>
      <c r="P102" s="58">
        <f>+SUM(P77:P101)</f>
        <v>590417.2000000001</v>
      </c>
      <c r="Q102" s="42">
        <f>+SUM(Q77:Q101)</f>
        <v>14</v>
      </c>
      <c r="R102" s="72">
        <f>+SUM(R77:R101)</f>
        <v>10184.23</v>
      </c>
      <c r="S102" s="72">
        <f aca="true" t="shared" si="12" ref="S102:AI102">+SUM(S77:S101)</f>
        <v>37179</v>
      </c>
      <c r="T102" s="72">
        <f t="shared" si="12"/>
        <v>0</v>
      </c>
      <c r="U102" s="72">
        <f t="shared" si="12"/>
        <v>0</v>
      </c>
      <c r="V102" s="72">
        <f t="shared" si="12"/>
        <v>0</v>
      </c>
      <c r="W102" s="72">
        <f t="shared" si="12"/>
        <v>0</v>
      </c>
      <c r="X102" s="72">
        <f t="shared" si="12"/>
        <v>0</v>
      </c>
      <c r="Y102" s="72">
        <f t="shared" si="12"/>
        <v>0</v>
      </c>
      <c r="Z102" s="72">
        <f t="shared" si="12"/>
        <v>47363.23</v>
      </c>
      <c r="AA102" s="72">
        <f t="shared" si="12"/>
        <v>13000</v>
      </c>
      <c r="AB102" s="72">
        <f t="shared" si="12"/>
        <v>0</v>
      </c>
      <c r="AC102" s="72">
        <f t="shared" si="12"/>
        <v>13000</v>
      </c>
      <c r="AD102" s="58">
        <f t="shared" si="12"/>
        <v>581358.76</v>
      </c>
      <c r="AE102" s="58">
        <f t="shared" si="12"/>
        <v>629767.04</v>
      </c>
      <c r="AF102" s="8">
        <f t="shared" si="12"/>
        <v>39349.840000000004</v>
      </c>
      <c r="AG102" s="8">
        <f t="shared" si="12"/>
        <v>39349.840000000004</v>
      </c>
      <c r="AH102" s="8">
        <f t="shared" si="12"/>
        <v>15</v>
      </c>
      <c r="AI102" s="42">
        <f t="shared" si="12"/>
        <v>676825.2</v>
      </c>
    </row>
    <row r="106" spans="1:35" ht="12.75" thickBot="1">
      <c r="A106" s="82" t="s">
        <v>680</v>
      </c>
      <c r="B106" s="82"/>
      <c r="C106" s="82"/>
      <c r="D106" s="82"/>
      <c r="E106" s="82"/>
      <c r="F106" s="82"/>
      <c r="G106" s="82"/>
      <c r="H106" s="82"/>
      <c r="I106" s="82"/>
      <c r="J106" s="82"/>
      <c r="K106" s="82"/>
      <c r="L106" s="82"/>
      <c r="M106" s="82"/>
      <c r="N106" s="82"/>
      <c r="O106" s="82"/>
      <c r="P106" s="82"/>
      <c r="Q106" s="82"/>
      <c r="R106" s="82"/>
      <c r="S106" s="82"/>
      <c r="T106" s="84"/>
      <c r="U106" s="82"/>
      <c r="V106" s="82"/>
      <c r="W106" s="82"/>
      <c r="X106" s="82"/>
      <c r="Y106" s="82"/>
      <c r="Z106" s="82"/>
      <c r="AA106" s="82"/>
      <c r="AB106" s="82"/>
      <c r="AC106" s="82"/>
      <c r="AD106" s="82"/>
      <c r="AE106" s="82"/>
      <c r="AF106" s="82"/>
      <c r="AG106" s="82"/>
      <c r="AH106" s="82"/>
      <c r="AI106" s="82"/>
    </row>
    <row r="107" spans="1:35" ht="12.75" thickBot="1">
      <c r="A107" s="1543" t="s">
        <v>47</v>
      </c>
      <c r="B107" s="1554" t="s">
        <v>339</v>
      </c>
      <c r="C107" s="1554"/>
      <c r="D107" s="1554"/>
      <c r="E107" s="1554"/>
      <c r="F107" s="1554"/>
      <c r="G107" s="1554"/>
      <c r="H107" s="1554"/>
      <c r="I107" s="1554"/>
      <c r="J107" s="1554"/>
      <c r="K107" s="1554"/>
      <c r="L107" s="1554"/>
      <c r="M107" s="1554"/>
      <c r="N107" s="1554"/>
      <c r="O107" s="1554"/>
      <c r="P107" s="1554"/>
      <c r="Q107" s="1555" t="s">
        <v>434</v>
      </c>
      <c r="R107" s="1554"/>
      <c r="S107" s="1554"/>
      <c r="T107" s="1554"/>
      <c r="U107" s="1554"/>
      <c r="V107" s="1554"/>
      <c r="W107" s="1554"/>
      <c r="X107" s="1554"/>
      <c r="Y107" s="1554"/>
      <c r="Z107" s="1554"/>
      <c r="AA107" s="1554"/>
      <c r="AB107" s="1554"/>
      <c r="AC107" s="1554"/>
      <c r="AD107" s="1554"/>
      <c r="AE107" s="1556"/>
      <c r="AF107" s="1557" t="s">
        <v>436</v>
      </c>
      <c r="AG107" s="1558"/>
      <c r="AH107" s="1557" t="s">
        <v>435</v>
      </c>
      <c r="AI107" s="1558"/>
    </row>
    <row r="108" spans="1:35" ht="140.25">
      <c r="A108" s="1552"/>
      <c r="B108" s="171" t="s">
        <v>11</v>
      </c>
      <c r="C108" s="172" t="s">
        <v>146</v>
      </c>
      <c r="D108" s="173" t="s">
        <v>270</v>
      </c>
      <c r="E108" s="173" t="s">
        <v>148</v>
      </c>
      <c r="F108" s="173" t="s">
        <v>182</v>
      </c>
      <c r="G108" s="173" t="s">
        <v>183</v>
      </c>
      <c r="H108" s="173" t="s">
        <v>184</v>
      </c>
      <c r="I108" s="173" t="s">
        <v>185</v>
      </c>
      <c r="J108" s="173" t="s">
        <v>149</v>
      </c>
      <c r="K108" s="173" t="s">
        <v>150</v>
      </c>
      <c r="L108" s="173" t="s">
        <v>151</v>
      </c>
      <c r="M108" s="173" t="s">
        <v>181</v>
      </c>
      <c r="N108" s="174" t="s">
        <v>119</v>
      </c>
      <c r="O108" s="175" t="s">
        <v>156</v>
      </c>
      <c r="P108" s="176" t="s">
        <v>155</v>
      </c>
      <c r="Q108" s="171" t="s">
        <v>11</v>
      </c>
      <c r="R108" s="172" t="s">
        <v>146</v>
      </c>
      <c r="S108" s="173" t="s">
        <v>147</v>
      </c>
      <c r="T108" s="173" t="s">
        <v>148</v>
      </c>
      <c r="U108" s="173" t="s">
        <v>182</v>
      </c>
      <c r="V108" s="173" t="s">
        <v>183</v>
      </c>
      <c r="W108" s="173" t="s">
        <v>184</v>
      </c>
      <c r="X108" s="173" t="s">
        <v>185</v>
      </c>
      <c r="Y108" s="173" t="s">
        <v>149</v>
      </c>
      <c r="Z108" s="173" t="s">
        <v>150</v>
      </c>
      <c r="AA108" s="173" t="s">
        <v>151</v>
      </c>
      <c r="AB108" s="173" t="s">
        <v>181</v>
      </c>
      <c r="AC108" s="174" t="s">
        <v>119</v>
      </c>
      <c r="AD108" s="175" t="s">
        <v>156</v>
      </c>
      <c r="AE108" s="176" t="s">
        <v>340</v>
      </c>
      <c r="AF108" s="177" t="s">
        <v>160</v>
      </c>
      <c r="AG108" s="177" t="s">
        <v>159</v>
      </c>
      <c r="AH108" s="177" t="s">
        <v>11</v>
      </c>
      <c r="AI108" s="176" t="s">
        <v>341</v>
      </c>
    </row>
    <row r="109" spans="1:35" ht="12.75" thickBot="1">
      <c r="A109" s="1567"/>
      <c r="B109" s="178" t="s">
        <v>48</v>
      </c>
      <c r="C109" s="179" t="s">
        <v>49</v>
      </c>
      <c r="D109" s="180" t="s">
        <v>50</v>
      </c>
      <c r="E109" s="180" t="s">
        <v>51</v>
      </c>
      <c r="F109" s="181" t="s">
        <v>52</v>
      </c>
      <c r="G109" s="181" t="s">
        <v>53</v>
      </c>
      <c r="H109" s="181" t="s">
        <v>79</v>
      </c>
      <c r="I109" s="181" t="s">
        <v>118</v>
      </c>
      <c r="J109" s="181" t="s">
        <v>154</v>
      </c>
      <c r="K109" s="181" t="s">
        <v>158</v>
      </c>
      <c r="L109" s="181" t="s">
        <v>190</v>
      </c>
      <c r="M109" s="181" t="s">
        <v>191</v>
      </c>
      <c r="N109" s="182" t="s">
        <v>193</v>
      </c>
      <c r="O109" s="183" t="s">
        <v>194</v>
      </c>
      <c r="P109" s="184" t="s">
        <v>195</v>
      </c>
      <c r="Q109" s="178" t="s">
        <v>48</v>
      </c>
      <c r="R109" s="179" t="s">
        <v>49</v>
      </c>
      <c r="S109" s="180" t="s">
        <v>50</v>
      </c>
      <c r="T109" s="180" t="s">
        <v>51</v>
      </c>
      <c r="U109" s="181" t="s">
        <v>52</v>
      </c>
      <c r="V109" s="181" t="s">
        <v>53</v>
      </c>
      <c r="W109" s="181" t="s">
        <v>79</v>
      </c>
      <c r="X109" s="181" t="s">
        <v>118</v>
      </c>
      <c r="Y109" s="181" t="s">
        <v>154</v>
      </c>
      <c r="Z109" s="181" t="s">
        <v>158</v>
      </c>
      <c r="AA109" s="181" t="s">
        <v>190</v>
      </c>
      <c r="AB109" s="181" t="s">
        <v>191</v>
      </c>
      <c r="AC109" s="182" t="s">
        <v>193</v>
      </c>
      <c r="AD109" s="183" t="s">
        <v>194</v>
      </c>
      <c r="AE109" s="184" t="s">
        <v>195</v>
      </c>
      <c r="AF109" s="185"/>
      <c r="AG109" s="178"/>
      <c r="AH109" s="185"/>
      <c r="AI109" s="178"/>
    </row>
    <row r="110" spans="1:35" ht="12">
      <c r="A110" s="41"/>
      <c r="B110" s="16"/>
      <c r="C110" s="584"/>
      <c r="D110" s="584"/>
      <c r="E110" s="584"/>
      <c r="F110" s="584"/>
      <c r="G110" s="584"/>
      <c r="H110" s="584"/>
      <c r="I110" s="584"/>
      <c r="J110" s="584"/>
      <c r="K110" s="584"/>
      <c r="L110" s="584"/>
      <c r="M110" s="584"/>
      <c r="N110" s="585"/>
      <c r="O110" s="586"/>
      <c r="P110" s="587"/>
      <c r="Q110" s="588"/>
      <c r="R110" s="584"/>
      <c r="S110" s="584"/>
      <c r="T110" s="584"/>
      <c r="U110" s="584"/>
      <c r="V110" s="584"/>
      <c r="W110" s="584"/>
      <c r="X110" s="584"/>
      <c r="Y110" s="584"/>
      <c r="Z110" s="584"/>
      <c r="AA110" s="584"/>
      <c r="AB110" s="12"/>
      <c r="AC110" s="9"/>
      <c r="AD110" s="44"/>
      <c r="AE110" s="17"/>
      <c r="AF110" s="17"/>
      <c r="AG110" s="16"/>
      <c r="AH110" s="17"/>
      <c r="AI110" s="16"/>
    </row>
    <row r="111" spans="1:35" ht="12">
      <c r="A111" s="16" t="s">
        <v>54</v>
      </c>
      <c r="B111" s="16"/>
      <c r="C111" s="584"/>
      <c r="D111" s="584"/>
      <c r="E111" s="584"/>
      <c r="F111" s="584"/>
      <c r="G111" s="584"/>
      <c r="H111" s="584"/>
      <c r="I111" s="584"/>
      <c r="J111" s="584"/>
      <c r="K111" s="584"/>
      <c r="L111" s="584"/>
      <c r="M111" s="584"/>
      <c r="N111" s="585"/>
      <c r="O111" s="586"/>
      <c r="P111" s="587"/>
      <c r="Q111" s="588"/>
      <c r="R111" s="584"/>
      <c r="S111" s="584"/>
      <c r="T111" s="584"/>
      <c r="U111" s="584"/>
      <c r="V111" s="584"/>
      <c r="W111" s="584"/>
      <c r="X111" s="584"/>
      <c r="Y111" s="584"/>
      <c r="Z111" s="584"/>
      <c r="AA111" s="584"/>
      <c r="AB111" s="12"/>
      <c r="AC111" s="9"/>
      <c r="AD111" s="44"/>
      <c r="AE111" s="17"/>
      <c r="AF111" s="17"/>
      <c r="AG111" s="16"/>
      <c r="AH111" s="17"/>
      <c r="AI111" s="16"/>
    </row>
    <row r="112" spans="1:35" ht="12">
      <c r="A112" s="573" t="s">
        <v>668</v>
      </c>
      <c r="B112" s="589">
        <v>6</v>
      </c>
      <c r="C112" s="590">
        <f>SUM(C113:C118)</f>
        <v>5699.05</v>
      </c>
      <c r="D112" s="590">
        <f>SUM(D113:D118)</f>
        <v>18398</v>
      </c>
      <c r="E112" s="584"/>
      <c r="F112" s="584"/>
      <c r="G112" s="584"/>
      <c r="H112" s="584"/>
      <c r="I112" s="584"/>
      <c r="J112" s="584"/>
      <c r="K112" s="590"/>
      <c r="L112" s="590">
        <f>SUM(L113:L118)</f>
        <v>6000</v>
      </c>
      <c r="M112" s="584"/>
      <c r="N112" s="590">
        <f>SUM(N113:N118)</f>
        <v>6000</v>
      </c>
      <c r="O112" s="591"/>
      <c r="P112" s="592"/>
      <c r="Q112" s="589">
        <v>6</v>
      </c>
      <c r="R112" s="590">
        <f>SUM(R113:R118)</f>
        <v>5699.05</v>
      </c>
      <c r="S112" s="590">
        <f>SUM(S113:S118)</f>
        <v>18398</v>
      </c>
      <c r="T112" s="584">
        <v>0</v>
      </c>
      <c r="U112" s="584">
        <v>0</v>
      </c>
      <c r="V112" s="584">
        <v>0</v>
      </c>
      <c r="W112" s="584">
        <v>0</v>
      </c>
      <c r="X112" s="584">
        <v>0</v>
      </c>
      <c r="Y112" s="584">
        <v>0</v>
      </c>
      <c r="Z112" s="590"/>
      <c r="AA112" s="590">
        <f>SUM(AA113:AA118)</f>
        <v>6000</v>
      </c>
      <c r="AB112" s="584">
        <v>0</v>
      </c>
      <c r="AC112" s="590">
        <f>SUM(AC113:AC118)</f>
        <v>6000</v>
      </c>
      <c r="AD112" s="591"/>
      <c r="AE112" s="17"/>
      <c r="AF112" s="17"/>
      <c r="AG112" s="16"/>
      <c r="AH112" s="589">
        <v>6</v>
      </c>
      <c r="AI112" s="16"/>
    </row>
    <row r="113" spans="1:35" ht="12">
      <c r="A113" s="573" t="s">
        <v>562</v>
      </c>
      <c r="B113" s="573">
        <v>1</v>
      </c>
      <c r="C113" s="584">
        <v>1104.11</v>
      </c>
      <c r="D113" s="584">
        <v>3283</v>
      </c>
      <c r="E113" s="584">
        <v>0</v>
      </c>
      <c r="F113" s="584">
        <v>0</v>
      </c>
      <c r="G113" s="584">
        <v>0</v>
      </c>
      <c r="H113" s="584">
        <v>0</v>
      </c>
      <c r="I113" s="584">
        <v>0</v>
      </c>
      <c r="J113" s="584">
        <v>0</v>
      </c>
      <c r="K113" s="584">
        <f>SUM(C113:J113)</f>
        <v>4387.11</v>
      </c>
      <c r="L113" s="584">
        <v>1000</v>
      </c>
      <c r="M113" s="584">
        <v>0</v>
      </c>
      <c r="N113" s="585">
        <f>SUM(L113:M113)</f>
        <v>1000</v>
      </c>
      <c r="O113" s="586">
        <f>(K113*12)+N113</f>
        <v>53645.31999999999</v>
      </c>
      <c r="P113" s="587">
        <f>B113*O113</f>
        <v>53645.31999999999</v>
      </c>
      <c r="Q113" s="573">
        <v>1</v>
      </c>
      <c r="R113" s="584">
        <v>1104.11</v>
      </c>
      <c r="S113" s="584">
        <v>3283</v>
      </c>
      <c r="T113" s="584">
        <v>0</v>
      </c>
      <c r="U113" s="584">
        <v>0</v>
      </c>
      <c r="V113" s="584">
        <v>0</v>
      </c>
      <c r="W113" s="584">
        <v>0</v>
      </c>
      <c r="X113" s="584">
        <v>0</v>
      </c>
      <c r="Y113" s="584">
        <v>0</v>
      </c>
      <c r="Z113" s="584">
        <f>SUM(R113:Y113)</f>
        <v>4387.11</v>
      </c>
      <c r="AA113" s="584">
        <v>1000</v>
      </c>
      <c r="AB113" s="584">
        <v>0</v>
      </c>
      <c r="AC113" s="585">
        <f>SUM(AA113:AB113)</f>
        <v>1000</v>
      </c>
      <c r="AD113" s="586">
        <f>(Z113*12)+AC113</f>
        <v>53645.31999999999</v>
      </c>
      <c r="AE113" s="587">
        <f>Q113*AD113</f>
        <v>53645.31999999999</v>
      </c>
      <c r="AF113" s="17"/>
      <c r="AG113" s="16"/>
      <c r="AH113" s="573">
        <v>1</v>
      </c>
      <c r="AI113" s="587">
        <f>AH113*AD113</f>
        <v>53645.31999999999</v>
      </c>
    </row>
    <row r="114" spans="1:35" ht="12">
      <c r="A114" s="573" t="s">
        <v>560</v>
      </c>
      <c r="B114" s="573">
        <v>1</v>
      </c>
      <c r="C114" s="584">
        <v>863.96</v>
      </c>
      <c r="D114" s="584">
        <v>3083</v>
      </c>
      <c r="E114" s="584">
        <v>0</v>
      </c>
      <c r="F114" s="584">
        <v>0</v>
      </c>
      <c r="G114" s="584">
        <v>0</v>
      </c>
      <c r="H114" s="584">
        <v>0</v>
      </c>
      <c r="I114" s="584">
        <v>0</v>
      </c>
      <c r="J114" s="584">
        <v>0</v>
      </c>
      <c r="K114" s="584">
        <f>SUM(C114:J114)</f>
        <v>3946.96</v>
      </c>
      <c r="L114" s="584">
        <v>1000</v>
      </c>
      <c r="M114" s="584">
        <v>0</v>
      </c>
      <c r="N114" s="585">
        <f aca="true" t="shared" si="13" ref="N114:N131">SUM(L114:M114)</f>
        <v>1000</v>
      </c>
      <c r="O114" s="586">
        <f>(K114*12)+N114</f>
        <v>48363.520000000004</v>
      </c>
      <c r="P114" s="587">
        <f>B114*O114</f>
        <v>48363.520000000004</v>
      </c>
      <c r="Q114" s="573">
        <v>1</v>
      </c>
      <c r="R114" s="584">
        <v>863.96</v>
      </c>
      <c r="S114" s="584">
        <v>3083</v>
      </c>
      <c r="T114" s="584">
        <v>0</v>
      </c>
      <c r="U114" s="584">
        <v>0</v>
      </c>
      <c r="V114" s="584">
        <v>0</v>
      </c>
      <c r="W114" s="584">
        <v>0</v>
      </c>
      <c r="X114" s="584">
        <v>0</v>
      </c>
      <c r="Y114" s="584">
        <v>0</v>
      </c>
      <c r="Z114" s="584">
        <f>SUM(R114:Y114)</f>
        <v>3946.96</v>
      </c>
      <c r="AA114" s="584">
        <v>1000</v>
      </c>
      <c r="AB114" s="584">
        <v>0</v>
      </c>
      <c r="AC114" s="585">
        <f aca="true" t="shared" si="14" ref="AC114:AC131">SUM(AA114:AB114)</f>
        <v>1000</v>
      </c>
      <c r="AD114" s="586">
        <f>(Z114*12)+AC114</f>
        <v>48363.520000000004</v>
      </c>
      <c r="AE114" s="587">
        <f>Q114*AD114</f>
        <v>48363.520000000004</v>
      </c>
      <c r="AF114" s="17"/>
      <c r="AG114" s="16"/>
      <c r="AH114" s="573">
        <v>1</v>
      </c>
      <c r="AI114" s="587">
        <f aca="true" t="shared" si="15" ref="AI114:AI133">AH114*AD114</f>
        <v>48363.520000000004</v>
      </c>
    </row>
    <row r="115" spans="1:35" ht="12">
      <c r="A115" s="573" t="s">
        <v>560</v>
      </c>
      <c r="B115" s="573">
        <v>1</v>
      </c>
      <c r="C115" s="584">
        <v>867.69</v>
      </c>
      <c r="D115" s="584">
        <v>3083</v>
      </c>
      <c r="E115" s="584">
        <v>0</v>
      </c>
      <c r="F115" s="584">
        <v>0</v>
      </c>
      <c r="G115" s="584">
        <v>0</v>
      </c>
      <c r="H115" s="584">
        <v>0</v>
      </c>
      <c r="I115" s="584">
        <v>0</v>
      </c>
      <c r="J115" s="584">
        <v>0</v>
      </c>
      <c r="K115" s="584">
        <f aca="true" t="shared" si="16" ref="K115:K133">SUM(C115:J115)</f>
        <v>3950.69</v>
      </c>
      <c r="L115" s="584">
        <v>1000</v>
      </c>
      <c r="M115" s="584">
        <v>0</v>
      </c>
      <c r="N115" s="585">
        <f t="shared" si="13"/>
        <v>1000</v>
      </c>
      <c r="O115" s="586">
        <f aca="true" t="shared" si="17" ref="O115:O131">(K115*12)+N115</f>
        <v>48408.28</v>
      </c>
      <c r="P115" s="587">
        <f aca="true" t="shared" si="18" ref="P115:P131">B115*O115</f>
        <v>48408.28</v>
      </c>
      <c r="Q115" s="573">
        <v>1</v>
      </c>
      <c r="R115" s="584">
        <v>867.69</v>
      </c>
      <c r="S115" s="584">
        <v>3083</v>
      </c>
      <c r="T115" s="584">
        <v>0</v>
      </c>
      <c r="U115" s="584">
        <v>0</v>
      </c>
      <c r="V115" s="584">
        <v>0</v>
      </c>
      <c r="W115" s="584">
        <v>0</v>
      </c>
      <c r="X115" s="584">
        <v>0</v>
      </c>
      <c r="Y115" s="584">
        <v>0</v>
      </c>
      <c r="Z115" s="584">
        <f aca="true" t="shared" si="19" ref="Z115:Z133">SUM(R115:Y115)</f>
        <v>3950.69</v>
      </c>
      <c r="AA115" s="584">
        <v>1000</v>
      </c>
      <c r="AB115" s="584">
        <v>0</v>
      </c>
      <c r="AC115" s="585">
        <f t="shared" si="14"/>
        <v>1000</v>
      </c>
      <c r="AD115" s="586">
        <f aca="true" t="shared" si="20" ref="AD115:AD131">(Z115*12)+AC115</f>
        <v>48408.28</v>
      </c>
      <c r="AE115" s="587">
        <f aca="true" t="shared" si="21" ref="AE115:AE131">Q115*AD115</f>
        <v>48408.28</v>
      </c>
      <c r="AF115" s="17"/>
      <c r="AG115" s="16"/>
      <c r="AH115" s="573">
        <v>1</v>
      </c>
      <c r="AI115" s="587">
        <f t="shared" si="15"/>
        <v>48408.28</v>
      </c>
    </row>
    <row r="116" spans="1:35" ht="12">
      <c r="A116" s="573" t="s">
        <v>12</v>
      </c>
      <c r="B116" s="573">
        <v>1</v>
      </c>
      <c r="C116" s="584">
        <v>1021.68</v>
      </c>
      <c r="D116" s="584">
        <v>2983</v>
      </c>
      <c r="E116" s="584">
        <v>0</v>
      </c>
      <c r="F116" s="584">
        <v>0</v>
      </c>
      <c r="G116" s="584">
        <v>0</v>
      </c>
      <c r="H116" s="584">
        <v>0</v>
      </c>
      <c r="I116" s="584">
        <v>0</v>
      </c>
      <c r="J116" s="584">
        <v>0</v>
      </c>
      <c r="K116" s="584">
        <f t="shared" si="16"/>
        <v>4004.68</v>
      </c>
      <c r="L116" s="584">
        <v>1000</v>
      </c>
      <c r="M116" s="584">
        <v>0</v>
      </c>
      <c r="N116" s="585">
        <f t="shared" si="13"/>
        <v>1000</v>
      </c>
      <c r="O116" s="586">
        <f t="shared" si="17"/>
        <v>49056.159999999996</v>
      </c>
      <c r="P116" s="587">
        <f t="shared" si="18"/>
        <v>49056.159999999996</v>
      </c>
      <c r="Q116" s="573">
        <v>1</v>
      </c>
      <c r="R116" s="584">
        <v>1021.68</v>
      </c>
      <c r="S116" s="584">
        <v>2983</v>
      </c>
      <c r="T116" s="584">
        <v>0</v>
      </c>
      <c r="U116" s="584">
        <v>0</v>
      </c>
      <c r="V116" s="584">
        <v>0</v>
      </c>
      <c r="W116" s="584">
        <v>0</v>
      </c>
      <c r="X116" s="584">
        <v>0</v>
      </c>
      <c r="Y116" s="584">
        <v>0</v>
      </c>
      <c r="Z116" s="584">
        <f t="shared" si="19"/>
        <v>4004.68</v>
      </c>
      <c r="AA116" s="584">
        <v>1000</v>
      </c>
      <c r="AB116" s="584">
        <v>0</v>
      </c>
      <c r="AC116" s="585">
        <f t="shared" si="14"/>
        <v>1000</v>
      </c>
      <c r="AD116" s="586">
        <f t="shared" si="20"/>
        <v>49056.159999999996</v>
      </c>
      <c r="AE116" s="587">
        <f t="shared" si="21"/>
        <v>49056.159999999996</v>
      </c>
      <c r="AF116" s="17"/>
      <c r="AG116" s="16"/>
      <c r="AH116" s="573">
        <v>1</v>
      </c>
      <c r="AI116" s="587">
        <f t="shared" si="15"/>
        <v>49056.159999999996</v>
      </c>
    </row>
    <row r="117" spans="1:35" ht="12">
      <c r="A117" s="573" t="s">
        <v>675</v>
      </c>
      <c r="B117" s="573">
        <v>1</v>
      </c>
      <c r="C117" s="584">
        <v>981.15</v>
      </c>
      <c r="D117" s="584">
        <v>2983</v>
      </c>
      <c r="E117" s="584">
        <v>0</v>
      </c>
      <c r="F117" s="584">
        <v>0</v>
      </c>
      <c r="G117" s="584">
        <v>0</v>
      </c>
      <c r="H117" s="584">
        <v>0</v>
      </c>
      <c r="I117" s="584">
        <v>0</v>
      </c>
      <c r="J117" s="584">
        <v>0</v>
      </c>
      <c r="K117" s="584">
        <f t="shared" si="16"/>
        <v>3964.15</v>
      </c>
      <c r="L117" s="584">
        <v>1000</v>
      </c>
      <c r="M117" s="584">
        <v>0</v>
      </c>
      <c r="N117" s="585">
        <f t="shared" si="13"/>
        <v>1000</v>
      </c>
      <c r="O117" s="586">
        <f t="shared" si="17"/>
        <v>48569.8</v>
      </c>
      <c r="P117" s="587">
        <f t="shared" si="18"/>
        <v>48569.8</v>
      </c>
      <c r="Q117" s="573">
        <v>1</v>
      </c>
      <c r="R117" s="584">
        <v>981.15</v>
      </c>
      <c r="S117" s="584">
        <v>2983</v>
      </c>
      <c r="T117" s="584">
        <v>0</v>
      </c>
      <c r="U117" s="584">
        <v>0</v>
      </c>
      <c r="V117" s="584">
        <v>0</v>
      </c>
      <c r="W117" s="584">
        <v>0</v>
      </c>
      <c r="X117" s="584">
        <v>0</v>
      </c>
      <c r="Y117" s="584">
        <v>0</v>
      </c>
      <c r="Z117" s="584">
        <f t="shared" si="19"/>
        <v>3964.15</v>
      </c>
      <c r="AA117" s="584">
        <v>1000</v>
      </c>
      <c r="AB117" s="584">
        <v>0</v>
      </c>
      <c r="AC117" s="585">
        <f t="shared" si="14"/>
        <v>1000</v>
      </c>
      <c r="AD117" s="586">
        <f t="shared" si="20"/>
        <v>48569.8</v>
      </c>
      <c r="AE117" s="587">
        <f t="shared" si="21"/>
        <v>48569.8</v>
      </c>
      <c r="AF117" s="17"/>
      <c r="AG117" s="16"/>
      <c r="AH117" s="573">
        <v>1</v>
      </c>
      <c r="AI117" s="587">
        <f t="shared" si="15"/>
        <v>48569.8</v>
      </c>
    </row>
    <row r="118" spans="1:35" ht="12">
      <c r="A118" s="573" t="s">
        <v>12</v>
      </c>
      <c r="B118" s="573">
        <v>1</v>
      </c>
      <c r="C118" s="584">
        <v>860.46</v>
      </c>
      <c r="D118" s="584">
        <v>2983</v>
      </c>
      <c r="E118" s="584">
        <v>0</v>
      </c>
      <c r="F118" s="584">
        <v>0</v>
      </c>
      <c r="G118" s="584">
        <v>0</v>
      </c>
      <c r="H118" s="584">
        <v>0</v>
      </c>
      <c r="I118" s="584">
        <v>0</v>
      </c>
      <c r="J118" s="584">
        <v>0</v>
      </c>
      <c r="K118" s="584">
        <f t="shared" si="16"/>
        <v>3843.46</v>
      </c>
      <c r="L118" s="584">
        <v>1000</v>
      </c>
      <c r="M118" s="584">
        <v>0</v>
      </c>
      <c r="N118" s="585">
        <f t="shared" si="13"/>
        <v>1000</v>
      </c>
      <c r="O118" s="586">
        <f t="shared" si="17"/>
        <v>47121.520000000004</v>
      </c>
      <c r="P118" s="587">
        <f t="shared" si="18"/>
        <v>47121.520000000004</v>
      </c>
      <c r="Q118" s="573">
        <v>1</v>
      </c>
      <c r="R118" s="584">
        <v>860.46</v>
      </c>
      <c r="S118" s="584">
        <v>2983</v>
      </c>
      <c r="T118" s="584">
        <v>0</v>
      </c>
      <c r="U118" s="584">
        <v>0</v>
      </c>
      <c r="V118" s="584">
        <v>0</v>
      </c>
      <c r="W118" s="584">
        <v>0</v>
      </c>
      <c r="X118" s="584">
        <v>0</v>
      </c>
      <c r="Y118" s="584">
        <v>0</v>
      </c>
      <c r="Z118" s="584">
        <f t="shared" si="19"/>
        <v>3843.46</v>
      </c>
      <c r="AA118" s="584">
        <v>1000</v>
      </c>
      <c r="AB118" s="584">
        <v>0</v>
      </c>
      <c r="AC118" s="585">
        <f t="shared" si="14"/>
        <v>1000</v>
      </c>
      <c r="AD118" s="586">
        <f t="shared" si="20"/>
        <v>47121.520000000004</v>
      </c>
      <c r="AE118" s="587">
        <f t="shared" si="21"/>
        <v>47121.520000000004</v>
      </c>
      <c r="AF118" s="17"/>
      <c r="AG118" s="16"/>
      <c r="AH118" s="573">
        <v>1</v>
      </c>
      <c r="AI118" s="587">
        <f t="shared" si="15"/>
        <v>47121.520000000004</v>
      </c>
    </row>
    <row r="119" spans="1:35" ht="12.75">
      <c r="A119" s="603" t="s">
        <v>4</v>
      </c>
      <c r="B119" s="589">
        <v>5</v>
      </c>
      <c r="C119" s="593">
        <f>SUM(C120:C124)</f>
        <v>3299.17</v>
      </c>
      <c r="D119" s="593">
        <f>SUM(D120:D124)</f>
        <v>13915</v>
      </c>
      <c r="E119" s="593"/>
      <c r="F119" s="593"/>
      <c r="G119" s="593"/>
      <c r="H119" s="593"/>
      <c r="I119" s="593"/>
      <c r="J119" s="593"/>
      <c r="K119" s="590"/>
      <c r="L119" s="590">
        <f>SUM(L120:L124)</f>
        <v>5000</v>
      </c>
      <c r="M119" s="590"/>
      <c r="N119" s="590">
        <f>SUM(N120:N124)</f>
        <v>5000</v>
      </c>
      <c r="O119" s="591"/>
      <c r="P119" s="592"/>
      <c r="Q119" s="589">
        <v>5</v>
      </c>
      <c r="R119" s="593">
        <f>SUM(R120:R124)</f>
        <v>3299.17</v>
      </c>
      <c r="S119" s="593">
        <f>SUM(S120:S124)</f>
        <v>13915</v>
      </c>
      <c r="T119" s="584"/>
      <c r="U119" s="584"/>
      <c r="V119" s="584"/>
      <c r="W119" s="584"/>
      <c r="X119" s="584"/>
      <c r="Y119" s="584"/>
      <c r="Z119" s="590"/>
      <c r="AA119" s="590">
        <f>SUM(AA120:AA124)</f>
        <v>5000</v>
      </c>
      <c r="AB119" s="584"/>
      <c r="AC119" s="590">
        <f>SUM(AC120:AC124)</f>
        <v>5000</v>
      </c>
      <c r="AD119" s="591"/>
      <c r="AE119" s="592"/>
      <c r="AF119" s="17"/>
      <c r="AG119" s="16"/>
      <c r="AH119" s="589">
        <v>5</v>
      </c>
      <c r="AI119" s="592"/>
    </row>
    <row r="120" spans="1:35" ht="12.75">
      <c r="A120" s="603" t="s">
        <v>669</v>
      </c>
      <c r="B120" s="573">
        <v>1</v>
      </c>
      <c r="C120" s="584">
        <v>677.56</v>
      </c>
      <c r="D120" s="584">
        <v>2783</v>
      </c>
      <c r="E120" s="584">
        <v>0</v>
      </c>
      <c r="F120" s="584">
        <v>0</v>
      </c>
      <c r="G120" s="584">
        <v>0</v>
      </c>
      <c r="H120" s="584">
        <v>0</v>
      </c>
      <c r="I120" s="584">
        <v>0</v>
      </c>
      <c r="J120" s="584">
        <v>0</v>
      </c>
      <c r="K120" s="584">
        <f t="shared" si="16"/>
        <v>3460.56</v>
      </c>
      <c r="L120" s="584">
        <v>1000</v>
      </c>
      <c r="M120" s="584">
        <v>0</v>
      </c>
      <c r="N120" s="585">
        <f t="shared" si="13"/>
        <v>1000</v>
      </c>
      <c r="O120" s="586">
        <f t="shared" si="17"/>
        <v>42526.72</v>
      </c>
      <c r="P120" s="587">
        <f t="shared" si="18"/>
        <v>42526.72</v>
      </c>
      <c r="Q120" s="573">
        <v>1</v>
      </c>
      <c r="R120" s="584">
        <v>677.56</v>
      </c>
      <c r="S120" s="584">
        <v>2783</v>
      </c>
      <c r="T120" s="584">
        <v>0</v>
      </c>
      <c r="U120" s="584">
        <v>0</v>
      </c>
      <c r="V120" s="584">
        <v>0</v>
      </c>
      <c r="W120" s="584">
        <v>0</v>
      </c>
      <c r="X120" s="584">
        <v>0</v>
      </c>
      <c r="Y120" s="584">
        <v>0</v>
      </c>
      <c r="Z120" s="584">
        <f t="shared" si="19"/>
        <v>3460.56</v>
      </c>
      <c r="AA120" s="584">
        <v>1000</v>
      </c>
      <c r="AB120" s="584">
        <v>0</v>
      </c>
      <c r="AC120" s="585">
        <f t="shared" si="14"/>
        <v>1000</v>
      </c>
      <c r="AD120" s="586">
        <f t="shared" si="20"/>
        <v>42526.72</v>
      </c>
      <c r="AE120" s="587">
        <f t="shared" si="21"/>
        <v>42526.72</v>
      </c>
      <c r="AF120" s="17"/>
      <c r="AG120" s="16"/>
      <c r="AH120" s="573">
        <v>1</v>
      </c>
      <c r="AI120" s="587">
        <f t="shared" si="15"/>
        <v>42526.72</v>
      </c>
    </row>
    <row r="121" spans="1:35" ht="12.75">
      <c r="A121" s="603" t="s">
        <v>669</v>
      </c>
      <c r="B121" s="573">
        <v>1</v>
      </c>
      <c r="C121" s="584">
        <v>672.93</v>
      </c>
      <c r="D121" s="584">
        <v>2783</v>
      </c>
      <c r="E121" s="584">
        <v>0</v>
      </c>
      <c r="F121" s="584">
        <v>0</v>
      </c>
      <c r="G121" s="584">
        <v>0</v>
      </c>
      <c r="H121" s="584">
        <v>0</v>
      </c>
      <c r="I121" s="584">
        <v>0</v>
      </c>
      <c r="J121" s="584">
        <v>0</v>
      </c>
      <c r="K121" s="584">
        <f t="shared" si="16"/>
        <v>3455.93</v>
      </c>
      <c r="L121" s="584">
        <v>1000</v>
      </c>
      <c r="M121" s="584">
        <v>0</v>
      </c>
      <c r="N121" s="585">
        <f t="shared" si="13"/>
        <v>1000</v>
      </c>
      <c r="O121" s="586">
        <f t="shared" si="17"/>
        <v>42471.159999999996</v>
      </c>
      <c r="P121" s="587">
        <f t="shared" si="18"/>
        <v>42471.159999999996</v>
      </c>
      <c r="Q121" s="573">
        <v>1</v>
      </c>
      <c r="R121" s="584">
        <v>672.93</v>
      </c>
      <c r="S121" s="584">
        <v>2783</v>
      </c>
      <c r="T121" s="584">
        <v>0</v>
      </c>
      <c r="U121" s="584">
        <v>0</v>
      </c>
      <c r="V121" s="584">
        <v>0</v>
      </c>
      <c r="W121" s="584">
        <v>0</v>
      </c>
      <c r="X121" s="584">
        <v>0</v>
      </c>
      <c r="Y121" s="584">
        <v>0</v>
      </c>
      <c r="Z121" s="584">
        <f t="shared" si="19"/>
        <v>3455.93</v>
      </c>
      <c r="AA121" s="584">
        <v>1000</v>
      </c>
      <c r="AB121" s="584">
        <v>0</v>
      </c>
      <c r="AC121" s="585">
        <f t="shared" si="14"/>
        <v>1000</v>
      </c>
      <c r="AD121" s="586">
        <f t="shared" si="20"/>
        <v>42471.159999999996</v>
      </c>
      <c r="AE121" s="587">
        <f t="shared" si="21"/>
        <v>42471.159999999996</v>
      </c>
      <c r="AF121" s="17"/>
      <c r="AG121" s="16"/>
      <c r="AH121" s="573">
        <v>1</v>
      </c>
      <c r="AI121" s="587">
        <f t="shared" si="15"/>
        <v>42471.159999999996</v>
      </c>
    </row>
    <row r="122" spans="1:35" ht="12.75">
      <c r="A122" s="603" t="s">
        <v>669</v>
      </c>
      <c r="B122" s="573">
        <v>1</v>
      </c>
      <c r="C122" s="584">
        <v>670.69</v>
      </c>
      <c r="D122" s="584">
        <v>2783</v>
      </c>
      <c r="E122" s="584">
        <v>0</v>
      </c>
      <c r="F122" s="584">
        <v>0</v>
      </c>
      <c r="G122" s="584">
        <v>0</v>
      </c>
      <c r="H122" s="584">
        <v>0</v>
      </c>
      <c r="I122" s="584">
        <v>0</v>
      </c>
      <c r="J122" s="584">
        <v>0</v>
      </c>
      <c r="K122" s="584">
        <f t="shared" si="16"/>
        <v>3453.69</v>
      </c>
      <c r="L122" s="584">
        <v>1000</v>
      </c>
      <c r="M122" s="584">
        <v>0</v>
      </c>
      <c r="N122" s="585">
        <f t="shared" si="13"/>
        <v>1000</v>
      </c>
      <c r="O122" s="586">
        <f t="shared" si="17"/>
        <v>42444.28</v>
      </c>
      <c r="P122" s="587">
        <f t="shared" si="18"/>
        <v>42444.28</v>
      </c>
      <c r="Q122" s="573">
        <v>1</v>
      </c>
      <c r="R122" s="584">
        <v>670.69</v>
      </c>
      <c r="S122" s="584">
        <v>2783</v>
      </c>
      <c r="T122" s="584">
        <v>0</v>
      </c>
      <c r="U122" s="584">
        <v>0</v>
      </c>
      <c r="V122" s="584">
        <v>0</v>
      </c>
      <c r="W122" s="584">
        <v>0</v>
      </c>
      <c r="X122" s="584">
        <v>0</v>
      </c>
      <c r="Y122" s="584">
        <v>0</v>
      </c>
      <c r="Z122" s="584">
        <f t="shared" si="19"/>
        <v>3453.69</v>
      </c>
      <c r="AA122" s="584">
        <v>1000</v>
      </c>
      <c r="AB122" s="584">
        <v>0</v>
      </c>
      <c r="AC122" s="585">
        <f t="shared" si="14"/>
        <v>1000</v>
      </c>
      <c r="AD122" s="586">
        <f t="shared" si="20"/>
        <v>42444.28</v>
      </c>
      <c r="AE122" s="587">
        <f t="shared" si="21"/>
        <v>42444.28</v>
      </c>
      <c r="AF122" s="17"/>
      <c r="AG122" s="16"/>
      <c r="AH122" s="573">
        <v>1</v>
      </c>
      <c r="AI122" s="587">
        <f t="shared" si="15"/>
        <v>42444.28</v>
      </c>
    </row>
    <row r="123" spans="1:35" ht="12.75">
      <c r="A123" s="603" t="s">
        <v>670</v>
      </c>
      <c r="B123" s="573">
        <v>1</v>
      </c>
      <c r="C123" s="584">
        <v>656.2</v>
      </c>
      <c r="D123" s="584">
        <v>2783</v>
      </c>
      <c r="E123" s="584">
        <v>0</v>
      </c>
      <c r="F123" s="584">
        <v>0</v>
      </c>
      <c r="G123" s="584">
        <v>0</v>
      </c>
      <c r="H123" s="584">
        <v>0</v>
      </c>
      <c r="I123" s="584">
        <v>0</v>
      </c>
      <c r="J123" s="584">
        <v>0</v>
      </c>
      <c r="K123" s="584">
        <f t="shared" si="16"/>
        <v>3439.2</v>
      </c>
      <c r="L123" s="584">
        <v>1000</v>
      </c>
      <c r="M123" s="584">
        <v>0</v>
      </c>
      <c r="N123" s="585">
        <f t="shared" si="13"/>
        <v>1000</v>
      </c>
      <c r="O123" s="586">
        <f t="shared" si="17"/>
        <v>42270.399999999994</v>
      </c>
      <c r="P123" s="587">
        <f t="shared" si="18"/>
        <v>42270.399999999994</v>
      </c>
      <c r="Q123" s="573">
        <v>1</v>
      </c>
      <c r="R123" s="584">
        <v>656.2</v>
      </c>
      <c r="S123" s="584">
        <v>2783</v>
      </c>
      <c r="T123" s="584">
        <v>0</v>
      </c>
      <c r="U123" s="584">
        <v>0</v>
      </c>
      <c r="V123" s="584">
        <v>0</v>
      </c>
      <c r="W123" s="584">
        <v>0</v>
      </c>
      <c r="X123" s="584">
        <v>0</v>
      </c>
      <c r="Y123" s="584">
        <v>0</v>
      </c>
      <c r="Z123" s="584">
        <f t="shared" si="19"/>
        <v>3439.2</v>
      </c>
      <c r="AA123" s="584">
        <v>1000</v>
      </c>
      <c r="AB123" s="584">
        <v>0</v>
      </c>
      <c r="AC123" s="585">
        <f t="shared" si="14"/>
        <v>1000</v>
      </c>
      <c r="AD123" s="586">
        <f t="shared" si="20"/>
        <v>42270.399999999994</v>
      </c>
      <c r="AE123" s="587">
        <f t="shared" si="21"/>
        <v>42270.399999999994</v>
      </c>
      <c r="AF123" s="17"/>
      <c r="AG123" s="16"/>
      <c r="AH123" s="573">
        <v>1</v>
      </c>
      <c r="AI123" s="587">
        <f t="shared" si="15"/>
        <v>42270.399999999994</v>
      </c>
    </row>
    <row r="124" spans="1:35" ht="12.75">
      <c r="A124" s="603" t="s">
        <v>671</v>
      </c>
      <c r="B124" s="573">
        <v>1</v>
      </c>
      <c r="C124" s="584">
        <v>621.79</v>
      </c>
      <c r="D124" s="584">
        <v>2783</v>
      </c>
      <c r="E124" s="584">
        <v>0</v>
      </c>
      <c r="F124" s="584">
        <v>0</v>
      </c>
      <c r="G124" s="584">
        <v>0</v>
      </c>
      <c r="H124" s="584">
        <v>0</v>
      </c>
      <c r="I124" s="584">
        <v>0</v>
      </c>
      <c r="J124" s="584">
        <v>0</v>
      </c>
      <c r="K124" s="584">
        <f t="shared" si="16"/>
        <v>3404.79</v>
      </c>
      <c r="L124" s="584">
        <v>1000</v>
      </c>
      <c r="M124" s="584">
        <v>0</v>
      </c>
      <c r="N124" s="585">
        <f t="shared" si="13"/>
        <v>1000</v>
      </c>
      <c r="O124" s="586">
        <f t="shared" si="17"/>
        <v>41857.479999999996</v>
      </c>
      <c r="P124" s="587">
        <f t="shared" si="18"/>
        <v>41857.479999999996</v>
      </c>
      <c r="Q124" s="573">
        <v>1</v>
      </c>
      <c r="R124" s="584">
        <v>621.79</v>
      </c>
      <c r="S124" s="584">
        <v>2783</v>
      </c>
      <c r="T124" s="584">
        <v>0</v>
      </c>
      <c r="U124" s="584">
        <v>0</v>
      </c>
      <c r="V124" s="584">
        <v>0</v>
      </c>
      <c r="W124" s="584">
        <v>0</v>
      </c>
      <c r="X124" s="584">
        <v>0</v>
      </c>
      <c r="Y124" s="584">
        <v>0</v>
      </c>
      <c r="Z124" s="584">
        <f t="shared" si="19"/>
        <v>3404.79</v>
      </c>
      <c r="AA124" s="584">
        <v>1000</v>
      </c>
      <c r="AB124" s="584">
        <v>0</v>
      </c>
      <c r="AC124" s="585">
        <f t="shared" si="14"/>
        <v>1000</v>
      </c>
      <c r="AD124" s="586">
        <f t="shared" si="20"/>
        <v>41857.479999999996</v>
      </c>
      <c r="AE124" s="587">
        <f t="shared" si="21"/>
        <v>41857.479999999996</v>
      </c>
      <c r="AF124" s="17"/>
      <c r="AG124" s="16"/>
      <c r="AH124" s="573">
        <v>1</v>
      </c>
      <c r="AI124" s="587">
        <f t="shared" si="15"/>
        <v>41857.479999999996</v>
      </c>
    </row>
    <row r="125" spans="1:35" ht="12.75">
      <c r="A125" s="603" t="s">
        <v>5</v>
      </c>
      <c r="B125" s="589">
        <v>6</v>
      </c>
      <c r="C125" s="593">
        <f>SUM(C126:C131)</f>
        <v>3528.9999999999995</v>
      </c>
      <c r="D125" s="593">
        <f>SUM(D126:D131)</f>
        <v>15498</v>
      </c>
      <c r="E125" s="584"/>
      <c r="F125" s="584"/>
      <c r="G125" s="584"/>
      <c r="H125" s="584"/>
      <c r="I125" s="584"/>
      <c r="J125" s="584"/>
      <c r="K125" s="590"/>
      <c r="L125" s="590">
        <f>SUM(L126:L131)</f>
        <v>6000</v>
      </c>
      <c r="M125" s="584"/>
      <c r="N125" s="590">
        <f>SUM(N126:N131)</f>
        <v>6000</v>
      </c>
      <c r="O125" s="591"/>
      <c r="P125" s="592"/>
      <c r="Q125" s="589">
        <v>6</v>
      </c>
      <c r="R125" s="593">
        <f>SUM(R126:R131)</f>
        <v>3528.9999999999995</v>
      </c>
      <c r="S125" s="593">
        <f>SUM(S126:S131)</f>
        <v>15498</v>
      </c>
      <c r="T125" s="584"/>
      <c r="U125" s="584"/>
      <c r="V125" s="584"/>
      <c r="W125" s="584"/>
      <c r="X125" s="584"/>
      <c r="Y125" s="584"/>
      <c r="Z125" s="590"/>
      <c r="AA125" s="590">
        <f>SUM(AA126:AA131)</f>
        <v>6000</v>
      </c>
      <c r="AB125" s="584"/>
      <c r="AC125" s="590">
        <f>SUM(AC126:AC131)</f>
        <v>6000</v>
      </c>
      <c r="AD125" s="591"/>
      <c r="AE125" s="592"/>
      <c r="AF125" s="17"/>
      <c r="AG125" s="16"/>
      <c r="AH125" s="589">
        <v>6</v>
      </c>
      <c r="AI125" s="592"/>
    </row>
    <row r="126" spans="1:35" ht="12.75">
      <c r="A126" s="603" t="s">
        <v>672</v>
      </c>
      <c r="B126" s="573">
        <v>1</v>
      </c>
      <c r="C126" s="584">
        <v>608.91</v>
      </c>
      <c r="D126" s="584">
        <v>2583</v>
      </c>
      <c r="E126" s="584">
        <v>0</v>
      </c>
      <c r="F126" s="584">
        <v>0</v>
      </c>
      <c r="G126" s="584">
        <v>0</v>
      </c>
      <c r="H126" s="584">
        <v>0</v>
      </c>
      <c r="I126" s="584">
        <v>0</v>
      </c>
      <c r="J126" s="584">
        <v>0</v>
      </c>
      <c r="K126" s="584">
        <f t="shared" si="16"/>
        <v>3191.91</v>
      </c>
      <c r="L126" s="584">
        <v>1000</v>
      </c>
      <c r="M126" s="584">
        <v>0</v>
      </c>
      <c r="N126" s="585">
        <f>SUM(L126:M126)</f>
        <v>1000</v>
      </c>
      <c r="O126" s="586">
        <f>(K126*12)+N126</f>
        <v>39302.92</v>
      </c>
      <c r="P126" s="587">
        <f>B126*O126</f>
        <v>39302.92</v>
      </c>
      <c r="Q126" s="573">
        <v>1</v>
      </c>
      <c r="R126" s="584">
        <v>608.91</v>
      </c>
      <c r="S126" s="584">
        <v>2583</v>
      </c>
      <c r="T126" s="584">
        <v>0</v>
      </c>
      <c r="U126" s="584">
        <v>0</v>
      </c>
      <c r="V126" s="584">
        <v>0</v>
      </c>
      <c r="W126" s="584">
        <v>0</v>
      </c>
      <c r="X126" s="584">
        <v>0</v>
      </c>
      <c r="Y126" s="584">
        <v>0</v>
      </c>
      <c r="Z126" s="584">
        <f t="shared" si="19"/>
        <v>3191.91</v>
      </c>
      <c r="AA126" s="584">
        <v>1000</v>
      </c>
      <c r="AB126" s="584">
        <v>0</v>
      </c>
      <c r="AC126" s="585">
        <f>SUM(AA126:AB126)</f>
        <v>1000</v>
      </c>
      <c r="AD126" s="586">
        <f>(Z126*12)+AC126</f>
        <v>39302.92</v>
      </c>
      <c r="AE126" s="587">
        <f>Q126*AD126</f>
        <v>39302.92</v>
      </c>
      <c r="AF126" s="17"/>
      <c r="AG126" s="16"/>
      <c r="AH126" s="573">
        <v>1</v>
      </c>
      <c r="AI126" s="587">
        <f t="shared" si="15"/>
        <v>39302.92</v>
      </c>
    </row>
    <row r="127" spans="1:35" ht="12.75">
      <c r="A127" s="603" t="s">
        <v>672</v>
      </c>
      <c r="B127" s="573">
        <v>1</v>
      </c>
      <c r="C127" s="584">
        <v>605.63</v>
      </c>
      <c r="D127" s="584">
        <v>2583</v>
      </c>
      <c r="E127" s="584">
        <v>0</v>
      </c>
      <c r="F127" s="584">
        <v>0</v>
      </c>
      <c r="G127" s="584">
        <v>0</v>
      </c>
      <c r="H127" s="584">
        <v>0</v>
      </c>
      <c r="I127" s="584">
        <v>0</v>
      </c>
      <c r="J127" s="584">
        <v>0</v>
      </c>
      <c r="K127" s="584">
        <f t="shared" si="16"/>
        <v>3188.63</v>
      </c>
      <c r="L127" s="584">
        <v>1000</v>
      </c>
      <c r="M127" s="584">
        <v>0</v>
      </c>
      <c r="N127" s="585">
        <f>SUM(L127:M127)</f>
        <v>1000</v>
      </c>
      <c r="O127" s="586">
        <f>(K127*12)+N127</f>
        <v>39263.56</v>
      </c>
      <c r="P127" s="587">
        <f>B127*O127</f>
        <v>39263.56</v>
      </c>
      <c r="Q127" s="573">
        <v>1</v>
      </c>
      <c r="R127" s="584">
        <v>605.63</v>
      </c>
      <c r="S127" s="584">
        <v>2583</v>
      </c>
      <c r="T127" s="584">
        <v>0</v>
      </c>
      <c r="U127" s="584">
        <v>0</v>
      </c>
      <c r="V127" s="584">
        <v>0</v>
      </c>
      <c r="W127" s="584">
        <v>0</v>
      </c>
      <c r="X127" s="584">
        <v>0</v>
      </c>
      <c r="Y127" s="584">
        <v>0</v>
      </c>
      <c r="Z127" s="584">
        <f t="shared" si="19"/>
        <v>3188.63</v>
      </c>
      <c r="AA127" s="584">
        <v>1000</v>
      </c>
      <c r="AB127" s="584">
        <v>0</v>
      </c>
      <c r="AC127" s="585">
        <f>SUM(AA127:AB127)</f>
        <v>1000</v>
      </c>
      <c r="AD127" s="586">
        <f>(Z127*12)+AC127</f>
        <v>39263.56</v>
      </c>
      <c r="AE127" s="587">
        <f>Q127*AD127</f>
        <v>39263.56</v>
      </c>
      <c r="AF127" s="17"/>
      <c r="AG127" s="16"/>
      <c r="AH127" s="573">
        <v>1</v>
      </c>
      <c r="AI127" s="587">
        <f t="shared" si="15"/>
        <v>39263.56</v>
      </c>
    </row>
    <row r="128" spans="1:35" ht="12.75">
      <c r="A128" s="603" t="s">
        <v>673</v>
      </c>
      <c r="B128" s="573">
        <v>1</v>
      </c>
      <c r="C128" s="584">
        <v>587.83</v>
      </c>
      <c r="D128" s="584">
        <v>2583</v>
      </c>
      <c r="E128" s="584">
        <v>0</v>
      </c>
      <c r="F128" s="584">
        <v>0</v>
      </c>
      <c r="G128" s="584">
        <v>0</v>
      </c>
      <c r="H128" s="584">
        <v>0</v>
      </c>
      <c r="I128" s="584">
        <v>0</v>
      </c>
      <c r="J128" s="584">
        <v>0</v>
      </c>
      <c r="K128" s="584">
        <f t="shared" si="16"/>
        <v>3170.83</v>
      </c>
      <c r="L128" s="584">
        <v>1000</v>
      </c>
      <c r="M128" s="584">
        <v>0</v>
      </c>
      <c r="N128" s="585">
        <f t="shared" si="13"/>
        <v>1000</v>
      </c>
      <c r="O128" s="586">
        <f t="shared" si="17"/>
        <v>39049.96</v>
      </c>
      <c r="P128" s="587">
        <f t="shared" si="18"/>
        <v>39049.96</v>
      </c>
      <c r="Q128" s="573">
        <v>1</v>
      </c>
      <c r="R128" s="584">
        <v>587.83</v>
      </c>
      <c r="S128" s="584">
        <v>2583</v>
      </c>
      <c r="T128" s="584">
        <v>0</v>
      </c>
      <c r="U128" s="584">
        <v>0</v>
      </c>
      <c r="V128" s="584">
        <v>0</v>
      </c>
      <c r="W128" s="584">
        <v>0</v>
      </c>
      <c r="X128" s="584">
        <v>0</v>
      </c>
      <c r="Y128" s="584">
        <v>0</v>
      </c>
      <c r="Z128" s="584">
        <f t="shared" si="19"/>
        <v>3170.83</v>
      </c>
      <c r="AA128" s="584">
        <v>1000</v>
      </c>
      <c r="AB128" s="584">
        <v>0</v>
      </c>
      <c r="AC128" s="585">
        <f t="shared" si="14"/>
        <v>1000</v>
      </c>
      <c r="AD128" s="586">
        <f t="shared" si="20"/>
        <v>39049.96</v>
      </c>
      <c r="AE128" s="587">
        <f t="shared" si="21"/>
        <v>39049.96</v>
      </c>
      <c r="AF128" s="17"/>
      <c r="AG128" s="16"/>
      <c r="AH128" s="573">
        <v>1</v>
      </c>
      <c r="AI128" s="587">
        <f t="shared" si="15"/>
        <v>39049.96</v>
      </c>
    </row>
    <row r="129" spans="1:35" ht="12.75">
      <c r="A129" s="603" t="s">
        <v>676</v>
      </c>
      <c r="B129" s="573">
        <v>1</v>
      </c>
      <c r="C129" s="584">
        <v>587.28</v>
      </c>
      <c r="D129" s="584">
        <v>2583</v>
      </c>
      <c r="E129" s="584">
        <v>0</v>
      </c>
      <c r="F129" s="584">
        <v>0</v>
      </c>
      <c r="G129" s="584">
        <v>0</v>
      </c>
      <c r="H129" s="584">
        <v>0</v>
      </c>
      <c r="I129" s="584">
        <v>0</v>
      </c>
      <c r="J129" s="584">
        <v>0</v>
      </c>
      <c r="K129" s="584">
        <f t="shared" si="16"/>
        <v>3170.2799999999997</v>
      </c>
      <c r="L129" s="584">
        <v>1000</v>
      </c>
      <c r="M129" s="584">
        <v>0</v>
      </c>
      <c r="N129" s="585">
        <f t="shared" si="13"/>
        <v>1000</v>
      </c>
      <c r="O129" s="586">
        <f t="shared" si="17"/>
        <v>39043.36</v>
      </c>
      <c r="P129" s="587">
        <f t="shared" si="18"/>
        <v>39043.36</v>
      </c>
      <c r="Q129" s="573">
        <v>1</v>
      </c>
      <c r="R129" s="584">
        <v>587.28</v>
      </c>
      <c r="S129" s="584">
        <v>2583</v>
      </c>
      <c r="T129" s="584">
        <v>0</v>
      </c>
      <c r="U129" s="584">
        <v>0</v>
      </c>
      <c r="V129" s="584">
        <v>0</v>
      </c>
      <c r="W129" s="584">
        <v>0</v>
      </c>
      <c r="X129" s="584">
        <v>0</v>
      </c>
      <c r="Y129" s="584">
        <v>0</v>
      </c>
      <c r="Z129" s="584">
        <f t="shared" si="19"/>
        <v>3170.2799999999997</v>
      </c>
      <c r="AA129" s="584">
        <v>1000</v>
      </c>
      <c r="AB129" s="584">
        <v>0</v>
      </c>
      <c r="AC129" s="585">
        <f t="shared" si="14"/>
        <v>1000</v>
      </c>
      <c r="AD129" s="586">
        <f t="shared" si="20"/>
        <v>39043.36</v>
      </c>
      <c r="AE129" s="587">
        <f t="shared" si="21"/>
        <v>39043.36</v>
      </c>
      <c r="AF129" s="17"/>
      <c r="AG129" s="16"/>
      <c r="AH129" s="573">
        <v>1</v>
      </c>
      <c r="AI129" s="587">
        <f t="shared" si="15"/>
        <v>39043.36</v>
      </c>
    </row>
    <row r="130" spans="1:35" ht="12.75">
      <c r="A130" s="603" t="s">
        <v>677</v>
      </c>
      <c r="B130" s="573">
        <v>1</v>
      </c>
      <c r="C130" s="584">
        <v>580.27</v>
      </c>
      <c r="D130" s="584">
        <v>2583</v>
      </c>
      <c r="E130" s="584">
        <v>0</v>
      </c>
      <c r="F130" s="584">
        <v>0</v>
      </c>
      <c r="G130" s="584">
        <v>0</v>
      </c>
      <c r="H130" s="584">
        <v>0</v>
      </c>
      <c r="I130" s="584">
        <v>0</v>
      </c>
      <c r="J130" s="584">
        <v>0</v>
      </c>
      <c r="K130" s="584">
        <f t="shared" si="16"/>
        <v>3163.27</v>
      </c>
      <c r="L130" s="584">
        <v>1000</v>
      </c>
      <c r="M130" s="584">
        <v>0</v>
      </c>
      <c r="N130" s="585">
        <f t="shared" si="13"/>
        <v>1000</v>
      </c>
      <c r="O130" s="586">
        <f t="shared" si="17"/>
        <v>38959.24</v>
      </c>
      <c r="P130" s="587">
        <f t="shared" si="18"/>
        <v>38959.24</v>
      </c>
      <c r="Q130" s="573">
        <v>1</v>
      </c>
      <c r="R130" s="584">
        <v>580.27</v>
      </c>
      <c r="S130" s="584">
        <v>2583</v>
      </c>
      <c r="T130" s="584">
        <v>0</v>
      </c>
      <c r="U130" s="584">
        <v>0</v>
      </c>
      <c r="V130" s="584">
        <v>0</v>
      </c>
      <c r="W130" s="584">
        <v>0</v>
      </c>
      <c r="X130" s="584">
        <v>0</v>
      </c>
      <c r="Y130" s="584">
        <v>0</v>
      </c>
      <c r="Z130" s="584">
        <f t="shared" si="19"/>
        <v>3163.27</v>
      </c>
      <c r="AA130" s="584">
        <v>1000</v>
      </c>
      <c r="AB130" s="584">
        <v>0</v>
      </c>
      <c r="AC130" s="585">
        <f t="shared" si="14"/>
        <v>1000</v>
      </c>
      <c r="AD130" s="586">
        <f t="shared" si="20"/>
        <v>38959.24</v>
      </c>
      <c r="AE130" s="587">
        <f t="shared" si="21"/>
        <v>38959.24</v>
      </c>
      <c r="AF130" s="17"/>
      <c r="AG130" s="16"/>
      <c r="AH130" s="573">
        <v>1</v>
      </c>
      <c r="AI130" s="587">
        <f t="shared" si="15"/>
        <v>38959.24</v>
      </c>
    </row>
    <row r="131" spans="1:35" ht="12.75">
      <c r="A131" s="603" t="s">
        <v>678</v>
      </c>
      <c r="B131" s="573">
        <v>1</v>
      </c>
      <c r="C131" s="584">
        <v>559.08</v>
      </c>
      <c r="D131" s="584">
        <v>2583</v>
      </c>
      <c r="E131" s="584">
        <v>0</v>
      </c>
      <c r="F131" s="584">
        <v>0</v>
      </c>
      <c r="G131" s="584">
        <v>0</v>
      </c>
      <c r="H131" s="584">
        <v>0</v>
      </c>
      <c r="I131" s="584">
        <v>0</v>
      </c>
      <c r="J131" s="584">
        <v>0</v>
      </c>
      <c r="K131" s="584">
        <f t="shared" si="16"/>
        <v>3142.08</v>
      </c>
      <c r="L131" s="584">
        <v>1000</v>
      </c>
      <c r="M131" s="584">
        <v>0</v>
      </c>
      <c r="N131" s="585">
        <f t="shared" si="13"/>
        <v>1000</v>
      </c>
      <c r="O131" s="586">
        <f t="shared" si="17"/>
        <v>38704.96</v>
      </c>
      <c r="P131" s="587">
        <f t="shared" si="18"/>
        <v>38704.96</v>
      </c>
      <c r="Q131" s="573">
        <v>1</v>
      </c>
      <c r="R131" s="584">
        <v>559.08</v>
      </c>
      <c r="S131" s="584">
        <v>2583</v>
      </c>
      <c r="T131" s="584">
        <v>0</v>
      </c>
      <c r="U131" s="584">
        <v>0</v>
      </c>
      <c r="V131" s="584">
        <v>0</v>
      </c>
      <c r="W131" s="584">
        <v>0</v>
      </c>
      <c r="X131" s="584">
        <v>0</v>
      </c>
      <c r="Y131" s="584">
        <v>0</v>
      </c>
      <c r="Z131" s="584">
        <f t="shared" si="19"/>
        <v>3142.08</v>
      </c>
      <c r="AA131" s="584">
        <v>1000</v>
      </c>
      <c r="AB131" s="584">
        <v>0</v>
      </c>
      <c r="AC131" s="585">
        <f t="shared" si="14"/>
        <v>1000</v>
      </c>
      <c r="AD131" s="586">
        <f t="shared" si="20"/>
        <v>38704.96</v>
      </c>
      <c r="AE131" s="587">
        <f t="shared" si="21"/>
        <v>38704.96</v>
      </c>
      <c r="AF131" s="17"/>
      <c r="AG131" s="16"/>
      <c r="AH131" s="573">
        <v>1</v>
      </c>
      <c r="AI131" s="587">
        <f t="shared" si="15"/>
        <v>38704.96</v>
      </c>
    </row>
    <row r="132" spans="1:35" ht="12.75">
      <c r="A132" s="603" t="s">
        <v>6</v>
      </c>
      <c r="B132" s="589">
        <v>1</v>
      </c>
      <c r="C132" s="593">
        <f>SUM(C133:C136)</f>
        <v>557.45</v>
      </c>
      <c r="D132" s="593">
        <f>SUM(D133:D136)</f>
        <v>2583</v>
      </c>
      <c r="E132" s="584"/>
      <c r="F132" s="584"/>
      <c r="G132" s="584"/>
      <c r="H132" s="584"/>
      <c r="I132" s="584"/>
      <c r="J132" s="584"/>
      <c r="K132" s="590"/>
      <c r="L132" s="590">
        <f>SUM(L133:L136)</f>
        <v>1000</v>
      </c>
      <c r="M132" s="584"/>
      <c r="N132" s="590">
        <f>SUM(N133:N136)</f>
        <v>1000</v>
      </c>
      <c r="O132" s="591"/>
      <c r="P132" s="592"/>
      <c r="Q132" s="589">
        <v>1</v>
      </c>
      <c r="R132" s="593">
        <f>SUM(R133:R136)</f>
        <v>557.45</v>
      </c>
      <c r="S132" s="593">
        <f>SUM(S133:S136)</f>
        <v>2583</v>
      </c>
      <c r="T132" s="584"/>
      <c r="U132" s="584"/>
      <c r="V132" s="584"/>
      <c r="W132" s="584"/>
      <c r="X132" s="584"/>
      <c r="Y132" s="584"/>
      <c r="Z132" s="590"/>
      <c r="AA132" s="590">
        <f>SUM(AA133:AA136)</f>
        <v>1000</v>
      </c>
      <c r="AB132" s="584"/>
      <c r="AC132" s="590">
        <f>SUM(AC133:AC136)</f>
        <v>1000</v>
      </c>
      <c r="AD132" s="591"/>
      <c r="AE132" s="592"/>
      <c r="AF132" s="17"/>
      <c r="AG132" s="16"/>
      <c r="AH132" s="589">
        <v>1</v>
      </c>
      <c r="AI132" s="592"/>
    </row>
    <row r="133" spans="1:35" ht="12.75">
      <c r="A133" s="603" t="s">
        <v>679</v>
      </c>
      <c r="B133" s="573">
        <v>1</v>
      </c>
      <c r="C133" s="584">
        <v>557.45</v>
      </c>
      <c r="D133" s="584">
        <v>2583</v>
      </c>
      <c r="E133" s="584">
        <v>0</v>
      </c>
      <c r="F133" s="584">
        <v>0</v>
      </c>
      <c r="G133" s="584">
        <v>0</v>
      </c>
      <c r="H133" s="584">
        <v>0</v>
      </c>
      <c r="I133" s="584">
        <v>0</v>
      </c>
      <c r="J133" s="584">
        <v>0</v>
      </c>
      <c r="K133" s="584">
        <f t="shared" si="16"/>
        <v>3140.45</v>
      </c>
      <c r="L133" s="584">
        <v>1000</v>
      </c>
      <c r="M133" s="584">
        <v>0</v>
      </c>
      <c r="N133" s="585">
        <f>SUM(L133:M133)</f>
        <v>1000</v>
      </c>
      <c r="O133" s="586">
        <f>(K133*12)+N133</f>
        <v>38685.399999999994</v>
      </c>
      <c r="P133" s="587">
        <f>B133*O133</f>
        <v>38685.399999999994</v>
      </c>
      <c r="Q133" s="573">
        <v>1</v>
      </c>
      <c r="R133" s="584">
        <v>557.45</v>
      </c>
      <c r="S133" s="584">
        <v>2583</v>
      </c>
      <c r="T133" s="584">
        <v>0</v>
      </c>
      <c r="U133" s="584">
        <v>0</v>
      </c>
      <c r="V133" s="584">
        <v>0</v>
      </c>
      <c r="W133" s="584">
        <v>0</v>
      </c>
      <c r="X133" s="584">
        <v>0</v>
      </c>
      <c r="Y133" s="584">
        <v>0</v>
      </c>
      <c r="Z133" s="584">
        <f t="shared" si="19"/>
        <v>3140.45</v>
      </c>
      <c r="AA133" s="584">
        <v>1000</v>
      </c>
      <c r="AB133" s="584">
        <v>0</v>
      </c>
      <c r="AC133" s="585">
        <f>SUM(AA133:AB133)</f>
        <v>1000</v>
      </c>
      <c r="AD133" s="586">
        <f>(Z133*12)+AC133</f>
        <v>38685.399999999994</v>
      </c>
      <c r="AE133" s="587">
        <f>Q133*AD133</f>
        <v>38685.399999999994</v>
      </c>
      <c r="AF133" s="17"/>
      <c r="AG133" s="16"/>
      <c r="AH133" s="573">
        <v>1</v>
      </c>
      <c r="AI133" s="587">
        <f t="shared" si="15"/>
        <v>38685.399999999994</v>
      </c>
    </row>
    <row r="134" spans="1:35" ht="12.75">
      <c r="A134" s="513"/>
      <c r="B134" s="16"/>
      <c r="C134" s="584"/>
      <c r="D134" s="584"/>
      <c r="E134" s="584"/>
      <c r="F134" s="584"/>
      <c r="G134" s="584"/>
      <c r="H134" s="584"/>
      <c r="I134" s="584"/>
      <c r="J134" s="584"/>
      <c r="K134" s="584"/>
      <c r="L134" s="584"/>
      <c r="M134" s="584"/>
      <c r="N134" s="585"/>
      <c r="O134" s="586"/>
      <c r="P134" s="587"/>
      <c r="Q134" s="16"/>
      <c r="R134" s="584"/>
      <c r="S134" s="584"/>
      <c r="T134" s="584"/>
      <c r="U134" s="584"/>
      <c r="V134" s="584"/>
      <c r="W134" s="584"/>
      <c r="X134" s="584"/>
      <c r="Y134" s="584"/>
      <c r="Z134" s="584"/>
      <c r="AA134" s="584"/>
      <c r="AB134" s="584"/>
      <c r="AC134" s="585"/>
      <c r="AD134" s="586"/>
      <c r="AE134" s="587"/>
      <c r="AF134" s="17"/>
      <c r="AG134" s="16"/>
      <c r="AH134" s="16"/>
      <c r="AI134" s="587"/>
    </row>
    <row r="135" spans="1:35" ht="12">
      <c r="A135" s="16"/>
      <c r="B135" s="16"/>
      <c r="C135" s="12"/>
      <c r="D135" s="12"/>
      <c r="E135" s="12"/>
      <c r="F135" s="12"/>
      <c r="G135" s="12"/>
      <c r="H135" s="12"/>
      <c r="I135" s="12"/>
      <c r="J135" s="12"/>
      <c r="K135" s="12"/>
      <c r="L135" s="12"/>
      <c r="M135" s="12"/>
      <c r="N135" s="9"/>
      <c r="O135" s="44"/>
      <c r="P135" s="17"/>
      <c r="Q135" s="16"/>
      <c r="R135" s="12"/>
      <c r="S135" s="12"/>
      <c r="T135" s="12"/>
      <c r="U135" s="12"/>
      <c r="V135" s="12"/>
      <c r="W135" s="12"/>
      <c r="X135" s="12"/>
      <c r="Y135" s="12"/>
      <c r="Z135" s="12"/>
      <c r="AA135" s="12"/>
      <c r="AB135" s="584"/>
      <c r="AC135" s="9"/>
      <c r="AD135" s="44"/>
      <c r="AE135" s="17"/>
      <c r="AF135" s="17"/>
      <c r="AG135" s="16"/>
      <c r="AH135" s="16"/>
      <c r="AI135" s="17"/>
    </row>
    <row r="136" spans="1:35" ht="12.75" thickBot="1">
      <c r="A136" s="42"/>
      <c r="B136" s="73"/>
      <c r="C136" s="14"/>
      <c r="D136" s="14"/>
      <c r="E136" s="14"/>
      <c r="F136" s="14"/>
      <c r="G136" s="14"/>
      <c r="H136" s="14"/>
      <c r="I136" s="14"/>
      <c r="J136" s="14"/>
      <c r="K136" s="14"/>
      <c r="L136" s="14"/>
      <c r="M136" s="14"/>
      <c r="N136" s="13"/>
      <c r="O136" s="45"/>
      <c r="P136" s="46"/>
      <c r="Q136" s="73"/>
      <c r="R136" s="14"/>
      <c r="S136" s="14"/>
      <c r="T136" s="14"/>
      <c r="U136" s="14"/>
      <c r="V136" s="14"/>
      <c r="W136" s="14"/>
      <c r="X136" s="14"/>
      <c r="Y136" s="14"/>
      <c r="Z136" s="14"/>
      <c r="AA136" s="14"/>
      <c r="AB136" s="594"/>
      <c r="AC136" s="13"/>
      <c r="AD136" s="45"/>
      <c r="AE136" s="46"/>
      <c r="AF136" s="46"/>
      <c r="AG136" s="73"/>
      <c r="AH136" s="73"/>
      <c r="AI136" s="46"/>
    </row>
    <row r="137" spans="1:35" ht="12.75" thickBot="1">
      <c r="A137" s="69" t="s">
        <v>0</v>
      </c>
      <c r="B137" s="595">
        <f>B112+B119+B125+B132</f>
        <v>18</v>
      </c>
      <c r="C137" s="596">
        <f>C112+C119+C125+C132</f>
        <v>13084.670000000002</v>
      </c>
      <c r="D137" s="597">
        <f>D112+D119+D125+D132</f>
        <v>50394</v>
      </c>
      <c r="E137" s="598"/>
      <c r="F137" s="598"/>
      <c r="G137" s="598"/>
      <c r="H137" s="598"/>
      <c r="I137" s="598"/>
      <c r="J137" s="598"/>
      <c r="K137" s="597">
        <f>SUM(K113:K135)</f>
        <v>63478.67</v>
      </c>
      <c r="L137" s="597"/>
      <c r="M137" s="598"/>
      <c r="N137" s="597">
        <f>N112+N119+N125+N132</f>
        <v>18000</v>
      </c>
      <c r="O137" s="599">
        <f>SUM(O113:O136)</f>
        <v>779744.04</v>
      </c>
      <c r="P137" s="600">
        <f>SUM(P113:P135)</f>
        <v>779744.04</v>
      </c>
      <c r="Q137" s="595">
        <f>Q112+Q119+Q125+Q132</f>
        <v>18</v>
      </c>
      <c r="R137" s="596">
        <f>R112+R119+R125+R132</f>
        <v>13084.670000000002</v>
      </c>
      <c r="S137" s="597">
        <f>S112+S119+S125+S132</f>
        <v>50394</v>
      </c>
      <c r="T137" s="47"/>
      <c r="U137" s="47"/>
      <c r="V137" s="47"/>
      <c r="W137" s="47"/>
      <c r="X137" s="47"/>
      <c r="Y137" s="47"/>
      <c r="Z137" s="597">
        <f>SUM(Z113:Z135)</f>
        <v>63478.67</v>
      </c>
      <c r="AA137" s="597"/>
      <c r="AB137" s="601"/>
      <c r="AC137" s="597">
        <f>AC112+AC119+AC125+AC132</f>
        <v>18000</v>
      </c>
      <c r="AD137" s="599">
        <f>SUM(AD113:AD135)</f>
        <v>779744.04</v>
      </c>
      <c r="AE137" s="600">
        <f>SUM(AE113:AE135)</f>
        <v>779744.04</v>
      </c>
      <c r="AF137" s="8"/>
      <c r="AG137" s="42"/>
      <c r="AH137" s="595">
        <f>AH112+AH119+AH125+AH132</f>
        <v>18</v>
      </c>
      <c r="AI137" s="600">
        <f>SUM(AI113:AI135)</f>
        <v>779744.04</v>
      </c>
    </row>
    <row r="139" ht="12.75" thickBot="1">
      <c r="A139" s="15" t="s">
        <v>698</v>
      </c>
    </row>
    <row r="140" spans="1:35" ht="12.75" thickBot="1">
      <c r="A140" s="1559" t="s">
        <v>47</v>
      </c>
      <c r="B140" s="1562" t="s">
        <v>339</v>
      </c>
      <c r="C140" s="1562"/>
      <c r="D140" s="1562"/>
      <c r="E140" s="1562"/>
      <c r="F140" s="1562"/>
      <c r="G140" s="1562"/>
      <c r="H140" s="1562"/>
      <c r="I140" s="1562"/>
      <c r="J140" s="1562"/>
      <c r="K140" s="1562"/>
      <c r="L140" s="1562"/>
      <c r="M140" s="1562"/>
      <c r="N140" s="1562"/>
      <c r="O140" s="1562"/>
      <c r="P140" s="1562"/>
      <c r="Q140" s="1563" t="s">
        <v>434</v>
      </c>
      <c r="R140" s="1562"/>
      <c r="S140" s="1562"/>
      <c r="T140" s="1562"/>
      <c r="U140" s="1562"/>
      <c r="V140" s="1562"/>
      <c r="W140" s="1562"/>
      <c r="X140" s="1562"/>
      <c r="Y140" s="1562"/>
      <c r="Z140" s="1562"/>
      <c r="AA140" s="1562"/>
      <c r="AB140" s="1562"/>
      <c r="AC140" s="1562"/>
      <c r="AD140" s="1562"/>
      <c r="AE140" s="1564"/>
      <c r="AF140" s="1565" t="s">
        <v>436</v>
      </c>
      <c r="AG140" s="1566"/>
      <c r="AH140" s="1565" t="s">
        <v>435</v>
      </c>
      <c r="AI140" s="1566"/>
    </row>
    <row r="141" spans="1:35" ht="140.25">
      <c r="A141" s="1560"/>
      <c r="B141" s="490" t="s">
        <v>11</v>
      </c>
      <c r="C141" s="604" t="s">
        <v>146</v>
      </c>
      <c r="D141" s="605" t="s">
        <v>270</v>
      </c>
      <c r="E141" s="492" t="s">
        <v>148</v>
      </c>
      <c r="F141" s="492" t="s">
        <v>182</v>
      </c>
      <c r="G141" s="492" t="s">
        <v>183</v>
      </c>
      <c r="H141" s="492" t="s">
        <v>184</v>
      </c>
      <c r="I141" s="492" t="s">
        <v>185</v>
      </c>
      <c r="J141" s="492" t="s">
        <v>149</v>
      </c>
      <c r="K141" s="492" t="s">
        <v>150</v>
      </c>
      <c r="L141" s="605" t="s">
        <v>151</v>
      </c>
      <c r="M141" s="492" t="s">
        <v>181</v>
      </c>
      <c r="N141" s="493" t="s">
        <v>119</v>
      </c>
      <c r="O141" s="606" t="s">
        <v>156</v>
      </c>
      <c r="P141" s="607" t="s">
        <v>155</v>
      </c>
      <c r="Q141" s="490" t="s">
        <v>11</v>
      </c>
      <c r="R141" s="491" t="s">
        <v>146</v>
      </c>
      <c r="S141" s="492" t="s">
        <v>147</v>
      </c>
      <c r="T141" s="492" t="s">
        <v>148</v>
      </c>
      <c r="U141" s="492" t="s">
        <v>182</v>
      </c>
      <c r="V141" s="492" t="s">
        <v>183</v>
      </c>
      <c r="W141" s="492" t="s">
        <v>184</v>
      </c>
      <c r="X141" s="492" t="s">
        <v>185</v>
      </c>
      <c r="Y141" s="492" t="s">
        <v>149</v>
      </c>
      <c r="Z141" s="492" t="s">
        <v>150</v>
      </c>
      <c r="AA141" s="492" t="s">
        <v>151</v>
      </c>
      <c r="AB141" s="492" t="s">
        <v>181</v>
      </c>
      <c r="AC141" s="608" t="s">
        <v>119</v>
      </c>
      <c r="AD141" s="606" t="s">
        <v>156</v>
      </c>
      <c r="AE141" s="607" t="s">
        <v>340</v>
      </c>
      <c r="AF141" s="496" t="s">
        <v>160</v>
      </c>
      <c r="AG141" s="496" t="s">
        <v>159</v>
      </c>
      <c r="AH141" s="496" t="s">
        <v>11</v>
      </c>
      <c r="AI141" s="495" t="s">
        <v>341</v>
      </c>
    </row>
    <row r="142" spans="1:35" ht="12.75" thickBot="1">
      <c r="A142" s="1561"/>
      <c r="B142" s="497" t="s">
        <v>48</v>
      </c>
      <c r="C142" s="609" t="s">
        <v>49</v>
      </c>
      <c r="D142" s="610" t="s">
        <v>50</v>
      </c>
      <c r="E142" s="499" t="s">
        <v>51</v>
      </c>
      <c r="F142" s="500" t="s">
        <v>52</v>
      </c>
      <c r="G142" s="500" t="s">
        <v>53</v>
      </c>
      <c r="H142" s="500" t="s">
        <v>79</v>
      </c>
      <c r="I142" s="500" t="s">
        <v>118</v>
      </c>
      <c r="J142" s="500" t="s">
        <v>154</v>
      </c>
      <c r="K142" s="500" t="s">
        <v>158</v>
      </c>
      <c r="L142" s="611" t="s">
        <v>190</v>
      </c>
      <c r="M142" s="500" t="s">
        <v>191</v>
      </c>
      <c r="N142" s="501" t="s">
        <v>193</v>
      </c>
      <c r="O142" s="612" t="s">
        <v>194</v>
      </c>
      <c r="P142" s="613" t="s">
        <v>195</v>
      </c>
      <c r="Q142" s="497" t="s">
        <v>48</v>
      </c>
      <c r="R142" s="498" t="s">
        <v>49</v>
      </c>
      <c r="S142" s="499" t="s">
        <v>50</v>
      </c>
      <c r="T142" s="499" t="s">
        <v>51</v>
      </c>
      <c r="U142" s="500" t="s">
        <v>52</v>
      </c>
      <c r="V142" s="500" t="s">
        <v>53</v>
      </c>
      <c r="W142" s="500" t="s">
        <v>79</v>
      </c>
      <c r="X142" s="500" t="s">
        <v>118</v>
      </c>
      <c r="Y142" s="500" t="s">
        <v>154</v>
      </c>
      <c r="Z142" s="500" t="s">
        <v>158</v>
      </c>
      <c r="AA142" s="500" t="s">
        <v>190</v>
      </c>
      <c r="AB142" s="500" t="s">
        <v>191</v>
      </c>
      <c r="AC142" s="614" t="s">
        <v>193</v>
      </c>
      <c r="AD142" s="612" t="s">
        <v>194</v>
      </c>
      <c r="AE142" s="613" t="s">
        <v>195</v>
      </c>
      <c r="AF142" s="504"/>
      <c r="AG142" s="497"/>
      <c r="AH142" s="504"/>
      <c r="AI142" s="497"/>
    </row>
    <row r="143" spans="1:35" ht="12">
      <c r="A143" s="465"/>
      <c r="B143" s="465"/>
      <c r="C143" s="622"/>
      <c r="D143" s="622"/>
      <c r="E143" s="623"/>
      <c r="F143" s="623"/>
      <c r="G143" s="623"/>
      <c r="H143" s="623"/>
      <c r="I143" s="623"/>
      <c r="J143" s="623"/>
      <c r="K143" s="623"/>
      <c r="L143" s="622"/>
      <c r="M143" s="623"/>
      <c r="N143" s="624"/>
      <c r="O143" s="625"/>
      <c r="P143" s="626"/>
      <c r="Q143" s="465"/>
      <c r="R143" s="623"/>
      <c r="S143" s="623"/>
      <c r="T143" s="623"/>
      <c r="U143" s="623"/>
      <c r="V143" s="623"/>
      <c r="W143" s="623"/>
      <c r="X143" s="623"/>
      <c r="Y143" s="623"/>
      <c r="Z143" s="623"/>
      <c r="AA143" s="623"/>
      <c r="AB143" s="623"/>
      <c r="AC143" s="627"/>
      <c r="AD143" s="625"/>
      <c r="AE143" s="626"/>
      <c r="AF143" s="458"/>
      <c r="AG143" s="465"/>
      <c r="AH143" s="457"/>
      <c r="AI143" s="456"/>
    </row>
    <row r="144" spans="1:35" ht="12">
      <c r="A144" s="615" t="s">
        <v>54</v>
      </c>
      <c r="B144" s="456"/>
      <c r="C144" s="519"/>
      <c r="D144" s="519"/>
      <c r="E144" s="454"/>
      <c r="F144" s="454"/>
      <c r="G144" s="454"/>
      <c r="H144" s="454"/>
      <c r="I144" s="454"/>
      <c r="J144" s="454"/>
      <c r="K144" s="454"/>
      <c r="L144" s="519"/>
      <c r="M144" s="454"/>
      <c r="N144" s="453"/>
      <c r="O144" s="521"/>
      <c r="P144" s="522"/>
      <c r="Q144" s="456"/>
      <c r="R144" s="454"/>
      <c r="S144" s="454"/>
      <c r="T144" s="454"/>
      <c r="U144" s="454"/>
      <c r="V144" s="454"/>
      <c r="W144" s="454"/>
      <c r="X144" s="454"/>
      <c r="Y144" s="454"/>
      <c r="Z144" s="454"/>
      <c r="AA144" s="454"/>
      <c r="AB144" s="454"/>
      <c r="AC144" s="520"/>
      <c r="AD144" s="521"/>
      <c r="AE144" s="522"/>
      <c r="AF144" s="457"/>
      <c r="AG144" s="456"/>
      <c r="AH144" s="457"/>
      <c r="AI144" s="456"/>
    </row>
    <row r="145" spans="1:35" ht="12.75">
      <c r="A145" s="602" t="s">
        <v>668</v>
      </c>
      <c r="B145" s="456"/>
      <c r="C145" s="520"/>
      <c r="D145" s="616"/>
      <c r="E145" s="454"/>
      <c r="F145" s="454"/>
      <c r="G145" s="454"/>
      <c r="H145" s="454"/>
      <c r="I145" s="454"/>
      <c r="J145" s="454"/>
      <c r="K145" s="454"/>
      <c r="L145" s="519"/>
      <c r="M145" s="454"/>
      <c r="N145" s="453"/>
      <c r="O145" s="521"/>
      <c r="P145" s="522"/>
      <c r="Q145" s="456"/>
      <c r="R145" s="454"/>
      <c r="S145" s="454"/>
      <c r="T145" s="454"/>
      <c r="U145" s="454"/>
      <c r="V145" s="454"/>
      <c r="W145" s="454"/>
      <c r="X145" s="454"/>
      <c r="Y145" s="454"/>
      <c r="Z145" s="454"/>
      <c r="AA145" s="454"/>
      <c r="AB145" s="454"/>
      <c r="AC145" s="520"/>
      <c r="AD145" s="521"/>
      <c r="AE145" s="522"/>
      <c r="AF145" s="457"/>
      <c r="AG145" s="456"/>
      <c r="AH145" s="457"/>
      <c r="AI145" s="456"/>
    </row>
    <row r="146" spans="1:35" ht="12.75">
      <c r="A146" s="513" t="s">
        <v>563</v>
      </c>
      <c r="B146" s="456">
        <v>1</v>
      </c>
      <c r="C146" s="628">
        <v>4881.02</v>
      </c>
      <c r="D146" s="616">
        <v>3100</v>
      </c>
      <c r="E146" s="454"/>
      <c r="F146" s="454"/>
      <c r="G146" s="454"/>
      <c r="H146" s="454"/>
      <c r="I146" s="454"/>
      <c r="J146" s="454"/>
      <c r="K146" s="519">
        <f>SUM(C146:J146)</f>
        <v>7981.02</v>
      </c>
      <c r="L146" s="519">
        <v>1000</v>
      </c>
      <c r="M146" s="454"/>
      <c r="N146" s="520">
        <f>SUM(L146+M146)</f>
        <v>1000</v>
      </c>
      <c r="O146" s="521">
        <f>+(K146*12)+N146</f>
        <v>96772.24</v>
      </c>
      <c r="P146" s="522">
        <f>+O146*B146</f>
        <v>96772.24</v>
      </c>
      <c r="Q146" s="456">
        <v>1</v>
      </c>
      <c r="R146" s="628">
        <v>4881.02</v>
      </c>
      <c r="S146" s="616">
        <v>3100</v>
      </c>
      <c r="T146" s="454"/>
      <c r="U146" s="454"/>
      <c r="V146" s="454"/>
      <c r="W146" s="454"/>
      <c r="X146" s="454"/>
      <c r="Y146" s="454"/>
      <c r="Z146" s="519">
        <f>SUM(R146:Y146)</f>
        <v>7981.02</v>
      </c>
      <c r="AA146" s="519">
        <v>1000</v>
      </c>
      <c r="AB146" s="454"/>
      <c r="AC146" s="520">
        <f>+AA146+AB146</f>
        <v>1000</v>
      </c>
      <c r="AD146" s="521">
        <f>+(Z146*12)+AC146</f>
        <v>96772.24</v>
      </c>
      <c r="AE146" s="522">
        <f>+AD146*Q146</f>
        <v>96772.24</v>
      </c>
      <c r="AF146" s="457">
        <f>+Q146-B146</f>
        <v>0</v>
      </c>
      <c r="AG146" s="523">
        <f>+AE146-P146</f>
        <v>0</v>
      </c>
      <c r="AH146" s="456">
        <v>1</v>
      </c>
      <c r="AI146" s="523">
        <f>+AE146</f>
        <v>96772.24</v>
      </c>
    </row>
    <row r="147" spans="1:35" ht="12.75">
      <c r="A147" s="513" t="s">
        <v>562</v>
      </c>
      <c r="B147" s="456">
        <v>4</v>
      </c>
      <c r="C147" s="520">
        <v>2739.9</v>
      </c>
      <c r="D147" s="616">
        <v>3100</v>
      </c>
      <c r="E147" s="454"/>
      <c r="F147" s="454"/>
      <c r="G147" s="454"/>
      <c r="H147" s="454"/>
      <c r="I147" s="454"/>
      <c r="J147" s="454"/>
      <c r="K147" s="519">
        <f>SUM(C147:J147)</f>
        <v>5839.9</v>
      </c>
      <c r="L147" s="519">
        <v>1000</v>
      </c>
      <c r="M147" s="454"/>
      <c r="N147" s="520">
        <f>SUM(L147+M147)</f>
        <v>1000</v>
      </c>
      <c r="O147" s="521">
        <f>+(K147*12)+N147</f>
        <v>71078.79999999999</v>
      </c>
      <c r="P147" s="522">
        <f>+O147*B147</f>
        <v>284315.19999999995</v>
      </c>
      <c r="Q147" s="456">
        <v>4</v>
      </c>
      <c r="R147" s="520">
        <v>2739.9</v>
      </c>
      <c r="S147" s="616">
        <v>3100</v>
      </c>
      <c r="T147" s="454"/>
      <c r="U147" s="454"/>
      <c r="V147" s="454"/>
      <c r="W147" s="454"/>
      <c r="X147" s="454"/>
      <c r="Y147" s="454"/>
      <c r="Z147" s="519">
        <f>SUM(R147:Y147)</f>
        <v>5839.9</v>
      </c>
      <c r="AA147" s="519">
        <v>1000</v>
      </c>
      <c r="AB147" s="454"/>
      <c r="AC147" s="520">
        <f>+AA147+AB147</f>
        <v>1000</v>
      </c>
      <c r="AD147" s="521">
        <f>+(Z147*12)+AC147</f>
        <v>71078.79999999999</v>
      </c>
      <c r="AE147" s="522">
        <f>+AD147*Q147</f>
        <v>284315.19999999995</v>
      </c>
      <c r="AF147" s="457">
        <f>+Q147-B147</f>
        <v>0</v>
      </c>
      <c r="AG147" s="523">
        <f>+AE147-P147</f>
        <v>0</v>
      </c>
      <c r="AH147" s="456">
        <v>4</v>
      </c>
      <c r="AI147" s="523">
        <f>+AE147</f>
        <v>284315.19999999995</v>
      </c>
    </row>
    <row r="148" spans="1:35" ht="12.75">
      <c r="A148" s="602" t="s">
        <v>4</v>
      </c>
      <c r="B148" s="456"/>
      <c r="C148" s="520"/>
      <c r="D148" s="616"/>
      <c r="E148" s="454"/>
      <c r="F148" s="454"/>
      <c r="G148" s="454"/>
      <c r="H148" s="454"/>
      <c r="I148" s="454"/>
      <c r="J148" s="454"/>
      <c r="K148" s="519"/>
      <c r="L148" s="519"/>
      <c r="M148" s="454"/>
      <c r="N148" s="453"/>
      <c r="O148" s="521"/>
      <c r="P148" s="522"/>
      <c r="Q148" s="456"/>
      <c r="R148" s="520"/>
      <c r="S148" s="616"/>
      <c r="T148" s="454"/>
      <c r="U148" s="454"/>
      <c r="V148" s="454"/>
      <c r="W148" s="454"/>
      <c r="X148" s="454"/>
      <c r="Y148" s="454"/>
      <c r="Z148" s="453"/>
      <c r="AA148" s="519"/>
      <c r="AB148" s="454"/>
      <c r="AC148" s="520"/>
      <c r="AD148" s="521"/>
      <c r="AE148" s="522"/>
      <c r="AF148" s="457"/>
      <c r="AG148" s="456"/>
      <c r="AH148" s="456"/>
      <c r="AI148" s="456"/>
    </row>
    <row r="149" spans="1:35" ht="12.75">
      <c r="A149" s="513" t="s">
        <v>681</v>
      </c>
      <c r="B149" s="456">
        <v>3</v>
      </c>
      <c r="C149" s="520">
        <v>1809.12</v>
      </c>
      <c r="D149" s="616">
        <v>2900</v>
      </c>
      <c r="E149" s="454"/>
      <c r="F149" s="454"/>
      <c r="G149" s="454"/>
      <c r="H149" s="454"/>
      <c r="I149" s="454"/>
      <c r="J149" s="454"/>
      <c r="K149" s="519">
        <f>SUM(C149:J149)</f>
        <v>4709.12</v>
      </c>
      <c r="L149" s="519">
        <v>1000</v>
      </c>
      <c r="M149" s="454"/>
      <c r="N149" s="520">
        <f>SUM(L149+M149)</f>
        <v>1000</v>
      </c>
      <c r="O149" s="521">
        <f>+(K149*12)+N149</f>
        <v>57509.44</v>
      </c>
      <c r="P149" s="522">
        <f>+O149*B149</f>
        <v>172528.32</v>
      </c>
      <c r="Q149" s="456">
        <v>3</v>
      </c>
      <c r="R149" s="520">
        <v>1809.12</v>
      </c>
      <c r="S149" s="616">
        <v>2900</v>
      </c>
      <c r="T149" s="454"/>
      <c r="U149" s="454"/>
      <c r="V149" s="454"/>
      <c r="W149" s="454"/>
      <c r="X149" s="453"/>
      <c r="Y149" s="459"/>
      <c r="Z149" s="519">
        <f>SUM(R149:Y149)</f>
        <v>4709.12</v>
      </c>
      <c r="AA149" s="519">
        <v>1000</v>
      </c>
      <c r="AB149" s="454"/>
      <c r="AC149" s="520">
        <f>+AA149+AB149</f>
        <v>1000</v>
      </c>
      <c r="AD149" s="521">
        <f>+(Z149*12)+AC149</f>
        <v>57509.44</v>
      </c>
      <c r="AE149" s="522">
        <f>+AD149*Q149</f>
        <v>172528.32</v>
      </c>
      <c r="AF149" s="457">
        <f>+Q149-B149</f>
        <v>0</v>
      </c>
      <c r="AG149" s="523">
        <f>+AE149-P149</f>
        <v>0</v>
      </c>
      <c r="AH149" s="456">
        <v>3</v>
      </c>
      <c r="AI149" s="523">
        <f>+AE149</f>
        <v>172528.32</v>
      </c>
    </row>
    <row r="150" spans="1:35" ht="12.75">
      <c r="A150" s="513" t="s">
        <v>671</v>
      </c>
      <c r="B150" s="456">
        <v>11</v>
      </c>
      <c r="C150" s="519">
        <v>1393.72</v>
      </c>
      <c r="D150" s="519">
        <v>2900</v>
      </c>
      <c r="E150" s="454"/>
      <c r="F150" s="454"/>
      <c r="G150" s="454"/>
      <c r="H150" s="454"/>
      <c r="I150" s="454"/>
      <c r="J150" s="454"/>
      <c r="K150" s="519">
        <f>SUM(C150:J150)</f>
        <v>4293.72</v>
      </c>
      <c r="L150" s="519">
        <v>1000</v>
      </c>
      <c r="M150" s="454"/>
      <c r="N150" s="520">
        <f>SUM(L150+M150)</f>
        <v>1000</v>
      </c>
      <c r="O150" s="521">
        <f>+(K150*12)+N150</f>
        <v>52524.64</v>
      </c>
      <c r="P150" s="522">
        <f>+O150*B150</f>
        <v>577771.04</v>
      </c>
      <c r="Q150" s="456">
        <v>11</v>
      </c>
      <c r="R150" s="519">
        <v>1393.72</v>
      </c>
      <c r="S150" s="519">
        <v>2900</v>
      </c>
      <c r="T150" s="459"/>
      <c r="U150" s="480"/>
      <c r="V150" s="459"/>
      <c r="W150" s="459"/>
      <c r="X150" s="480"/>
      <c r="Y150" s="459"/>
      <c r="Z150" s="519">
        <f>SUM(R150:Y150)</f>
        <v>4293.72</v>
      </c>
      <c r="AA150" s="519">
        <v>1000</v>
      </c>
      <c r="AB150" s="454"/>
      <c r="AC150" s="520">
        <f>+AA150+AB150</f>
        <v>1000</v>
      </c>
      <c r="AD150" s="521">
        <f>+(Z150*12)+AC150</f>
        <v>52524.64</v>
      </c>
      <c r="AE150" s="522">
        <f>+AD150*Q150</f>
        <v>577771.04</v>
      </c>
      <c r="AF150" s="457">
        <f>+Q150-B150</f>
        <v>0</v>
      </c>
      <c r="AG150" s="523">
        <f>+AE150-P150</f>
        <v>0</v>
      </c>
      <c r="AH150" s="456">
        <v>11</v>
      </c>
      <c r="AI150" s="523">
        <f>+AE150</f>
        <v>577771.04</v>
      </c>
    </row>
    <row r="151" spans="1:35" ht="12.75">
      <c r="A151" s="602" t="s">
        <v>5</v>
      </c>
      <c r="B151" s="456"/>
      <c r="C151" s="519"/>
      <c r="D151" s="519"/>
      <c r="E151" s="454"/>
      <c r="F151" s="454"/>
      <c r="G151" s="454"/>
      <c r="H151" s="454"/>
      <c r="I151" s="454"/>
      <c r="J151" s="454"/>
      <c r="K151" s="519"/>
      <c r="L151" s="519"/>
      <c r="M151" s="453"/>
      <c r="N151" s="470"/>
      <c r="O151" s="617"/>
      <c r="P151" s="618"/>
      <c r="Q151" s="456"/>
      <c r="R151" s="519"/>
      <c r="S151" s="519"/>
      <c r="T151" s="459"/>
      <c r="U151" s="480"/>
      <c r="V151" s="459"/>
      <c r="W151" s="459"/>
      <c r="X151" s="480"/>
      <c r="Y151" s="459"/>
      <c r="Z151" s="480"/>
      <c r="AA151" s="519"/>
      <c r="AB151" s="454"/>
      <c r="AC151" s="520"/>
      <c r="AD151" s="521"/>
      <c r="AE151" s="522"/>
      <c r="AF151" s="457"/>
      <c r="AG151" s="456"/>
      <c r="AH151" s="456"/>
      <c r="AI151" s="456"/>
    </row>
    <row r="152" spans="1:35" ht="12.75">
      <c r="A152" s="513" t="s">
        <v>672</v>
      </c>
      <c r="B152" s="456">
        <v>6</v>
      </c>
      <c r="C152" s="519">
        <v>1459.67</v>
      </c>
      <c r="D152" s="616">
        <v>2600</v>
      </c>
      <c r="E152" s="454"/>
      <c r="F152" s="454"/>
      <c r="G152" s="454"/>
      <c r="H152" s="454"/>
      <c r="I152" s="454"/>
      <c r="J152" s="454"/>
      <c r="K152" s="519">
        <f>SUM(C152:J152)</f>
        <v>4059.67</v>
      </c>
      <c r="L152" s="519">
        <v>1000</v>
      </c>
      <c r="M152" s="453"/>
      <c r="N152" s="618">
        <f>SUM(L152+M152)</f>
        <v>1000</v>
      </c>
      <c r="O152" s="521">
        <f>+(K152*12)+N152</f>
        <v>49716.04</v>
      </c>
      <c r="P152" s="522">
        <f>+O152*B152</f>
        <v>298296.24</v>
      </c>
      <c r="Q152" s="456">
        <v>6</v>
      </c>
      <c r="R152" s="519">
        <v>1459.67</v>
      </c>
      <c r="S152" s="616">
        <v>2600</v>
      </c>
      <c r="T152" s="619"/>
      <c r="U152" s="620"/>
      <c r="V152" s="619"/>
      <c r="W152" s="619"/>
      <c r="X152" s="620"/>
      <c r="Y152" s="619"/>
      <c r="Z152" s="519">
        <f>SUM(R152:Y152)</f>
        <v>4059.67</v>
      </c>
      <c r="AA152" s="519">
        <v>1000</v>
      </c>
      <c r="AB152" s="582"/>
      <c r="AC152" s="520">
        <f>+AA152+AB152</f>
        <v>1000</v>
      </c>
      <c r="AD152" s="521">
        <f>+(Z152*12)+AC152</f>
        <v>49716.04</v>
      </c>
      <c r="AE152" s="522">
        <f>+AD152*Q152</f>
        <v>298296.24</v>
      </c>
      <c r="AF152" s="457">
        <f>+Q152-B152</f>
        <v>0</v>
      </c>
      <c r="AG152" s="523">
        <f>+AE152-P152</f>
        <v>0</v>
      </c>
      <c r="AH152" s="456">
        <v>6</v>
      </c>
      <c r="AI152" s="523">
        <f>+AE152</f>
        <v>298296.24</v>
      </c>
    </row>
    <row r="153" spans="1:35" ht="12.75">
      <c r="A153" s="513" t="s">
        <v>673</v>
      </c>
      <c r="B153" s="456">
        <v>1</v>
      </c>
      <c r="C153" s="519">
        <v>1459.67</v>
      </c>
      <c r="D153" s="616">
        <v>2600</v>
      </c>
      <c r="E153" s="454"/>
      <c r="F153" s="454"/>
      <c r="G153" s="454"/>
      <c r="H153" s="454"/>
      <c r="I153" s="454"/>
      <c r="J153" s="454"/>
      <c r="K153" s="519">
        <f>SUM(C153:J153)</f>
        <v>4059.67</v>
      </c>
      <c r="L153" s="519">
        <v>1000</v>
      </c>
      <c r="M153" s="453"/>
      <c r="N153" s="618">
        <f>SUM(L153+M153)</f>
        <v>1000</v>
      </c>
      <c r="O153" s="521">
        <f>+(K153*12)+N153</f>
        <v>49716.04</v>
      </c>
      <c r="P153" s="522">
        <f>+O153*B153</f>
        <v>49716.04</v>
      </c>
      <c r="Q153" s="456">
        <v>1</v>
      </c>
      <c r="R153" s="519">
        <v>1459.67</v>
      </c>
      <c r="S153" s="616">
        <v>2600</v>
      </c>
      <c r="T153" s="619"/>
      <c r="U153" s="620"/>
      <c r="V153" s="619"/>
      <c r="W153" s="619"/>
      <c r="X153" s="620"/>
      <c r="Y153" s="619"/>
      <c r="Z153" s="519">
        <f>SUM(R153:Y153)</f>
        <v>4059.67</v>
      </c>
      <c r="AA153" s="519">
        <v>1000</v>
      </c>
      <c r="AB153" s="582"/>
      <c r="AC153" s="520">
        <f>+AA153+AB153</f>
        <v>1000</v>
      </c>
      <c r="AD153" s="521">
        <f>+(Z153*12)+AC153</f>
        <v>49716.04</v>
      </c>
      <c r="AE153" s="522">
        <f>+AD153*Q153</f>
        <v>49716.04</v>
      </c>
      <c r="AF153" s="457">
        <f>+Q153-B153</f>
        <v>0</v>
      </c>
      <c r="AG153" s="523">
        <f>+AE153-P153</f>
        <v>0</v>
      </c>
      <c r="AH153" s="456">
        <v>1</v>
      </c>
      <c r="AI153" s="523">
        <f>+AE153</f>
        <v>49716.04</v>
      </c>
    </row>
    <row r="154" spans="1:35" ht="12.75">
      <c r="A154" s="513" t="s">
        <v>678</v>
      </c>
      <c r="B154" s="456">
        <v>13</v>
      </c>
      <c r="C154" s="519">
        <v>1152.52</v>
      </c>
      <c r="D154" s="616">
        <v>2600</v>
      </c>
      <c r="E154" s="454"/>
      <c r="F154" s="454"/>
      <c r="G154" s="454"/>
      <c r="H154" s="454"/>
      <c r="I154" s="454"/>
      <c r="J154" s="454"/>
      <c r="K154" s="519">
        <f>SUM(C154:J154)</f>
        <v>3752.52</v>
      </c>
      <c r="L154" s="519">
        <v>1000</v>
      </c>
      <c r="M154" s="453"/>
      <c r="N154" s="618">
        <f>SUM(L154+M154)</f>
        <v>1000</v>
      </c>
      <c r="O154" s="521">
        <f>+(K154*12)+N154</f>
        <v>46030.24</v>
      </c>
      <c r="P154" s="522">
        <f>+O154*B154</f>
        <v>598393.12</v>
      </c>
      <c r="Q154" s="456">
        <v>13</v>
      </c>
      <c r="R154" s="519">
        <v>1152.52</v>
      </c>
      <c r="S154" s="616">
        <v>2600</v>
      </c>
      <c r="T154" s="619"/>
      <c r="U154" s="620"/>
      <c r="V154" s="619"/>
      <c r="W154" s="459"/>
      <c r="X154" s="620"/>
      <c r="Y154" s="619"/>
      <c r="Z154" s="519">
        <f>SUM(R154:Y154)</f>
        <v>3752.52</v>
      </c>
      <c r="AA154" s="519">
        <v>1000</v>
      </c>
      <c r="AB154" s="582"/>
      <c r="AC154" s="520">
        <f>+AA154+AB154</f>
        <v>1000</v>
      </c>
      <c r="AD154" s="521">
        <f>+(Z154*12)+AC154</f>
        <v>46030.24</v>
      </c>
      <c r="AE154" s="522">
        <f>+AD154*Q154</f>
        <v>598393.12</v>
      </c>
      <c r="AF154" s="457">
        <f>+Q154-B154</f>
        <v>0</v>
      </c>
      <c r="AG154" s="523">
        <f>+AE154-P154</f>
        <v>0</v>
      </c>
      <c r="AH154" s="456">
        <v>13</v>
      </c>
      <c r="AI154" s="523">
        <f>+AE154</f>
        <v>598393.12</v>
      </c>
    </row>
    <row r="155" spans="1:35" ht="12.75">
      <c r="A155" s="602" t="s">
        <v>6</v>
      </c>
      <c r="B155" s="456"/>
      <c r="C155" s="520"/>
      <c r="D155" s="616"/>
      <c r="E155" s="454"/>
      <c r="F155" s="454"/>
      <c r="G155" s="454"/>
      <c r="H155" s="454"/>
      <c r="I155" s="454"/>
      <c r="J155" s="454"/>
      <c r="K155" s="519"/>
      <c r="L155" s="519"/>
      <c r="M155" s="453"/>
      <c r="N155" s="470"/>
      <c r="O155" s="617"/>
      <c r="P155" s="618"/>
      <c r="Q155" s="456"/>
      <c r="R155" s="520"/>
      <c r="S155" s="616"/>
      <c r="T155" s="459"/>
      <c r="U155" s="480"/>
      <c r="V155" s="480"/>
      <c r="W155" s="459"/>
      <c r="X155" s="480"/>
      <c r="Y155" s="459"/>
      <c r="Z155" s="480"/>
      <c r="AA155" s="519"/>
      <c r="AB155" s="454"/>
      <c r="AC155" s="520"/>
      <c r="AD155" s="521"/>
      <c r="AE155" s="522"/>
      <c r="AF155" s="457"/>
      <c r="AG155" s="456"/>
      <c r="AH155" s="456"/>
      <c r="AI155" s="456"/>
    </row>
    <row r="156" spans="1:35" ht="12.75">
      <c r="A156" s="513" t="s">
        <v>682</v>
      </c>
      <c r="B156" s="456">
        <v>2</v>
      </c>
      <c r="C156" s="519">
        <v>1117.3</v>
      </c>
      <c r="D156" s="519">
        <v>2200</v>
      </c>
      <c r="E156" s="454"/>
      <c r="F156" s="454"/>
      <c r="G156" s="454"/>
      <c r="H156" s="454"/>
      <c r="I156" s="454"/>
      <c r="J156" s="454"/>
      <c r="K156" s="519">
        <f>SUM(C156:J156)</f>
        <v>3317.3</v>
      </c>
      <c r="L156" s="519">
        <v>1000</v>
      </c>
      <c r="M156" s="453"/>
      <c r="N156" s="618">
        <f>SUM(L156+M156)</f>
        <v>1000</v>
      </c>
      <c r="O156" s="521">
        <f>+(K156*12)+N156</f>
        <v>40807.600000000006</v>
      </c>
      <c r="P156" s="522">
        <f>+O156*B156</f>
        <v>81615.20000000001</v>
      </c>
      <c r="Q156" s="456">
        <v>2</v>
      </c>
      <c r="R156" s="519">
        <v>1117.3</v>
      </c>
      <c r="S156" s="519">
        <v>2200</v>
      </c>
      <c r="T156" s="454"/>
      <c r="U156" s="454"/>
      <c r="V156" s="453"/>
      <c r="W156" s="459"/>
      <c r="X156" s="454"/>
      <c r="Y156" s="454"/>
      <c r="Z156" s="520">
        <f>SUM(R156:Y156)</f>
        <v>3317.3</v>
      </c>
      <c r="AA156" s="519">
        <v>1000</v>
      </c>
      <c r="AB156" s="454"/>
      <c r="AC156" s="520">
        <f>+AA156+AB156</f>
        <v>1000</v>
      </c>
      <c r="AD156" s="521">
        <f>+(Z156*12)+AC156</f>
        <v>40807.600000000006</v>
      </c>
      <c r="AE156" s="522">
        <f>+AD156*Q156</f>
        <v>81615.20000000001</v>
      </c>
      <c r="AF156" s="457">
        <f>+Q156-B156</f>
        <v>0</v>
      </c>
      <c r="AG156" s="523">
        <f>+AE156-P156</f>
        <v>0</v>
      </c>
      <c r="AH156" s="456">
        <v>2</v>
      </c>
      <c r="AI156" s="523">
        <f>+AE156</f>
        <v>81615.20000000001</v>
      </c>
    </row>
    <row r="157" spans="1:35" ht="12.75">
      <c r="A157" s="513"/>
      <c r="B157" s="456"/>
      <c r="C157" s="519"/>
      <c r="D157" s="519"/>
      <c r="E157" s="454"/>
      <c r="F157" s="454"/>
      <c r="G157" s="454"/>
      <c r="H157" s="454"/>
      <c r="I157" s="454"/>
      <c r="J157" s="454"/>
      <c r="K157" s="519"/>
      <c r="L157" s="519"/>
      <c r="M157" s="453"/>
      <c r="N157" s="470"/>
      <c r="O157" s="521"/>
      <c r="P157" s="522"/>
      <c r="Q157" s="456"/>
      <c r="R157" s="519"/>
      <c r="S157" s="519"/>
      <c r="T157" s="454"/>
      <c r="U157" s="454"/>
      <c r="V157" s="454"/>
      <c r="W157" s="454"/>
      <c r="X157" s="454"/>
      <c r="Y157" s="454"/>
      <c r="Z157" s="454"/>
      <c r="AA157" s="519"/>
      <c r="AB157" s="454"/>
      <c r="AC157" s="520"/>
      <c r="AD157" s="521"/>
      <c r="AE157" s="522"/>
      <c r="AF157" s="457"/>
      <c r="AG157" s="456"/>
      <c r="AH157" s="456"/>
      <c r="AI157" s="456"/>
    </row>
    <row r="158" spans="1:35" ht="12.75">
      <c r="A158" s="602" t="s">
        <v>683</v>
      </c>
      <c r="B158" s="456"/>
      <c r="C158" s="519"/>
      <c r="D158" s="519"/>
      <c r="E158" s="454"/>
      <c r="F158" s="454"/>
      <c r="G158" s="454"/>
      <c r="H158" s="454"/>
      <c r="I158" s="454"/>
      <c r="J158" s="454"/>
      <c r="K158" s="519"/>
      <c r="L158" s="519"/>
      <c r="M158" s="453"/>
      <c r="N158" s="470"/>
      <c r="O158" s="521"/>
      <c r="P158" s="522"/>
      <c r="Q158" s="456"/>
      <c r="R158" s="519"/>
      <c r="S158" s="519"/>
      <c r="T158" s="454"/>
      <c r="U158" s="454"/>
      <c r="V158" s="454"/>
      <c r="W158" s="454"/>
      <c r="X158" s="454"/>
      <c r="Y158" s="454"/>
      <c r="Z158" s="454"/>
      <c r="AA158" s="519"/>
      <c r="AB158" s="454"/>
      <c r="AC158" s="520"/>
      <c r="AD158" s="521"/>
      <c r="AE158" s="522"/>
      <c r="AF158" s="457"/>
      <c r="AG158" s="456"/>
      <c r="AH158" s="456"/>
      <c r="AI158" s="456"/>
    </row>
    <row r="159" spans="1:35" ht="12.75">
      <c r="A159" s="602" t="s">
        <v>4</v>
      </c>
      <c r="B159" s="456"/>
      <c r="C159" s="519"/>
      <c r="D159" s="519"/>
      <c r="E159" s="454"/>
      <c r="F159" s="454"/>
      <c r="G159" s="454"/>
      <c r="H159" s="454"/>
      <c r="I159" s="454"/>
      <c r="J159" s="454"/>
      <c r="K159" s="519"/>
      <c r="L159" s="519"/>
      <c r="M159" s="453"/>
      <c r="N159" s="470"/>
      <c r="O159" s="521"/>
      <c r="P159" s="522"/>
      <c r="Q159" s="456"/>
      <c r="R159" s="519"/>
      <c r="S159" s="519"/>
      <c r="T159" s="454"/>
      <c r="U159" s="454"/>
      <c r="V159" s="454"/>
      <c r="W159" s="454"/>
      <c r="X159" s="454"/>
      <c r="Y159" s="454"/>
      <c r="Z159" s="454"/>
      <c r="AA159" s="519"/>
      <c r="AB159" s="454"/>
      <c r="AC159" s="520"/>
      <c r="AD159" s="521"/>
      <c r="AE159" s="522"/>
      <c r="AF159" s="457"/>
      <c r="AG159" s="456"/>
      <c r="AH159" s="456"/>
      <c r="AI159" s="456"/>
    </row>
    <row r="160" spans="1:35" ht="12.75">
      <c r="A160" s="513" t="s">
        <v>681</v>
      </c>
      <c r="B160" s="456">
        <v>3</v>
      </c>
      <c r="C160" s="519">
        <v>1536.71</v>
      </c>
      <c r="D160" s="519">
        <v>1100</v>
      </c>
      <c r="E160" s="454"/>
      <c r="F160" s="454"/>
      <c r="G160" s="454"/>
      <c r="H160" s="454"/>
      <c r="I160" s="454"/>
      <c r="J160" s="454"/>
      <c r="K160" s="519">
        <f>SUM(C160:J160)</f>
        <v>2636.71</v>
      </c>
      <c r="L160" s="519">
        <v>1000</v>
      </c>
      <c r="M160" s="453"/>
      <c r="N160" s="618">
        <f>SUM(L160+M160)</f>
        <v>1000</v>
      </c>
      <c r="O160" s="521">
        <f>+(K160*12)+N160</f>
        <v>32640.52</v>
      </c>
      <c r="P160" s="522">
        <f>+O160*B160</f>
        <v>97921.56</v>
      </c>
      <c r="Q160" s="456">
        <v>3</v>
      </c>
      <c r="R160" s="519">
        <v>1536.71</v>
      </c>
      <c r="S160" s="519">
        <v>1110</v>
      </c>
      <c r="T160" s="454"/>
      <c r="U160" s="454"/>
      <c r="V160" s="454"/>
      <c r="W160" s="454"/>
      <c r="X160" s="454"/>
      <c r="Y160" s="454"/>
      <c r="Z160" s="519">
        <f>SUM(R160:Y160)</f>
        <v>2646.71</v>
      </c>
      <c r="AA160" s="519">
        <v>1000</v>
      </c>
      <c r="AB160" s="454"/>
      <c r="AC160" s="520">
        <f>+AA160+AB160</f>
        <v>1000</v>
      </c>
      <c r="AD160" s="521">
        <f>+(Z160*12)+AC160</f>
        <v>32760.52</v>
      </c>
      <c r="AE160" s="522">
        <f>+AD160*Q160</f>
        <v>98281.56</v>
      </c>
      <c r="AF160" s="457">
        <f>+Q160-B160</f>
        <v>0</v>
      </c>
      <c r="AG160" s="523">
        <f>+AE160-P160</f>
        <v>360</v>
      </c>
      <c r="AH160" s="456">
        <v>3</v>
      </c>
      <c r="AI160" s="523">
        <f>+AE160</f>
        <v>98281.56</v>
      </c>
    </row>
    <row r="161" spans="1:35" ht="12.75">
      <c r="A161" s="513" t="s">
        <v>670</v>
      </c>
      <c r="B161" s="456">
        <v>5</v>
      </c>
      <c r="C161" s="519">
        <v>1335.97</v>
      </c>
      <c r="D161" s="519">
        <v>1100</v>
      </c>
      <c r="E161" s="454"/>
      <c r="F161" s="454"/>
      <c r="G161" s="454"/>
      <c r="H161" s="454"/>
      <c r="I161" s="454"/>
      <c r="J161" s="454"/>
      <c r="K161" s="519">
        <f>SUM(C161:J161)</f>
        <v>2435.9700000000003</v>
      </c>
      <c r="L161" s="519">
        <v>1000</v>
      </c>
      <c r="M161" s="453"/>
      <c r="N161" s="618">
        <f>SUM(L161+M161)</f>
        <v>1000</v>
      </c>
      <c r="O161" s="521">
        <f>+(K161*12)+N161</f>
        <v>30231.640000000003</v>
      </c>
      <c r="P161" s="522">
        <f>+O161*B161</f>
        <v>151158.2</v>
      </c>
      <c r="Q161" s="456">
        <v>5</v>
      </c>
      <c r="R161" s="519">
        <v>1335.97</v>
      </c>
      <c r="S161" s="519">
        <v>1110</v>
      </c>
      <c r="T161" s="454"/>
      <c r="U161" s="454"/>
      <c r="V161" s="454"/>
      <c r="W161" s="454"/>
      <c r="X161" s="454"/>
      <c r="Y161" s="454"/>
      <c r="Z161" s="519">
        <f>SUM(R161:Y161)</f>
        <v>2445.9700000000003</v>
      </c>
      <c r="AA161" s="519">
        <v>1000</v>
      </c>
      <c r="AB161" s="454"/>
      <c r="AC161" s="520">
        <f>+AA161+AB161</f>
        <v>1000</v>
      </c>
      <c r="AD161" s="521">
        <f>+(Z161*12)+AC161</f>
        <v>30351.640000000003</v>
      </c>
      <c r="AE161" s="522">
        <f>+AD161*Q161</f>
        <v>151758.2</v>
      </c>
      <c r="AF161" s="457">
        <f>+Q161-B161</f>
        <v>0</v>
      </c>
      <c r="AG161" s="523">
        <f>+AE161-P161</f>
        <v>600</v>
      </c>
      <c r="AH161" s="456">
        <v>5</v>
      </c>
      <c r="AI161" s="523">
        <f>+AE161</f>
        <v>151758.2</v>
      </c>
    </row>
    <row r="162" spans="1:35" ht="12.75">
      <c r="A162" s="513" t="s">
        <v>671</v>
      </c>
      <c r="B162" s="456">
        <v>1</v>
      </c>
      <c r="C162" s="519">
        <v>1300.93</v>
      </c>
      <c r="D162" s="519">
        <v>1100</v>
      </c>
      <c r="E162" s="454"/>
      <c r="F162" s="454"/>
      <c r="G162" s="454"/>
      <c r="H162" s="454"/>
      <c r="I162" s="454"/>
      <c r="J162" s="454"/>
      <c r="K162" s="519">
        <f>SUM(C162:J162)</f>
        <v>2400.9300000000003</v>
      </c>
      <c r="L162" s="519">
        <v>1000</v>
      </c>
      <c r="M162" s="453"/>
      <c r="N162" s="618">
        <f>SUM(L162+M162)</f>
        <v>1000</v>
      </c>
      <c r="O162" s="521">
        <f>+(K162*12)+N162</f>
        <v>29811.160000000003</v>
      </c>
      <c r="P162" s="522">
        <f>+O162*B162</f>
        <v>29811.160000000003</v>
      </c>
      <c r="Q162" s="456">
        <v>1</v>
      </c>
      <c r="R162" s="519">
        <v>1300.93</v>
      </c>
      <c r="S162" s="519">
        <v>1110</v>
      </c>
      <c r="T162" s="454"/>
      <c r="U162" s="454"/>
      <c r="V162" s="454"/>
      <c r="W162" s="454"/>
      <c r="X162" s="454"/>
      <c r="Y162" s="454"/>
      <c r="Z162" s="519">
        <f>SUM(R162:Y162)</f>
        <v>2410.9300000000003</v>
      </c>
      <c r="AA162" s="519">
        <v>1000</v>
      </c>
      <c r="AB162" s="454"/>
      <c r="AC162" s="520">
        <f>+AA162+AB162</f>
        <v>1000</v>
      </c>
      <c r="AD162" s="521">
        <f>+(Z162*12)+AC162</f>
        <v>29931.160000000003</v>
      </c>
      <c r="AE162" s="522">
        <f>+AD162*Q162</f>
        <v>29931.160000000003</v>
      </c>
      <c r="AF162" s="457">
        <f>+Q162-B162</f>
        <v>0</v>
      </c>
      <c r="AG162" s="523">
        <f>+AE162-P162</f>
        <v>120</v>
      </c>
      <c r="AH162" s="456">
        <v>1</v>
      </c>
      <c r="AI162" s="523">
        <f>+AE162</f>
        <v>29931.160000000003</v>
      </c>
    </row>
    <row r="163" spans="1:35" ht="12.75">
      <c r="A163" s="513" t="s">
        <v>684</v>
      </c>
      <c r="B163" s="456">
        <v>3</v>
      </c>
      <c r="C163" s="519">
        <v>1257.36</v>
      </c>
      <c r="D163" s="519">
        <v>1100</v>
      </c>
      <c r="E163" s="454"/>
      <c r="F163" s="454"/>
      <c r="G163" s="454"/>
      <c r="H163" s="454"/>
      <c r="I163" s="454"/>
      <c r="J163" s="454"/>
      <c r="K163" s="519">
        <f>SUM(C163:J163)</f>
        <v>2357.3599999999997</v>
      </c>
      <c r="L163" s="519">
        <v>1000</v>
      </c>
      <c r="M163" s="453"/>
      <c r="N163" s="618">
        <f>SUM(L163+M163)</f>
        <v>1000</v>
      </c>
      <c r="O163" s="521">
        <f>+(K163*12)+N163</f>
        <v>29288.319999999996</v>
      </c>
      <c r="P163" s="522">
        <f>+O163*B163</f>
        <v>87864.95999999999</v>
      </c>
      <c r="Q163" s="456">
        <v>3</v>
      </c>
      <c r="R163" s="519">
        <v>1257.36</v>
      </c>
      <c r="S163" s="519">
        <v>1110</v>
      </c>
      <c r="T163" s="454"/>
      <c r="U163" s="454"/>
      <c r="V163" s="454"/>
      <c r="W163" s="454"/>
      <c r="X163" s="454"/>
      <c r="Y163" s="454"/>
      <c r="Z163" s="519">
        <f>SUM(R163:Y163)</f>
        <v>2367.3599999999997</v>
      </c>
      <c r="AA163" s="519">
        <v>1000</v>
      </c>
      <c r="AB163" s="454"/>
      <c r="AC163" s="520">
        <f>+AA163+AB163</f>
        <v>1000</v>
      </c>
      <c r="AD163" s="521">
        <f>+(Z163*12)+AC163</f>
        <v>29408.319999999996</v>
      </c>
      <c r="AE163" s="522">
        <f>+AD163*Q163</f>
        <v>88224.95999999999</v>
      </c>
      <c r="AF163" s="457">
        <f>+Q163-B163</f>
        <v>0</v>
      </c>
      <c r="AG163" s="523">
        <f>+AE163-P163</f>
        <v>360</v>
      </c>
      <c r="AH163" s="456">
        <v>3</v>
      </c>
      <c r="AI163" s="523">
        <f>+AE163</f>
        <v>88224.95999999999</v>
      </c>
    </row>
    <row r="164" spans="1:35" ht="12.75">
      <c r="A164" s="602" t="s">
        <v>5</v>
      </c>
      <c r="B164" s="456"/>
      <c r="C164" s="519"/>
      <c r="D164" s="519"/>
      <c r="E164" s="454"/>
      <c r="F164" s="454"/>
      <c r="G164" s="454"/>
      <c r="H164" s="454"/>
      <c r="I164" s="454"/>
      <c r="J164" s="454"/>
      <c r="K164" s="519"/>
      <c r="L164" s="519"/>
      <c r="M164" s="453"/>
      <c r="N164" s="470"/>
      <c r="O164" s="521"/>
      <c r="P164" s="522"/>
      <c r="Q164" s="456"/>
      <c r="R164" s="519"/>
      <c r="S164" s="519"/>
      <c r="T164" s="454"/>
      <c r="U164" s="454"/>
      <c r="V164" s="454"/>
      <c r="W164" s="454"/>
      <c r="X164" s="454"/>
      <c r="Y164" s="454"/>
      <c r="Z164" s="454"/>
      <c r="AA164" s="519"/>
      <c r="AB164" s="454"/>
      <c r="AC164" s="520"/>
      <c r="AD164" s="521"/>
      <c r="AE164" s="522"/>
      <c r="AF164" s="457"/>
      <c r="AG164" s="456"/>
      <c r="AH164" s="456"/>
      <c r="AI164" s="456"/>
    </row>
    <row r="165" spans="1:35" ht="12.75">
      <c r="A165" s="513" t="s">
        <v>672</v>
      </c>
      <c r="B165" s="456">
        <v>11</v>
      </c>
      <c r="C165" s="519">
        <v>1192.92</v>
      </c>
      <c r="D165" s="519">
        <v>950</v>
      </c>
      <c r="E165" s="454"/>
      <c r="F165" s="454"/>
      <c r="G165" s="454"/>
      <c r="H165" s="454"/>
      <c r="I165" s="454"/>
      <c r="J165" s="454"/>
      <c r="K165" s="519">
        <f>SUM(C165:J165)</f>
        <v>2142.92</v>
      </c>
      <c r="L165" s="519">
        <v>1000</v>
      </c>
      <c r="M165" s="453"/>
      <c r="N165" s="618">
        <f>SUM(L165+M165)</f>
        <v>1000</v>
      </c>
      <c r="O165" s="521">
        <f>+(K165*12)+N165</f>
        <v>26715.04</v>
      </c>
      <c r="P165" s="522">
        <f>+O165*B165</f>
        <v>293865.44</v>
      </c>
      <c r="Q165" s="456">
        <v>11</v>
      </c>
      <c r="R165" s="519">
        <v>1192.92</v>
      </c>
      <c r="S165" s="519">
        <v>1070</v>
      </c>
      <c r="T165" s="454"/>
      <c r="U165" s="454"/>
      <c r="V165" s="454"/>
      <c r="W165" s="454"/>
      <c r="X165" s="454"/>
      <c r="Y165" s="454"/>
      <c r="Z165" s="519">
        <f>SUM(R165:Y165)</f>
        <v>2262.92</v>
      </c>
      <c r="AA165" s="519">
        <v>1000</v>
      </c>
      <c r="AB165" s="454"/>
      <c r="AC165" s="520">
        <f>+AA165+AB165</f>
        <v>1000</v>
      </c>
      <c r="AD165" s="521">
        <f>+(Z165*12)+AC165</f>
        <v>28155.04</v>
      </c>
      <c r="AE165" s="522">
        <f>+AD165*Q165</f>
        <v>309705.44</v>
      </c>
      <c r="AF165" s="457">
        <f>+Q165-B165</f>
        <v>0</v>
      </c>
      <c r="AG165" s="523">
        <f>+AE165-P165</f>
        <v>15840</v>
      </c>
      <c r="AH165" s="456">
        <v>11</v>
      </c>
      <c r="AI165" s="523">
        <f>+AE165</f>
        <v>309705.44</v>
      </c>
    </row>
    <row r="166" spans="1:35" ht="12.75">
      <c r="A166" s="513" t="s">
        <v>673</v>
      </c>
      <c r="B166" s="456">
        <v>3</v>
      </c>
      <c r="C166" s="519">
        <v>1127.89</v>
      </c>
      <c r="D166" s="519">
        <v>950</v>
      </c>
      <c r="E166" s="454"/>
      <c r="F166" s="454"/>
      <c r="G166" s="454"/>
      <c r="H166" s="454"/>
      <c r="I166" s="454"/>
      <c r="J166" s="454"/>
      <c r="K166" s="519">
        <f>SUM(C166:J166)</f>
        <v>2077.8900000000003</v>
      </c>
      <c r="L166" s="519">
        <v>1000</v>
      </c>
      <c r="M166" s="453"/>
      <c r="N166" s="618">
        <f>SUM(L166+M166)</f>
        <v>1000</v>
      </c>
      <c r="O166" s="521">
        <f>+(K166*12)+N166</f>
        <v>25934.680000000004</v>
      </c>
      <c r="P166" s="522">
        <f>+O166*B166</f>
        <v>77804.04000000001</v>
      </c>
      <c r="Q166" s="456">
        <v>3</v>
      </c>
      <c r="R166" s="519">
        <v>1127.89</v>
      </c>
      <c r="S166" s="519">
        <v>1070</v>
      </c>
      <c r="T166" s="454"/>
      <c r="U166" s="454"/>
      <c r="V166" s="454"/>
      <c r="W166" s="454"/>
      <c r="X166" s="454"/>
      <c r="Y166" s="454"/>
      <c r="Z166" s="519">
        <f>SUM(R166:Y166)</f>
        <v>2197.8900000000003</v>
      </c>
      <c r="AA166" s="519">
        <v>1000</v>
      </c>
      <c r="AB166" s="454"/>
      <c r="AC166" s="520">
        <f>+AA166+AB166</f>
        <v>1000</v>
      </c>
      <c r="AD166" s="521">
        <f>+(Z166*12)+AC166</f>
        <v>27374.680000000004</v>
      </c>
      <c r="AE166" s="522">
        <f>+AD166*Q166</f>
        <v>82124.04000000001</v>
      </c>
      <c r="AF166" s="457">
        <f>+Q166-B166</f>
        <v>0</v>
      </c>
      <c r="AG166" s="523">
        <f>+AE166-P166</f>
        <v>4320</v>
      </c>
      <c r="AH166" s="456">
        <v>3</v>
      </c>
      <c r="AI166" s="523">
        <f>+AE166</f>
        <v>82124.04000000001</v>
      </c>
    </row>
    <row r="167" spans="1:35" ht="12.75">
      <c r="A167" s="513" t="s">
        <v>676</v>
      </c>
      <c r="B167" s="456">
        <v>2</v>
      </c>
      <c r="C167" s="519">
        <v>1202.59</v>
      </c>
      <c r="D167" s="519">
        <v>950</v>
      </c>
      <c r="E167" s="454"/>
      <c r="F167" s="454"/>
      <c r="G167" s="454"/>
      <c r="H167" s="454"/>
      <c r="I167" s="454"/>
      <c r="J167" s="454"/>
      <c r="K167" s="519">
        <f>SUM(C167:J167)</f>
        <v>2152.59</v>
      </c>
      <c r="L167" s="519">
        <v>1000</v>
      </c>
      <c r="M167" s="453"/>
      <c r="N167" s="618">
        <f>SUM(L167+M167)</f>
        <v>1000</v>
      </c>
      <c r="O167" s="521">
        <f>+(K167*12)+N167</f>
        <v>26831.08</v>
      </c>
      <c r="P167" s="522">
        <f>+O167*B167</f>
        <v>53662.16</v>
      </c>
      <c r="Q167" s="456">
        <v>2</v>
      </c>
      <c r="R167" s="519">
        <v>1202.59</v>
      </c>
      <c r="S167" s="519">
        <v>1070</v>
      </c>
      <c r="T167" s="454"/>
      <c r="U167" s="454"/>
      <c r="V167" s="454"/>
      <c r="W167" s="454"/>
      <c r="X167" s="454"/>
      <c r="Y167" s="454"/>
      <c r="Z167" s="519">
        <f>SUM(R167:Y167)</f>
        <v>2272.59</v>
      </c>
      <c r="AA167" s="519">
        <v>1000</v>
      </c>
      <c r="AB167" s="454"/>
      <c r="AC167" s="520">
        <f>+AA167+AB167</f>
        <v>1000</v>
      </c>
      <c r="AD167" s="521">
        <f>+(Z167*12)+AC167</f>
        <v>28271.08</v>
      </c>
      <c r="AE167" s="522">
        <f>+AD167*Q167</f>
        <v>56542.16</v>
      </c>
      <c r="AF167" s="457">
        <f>+Q167-B167</f>
        <v>0</v>
      </c>
      <c r="AG167" s="523">
        <f>+AE167-P167</f>
        <v>2880</v>
      </c>
      <c r="AH167" s="456">
        <v>2</v>
      </c>
      <c r="AI167" s="523">
        <f>+AE167</f>
        <v>56542.16</v>
      </c>
    </row>
    <row r="168" spans="1:35" ht="12.75">
      <c r="A168" s="513" t="s">
        <v>678</v>
      </c>
      <c r="B168" s="456">
        <v>3</v>
      </c>
      <c r="C168" s="519">
        <v>1134.46</v>
      </c>
      <c r="D168" s="519">
        <v>950</v>
      </c>
      <c r="E168" s="454"/>
      <c r="F168" s="454"/>
      <c r="G168" s="454"/>
      <c r="H168" s="454"/>
      <c r="I168" s="454"/>
      <c r="J168" s="454"/>
      <c r="K168" s="519">
        <f>SUM(C168:J168)</f>
        <v>2084.46</v>
      </c>
      <c r="L168" s="519">
        <v>1000</v>
      </c>
      <c r="M168" s="453"/>
      <c r="N168" s="618">
        <f>SUM(L168+M168)</f>
        <v>1000</v>
      </c>
      <c r="O168" s="521">
        <f>+(K168*12)+N168</f>
        <v>26013.52</v>
      </c>
      <c r="P168" s="522">
        <f>+O168*B168</f>
        <v>78040.56</v>
      </c>
      <c r="Q168" s="456">
        <v>3</v>
      </c>
      <c r="R168" s="519">
        <v>1134.46</v>
      </c>
      <c r="S168" s="519">
        <v>1070</v>
      </c>
      <c r="T168" s="454"/>
      <c r="U168" s="454"/>
      <c r="V168" s="454"/>
      <c r="W168" s="454"/>
      <c r="X168" s="454"/>
      <c r="Y168" s="454"/>
      <c r="Z168" s="519">
        <f>SUM(R168:Y168)</f>
        <v>2204.46</v>
      </c>
      <c r="AA168" s="519">
        <v>1000</v>
      </c>
      <c r="AB168" s="454"/>
      <c r="AC168" s="520">
        <f>+AA168+AB168</f>
        <v>1000</v>
      </c>
      <c r="AD168" s="521">
        <f>+(Z168*12)+AC168</f>
        <v>27453.52</v>
      </c>
      <c r="AE168" s="522">
        <f>+AD168*Q168</f>
        <v>82360.56</v>
      </c>
      <c r="AF168" s="457">
        <f>+Q168-B168</f>
        <v>0</v>
      </c>
      <c r="AG168" s="523">
        <f>+AE168-P168</f>
        <v>4320</v>
      </c>
      <c r="AH168" s="456">
        <v>3</v>
      </c>
      <c r="AI168" s="523">
        <f>+AE168</f>
        <v>82360.56</v>
      </c>
    </row>
    <row r="169" spans="1:35" ht="12.75">
      <c r="A169" s="602" t="s">
        <v>6</v>
      </c>
      <c r="B169" s="456"/>
      <c r="C169" s="519"/>
      <c r="D169" s="519"/>
      <c r="E169" s="454"/>
      <c r="F169" s="454"/>
      <c r="G169" s="454"/>
      <c r="H169" s="454"/>
      <c r="I169" s="454"/>
      <c r="J169" s="454"/>
      <c r="K169" s="519"/>
      <c r="L169" s="519"/>
      <c r="M169" s="453"/>
      <c r="N169" s="470"/>
      <c r="O169" s="521"/>
      <c r="P169" s="522"/>
      <c r="Q169" s="456"/>
      <c r="R169" s="519"/>
      <c r="S169" s="519"/>
      <c r="T169" s="454"/>
      <c r="U169" s="454"/>
      <c r="V169" s="454"/>
      <c r="W169" s="454"/>
      <c r="X169" s="454"/>
      <c r="Y169" s="454"/>
      <c r="Z169" s="454"/>
      <c r="AA169" s="519"/>
      <c r="AB169" s="454"/>
      <c r="AC169" s="520"/>
      <c r="AD169" s="521"/>
      <c r="AE169" s="522"/>
      <c r="AF169" s="457"/>
      <c r="AG169" s="456"/>
      <c r="AH169" s="456"/>
      <c r="AI169" s="456"/>
    </row>
    <row r="170" spans="1:35" ht="12.75">
      <c r="A170" s="513" t="s">
        <v>685</v>
      </c>
      <c r="B170" s="456">
        <v>4</v>
      </c>
      <c r="C170" s="519">
        <v>1152.57</v>
      </c>
      <c r="D170" s="519">
        <v>950</v>
      </c>
      <c r="E170" s="454"/>
      <c r="F170" s="454"/>
      <c r="G170" s="454"/>
      <c r="H170" s="454"/>
      <c r="I170" s="454"/>
      <c r="J170" s="454"/>
      <c r="K170" s="519">
        <f>SUM(C170:J170)</f>
        <v>2102.5699999999997</v>
      </c>
      <c r="L170" s="519">
        <v>1000</v>
      </c>
      <c r="M170" s="453"/>
      <c r="N170" s="618">
        <f>SUM(L170+M170)</f>
        <v>1000</v>
      </c>
      <c r="O170" s="521">
        <f>+(K170*12)+N170</f>
        <v>26230.839999999997</v>
      </c>
      <c r="P170" s="522">
        <f>+O170*B170</f>
        <v>104923.35999999999</v>
      </c>
      <c r="Q170" s="456">
        <v>4</v>
      </c>
      <c r="R170" s="519">
        <v>1152.57</v>
      </c>
      <c r="S170" s="519">
        <v>1070</v>
      </c>
      <c r="T170" s="454"/>
      <c r="U170" s="454"/>
      <c r="V170" s="454"/>
      <c r="W170" s="454"/>
      <c r="X170" s="454"/>
      <c r="Y170" s="454"/>
      <c r="Z170" s="519">
        <f>SUM(R170:Y170)</f>
        <v>2222.5699999999997</v>
      </c>
      <c r="AA170" s="519">
        <v>1000</v>
      </c>
      <c r="AB170" s="454"/>
      <c r="AC170" s="520">
        <f>+AA170+AB170</f>
        <v>1000</v>
      </c>
      <c r="AD170" s="521">
        <f>+(Z170*12)+AC170</f>
        <v>27670.839999999997</v>
      </c>
      <c r="AE170" s="522">
        <f>+AD170*Q170</f>
        <v>110683.35999999999</v>
      </c>
      <c r="AF170" s="457">
        <f>+Q170-B170</f>
        <v>0</v>
      </c>
      <c r="AG170" s="523">
        <f>+AE170-P170</f>
        <v>5760</v>
      </c>
      <c r="AH170" s="456">
        <v>4</v>
      </c>
      <c r="AI170" s="523">
        <f>+AE170</f>
        <v>110683.35999999999</v>
      </c>
    </row>
    <row r="171" spans="1:35" ht="12.75">
      <c r="A171" s="513" t="s">
        <v>686</v>
      </c>
      <c r="B171" s="456">
        <v>2</v>
      </c>
      <c r="C171" s="519">
        <v>1122.35</v>
      </c>
      <c r="D171" s="519">
        <v>950</v>
      </c>
      <c r="E171" s="454"/>
      <c r="F171" s="454"/>
      <c r="G171" s="454"/>
      <c r="H171" s="454"/>
      <c r="I171" s="454"/>
      <c r="J171" s="454"/>
      <c r="K171" s="519">
        <f>SUM(C171:J171)</f>
        <v>2072.35</v>
      </c>
      <c r="L171" s="519">
        <v>1000</v>
      </c>
      <c r="M171" s="453"/>
      <c r="N171" s="618">
        <f>SUM(L171+M171)</f>
        <v>1000</v>
      </c>
      <c r="O171" s="521">
        <f>+(K171*12)+N171</f>
        <v>25868.199999999997</v>
      </c>
      <c r="P171" s="522">
        <f>+O171*B171</f>
        <v>51736.399999999994</v>
      </c>
      <c r="Q171" s="456">
        <v>2</v>
      </c>
      <c r="R171" s="519">
        <v>1122.35</v>
      </c>
      <c r="S171" s="519">
        <v>1070</v>
      </c>
      <c r="T171" s="454"/>
      <c r="U171" s="454"/>
      <c r="V171" s="454"/>
      <c r="W171" s="454"/>
      <c r="X171" s="454"/>
      <c r="Y171" s="454"/>
      <c r="Z171" s="519">
        <f>SUM(R171:Y171)</f>
        <v>2192.35</v>
      </c>
      <c r="AA171" s="519">
        <v>1000</v>
      </c>
      <c r="AB171" s="454"/>
      <c r="AC171" s="520">
        <f>+AA171+AB171</f>
        <v>1000</v>
      </c>
      <c r="AD171" s="521">
        <f>+(Z171*12)+AC171</f>
        <v>27308.199999999997</v>
      </c>
      <c r="AE171" s="522">
        <f>+AD171*Q171</f>
        <v>54616.399999999994</v>
      </c>
      <c r="AF171" s="457">
        <f>+Q171-B171</f>
        <v>0</v>
      </c>
      <c r="AG171" s="523">
        <f>+AE171-P171</f>
        <v>2880</v>
      </c>
      <c r="AH171" s="456">
        <v>2</v>
      </c>
      <c r="AI171" s="523">
        <f>+AE171</f>
        <v>54616.399999999994</v>
      </c>
    </row>
    <row r="172" spans="1:35" ht="12.75">
      <c r="A172" s="513" t="s">
        <v>682</v>
      </c>
      <c r="B172" s="456">
        <v>21</v>
      </c>
      <c r="C172" s="519">
        <v>1036.64</v>
      </c>
      <c r="D172" s="519">
        <v>950</v>
      </c>
      <c r="E172" s="454"/>
      <c r="F172" s="454"/>
      <c r="G172" s="454"/>
      <c r="H172" s="454"/>
      <c r="I172" s="454"/>
      <c r="J172" s="454"/>
      <c r="K172" s="519">
        <f>SUM(C172:J172)</f>
        <v>1986.64</v>
      </c>
      <c r="L172" s="519">
        <v>1000</v>
      </c>
      <c r="M172" s="453"/>
      <c r="N172" s="618">
        <f>SUM(L172+M172)</f>
        <v>1000</v>
      </c>
      <c r="O172" s="521">
        <f>+(K172*12)+N172</f>
        <v>24839.68</v>
      </c>
      <c r="P172" s="522">
        <f>+O172*B172</f>
        <v>521633.28</v>
      </c>
      <c r="Q172" s="456">
        <v>21</v>
      </c>
      <c r="R172" s="519">
        <v>1036.64</v>
      </c>
      <c r="S172" s="519">
        <v>1070</v>
      </c>
      <c r="T172" s="454"/>
      <c r="U172" s="454"/>
      <c r="V172" s="454"/>
      <c r="W172" s="454"/>
      <c r="X172" s="454"/>
      <c r="Y172" s="454"/>
      <c r="Z172" s="519">
        <f>SUM(R172:Y172)</f>
        <v>2106.6400000000003</v>
      </c>
      <c r="AA172" s="519">
        <v>1000</v>
      </c>
      <c r="AB172" s="454"/>
      <c r="AC172" s="520">
        <f>+AA172+AB172</f>
        <v>1000</v>
      </c>
      <c r="AD172" s="521">
        <f>+(Z172*12)+AC172</f>
        <v>26279.680000000004</v>
      </c>
      <c r="AE172" s="522">
        <f>+AD172*Q172</f>
        <v>551873.28</v>
      </c>
      <c r="AF172" s="457">
        <f>+Q172-B172</f>
        <v>0</v>
      </c>
      <c r="AG172" s="523">
        <f>+AE172-P172</f>
        <v>30240</v>
      </c>
      <c r="AH172" s="456">
        <v>21</v>
      </c>
      <c r="AI172" s="523">
        <f>+AE172</f>
        <v>551873.28</v>
      </c>
    </row>
    <row r="173" spans="1:35" ht="12.75">
      <c r="A173" s="513"/>
      <c r="B173" s="456"/>
      <c r="C173" s="519"/>
      <c r="D173" s="519"/>
      <c r="E173" s="454"/>
      <c r="F173" s="454"/>
      <c r="G173" s="454"/>
      <c r="H173" s="454"/>
      <c r="I173" s="454"/>
      <c r="J173" s="454"/>
      <c r="K173" s="519"/>
      <c r="L173" s="519"/>
      <c r="M173" s="453"/>
      <c r="N173" s="470"/>
      <c r="O173" s="521"/>
      <c r="P173" s="522"/>
      <c r="Q173" s="456"/>
      <c r="R173" s="519"/>
      <c r="S173" s="519"/>
      <c r="T173" s="454"/>
      <c r="U173" s="454"/>
      <c r="V173" s="454"/>
      <c r="W173" s="454"/>
      <c r="X173" s="454"/>
      <c r="Y173" s="454"/>
      <c r="Z173" s="454"/>
      <c r="AA173" s="519"/>
      <c r="AB173" s="454"/>
      <c r="AC173" s="520"/>
      <c r="AD173" s="521"/>
      <c r="AE173" s="522"/>
      <c r="AF173" s="457"/>
      <c r="AG173" s="456"/>
      <c r="AH173" s="456"/>
      <c r="AI173" s="456"/>
    </row>
    <row r="174" spans="1:35" ht="12">
      <c r="A174" s="621" t="s">
        <v>57</v>
      </c>
      <c r="B174" s="456"/>
      <c r="C174" s="519"/>
      <c r="D174" s="519"/>
      <c r="E174" s="454"/>
      <c r="F174" s="454"/>
      <c r="G174" s="454"/>
      <c r="H174" s="454"/>
      <c r="I174" s="454"/>
      <c r="J174" s="454"/>
      <c r="K174" s="519"/>
      <c r="L174" s="519"/>
      <c r="M174" s="453"/>
      <c r="N174" s="470"/>
      <c r="O174" s="521"/>
      <c r="P174" s="522"/>
      <c r="Q174" s="456"/>
      <c r="R174" s="519"/>
      <c r="S174" s="519"/>
      <c r="T174" s="454"/>
      <c r="U174" s="454"/>
      <c r="V174" s="454"/>
      <c r="W174" s="454"/>
      <c r="X174" s="454"/>
      <c r="Y174" s="454"/>
      <c r="Z174" s="454"/>
      <c r="AA174" s="519"/>
      <c r="AB174" s="454"/>
      <c r="AC174" s="520"/>
      <c r="AD174" s="521"/>
      <c r="AE174" s="522"/>
      <c r="AF174" s="457"/>
      <c r="AG174" s="456"/>
      <c r="AH174" s="456"/>
      <c r="AI174" s="456"/>
    </row>
    <row r="175" spans="1:35" ht="12.75">
      <c r="A175" s="602" t="s">
        <v>687</v>
      </c>
      <c r="B175" s="456"/>
      <c r="C175" s="519"/>
      <c r="D175" s="519"/>
      <c r="E175" s="454"/>
      <c r="F175" s="454"/>
      <c r="G175" s="454"/>
      <c r="H175" s="454"/>
      <c r="I175" s="454"/>
      <c r="J175" s="454"/>
      <c r="K175" s="454"/>
      <c r="L175" s="519"/>
      <c r="M175" s="453"/>
      <c r="N175" s="470"/>
      <c r="O175" s="521"/>
      <c r="P175" s="522"/>
      <c r="Q175" s="456"/>
      <c r="R175" s="519"/>
      <c r="S175" s="519"/>
      <c r="T175" s="454"/>
      <c r="U175" s="454"/>
      <c r="V175" s="454"/>
      <c r="W175" s="454"/>
      <c r="X175" s="454"/>
      <c r="Y175" s="454"/>
      <c r="Z175" s="454"/>
      <c r="AA175" s="519"/>
      <c r="AB175" s="454"/>
      <c r="AC175" s="520"/>
      <c r="AD175" s="521"/>
      <c r="AE175" s="522"/>
      <c r="AF175" s="457"/>
      <c r="AG175" s="456"/>
      <c r="AH175" s="456"/>
      <c r="AI175" s="456"/>
    </row>
    <row r="176" spans="1:35" ht="12.75">
      <c r="A176" s="513" t="s">
        <v>688</v>
      </c>
      <c r="B176" s="456">
        <v>2</v>
      </c>
      <c r="C176" s="519">
        <v>4600.2</v>
      </c>
      <c r="D176" s="519"/>
      <c r="E176" s="454"/>
      <c r="F176" s="454"/>
      <c r="G176" s="454"/>
      <c r="H176" s="454"/>
      <c r="I176" s="454"/>
      <c r="J176" s="454">
        <v>1500</v>
      </c>
      <c r="K176" s="519">
        <f>SUM(C176:J176)</f>
        <v>6100.2</v>
      </c>
      <c r="L176" s="519">
        <v>1000</v>
      </c>
      <c r="M176" s="453"/>
      <c r="N176" s="618">
        <f>SUM(L176+M176)</f>
        <v>1000</v>
      </c>
      <c r="O176" s="521">
        <f>+(K176*12)+N176</f>
        <v>74202.4</v>
      </c>
      <c r="P176" s="522">
        <f>+O176*B176</f>
        <v>148404.8</v>
      </c>
      <c r="Q176" s="456">
        <v>2</v>
      </c>
      <c r="R176" s="519">
        <v>4600.2</v>
      </c>
      <c r="S176" s="519"/>
      <c r="T176" s="454"/>
      <c r="U176" s="454"/>
      <c r="V176" s="454"/>
      <c r="W176" s="454"/>
      <c r="X176" s="454"/>
      <c r="Y176" s="454">
        <v>1500</v>
      </c>
      <c r="Z176" s="519">
        <f>SUM(R176:Y176)</f>
        <v>6100.2</v>
      </c>
      <c r="AA176" s="519">
        <v>1000</v>
      </c>
      <c r="AB176" s="454"/>
      <c r="AC176" s="520">
        <f>+AA176+AB176</f>
        <v>1000</v>
      </c>
      <c r="AD176" s="521">
        <f>+(Z176*12)+AC176</f>
        <v>74202.4</v>
      </c>
      <c r="AE176" s="522">
        <f>+AD176*Q176</f>
        <v>148404.8</v>
      </c>
      <c r="AF176" s="457">
        <f>+Q176-B176</f>
        <v>0</v>
      </c>
      <c r="AG176" s="523">
        <f>+AE176-P176</f>
        <v>0</v>
      </c>
      <c r="AH176" s="456">
        <v>2</v>
      </c>
      <c r="AI176" s="523">
        <f>+AE176</f>
        <v>148404.8</v>
      </c>
    </row>
    <row r="177" spans="1:35" ht="12.75">
      <c r="A177" s="513" t="s">
        <v>688</v>
      </c>
      <c r="B177" s="456">
        <v>1</v>
      </c>
      <c r="C177" s="519">
        <v>4600.2</v>
      </c>
      <c r="D177" s="519"/>
      <c r="E177" s="454"/>
      <c r="F177" s="454"/>
      <c r="G177" s="454"/>
      <c r="H177" s="454"/>
      <c r="I177" s="454"/>
      <c r="J177" s="454">
        <v>3000</v>
      </c>
      <c r="K177" s="519">
        <f>SUM(C177:J177)</f>
        <v>7600.2</v>
      </c>
      <c r="L177" s="519">
        <v>1000</v>
      </c>
      <c r="M177" s="453"/>
      <c r="N177" s="618">
        <f>SUM(L177+M177)</f>
        <v>1000</v>
      </c>
      <c r="O177" s="521">
        <f>+(K177*12)+N177</f>
        <v>92202.4</v>
      </c>
      <c r="P177" s="522">
        <f>+O177*B177</f>
        <v>92202.4</v>
      </c>
      <c r="Q177" s="456">
        <v>1</v>
      </c>
      <c r="R177" s="519">
        <v>4600.2</v>
      </c>
      <c r="S177" s="519"/>
      <c r="T177" s="454"/>
      <c r="U177" s="454"/>
      <c r="V177" s="454"/>
      <c r="W177" s="454"/>
      <c r="X177" s="454"/>
      <c r="Y177" s="454">
        <v>3000</v>
      </c>
      <c r="Z177" s="519">
        <f>SUM(R177:Y177)</f>
        <v>7600.2</v>
      </c>
      <c r="AA177" s="519">
        <v>1000</v>
      </c>
      <c r="AB177" s="454"/>
      <c r="AC177" s="520">
        <f>+AA177+AB177</f>
        <v>1000</v>
      </c>
      <c r="AD177" s="521">
        <f>+(Z177*12)+AC177</f>
        <v>92202.4</v>
      </c>
      <c r="AE177" s="522">
        <f>+AD177*Q177</f>
        <v>92202.4</v>
      </c>
      <c r="AF177" s="457">
        <f>+Q177-B177</f>
        <v>0</v>
      </c>
      <c r="AG177" s="523">
        <f>+AE177-P177</f>
        <v>0</v>
      </c>
      <c r="AH177" s="456">
        <v>1</v>
      </c>
      <c r="AI177" s="523">
        <f>+AE177</f>
        <v>92202.4</v>
      </c>
    </row>
    <row r="178" spans="1:35" ht="12.75">
      <c r="A178" s="513" t="s">
        <v>689</v>
      </c>
      <c r="B178" s="456">
        <v>4</v>
      </c>
      <c r="C178" s="519">
        <v>3986.84</v>
      </c>
      <c r="D178" s="519"/>
      <c r="E178" s="454"/>
      <c r="F178" s="454"/>
      <c r="G178" s="454"/>
      <c r="H178" s="454"/>
      <c r="I178" s="454"/>
      <c r="J178" s="454">
        <v>1500</v>
      </c>
      <c r="K178" s="519">
        <f>SUM(C178:J178)</f>
        <v>5486.84</v>
      </c>
      <c r="L178" s="519">
        <v>1000</v>
      </c>
      <c r="M178" s="453"/>
      <c r="N178" s="618">
        <f>SUM(L178+M178)</f>
        <v>1000</v>
      </c>
      <c r="O178" s="521">
        <f>+(K178*12)+N178</f>
        <v>66842.08</v>
      </c>
      <c r="P178" s="522">
        <f>+O178*B178</f>
        <v>267368.32</v>
      </c>
      <c r="Q178" s="456">
        <v>4</v>
      </c>
      <c r="R178" s="519">
        <v>3986.84</v>
      </c>
      <c r="S178" s="519"/>
      <c r="T178" s="454"/>
      <c r="U178" s="454"/>
      <c r="V178" s="454"/>
      <c r="W178" s="454"/>
      <c r="X178" s="454"/>
      <c r="Y178" s="454">
        <v>1500</v>
      </c>
      <c r="Z178" s="519">
        <f>SUM(R178:Y178)</f>
        <v>5486.84</v>
      </c>
      <c r="AA178" s="519">
        <v>1000</v>
      </c>
      <c r="AB178" s="454"/>
      <c r="AC178" s="520">
        <f>+AA178+AB178</f>
        <v>1000</v>
      </c>
      <c r="AD178" s="521">
        <f>+(Z178*12)+AC178</f>
        <v>66842.08</v>
      </c>
      <c r="AE178" s="522">
        <f>+AD178*Q178</f>
        <v>267368.32</v>
      </c>
      <c r="AF178" s="457">
        <f>+Q178-B178</f>
        <v>0</v>
      </c>
      <c r="AG178" s="523">
        <f>+AE178-P178</f>
        <v>0</v>
      </c>
      <c r="AH178" s="456">
        <v>4</v>
      </c>
      <c r="AI178" s="523">
        <f>+AE178</f>
        <v>267368.32</v>
      </c>
    </row>
    <row r="179" spans="1:35" ht="12.75">
      <c r="A179" s="513" t="s">
        <v>690</v>
      </c>
      <c r="B179" s="456">
        <v>3</v>
      </c>
      <c r="C179" s="519">
        <v>3680.16</v>
      </c>
      <c r="D179" s="519"/>
      <c r="E179" s="454"/>
      <c r="F179" s="454"/>
      <c r="G179" s="454"/>
      <c r="H179" s="454"/>
      <c r="I179" s="454"/>
      <c r="J179" s="454">
        <v>1500</v>
      </c>
      <c r="K179" s="519">
        <f>SUM(C179:J179)</f>
        <v>5180.16</v>
      </c>
      <c r="L179" s="519">
        <v>1000</v>
      </c>
      <c r="M179" s="453"/>
      <c r="N179" s="618">
        <f>SUM(L179+M179)</f>
        <v>1000</v>
      </c>
      <c r="O179" s="521">
        <f>+(K179*12)+N179</f>
        <v>63161.92</v>
      </c>
      <c r="P179" s="522">
        <f>+O179*B179</f>
        <v>189485.76</v>
      </c>
      <c r="Q179" s="456">
        <v>3</v>
      </c>
      <c r="R179" s="519">
        <v>3680.16</v>
      </c>
      <c r="S179" s="519"/>
      <c r="T179" s="454"/>
      <c r="U179" s="454"/>
      <c r="V179" s="454"/>
      <c r="W179" s="454"/>
      <c r="X179" s="454"/>
      <c r="Y179" s="454">
        <v>1500</v>
      </c>
      <c r="Z179" s="519">
        <f>SUM(R179:Y179)</f>
        <v>5180.16</v>
      </c>
      <c r="AA179" s="519">
        <v>1000</v>
      </c>
      <c r="AB179" s="454"/>
      <c r="AC179" s="520">
        <f>+AA179+AB179</f>
        <v>1000</v>
      </c>
      <c r="AD179" s="521">
        <f>+(Z179*12)+AC179</f>
        <v>63161.92</v>
      </c>
      <c r="AE179" s="522">
        <f>+AD179*Q179</f>
        <v>189485.76</v>
      </c>
      <c r="AF179" s="457">
        <f>+Q179-B179</f>
        <v>0</v>
      </c>
      <c r="AG179" s="523">
        <f>+AE179-P179</f>
        <v>0</v>
      </c>
      <c r="AH179" s="456">
        <v>3</v>
      </c>
      <c r="AI179" s="523">
        <f>+AE179</f>
        <v>189485.76</v>
      </c>
    </row>
    <row r="180" spans="1:35" ht="12.75">
      <c r="A180" s="513" t="s">
        <v>691</v>
      </c>
      <c r="B180" s="456">
        <v>2</v>
      </c>
      <c r="C180" s="519">
        <v>3373.48</v>
      </c>
      <c r="D180" s="519"/>
      <c r="E180" s="454"/>
      <c r="F180" s="454"/>
      <c r="G180" s="454"/>
      <c r="H180" s="454"/>
      <c r="I180" s="454"/>
      <c r="J180" s="454">
        <v>1500</v>
      </c>
      <c r="K180" s="519">
        <f>SUM(C180:J180)</f>
        <v>4873.48</v>
      </c>
      <c r="L180" s="519">
        <v>1000</v>
      </c>
      <c r="M180" s="453"/>
      <c r="N180" s="618">
        <f>SUM(L180+M180)</f>
        <v>1000</v>
      </c>
      <c r="O180" s="521">
        <f>+(K180*12)+N180</f>
        <v>59481.759999999995</v>
      </c>
      <c r="P180" s="522">
        <f>+O180*B180</f>
        <v>118963.51999999999</v>
      </c>
      <c r="Q180" s="456">
        <v>2</v>
      </c>
      <c r="R180" s="519">
        <v>3373.48</v>
      </c>
      <c r="S180" s="519"/>
      <c r="T180" s="454"/>
      <c r="U180" s="454"/>
      <c r="V180" s="454"/>
      <c r="W180" s="454"/>
      <c r="X180" s="454"/>
      <c r="Y180" s="454">
        <v>1500</v>
      </c>
      <c r="Z180" s="519">
        <f>SUM(R180:Y180)</f>
        <v>4873.48</v>
      </c>
      <c r="AA180" s="519">
        <v>1000</v>
      </c>
      <c r="AB180" s="454"/>
      <c r="AC180" s="520">
        <f>+AA180+AB180</f>
        <v>1000</v>
      </c>
      <c r="AD180" s="521">
        <f>+(Z180*12)+AC180</f>
        <v>59481.759999999995</v>
      </c>
      <c r="AE180" s="522">
        <f>+AD180*Q180</f>
        <v>118963.51999999999</v>
      </c>
      <c r="AF180" s="457">
        <f>+Q180-B180</f>
        <v>0</v>
      </c>
      <c r="AG180" s="523">
        <f>+AE180-P180</f>
        <v>0</v>
      </c>
      <c r="AH180" s="456">
        <v>2</v>
      </c>
      <c r="AI180" s="523">
        <f>+AE180</f>
        <v>118963.51999999999</v>
      </c>
    </row>
    <row r="181" spans="1:35" ht="12.75">
      <c r="A181" s="513"/>
      <c r="B181" s="456"/>
      <c r="C181" s="519"/>
      <c r="D181" s="519"/>
      <c r="E181" s="454"/>
      <c r="F181" s="454"/>
      <c r="G181" s="454"/>
      <c r="H181" s="454"/>
      <c r="I181" s="454"/>
      <c r="J181" s="454"/>
      <c r="K181" s="454"/>
      <c r="L181" s="519"/>
      <c r="M181" s="453"/>
      <c r="N181" s="470"/>
      <c r="O181" s="521"/>
      <c r="P181" s="522"/>
      <c r="Q181" s="456"/>
      <c r="R181" s="519"/>
      <c r="S181" s="519"/>
      <c r="T181" s="454"/>
      <c r="U181" s="454"/>
      <c r="V181" s="454"/>
      <c r="W181" s="454"/>
      <c r="X181" s="454"/>
      <c r="Y181" s="454"/>
      <c r="Z181" s="454"/>
      <c r="AA181" s="519"/>
      <c r="AB181" s="454"/>
      <c r="AC181" s="520"/>
      <c r="AD181" s="521"/>
      <c r="AE181" s="522"/>
      <c r="AF181" s="457"/>
      <c r="AG181" s="456"/>
      <c r="AH181" s="456"/>
      <c r="AI181" s="456"/>
    </row>
    <row r="182" spans="1:35" ht="12.75">
      <c r="A182" s="513" t="s">
        <v>692</v>
      </c>
      <c r="B182" s="456"/>
      <c r="C182" s="519"/>
      <c r="D182" s="519"/>
      <c r="E182" s="454"/>
      <c r="F182" s="454"/>
      <c r="G182" s="454"/>
      <c r="H182" s="454"/>
      <c r="I182" s="454"/>
      <c r="J182" s="454"/>
      <c r="K182" s="454"/>
      <c r="L182" s="519"/>
      <c r="M182" s="453"/>
      <c r="N182" s="470"/>
      <c r="O182" s="521"/>
      <c r="P182" s="522"/>
      <c r="Q182" s="456"/>
      <c r="R182" s="519"/>
      <c r="S182" s="519"/>
      <c r="T182" s="454"/>
      <c r="U182" s="454"/>
      <c r="V182" s="454"/>
      <c r="W182" s="454"/>
      <c r="X182" s="454"/>
      <c r="Y182" s="454"/>
      <c r="Z182" s="454"/>
      <c r="AA182" s="519"/>
      <c r="AB182" s="454"/>
      <c r="AC182" s="520"/>
      <c r="AD182" s="521"/>
      <c r="AE182" s="522"/>
      <c r="AF182" s="457"/>
      <c r="AG182" s="456"/>
      <c r="AH182" s="456"/>
      <c r="AI182" s="456"/>
    </row>
    <row r="183" spans="1:35" ht="12.75">
      <c r="A183" s="513" t="s">
        <v>693</v>
      </c>
      <c r="B183" s="456">
        <v>38</v>
      </c>
      <c r="C183" s="519">
        <v>3980.56</v>
      </c>
      <c r="D183" s="519"/>
      <c r="E183" s="454"/>
      <c r="F183" s="454"/>
      <c r="G183" s="454"/>
      <c r="H183" s="454"/>
      <c r="I183" s="454"/>
      <c r="J183" s="454"/>
      <c r="K183" s="519">
        <f>SUM(C183:J183)</f>
        <v>3980.56</v>
      </c>
      <c r="L183" s="519">
        <v>1000</v>
      </c>
      <c r="M183" s="453"/>
      <c r="N183" s="618">
        <f>SUM(L183+M183)</f>
        <v>1000</v>
      </c>
      <c r="O183" s="521">
        <f>+(K183*12)+N183</f>
        <v>48766.72</v>
      </c>
      <c r="P183" s="522">
        <f>+O183*B183</f>
        <v>1853135.36</v>
      </c>
      <c r="Q183" s="456">
        <v>38</v>
      </c>
      <c r="R183" s="519">
        <v>3980.56</v>
      </c>
      <c r="S183" s="519"/>
      <c r="T183" s="454"/>
      <c r="U183" s="454"/>
      <c r="V183" s="454"/>
      <c r="W183" s="454"/>
      <c r="X183" s="454"/>
      <c r="Y183" s="454"/>
      <c r="Z183" s="519">
        <f>SUM(R183:Y183)</f>
        <v>3980.56</v>
      </c>
      <c r="AA183" s="519">
        <v>1000</v>
      </c>
      <c r="AB183" s="454"/>
      <c r="AC183" s="520">
        <f>+AA183+AB183</f>
        <v>1000</v>
      </c>
      <c r="AD183" s="521">
        <f>+(Z183*12)+AC183</f>
        <v>48766.72</v>
      </c>
      <c r="AE183" s="522">
        <f>+AD183*Q183</f>
        <v>1853135.36</v>
      </c>
      <c r="AF183" s="457">
        <f>+Q183-B183</f>
        <v>0</v>
      </c>
      <c r="AG183" s="523">
        <f>+AE183-P183</f>
        <v>0</v>
      </c>
      <c r="AH183" s="456">
        <v>38</v>
      </c>
      <c r="AI183" s="523">
        <f>+AE183</f>
        <v>1853135.36</v>
      </c>
    </row>
    <row r="184" spans="1:35" ht="12.75">
      <c r="A184" s="513" t="s">
        <v>694</v>
      </c>
      <c r="B184" s="456">
        <v>3</v>
      </c>
      <c r="C184" s="519">
        <v>2985.4</v>
      </c>
      <c r="D184" s="519"/>
      <c r="E184" s="454"/>
      <c r="F184" s="454"/>
      <c r="G184" s="454"/>
      <c r="H184" s="454"/>
      <c r="I184" s="454"/>
      <c r="J184" s="454"/>
      <c r="K184" s="519">
        <f>SUM(C184:J184)</f>
        <v>2985.4</v>
      </c>
      <c r="L184" s="519">
        <v>1000</v>
      </c>
      <c r="M184" s="453"/>
      <c r="N184" s="618">
        <f>SUM(L184+M184)</f>
        <v>1000</v>
      </c>
      <c r="O184" s="521">
        <f>+(K184*12)+N184</f>
        <v>36824.8</v>
      </c>
      <c r="P184" s="522">
        <f>+O184*B184</f>
        <v>110474.40000000001</v>
      </c>
      <c r="Q184" s="456">
        <v>3</v>
      </c>
      <c r="R184" s="519">
        <v>2985.4</v>
      </c>
      <c r="S184" s="519"/>
      <c r="T184" s="454"/>
      <c r="U184" s="454"/>
      <c r="V184" s="454"/>
      <c r="W184" s="454"/>
      <c r="X184" s="454"/>
      <c r="Y184" s="454"/>
      <c r="Z184" s="519">
        <f>SUM(R184:Y184)</f>
        <v>2985.4</v>
      </c>
      <c r="AA184" s="519">
        <v>1000</v>
      </c>
      <c r="AB184" s="454"/>
      <c r="AC184" s="520">
        <f>+AA184+AB184</f>
        <v>1000</v>
      </c>
      <c r="AD184" s="521">
        <f>+(Z184*12)+AC184</f>
        <v>36824.8</v>
      </c>
      <c r="AE184" s="522">
        <f>+AD184*Q184</f>
        <v>110474.40000000001</v>
      </c>
      <c r="AF184" s="457">
        <f>+Q184-B184</f>
        <v>0</v>
      </c>
      <c r="AG184" s="523">
        <f>+AE184-P184</f>
        <v>0</v>
      </c>
      <c r="AH184" s="456">
        <v>3</v>
      </c>
      <c r="AI184" s="523">
        <f>+AE184</f>
        <v>110474.40000000001</v>
      </c>
    </row>
    <row r="185" spans="1:35" ht="12.75">
      <c r="A185" s="513" t="s">
        <v>695</v>
      </c>
      <c r="B185" s="456">
        <v>16</v>
      </c>
      <c r="C185" s="519">
        <v>3482.98</v>
      </c>
      <c r="D185" s="519"/>
      <c r="E185" s="453"/>
      <c r="F185" s="459"/>
      <c r="G185" s="454"/>
      <c r="H185" s="454"/>
      <c r="I185" s="454"/>
      <c r="J185" s="454"/>
      <c r="K185" s="519">
        <f>SUM(C185:J185)</f>
        <v>3482.98</v>
      </c>
      <c r="L185" s="519">
        <v>1000</v>
      </c>
      <c r="M185" s="453"/>
      <c r="N185" s="618">
        <f>SUM(L185+M185)</f>
        <v>1000</v>
      </c>
      <c r="O185" s="521">
        <f>+(K185*12)+N185</f>
        <v>42795.76</v>
      </c>
      <c r="P185" s="522">
        <f>+O185*B185</f>
        <v>684732.16</v>
      </c>
      <c r="Q185" s="456">
        <v>16</v>
      </c>
      <c r="R185" s="519">
        <v>3482.98</v>
      </c>
      <c r="S185" s="519"/>
      <c r="T185" s="454"/>
      <c r="U185" s="454"/>
      <c r="V185" s="454"/>
      <c r="W185" s="454"/>
      <c r="X185" s="454"/>
      <c r="Y185" s="454"/>
      <c r="Z185" s="519">
        <f>SUM(R185:Y185)</f>
        <v>3482.98</v>
      </c>
      <c r="AA185" s="519">
        <v>1000</v>
      </c>
      <c r="AB185" s="454"/>
      <c r="AC185" s="520">
        <f>+AA185+AB185</f>
        <v>1000</v>
      </c>
      <c r="AD185" s="521">
        <f>+(Z185*12)+AC185</f>
        <v>42795.76</v>
      </c>
      <c r="AE185" s="522">
        <f>+AD185*Q185</f>
        <v>684732.16</v>
      </c>
      <c r="AF185" s="457">
        <f>+Q185-B185</f>
        <v>0</v>
      </c>
      <c r="AG185" s="523">
        <f>+AE185-P185</f>
        <v>0</v>
      </c>
      <c r="AH185" s="456">
        <v>16</v>
      </c>
      <c r="AI185" s="523">
        <f>+AE185</f>
        <v>684732.16</v>
      </c>
    </row>
    <row r="186" spans="1:35" ht="12.75">
      <c r="A186" s="513" t="s">
        <v>696</v>
      </c>
      <c r="B186" s="456">
        <v>226</v>
      </c>
      <c r="C186" s="519">
        <v>2487.84</v>
      </c>
      <c r="D186" s="519"/>
      <c r="E186" s="628"/>
      <c r="F186" s="616"/>
      <c r="G186" s="454"/>
      <c r="H186" s="454"/>
      <c r="I186" s="454"/>
      <c r="J186" s="454"/>
      <c r="K186" s="519">
        <f>SUM(C186:J186)</f>
        <v>2487.84</v>
      </c>
      <c r="L186" s="519">
        <v>600</v>
      </c>
      <c r="M186" s="453"/>
      <c r="N186" s="618">
        <f>SUM(L186+M186)</f>
        <v>600</v>
      </c>
      <c r="O186" s="521">
        <f>+(K186*12)+N186</f>
        <v>30454.08</v>
      </c>
      <c r="P186" s="522">
        <f>+O186*B186</f>
        <v>6882622.08</v>
      </c>
      <c r="Q186" s="456">
        <v>226</v>
      </c>
      <c r="R186" s="519">
        <v>2487.84</v>
      </c>
      <c r="S186" s="519"/>
      <c r="T186" s="454"/>
      <c r="U186" s="454"/>
      <c r="V186" s="454"/>
      <c r="W186" s="454"/>
      <c r="X186" s="454"/>
      <c r="Y186" s="454"/>
      <c r="Z186" s="519">
        <f>SUM(R186:Y186)</f>
        <v>2487.84</v>
      </c>
      <c r="AA186" s="519">
        <v>600</v>
      </c>
      <c r="AB186" s="454"/>
      <c r="AC186" s="520">
        <f>+AA186+AB186</f>
        <v>600</v>
      </c>
      <c r="AD186" s="521">
        <f>+(Z186*12)+AC186</f>
        <v>30454.08</v>
      </c>
      <c r="AE186" s="522">
        <f>+AD186*Q186</f>
        <v>6882622.08</v>
      </c>
      <c r="AF186" s="457">
        <f>+Q186-B186</f>
        <v>0</v>
      </c>
      <c r="AG186" s="523">
        <f>+AE186-P186</f>
        <v>0</v>
      </c>
      <c r="AH186" s="456">
        <v>226</v>
      </c>
      <c r="AI186" s="523">
        <f>+AE186</f>
        <v>6882622.08</v>
      </c>
    </row>
    <row r="187" spans="1:35" ht="13.5" thickBot="1">
      <c r="A187" s="629" t="s">
        <v>697</v>
      </c>
      <c r="B187" s="466">
        <v>1</v>
      </c>
      <c r="C187" s="630">
        <v>858.5</v>
      </c>
      <c r="D187" s="630"/>
      <c r="E187" s="631"/>
      <c r="F187" s="632"/>
      <c r="G187" s="633"/>
      <c r="H187" s="633"/>
      <c r="I187" s="633"/>
      <c r="J187" s="633"/>
      <c r="K187" s="630">
        <f>SUM(C187:J187)</f>
        <v>858.5</v>
      </c>
      <c r="L187" s="630">
        <v>450</v>
      </c>
      <c r="M187" s="634"/>
      <c r="N187" s="635">
        <f>SUM(L187+M187)</f>
        <v>450</v>
      </c>
      <c r="O187" s="636">
        <f>+(K187*12)+N187</f>
        <v>10752</v>
      </c>
      <c r="P187" s="637">
        <f>+O187*B187</f>
        <v>10752</v>
      </c>
      <c r="Q187" s="466">
        <v>1</v>
      </c>
      <c r="R187" s="630">
        <v>858.5</v>
      </c>
      <c r="S187" s="630"/>
      <c r="T187" s="633"/>
      <c r="U187" s="633"/>
      <c r="V187" s="633"/>
      <c r="W187" s="633"/>
      <c r="X187" s="633"/>
      <c r="Y187" s="633"/>
      <c r="Z187" s="630">
        <f>SUM(R187:Y187)</f>
        <v>858.5</v>
      </c>
      <c r="AA187" s="630">
        <v>450</v>
      </c>
      <c r="AB187" s="633"/>
      <c r="AC187" s="638">
        <f>+AA187+AB187</f>
        <v>450</v>
      </c>
      <c r="AD187" s="636">
        <f>+(Z187*12)+AC187</f>
        <v>10752</v>
      </c>
      <c r="AE187" s="637">
        <f>+AD187*Q187</f>
        <v>10752</v>
      </c>
      <c r="AF187" s="452">
        <f>+Q187-B187</f>
        <v>0</v>
      </c>
      <c r="AG187" s="639">
        <f>+AE187-P187</f>
        <v>0</v>
      </c>
      <c r="AH187" s="456">
        <v>1</v>
      </c>
      <c r="AI187" s="523">
        <f>+AE187</f>
        <v>10752</v>
      </c>
    </row>
    <row r="189" ht="12.75" thickBot="1">
      <c r="A189" s="15" t="s">
        <v>2921</v>
      </c>
    </row>
    <row r="190" spans="1:35" ht="12.75" thickBot="1">
      <c r="A190" s="1543" t="s">
        <v>47</v>
      </c>
      <c r="B190" s="1554" t="s">
        <v>339</v>
      </c>
      <c r="C190" s="1554"/>
      <c r="D190" s="1554"/>
      <c r="E190" s="1554"/>
      <c r="F190" s="1554"/>
      <c r="G190" s="1554"/>
      <c r="H190" s="1554"/>
      <c r="I190" s="1554"/>
      <c r="J190" s="1554"/>
      <c r="K190" s="1554"/>
      <c r="L190" s="1554"/>
      <c r="M190" s="1554"/>
      <c r="N190" s="1554"/>
      <c r="O190" s="1554"/>
      <c r="P190" s="1554"/>
      <c r="Q190" s="1555" t="s">
        <v>434</v>
      </c>
      <c r="R190" s="1554"/>
      <c r="S190" s="1554"/>
      <c r="T190" s="1554"/>
      <c r="U190" s="1554"/>
      <c r="V190" s="1554"/>
      <c r="W190" s="1554"/>
      <c r="X190" s="1554"/>
      <c r="Y190" s="1554"/>
      <c r="Z190" s="1554"/>
      <c r="AA190" s="1554"/>
      <c r="AB190" s="1554"/>
      <c r="AC190" s="1554"/>
      <c r="AD190" s="1554"/>
      <c r="AE190" s="1556"/>
      <c r="AF190" s="1557" t="s">
        <v>436</v>
      </c>
      <c r="AG190" s="1558"/>
      <c r="AH190" s="1557" t="s">
        <v>435</v>
      </c>
      <c r="AI190" s="1558"/>
    </row>
    <row r="191" spans="1:35" ht="140.25">
      <c r="A191" s="1552"/>
      <c r="B191" s="171" t="s">
        <v>11</v>
      </c>
      <c r="C191" s="172" t="s">
        <v>146</v>
      </c>
      <c r="D191" s="173" t="s">
        <v>270</v>
      </c>
      <c r="E191" s="173" t="s">
        <v>148</v>
      </c>
      <c r="F191" s="173" t="s">
        <v>182</v>
      </c>
      <c r="G191" s="173" t="s">
        <v>183</v>
      </c>
      <c r="H191" s="173" t="s">
        <v>184</v>
      </c>
      <c r="I191" s="173" t="s">
        <v>185</v>
      </c>
      <c r="J191" s="173" t="s">
        <v>149</v>
      </c>
      <c r="K191" s="173" t="s">
        <v>150</v>
      </c>
      <c r="L191" s="173" t="s">
        <v>151</v>
      </c>
      <c r="M191" s="173" t="s">
        <v>181</v>
      </c>
      <c r="N191" s="174" t="s">
        <v>119</v>
      </c>
      <c r="O191" s="175" t="s">
        <v>156</v>
      </c>
      <c r="P191" s="176" t="s">
        <v>155</v>
      </c>
      <c r="Q191" s="171" t="s">
        <v>11</v>
      </c>
      <c r="R191" s="172" t="s">
        <v>146</v>
      </c>
      <c r="S191" s="173" t="s">
        <v>147</v>
      </c>
      <c r="T191" s="173" t="s">
        <v>148</v>
      </c>
      <c r="U191" s="173" t="s">
        <v>182</v>
      </c>
      <c r="V191" s="173" t="s">
        <v>183</v>
      </c>
      <c r="W191" s="173" t="s">
        <v>184</v>
      </c>
      <c r="X191" s="173" t="s">
        <v>185</v>
      </c>
      <c r="Y191" s="173" t="s">
        <v>149</v>
      </c>
      <c r="Z191" s="173" t="s">
        <v>150</v>
      </c>
      <c r="AA191" s="173" t="s">
        <v>151</v>
      </c>
      <c r="AB191" s="173" t="s">
        <v>181</v>
      </c>
      <c r="AC191" s="174" t="s">
        <v>119</v>
      </c>
      <c r="AD191" s="175" t="s">
        <v>156</v>
      </c>
      <c r="AE191" s="176" t="s">
        <v>340</v>
      </c>
      <c r="AF191" s="177" t="s">
        <v>160</v>
      </c>
      <c r="AG191" s="177" t="s">
        <v>159</v>
      </c>
      <c r="AH191" s="177" t="s">
        <v>11</v>
      </c>
      <c r="AI191" s="176" t="s">
        <v>341</v>
      </c>
    </row>
    <row r="192" spans="1:35" ht="12.75" thickBot="1">
      <c r="A192" s="1567"/>
      <c r="B192" s="178" t="s">
        <v>48</v>
      </c>
      <c r="C192" s="179" t="s">
        <v>49</v>
      </c>
      <c r="D192" s="180" t="s">
        <v>50</v>
      </c>
      <c r="E192" s="180" t="s">
        <v>51</v>
      </c>
      <c r="F192" s="181" t="s">
        <v>52</v>
      </c>
      <c r="G192" s="181" t="s">
        <v>53</v>
      </c>
      <c r="H192" s="181" t="s">
        <v>79</v>
      </c>
      <c r="I192" s="181" t="s">
        <v>118</v>
      </c>
      <c r="J192" s="181" t="s">
        <v>154</v>
      </c>
      <c r="K192" s="181" t="s">
        <v>158</v>
      </c>
      <c r="L192" s="181" t="s">
        <v>190</v>
      </c>
      <c r="M192" s="181" t="s">
        <v>191</v>
      </c>
      <c r="N192" s="182" t="s">
        <v>193</v>
      </c>
      <c r="O192" s="183" t="s">
        <v>194</v>
      </c>
      <c r="P192" s="184" t="s">
        <v>195</v>
      </c>
      <c r="Q192" s="178" t="s">
        <v>48</v>
      </c>
      <c r="R192" s="179" t="s">
        <v>49</v>
      </c>
      <c r="S192" s="180" t="s">
        <v>50</v>
      </c>
      <c r="T192" s="180" t="s">
        <v>51</v>
      </c>
      <c r="U192" s="181" t="s">
        <v>52</v>
      </c>
      <c r="V192" s="181" t="s">
        <v>53</v>
      </c>
      <c r="W192" s="181" t="s">
        <v>79</v>
      </c>
      <c r="X192" s="181" t="s">
        <v>118</v>
      </c>
      <c r="Y192" s="181" t="s">
        <v>154</v>
      </c>
      <c r="Z192" s="181" t="s">
        <v>158</v>
      </c>
      <c r="AA192" s="181" t="s">
        <v>190</v>
      </c>
      <c r="AB192" s="181" t="s">
        <v>191</v>
      </c>
      <c r="AC192" s="182" t="s">
        <v>193</v>
      </c>
      <c r="AD192" s="183" t="s">
        <v>194</v>
      </c>
      <c r="AE192" s="184" t="s">
        <v>195</v>
      </c>
      <c r="AF192" s="185"/>
      <c r="AG192" s="178"/>
      <c r="AH192" s="185"/>
      <c r="AI192" s="178"/>
    </row>
    <row r="193" spans="1:35" ht="12">
      <c r="A193" s="41"/>
      <c r="B193" s="41"/>
      <c r="C193" s="28"/>
      <c r="D193" s="28"/>
      <c r="E193" s="28"/>
      <c r="F193" s="28"/>
      <c r="G193" s="28"/>
      <c r="H193" s="28"/>
      <c r="I193" s="28"/>
      <c r="J193" s="28"/>
      <c r="K193" s="28"/>
      <c r="L193" s="28"/>
      <c r="M193" s="28"/>
      <c r="N193" s="646"/>
      <c r="O193" s="62"/>
      <c r="P193" s="23"/>
      <c r="Q193" s="41"/>
      <c r="R193" s="28"/>
      <c r="S193" s="28"/>
      <c r="T193" s="28"/>
      <c r="U193" s="28"/>
      <c r="V193" s="28"/>
      <c r="W193" s="28"/>
      <c r="X193" s="28"/>
      <c r="Y193" s="28"/>
      <c r="Z193" s="28"/>
      <c r="AA193" s="28"/>
      <c r="AB193" s="28"/>
      <c r="AC193" s="646"/>
      <c r="AD193" s="62"/>
      <c r="AE193" s="23"/>
      <c r="AF193" s="23"/>
      <c r="AG193" s="41"/>
      <c r="AH193" s="23"/>
      <c r="AI193" s="41"/>
    </row>
    <row r="194" spans="1:35" ht="12">
      <c r="A194" s="645" t="s">
        <v>54</v>
      </c>
      <c r="B194" s="16"/>
      <c r="C194" s="12"/>
      <c r="D194" s="12"/>
      <c r="E194" s="12"/>
      <c r="F194" s="12"/>
      <c r="G194" s="12"/>
      <c r="H194" s="12"/>
      <c r="I194" s="12"/>
      <c r="J194" s="12"/>
      <c r="K194" s="12"/>
      <c r="L194" s="12"/>
      <c r="M194" s="12"/>
      <c r="N194" s="9"/>
      <c r="O194" s="44"/>
      <c r="P194" s="17"/>
      <c r="Q194" s="16"/>
      <c r="R194" s="12"/>
      <c r="S194" s="12"/>
      <c r="T194" s="12"/>
      <c r="U194" s="12"/>
      <c r="V194" s="12"/>
      <c r="W194" s="12"/>
      <c r="X194" s="12"/>
      <c r="Y194" s="12"/>
      <c r="Z194" s="12"/>
      <c r="AA194" s="12"/>
      <c r="AB194" s="12"/>
      <c r="AC194" s="9"/>
      <c r="AD194" s="44"/>
      <c r="AE194" s="17"/>
      <c r="AF194" s="17"/>
      <c r="AG194" s="16"/>
      <c r="AH194" s="17"/>
      <c r="AI194" s="16"/>
    </row>
    <row r="195" spans="1:35" ht="12">
      <c r="A195" s="645" t="s">
        <v>699</v>
      </c>
      <c r="B195" s="16">
        <v>3</v>
      </c>
      <c r="C195" s="640">
        <v>1516.42</v>
      </c>
      <c r="D195" s="640">
        <v>2000</v>
      </c>
      <c r="E195" s="640"/>
      <c r="F195" s="640"/>
      <c r="G195" s="640"/>
      <c r="H195" s="640"/>
      <c r="I195" s="640"/>
      <c r="J195" s="640"/>
      <c r="K195" s="640">
        <f>C195+D195</f>
        <v>3516.42</v>
      </c>
      <c r="L195" s="640">
        <v>1000</v>
      </c>
      <c r="M195" s="640"/>
      <c r="N195" s="641"/>
      <c r="O195" s="642">
        <f>(K195+L195)*12</f>
        <v>54197.04</v>
      </c>
      <c r="P195" s="643">
        <f>((K195*12)+L195)*B195</f>
        <v>129591.12</v>
      </c>
      <c r="Q195" s="16">
        <v>3</v>
      </c>
      <c r="R195" s="640">
        <v>1516.42</v>
      </c>
      <c r="S195" s="640">
        <v>2000</v>
      </c>
      <c r="T195" s="640"/>
      <c r="U195" s="640"/>
      <c r="V195" s="640"/>
      <c r="W195" s="640"/>
      <c r="X195" s="640"/>
      <c r="Y195" s="640"/>
      <c r="Z195" s="640">
        <f>R195+S195</f>
        <v>3516.42</v>
      </c>
      <c r="AA195" s="640">
        <v>1000</v>
      </c>
      <c r="AB195" s="640"/>
      <c r="AC195" s="641"/>
      <c r="AD195" s="642">
        <f>(Z195*12)+AA195</f>
        <v>43197.04</v>
      </c>
      <c r="AE195" s="643">
        <f>((Z195*12)+AA195)*Q195</f>
        <v>129591.12</v>
      </c>
      <c r="AF195" s="17">
        <f>Q195-B195</f>
        <v>0</v>
      </c>
      <c r="AG195" s="644">
        <f>AE195-P195</f>
        <v>0</v>
      </c>
      <c r="AH195" s="17">
        <f>Q195</f>
        <v>3</v>
      </c>
      <c r="AI195" s="644">
        <f>AE195</f>
        <v>129591.12</v>
      </c>
    </row>
    <row r="196" spans="1:35" ht="12">
      <c r="A196" s="645" t="s">
        <v>700</v>
      </c>
      <c r="B196" s="53">
        <v>12</v>
      </c>
      <c r="C196" s="640">
        <v>896.1</v>
      </c>
      <c r="D196" s="640">
        <v>1800</v>
      </c>
      <c r="E196" s="640"/>
      <c r="F196" s="640"/>
      <c r="G196" s="640"/>
      <c r="H196" s="640"/>
      <c r="I196" s="640"/>
      <c r="J196" s="640"/>
      <c r="K196" s="640">
        <f>C196+D196</f>
        <v>2696.1</v>
      </c>
      <c r="L196" s="640">
        <v>1000</v>
      </c>
      <c r="M196" s="640"/>
      <c r="N196" s="641"/>
      <c r="O196" s="642">
        <f aca="true" t="shared" si="22" ref="O196:O206">(K196+L196)*12</f>
        <v>44353.2</v>
      </c>
      <c r="P196" s="643">
        <f aca="true" t="shared" si="23" ref="P196:P206">((K196*12)+L196)*B196</f>
        <v>400238.39999999997</v>
      </c>
      <c r="Q196" s="53">
        <v>12</v>
      </c>
      <c r="R196" s="640">
        <v>896.1</v>
      </c>
      <c r="S196" s="640">
        <v>1800</v>
      </c>
      <c r="T196" s="640"/>
      <c r="U196" s="640"/>
      <c r="V196" s="640"/>
      <c r="W196" s="640"/>
      <c r="X196" s="640"/>
      <c r="Y196" s="640"/>
      <c r="Z196" s="640">
        <f>R196+S196</f>
        <v>2696.1</v>
      </c>
      <c r="AA196" s="640">
        <v>1000</v>
      </c>
      <c r="AB196" s="640"/>
      <c r="AC196" s="641"/>
      <c r="AD196" s="642">
        <f aca="true" t="shared" si="24" ref="AD196:AD206">(Z196*12)+AA196</f>
        <v>33353.2</v>
      </c>
      <c r="AE196" s="643">
        <f aca="true" t="shared" si="25" ref="AE196:AE206">((Z196*12)+AA196)*Q196</f>
        <v>400238.39999999997</v>
      </c>
      <c r="AF196" s="17">
        <f>Q196-B196</f>
        <v>0</v>
      </c>
      <c r="AG196" s="644">
        <f>AE196-P196</f>
        <v>0</v>
      </c>
      <c r="AH196" s="17">
        <f aca="true" t="shared" si="26" ref="AH196:AH206">Q196</f>
        <v>12</v>
      </c>
      <c r="AI196" s="644">
        <f aca="true" t="shared" si="27" ref="AI196:AI206">AE196</f>
        <v>400238.39999999997</v>
      </c>
    </row>
    <row r="197" spans="1:35" ht="12">
      <c r="A197" s="645" t="s">
        <v>5</v>
      </c>
      <c r="B197" s="53">
        <v>19</v>
      </c>
      <c r="C197" s="640">
        <v>767.3000000000001</v>
      </c>
      <c r="D197" s="640">
        <v>1700</v>
      </c>
      <c r="E197" s="640"/>
      <c r="F197" s="640"/>
      <c r="G197" s="640"/>
      <c r="H197" s="640"/>
      <c r="I197" s="640"/>
      <c r="J197" s="640"/>
      <c r="K197" s="640">
        <f>C197+D197</f>
        <v>2467.3</v>
      </c>
      <c r="L197" s="640">
        <v>1000</v>
      </c>
      <c r="M197" s="640"/>
      <c r="N197" s="641"/>
      <c r="O197" s="642">
        <f t="shared" si="22"/>
        <v>41607.600000000006</v>
      </c>
      <c r="P197" s="643">
        <f t="shared" si="23"/>
        <v>581544.4</v>
      </c>
      <c r="Q197" s="53">
        <v>19</v>
      </c>
      <c r="R197" s="640">
        <v>767.3000000000001</v>
      </c>
      <c r="S197" s="640">
        <v>1700</v>
      </c>
      <c r="T197" s="640"/>
      <c r="U197" s="640"/>
      <c r="V197" s="640"/>
      <c r="W197" s="640"/>
      <c r="X197" s="640"/>
      <c r="Y197" s="640"/>
      <c r="Z197" s="640">
        <f>R197+S197</f>
        <v>2467.3</v>
      </c>
      <c r="AA197" s="640">
        <v>1000</v>
      </c>
      <c r="AB197" s="640"/>
      <c r="AC197" s="641"/>
      <c r="AD197" s="642">
        <f t="shared" si="24"/>
        <v>30607.600000000002</v>
      </c>
      <c r="AE197" s="643">
        <f t="shared" si="25"/>
        <v>581544.4</v>
      </c>
      <c r="AF197" s="17">
        <f>Q197-B197</f>
        <v>0</v>
      </c>
      <c r="AG197" s="644">
        <f>AE197-P197</f>
        <v>0</v>
      </c>
      <c r="AH197" s="17">
        <f t="shared" si="26"/>
        <v>19</v>
      </c>
      <c r="AI197" s="644">
        <f t="shared" si="27"/>
        <v>581544.4</v>
      </c>
    </row>
    <row r="198" spans="1:35" ht="12">
      <c r="A198" s="645" t="s">
        <v>701</v>
      </c>
      <c r="B198" s="53">
        <v>82</v>
      </c>
      <c r="C198" s="640">
        <v>716.43</v>
      </c>
      <c r="D198" s="640">
        <v>950</v>
      </c>
      <c r="E198" s="640"/>
      <c r="F198" s="640"/>
      <c r="G198" s="640"/>
      <c r="H198" s="640"/>
      <c r="I198" s="640"/>
      <c r="J198" s="640"/>
      <c r="K198" s="640">
        <f>C198+D198</f>
        <v>1666.4299999999998</v>
      </c>
      <c r="L198" s="640">
        <v>1000</v>
      </c>
      <c r="M198" s="640"/>
      <c r="N198" s="641"/>
      <c r="O198" s="642">
        <f t="shared" si="22"/>
        <v>31997.159999999996</v>
      </c>
      <c r="P198" s="643">
        <f t="shared" si="23"/>
        <v>1721767.1199999996</v>
      </c>
      <c r="Q198" s="53">
        <v>82</v>
      </c>
      <c r="R198" s="640">
        <v>716.43</v>
      </c>
      <c r="S198" s="640">
        <v>1070</v>
      </c>
      <c r="T198" s="640"/>
      <c r="U198" s="640"/>
      <c r="V198" s="640"/>
      <c r="W198" s="640"/>
      <c r="X198" s="640"/>
      <c r="Y198" s="640"/>
      <c r="Z198" s="640">
        <f>R198+S198</f>
        <v>1786.4299999999998</v>
      </c>
      <c r="AA198" s="640">
        <v>1000</v>
      </c>
      <c r="AB198" s="640"/>
      <c r="AC198" s="641"/>
      <c r="AD198" s="642">
        <f t="shared" si="24"/>
        <v>22437.159999999996</v>
      </c>
      <c r="AE198" s="643">
        <f t="shared" si="25"/>
        <v>1839847.1199999996</v>
      </c>
      <c r="AF198" s="17">
        <f>Q198-B198</f>
        <v>0</v>
      </c>
      <c r="AG198" s="644">
        <f>AE198-P198</f>
        <v>118080</v>
      </c>
      <c r="AH198" s="17">
        <f t="shared" si="26"/>
        <v>82</v>
      </c>
      <c r="AI198" s="644">
        <f t="shared" si="27"/>
        <v>1839847.1199999996</v>
      </c>
    </row>
    <row r="199" spans="1:35" ht="12">
      <c r="A199" s="645"/>
      <c r="B199" s="53"/>
      <c r="C199" s="54"/>
      <c r="D199" s="54"/>
      <c r="E199" s="54"/>
      <c r="F199" s="54"/>
      <c r="G199" s="54"/>
      <c r="H199" s="54"/>
      <c r="I199" s="54"/>
      <c r="J199" s="54"/>
      <c r="K199" s="12"/>
      <c r="L199" s="12"/>
      <c r="M199" s="12"/>
      <c r="N199" s="9"/>
      <c r="O199" s="642">
        <f t="shared" si="22"/>
        <v>0</v>
      </c>
      <c r="P199" s="643"/>
      <c r="Q199" s="16"/>
      <c r="R199" s="12"/>
      <c r="S199" s="12"/>
      <c r="T199" s="12"/>
      <c r="U199" s="12"/>
      <c r="V199" s="12"/>
      <c r="W199" s="12"/>
      <c r="X199" s="12"/>
      <c r="Y199" s="12"/>
      <c r="Z199" s="12"/>
      <c r="AA199" s="12"/>
      <c r="AB199" s="12"/>
      <c r="AC199" s="9"/>
      <c r="AD199" s="642"/>
      <c r="AE199" s="643"/>
      <c r="AF199" s="17"/>
      <c r="AG199" s="644"/>
      <c r="AH199" s="17">
        <f t="shared" si="26"/>
        <v>0</v>
      </c>
      <c r="AI199" s="644">
        <f t="shared" si="27"/>
        <v>0</v>
      </c>
    </row>
    <row r="200" spans="1:35" ht="12">
      <c r="A200" s="645" t="s">
        <v>56</v>
      </c>
      <c r="B200" s="16"/>
      <c r="C200" s="12"/>
      <c r="D200" s="12"/>
      <c r="E200" s="12"/>
      <c r="F200" s="12"/>
      <c r="G200" s="12"/>
      <c r="H200" s="12"/>
      <c r="I200" s="12"/>
      <c r="J200" s="12"/>
      <c r="K200" s="12"/>
      <c r="L200" s="12"/>
      <c r="M200" s="12"/>
      <c r="N200" s="9"/>
      <c r="O200" s="642">
        <f t="shared" si="22"/>
        <v>0</v>
      </c>
      <c r="P200" s="643"/>
      <c r="Q200" s="16"/>
      <c r="R200" s="12"/>
      <c r="S200" s="12"/>
      <c r="T200" s="12"/>
      <c r="U200" s="12"/>
      <c r="V200" s="12"/>
      <c r="W200" s="12"/>
      <c r="X200" s="12"/>
      <c r="Y200" s="12"/>
      <c r="Z200" s="12"/>
      <c r="AA200" s="12"/>
      <c r="AB200" s="12"/>
      <c r="AC200" s="9"/>
      <c r="AD200" s="642"/>
      <c r="AE200" s="643"/>
      <c r="AF200" s="17"/>
      <c r="AG200" s="644"/>
      <c r="AH200" s="17">
        <f t="shared" si="26"/>
        <v>0</v>
      </c>
      <c r="AI200" s="644">
        <f t="shared" si="27"/>
        <v>0</v>
      </c>
    </row>
    <row r="201" spans="1:35" ht="12">
      <c r="A201" s="645" t="s">
        <v>55</v>
      </c>
      <c r="B201" s="16"/>
      <c r="C201" s="12"/>
      <c r="D201" s="12"/>
      <c r="E201" s="12"/>
      <c r="F201" s="12"/>
      <c r="G201" s="12"/>
      <c r="H201" s="12"/>
      <c r="I201" s="12"/>
      <c r="J201" s="12"/>
      <c r="K201" s="12"/>
      <c r="L201" s="12"/>
      <c r="M201" s="12"/>
      <c r="N201" s="9"/>
      <c r="O201" s="642">
        <f t="shared" si="22"/>
        <v>0</v>
      </c>
      <c r="P201" s="643"/>
      <c r="Q201" s="16"/>
      <c r="R201" s="12"/>
      <c r="S201" s="12"/>
      <c r="T201" s="12"/>
      <c r="U201" s="12"/>
      <c r="V201" s="12"/>
      <c r="W201" s="12"/>
      <c r="X201" s="12"/>
      <c r="Y201" s="12"/>
      <c r="Z201" s="12"/>
      <c r="AA201" s="12"/>
      <c r="AB201" s="12"/>
      <c r="AC201" s="9"/>
      <c r="AD201" s="642"/>
      <c r="AE201" s="643"/>
      <c r="AF201" s="17"/>
      <c r="AG201" s="644"/>
      <c r="AH201" s="17">
        <f t="shared" si="26"/>
        <v>0</v>
      </c>
      <c r="AI201" s="644">
        <f t="shared" si="27"/>
        <v>0</v>
      </c>
    </row>
    <row r="202" spans="1:35" ht="12">
      <c r="A202" s="645" t="s">
        <v>55</v>
      </c>
      <c r="B202" s="16"/>
      <c r="C202" s="12"/>
      <c r="D202" s="12"/>
      <c r="E202" s="12"/>
      <c r="F202" s="12"/>
      <c r="G202" s="12"/>
      <c r="H202" s="12"/>
      <c r="I202" s="12"/>
      <c r="J202" s="12"/>
      <c r="K202" s="12"/>
      <c r="L202" s="12"/>
      <c r="M202" s="12"/>
      <c r="N202" s="9"/>
      <c r="O202" s="642">
        <f t="shared" si="22"/>
        <v>0</v>
      </c>
      <c r="P202" s="643"/>
      <c r="Q202" s="16"/>
      <c r="R202" s="12"/>
      <c r="S202" s="12"/>
      <c r="T202" s="12"/>
      <c r="U202" s="12"/>
      <c r="V202" s="12"/>
      <c r="W202" s="12"/>
      <c r="X202" s="12"/>
      <c r="Y202" s="12"/>
      <c r="Z202" s="12"/>
      <c r="AA202" s="12"/>
      <c r="AB202" s="12"/>
      <c r="AC202" s="9"/>
      <c r="AD202" s="642"/>
      <c r="AE202" s="643"/>
      <c r="AF202" s="17"/>
      <c r="AG202" s="644"/>
      <c r="AH202" s="17">
        <f t="shared" si="26"/>
        <v>0</v>
      </c>
      <c r="AI202" s="644">
        <f t="shared" si="27"/>
        <v>0</v>
      </c>
    </row>
    <row r="203" spans="1:35" ht="12">
      <c r="A203" s="645" t="s">
        <v>57</v>
      </c>
      <c r="B203" s="16"/>
      <c r="C203" s="12"/>
      <c r="D203" s="12"/>
      <c r="E203" s="12"/>
      <c r="F203" s="12"/>
      <c r="G203" s="12"/>
      <c r="H203" s="12"/>
      <c r="I203" s="12"/>
      <c r="J203" s="12"/>
      <c r="K203" s="12"/>
      <c r="L203" s="12"/>
      <c r="M203" s="12"/>
      <c r="N203" s="9"/>
      <c r="O203" s="642">
        <f t="shared" si="22"/>
        <v>0</v>
      </c>
      <c r="P203" s="643"/>
      <c r="Q203" s="16"/>
      <c r="R203" s="12"/>
      <c r="S203" s="12"/>
      <c r="T203" s="12"/>
      <c r="U203" s="12"/>
      <c r="V203" s="12"/>
      <c r="W203" s="12"/>
      <c r="X203" s="12"/>
      <c r="Y203" s="12"/>
      <c r="Z203" s="12"/>
      <c r="AA203" s="12"/>
      <c r="AB203" s="12"/>
      <c r="AC203" s="9"/>
      <c r="AD203" s="642"/>
      <c r="AE203" s="643"/>
      <c r="AF203" s="17"/>
      <c r="AG203" s="644"/>
      <c r="AH203" s="17">
        <f t="shared" si="26"/>
        <v>0</v>
      </c>
      <c r="AI203" s="644">
        <f t="shared" si="27"/>
        <v>0</v>
      </c>
    </row>
    <row r="204" spans="1:35" ht="12">
      <c r="A204" s="645" t="s">
        <v>687</v>
      </c>
      <c r="B204" s="16">
        <v>870</v>
      </c>
      <c r="C204" s="640">
        <v>3122.75</v>
      </c>
      <c r="D204" s="640">
        <v>0</v>
      </c>
      <c r="E204" s="640"/>
      <c r="F204" s="640"/>
      <c r="G204" s="640"/>
      <c r="H204" s="640"/>
      <c r="I204" s="640"/>
      <c r="J204" s="640"/>
      <c r="K204" s="640">
        <f>C204+D204</f>
        <v>3122.75</v>
      </c>
      <c r="L204" s="640">
        <v>1000</v>
      </c>
      <c r="M204" s="640"/>
      <c r="N204" s="641"/>
      <c r="O204" s="642">
        <f t="shared" si="22"/>
        <v>49473</v>
      </c>
      <c r="P204" s="643">
        <f t="shared" si="23"/>
        <v>33471510</v>
      </c>
      <c r="Q204" s="16">
        <v>872</v>
      </c>
      <c r="R204" s="640">
        <v>3535.9</v>
      </c>
      <c r="S204" s="640">
        <v>0</v>
      </c>
      <c r="T204" s="640"/>
      <c r="U204" s="640"/>
      <c r="V204" s="640"/>
      <c r="W204" s="640"/>
      <c r="X204" s="640"/>
      <c r="Y204" s="640"/>
      <c r="Z204" s="640">
        <f>R204+S204</f>
        <v>3535.9</v>
      </c>
      <c r="AA204" s="640">
        <v>1000</v>
      </c>
      <c r="AB204" s="640"/>
      <c r="AC204" s="641"/>
      <c r="AD204" s="642">
        <f t="shared" si="24"/>
        <v>43430.8</v>
      </c>
      <c r="AE204" s="643">
        <f t="shared" si="25"/>
        <v>37871657.6</v>
      </c>
      <c r="AF204" s="17">
        <f>Q204-B204</f>
        <v>2</v>
      </c>
      <c r="AG204" s="644">
        <f>AE204-P204</f>
        <v>4400147.6000000015</v>
      </c>
      <c r="AH204" s="17">
        <f t="shared" si="26"/>
        <v>872</v>
      </c>
      <c r="AI204" s="644">
        <f t="shared" si="27"/>
        <v>37871657.6</v>
      </c>
    </row>
    <row r="205" spans="1:35" ht="12">
      <c r="A205" s="645" t="s">
        <v>702</v>
      </c>
      <c r="B205" s="16">
        <v>1298</v>
      </c>
      <c r="C205" s="640">
        <v>2322.3</v>
      </c>
      <c r="D205" s="640">
        <v>0</v>
      </c>
      <c r="E205" s="640"/>
      <c r="F205" s="640"/>
      <c r="G205" s="640"/>
      <c r="H205" s="640"/>
      <c r="I205" s="640"/>
      <c r="J205" s="640"/>
      <c r="K205" s="640">
        <f>C205+D205</f>
        <v>2322.3</v>
      </c>
      <c r="L205" s="640">
        <v>600</v>
      </c>
      <c r="M205" s="640"/>
      <c r="N205" s="641"/>
      <c r="O205" s="642">
        <f t="shared" si="22"/>
        <v>35067.600000000006</v>
      </c>
      <c r="P205" s="643">
        <f t="shared" si="23"/>
        <v>36950944.800000004</v>
      </c>
      <c r="Q205" s="16">
        <v>1402</v>
      </c>
      <c r="R205" s="640">
        <v>2622.3</v>
      </c>
      <c r="S205" s="640">
        <v>0</v>
      </c>
      <c r="T205" s="640"/>
      <c r="U205" s="640"/>
      <c r="V205" s="640"/>
      <c r="W205" s="640"/>
      <c r="X205" s="640"/>
      <c r="Y205" s="640"/>
      <c r="Z205" s="640">
        <f>R205+S205</f>
        <v>2622.3</v>
      </c>
      <c r="AA205" s="640">
        <v>600</v>
      </c>
      <c r="AB205" s="640"/>
      <c r="AC205" s="641"/>
      <c r="AD205" s="642">
        <f t="shared" si="24"/>
        <v>32067.600000000002</v>
      </c>
      <c r="AE205" s="643">
        <f>((Z205*12)+AA205)*Q205</f>
        <v>44958775.2</v>
      </c>
      <c r="AF205" s="17">
        <f>Q205-B205</f>
        <v>104</v>
      </c>
      <c r="AG205" s="644">
        <f>AE205-P205</f>
        <v>8007830.3999999985</v>
      </c>
      <c r="AH205" s="17">
        <f t="shared" si="26"/>
        <v>1402</v>
      </c>
      <c r="AI205" s="644">
        <f t="shared" si="27"/>
        <v>44958775.2</v>
      </c>
    </row>
    <row r="206" spans="1:35" ht="12.75" thickBot="1">
      <c r="A206" s="647" t="s">
        <v>703</v>
      </c>
      <c r="B206" s="42">
        <v>52</v>
      </c>
      <c r="C206" s="648">
        <v>1347</v>
      </c>
      <c r="D206" s="648">
        <v>0</v>
      </c>
      <c r="E206" s="648"/>
      <c r="F206" s="648"/>
      <c r="G206" s="648"/>
      <c r="H206" s="648"/>
      <c r="I206" s="648"/>
      <c r="J206" s="648"/>
      <c r="K206" s="648">
        <f>C206+D206</f>
        <v>1347</v>
      </c>
      <c r="L206" s="648">
        <v>1000</v>
      </c>
      <c r="M206" s="648"/>
      <c r="N206" s="649"/>
      <c r="O206" s="650">
        <f t="shared" si="22"/>
        <v>28164</v>
      </c>
      <c r="P206" s="651">
        <f t="shared" si="23"/>
        <v>892528</v>
      </c>
      <c r="Q206" s="42">
        <v>52</v>
      </c>
      <c r="R206" s="648">
        <v>1347</v>
      </c>
      <c r="S206" s="648">
        <v>0</v>
      </c>
      <c r="T206" s="648"/>
      <c r="U206" s="648"/>
      <c r="V206" s="648"/>
      <c r="W206" s="648"/>
      <c r="X206" s="648"/>
      <c r="Y206" s="648"/>
      <c r="Z206" s="648">
        <f>R206+S206</f>
        <v>1347</v>
      </c>
      <c r="AA206" s="648">
        <v>1000</v>
      </c>
      <c r="AB206" s="648"/>
      <c r="AC206" s="649"/>
      <c r="AD206" s="650">
        <f t="shared" si="24"/>
        <v>17164</v>
      </c>
      <c r="AE206" s="651">
        <f t="shared" si="25"/>
        <v>892528</v>
      </c>
      <c r="AF206" s="8">
        <f>Q206-B206</f>
        <v>0</v>
      </c>
      <c r="AG206" s="652">
        <f>AE206-P206</f>
        <v>0</v>
      </c>
      <c r="AH206" s="8">
        <f t="shared" si="26"/>
        <v>52</v>
      </c>
      <c r="AI206" s="652">
        <f t="shared" si="27"/>
        <v>892528</v>
      </c>
    </row>
    <row r="208" ht="12.75" thickBot="1">
      <c r="A208" s="15" t="s">
        <v>706</v>
      </c>
    </row>
    <row r="209" spans="1:35" ht="12.75" thickBot="1">
      <c r="A209" s="1559" t="s">
        <v>47</v>
      </c>
      <c r="B209" s="1562" t="s">
        <v>339</v>
      </c>
      <c r="C209" s="1562"/>
      <c r="D209" s="1562"/>
      <c r="E209" s="1562"/>
      <c r="F209" s="1562"/>
      <c r="G209" s="1562"/>
      <c r="H209" s="1562"/>
      <c r="I209" s="1562"/>
      <c r="J209" s="1562"/>
      <c r="K209" s="1562"/>
      <c r="L209" s="1562"/>
      <c r="M209" s="1562"/>
      <c r="N209" s="1562"/>
      <c r="O209" s="1562"/>
      <c r="P209" s="1562"/>
      <c r="Q209" s="1563" t="s">
        <v>434</v>
      </c>
      <c r="R209" s="1562"/>
      <c r="S209" s="1562"/>
      <c r="T209" s="1562"/>
      <c r="U209" s="1562"/>
      <c r="V209" s="1562"/>
      <c r="W209" s="1562"/>
      <c r="X209" s="1562"/>
      <c r="Y209" s="1562"/>
      <c r="Z209" s="1562"/>
      <c r="AA209" s="1562"/>
      <c r="AB209" s="1562"/>
      <c r="AC209" s="1562"/>
      <c r="AD209" s="1562"/>
      <c r="AE209" s="1564"/>
      <c r="AF209" s="1565" t="s">
        <v>436</v>
      </c>
      <c r="AG209" s="1566"/>
      <c r="AH209" s="1565" t="s">
        <v>435</v>
      </c>
      <c r="AI209" s="1566"/>
    </row>
    <row r="210" spans="1:35" ht="140.25">
      <c r="A210" s="1560"/>
      <c r="B210" s="490" t="s">
        <v>11</v>
      </c>
      <c r="C210" s="491" t="s">
        <v>146</v>
      </c>
      <c r="D210" s="492" t="s">
        <v>270</v>
      </c>
      <c r="E210" s="492" t="s">
        <v>148</v>
      </c>
      <c r="F210" s="492" t="s">
        <v>182</v>
      </c>
      <c r="G210" s="492" t="s">
        <v>183</v>
      </c>
      <c r="H210" s="492" t="s">
        <v>184</v>
      </c>
      <c r="I210" s="492" t="s">
        <v>185</v>
      </c>
      <c r="J210" s="492" t="s">
        <v>149</v>
      </c>
      <c r="K210" s="492" t="s">
        <v>150</v>
      </c>
      <c r="L210" s="492" t="s">
        <v>151</v>
      </c>
      <c r="M210" s="492" t="s">
        <v>181</v>
      </c>
      <c r="N210" s="493" t="s">
        <v>119</v>
      </c>
      <c r="O210" s="494" t="s">
        <v>156</v>
      </c>
      <c r="P210" s="495" t="s">
        <v>155</v>
      </c>
      <c r="Q210" s="490" t="s">
        <v>11</v>
      </c>
      <c r="R210" s="491" t="s">
        <v>146</v>
      </c>
      <c r="S210" s="492" t="s">
        <v>147</v>
      </c>
      <c r="T210" s="492" t="s">
        <v>148</v>
      </c>
      <c r="U210" s="492" t="s">
        <v>182</v>
      </c>
      <c r="V210" s="492" t="s">
        <v>183</v>
      </c>
      <c r="W210" s="492" t="s">
        <v>184</v>
      </c>
      <c r="X210" s="492" t="s">
        <v>185</v>
      </c>
      <c r="Y210" s="492" t="s">
        <v>149</v>
      </c>
      <c r="Z210" s="492" t="s">
        <v>150</v>
      </c>
      <c r="AA210" s="492" t="s">
        <v>151</v>
      </c>
      <c r="AB210" s="492" t="s">
        <v>181</v>
      </c>
      <c r="AC210" s="493" t="s">
        <v>119</v>
      </c>
      <c r="AD210" s="494" t="s">
        <v>156</v>
      </c>
      <c r="AE210" s="495" t="s">
        <v>155</v>
      </c>
      <c r="AF210" s="496" t="s">
        <v>160</v>
      </c>
      <c r="AG210" s="496" t="s">
        <v>159</v>
      </c>
      <c r="AH210" s="496" t="s">
        <v>11</v>
      </c>
      <c r="AI210" s="495" t="s">
        <v>704</v>
      </c>
    </row>
    <row r="211" spans="1:35" ht="12.75" thickBot="1">
      <c r="A211" s="1561"/>
      <c r="B211" s="497" t="s">
        <v>48</v>
      </c>
      <c r="C211" s="498" t="s">
        <v>49</v>
      </c>
      <c r="D211" s="499" t="s">
        <v>50</v>
      </c>
      <c r="E211" s="499" t="s">
        <v>51</v>
      </c>
      <c r="F211" s="500" t="s">
        <v>52</v>
      </c>
      <c r="G211" s="500" t="s">
        <v>53</v>
      </c>
      <c r="H211" s="500" t="s">
        <v>79</v>
      </c>
      <c r="I211" s="500" t="s">
        <v>118</v>
      </c>
      <c r="J211" s="500" t="s">
        <v>154</v>
      </c>
      <c r="K211" s="500" t="s">
        <v>158</v>
      </c>
      <c r="L211" s="500" t="s">
        <v>190</v>
      </c>
      <c r="M211" s="500" t="s">
        <v>191</v>
      </c>
      <c r="N211" s="501" t="s">
        <v>193</v>
      </c>
      <c r="O211" s="502" t="s">
        <v>194</v>
      </c>
      <c r="P211" s="503" t="s">
        <v>195</v>
      </c>
      <c r="Q211" s="497" t="s">
        <v>48</v>
      </c>
      <c r="R211" s="498" t="s">
        <v>49</v>
      </c>
      <c r="S211" s="499" t="s">
        <v>50</v>
      </c>
      <c r="T211" s="499" t="s">
        <v>51</v>
      </c>
      <c r="U211" s="500" t="s">
        <v>52</v>
      </c>
      <c r="V211" s="500" t="s">
        <v>53</v>
      </c>
      <c r="W211" s="500" t="s">
        <v>79</v>
      </c>
      <c r="X211" s="500" t="s">
        <v>118</v>
      </c>
      <c r="Y211" s="500" t="s">
        <v>154</v>
      </c>
      <c r="Z211" s="500" t="s">
        <v>158</v>
      </c>
      <c r="AA211" s="500" t="s">
        <v>190</v>
      </c>
      <c r="AB211" s="500" t="s">
        <v>191</v>
      </c>
      <c r="AC211" s="501" t="s">
        <v>193</v>
      </c>
      <c r="AD211" s="502" t="s">
        <v>194</v>
      </c>
      <c r="AE211" s="503" t="s">
        <v>195</v>
      </c>
      <c r="AF211" s="504"/>
      <c r="AG211" s="497"/>
      <c r="AH211" s="504"/>
      <c r="AI211" s="497"/>
    </row>
    <row r="212" spans="1:35" ht="12">
      <c r="A212" s="465"/>
      <c r="B212" s="465"/>
      <c r="C212" s="622"/>
      <c r="D212" s="622"/>
      <c r="E212" s="622"/>
      <c r="F212" s="622"/>
      <c r="G212" s="622"/>
      <c r="H212" s="622"/>
      <c r="I212" s="622"/>
      <c r="J212" s="622"/>
      <c r="K212" s="622"/>
      <c r="L212" s="622"/>
      <c r="M212" s="622"/>
      <c r="N212" s="627"/>
      <c r="O212" s="625"/>
      <c r="P212" s="626"/>
      <c r="Q212" s="465"/>
      <c r="R212" s="622"/>
      <c r="S212" s="622"/>
      <c r="T212" s="622"/>
      <c r="U212" s="622"/>
      <c r="V212" s="622"/>
      <c r="W212" s="622"/>
      <c r="X212" s="622"/>
      <c r="Y212" s="622"/>
      <c r="Z212" s="622"/>
      <c r="AA212" s="622"/>
      <c r="AB212" s="622"/>
      <c r="AC212" s="627"/>
      <c r="AD212" s="625"/>
      <c r="AE212" s="627"/>
      <c r="AF212" s="653"/>
      <c r="AG212" s="653"/>
      <c r="AH212" s="627"/>
      <c r="AI212" s="653"/>
    </row>
    <row r="213" spans="1:35" ht="12">
      <c r="A213" s="657" t="s">
        <v>54</v>
      </c>
      <c r="B213" s="456"/>
      <c r="C213" s="519"/>
      <c r="D213" s="519"/>
      <c r="E213" s="519"/>
      <c r="F213" s="519"/>
      <c r="G213" s="519"/>
      <c r="H213" s="519"/>
      <c r="I213" s="519"/>
      <c r="J213" s="519"/>
      <c r="K213" s="519"/>
      <c r="L213" s="519"/>
      <c r="M213" s="519"/>
      <c r="N213" s="520"/>
      <c r="O213" s="521"/>
      <c r="P213" s="522"/>
      <c r="Q213" s="456"/>
      <c r="R213" s="519"/>
      <c r="S213" s="519"/>
      <c r="T213" s="519"/>
      <c r="U213" s="519"/>
      <c r="V213" s="519"/>
      <c r="W213" s="519"/>
      <c r="X213" s="519"/>
      <c r="Y213" s="519"/>
      <c r="Z213" s="519"/>
      <c r="AA213" s="519"/>
      <c r="AB213" s="519"/>
      <c r="AC213" s="520"/>
      <c r="AD213" s="521"/>
      <c r="AE213" s="520"/>
      <c r="AF213" s="523"/>
      <c r="AG213" s="523"/>
      <c r="AH213" s="520"/>
      <c r="AI213" s="523"/>
    </row>
    <row r="214" spans="1:35" ht="12">
      <c r="A214" s="657" t="s">
        <v>705</v>
      </c>
      <c r="B214" s="456">
        <v>1</v>
      </c>
      <c r="C214" s="654">
        <v>2887.28</v>
      </c>
      <c r="D214" s="519">
        <v>0</v>
      </c>
      <c r="E214" s="519"/>
      <c r="F214" s="519"/>
      <c r="G214" s="519"/>
      <c r="H214" s="519"/>
      <c r="I214" s="519"/>
      <c r="J214" s="519"/>
      <c r="K214" s="519">
        <v>2887.28</v>
      </c>
      <c r="L214" s="519">
        <v>1000</v>
      </c>
      <c r="M214" s="519"/>
      <c r="N214" s="520"/>
      <c r="O214" s="521">
        <v>14887.28</v>
      </c>
      <c r="P214" s="521">
        <v>14887.28</v>
      </c>
      <c r="Q214" s="456">
        <v>1</v>
      </c>
      <c r="R214" s="654">
        <v>2887.28</v>
      </c>
      <c r="S214" s="519">
        <v>0</v>
      </c>
      <c r="T214" s="519"/>
      <c r="U214" s="519"/>
      <c r="V214" s="519"/>
      <c r="W214" s="519"/>
      <c r="X214" s="519"/>
      <c r="Y214" s="519"/>
      <c r="Z214" s="519">
        <v>2887.28</v>
      </c>
      <c r="AA214" s="519">
        <v>1000</v>
      </c>
      <c r="AB214" s="519"/>
      <c r="AC214" s="520"/>
      <c r="AD214" s="521">
        <v>14887.28</v>
      </c>
      <c r="AE214" s="617">
        <v>14887.28</v>
      </c>
      <c r="AF214" s="523">
        <f>+AE214-P214</f>
        <v>0</v>
      </c>
      <c r="AG214" s="250">
        <f>+Q214-B214</f>
        <v>0</v>
      </c>
      <c r="AH214" s="451">
        <v>1</v>
      </c>
      <c r="AI214" s="523">
        <v>14887.28</v>
      </c>
    </row>
    <row r="215" spans="1:35" ht="12">
      <c r="A215" s="657" t="s">
        <v>699</v>
      </c>
      <c r="B215" s="456">
        <v>3</v>
      </c>
      <c r="C215" s="654">
        <v>7770.49</v>
      </c>
      <c r="D215" s="519">
        <v>6900</v>
      </c>
      <c r="E215" s="519"/>
      <c r="F215" s="519"/>
      <c r="G215" s="519"/>
      <c r="H215" s="519"/>
      <c r="I215" s="519"/>
      <c r="J215" s="519"/>
      <c r="K215" s="519">
        <v>14670.49</v>
      </c>
      <c r="L215" s="519">
        <v>3000</v>
      </c>
      <c r="M215" s="519"/>
      <c r="N215" s="520"/>
      <c r="O215" s="521">
        <v>50670.49</v>
      </c>
      <c r="P215" s="521">
        <v>50670.49</v>
      </c>
      <c r="Q215" s="456">
        <v>3</v>
      </c>
      <c r="R215" s="654">
        <v>7770.49</v>
      </c>
      <c r="S215" s="519">
        <v>6900</v>
      </c>
      <c r="T215" s="519"/>
      <c r="U215" s="519"/>
      <c r="V215" s="519"/>
      <c r="W215" s="519"/>
      <c r="X215" s="519"/>
      <c r="Y215" s="519"/>
      <c r="Z215" s="519">
        <v>14670.49</v>
      </c>
      <c r="AA215" s="519">
        <v>3000</v>
      </c>
      <c r="AB215" s="519"/>
      <c r="AC215" s="520"/>
      <c r="AD215" s="521">
        <v>50670.49</v>
      </c>
      <c r="AE215" s="617">
        <v>50670.49</v>
      </c>
      <c r="AF215" s="523">
        <f aca="true" t="shared" si="28" ref="AF215:AF230">+AE215-P215</f>
        <v>0</v>
      </c>
      <c r="AG215" s="250">
        <f aca="true" t="shared" si="29" ref="AG215:AG230">+Q215-B215</f>
        <v>0</v>
      </c>
      <c r="AH215" s="451">
        <v>3</v>
      </c>
      <c r="AI215" s="523">
        <v>50670.49</v>
      </c>
    </row>
    <row r="216" spans="1:35" ht="12">
      <c r="A216" s="657" t="s">
        <v>13</v>
      </c>
      <c r="B216" s="456">
        <v>1</v>
      </c>
      <c r="C216" s="654">
        <v>1543.33</v>
      </c>
      <c r="D216" s="519">
        <v>2000</v>
      </c>
      <c r="E216" s="519"/>
      <c r="F216" s="519"/>
      <c r="G216" s="519"/>
      <c r="H216" s="519"/>
      <c r="I216" s="519"/>
      <c r="J216" s="519"/>
      <c r="K216" s="519">
        <v>3543.33</v>
      </c>
      <c r="L216" s="519">
        <v>1000</v>
      </c>
      <c r="M216" s="519"/>
      <c r="N216" s="520"/>
      <c r="O216" s="521">
        <v>15543.33</v>
      </c>
      <c r="P216" s="521">
        <v>15543.33</v>
      </c>
      <c r="Q216" s="456">
        <v>1</v>
      </c>
      <c r="R216" s="654">
        <v>1543.33</v>
      </c>
      <c r="S216" s="519">
        <v>2000</v>
      </c>
      <c r="T216" s="519"/>
      <c r="U216" s="519"/>
      <c r="V216" s="519"/>
      <c r="W216" s="519"/>
      <c r="X216" s="519"/>
      <c r="Y216" s="519"/>
      <c r="Z216" s="519">
        <v>3543.33</v>
      </c>
      <c r="AA216" s="519">
        <v>1000</v>
      </c>
      <c r="AB216" s="519"/>
      <c r="AC216" s="520"/>
      <c r="AD216" s="521">
        <v>15543.33</v>
      </c>
      <c r="AE216" s="617">
        <v>15543.33</v>
      </c>
      <c r="AF216" s="523">
        <f t="shared" si="28"/>
        <v>0</v>
      </c>
      <c r="AG216" s="250">
        <f t="shared" si="29"/>
        <v>0</v>
      </c>
      <c r="AH216" s="451">
        <v>1</v>
      </c>
      <c r="AI216" s="523">
        <v>15543.33</v>
      </c>
    </row>
    <row r="217" spans="1:35" ht="12">
      <c r="A217" s="657" t="s">
        <v>15</v>
      </c>
      <c r="B217" s="463">
        <v>11</v>
      </c>
      <c r="C217" s="654">
        <v>26720</v>
      </c>
      <c r="D217" s="519">
        <v>22000</v>
      </c>
      <c r="E217" s="519"/>
      <c r="F217" s="519"/>
      <c r="G217" s="519"/>
      <c r="H217" s="519"/>
      <c r="I217" s="519"/>
      <c r="J217" s="519"/>
      <c r="K217" s="519">
        <v>48720</v>
      </c>
      <c r="L217" s="519">
        <v>11000</v>
      </c>
      <c r="M217" s="519"/>
      <c r="N217" s="520"/>
      <c r="O217" s="521">
        <v>180720</v>
      </c>
      <c r="P217" s="521">
        <v>180720</v>
      </c>
      <c r="Q217" s="463">
        <v>11</v>
      </c>
      <c r="R217" s="654">
        <v>26720</v>
      </c>
      <c r="S217" s="519">
        <v>22000</v>
      </c>
      <c r="T217" s="519"/>
      <c r="U217" s="519"/>
      <c r="V217" s="519"/>
      <c r="W217" s="519"/>
      <c r="X217" s="519"/>
      <c r="Y217" s="519"/>
      <c r="Z217" s="519">
        <v>48720</v>
      </c>
      <c r="AA217" s="519">
        <v>11000</v>
      </c>
      <c r="AB217" s="519"/>
      <c r="AC217" s="520"/>
      <c r="AD217" s="521">
        <v>180720</v>
      </c>
      <c r="AE217" s="617">
        <v>180720</v>
      </c>
      <c r="AF217" s="523">
        <f t="shared" si="28"/>
        <v>0</v>
      </c>
      <c r="AG217" s="250">
        <f t="shared" si="29"/>
        <v>0</v>
      </c>
      <c r="AH217" s="655">
        <v>11</v>
      </c>
      <c r="AI217" s="523">
        <v>180720</v>
      </c>
    </row>
    <row r="218" spans="1:35" ht="12">
      <c r="A218" s="657" t="s">
        <v>16</v>
      </c>
      <c r="B218" s="463">
        <v>8</v>
      </c>
      <c r="C218" s="654">
        <v>16990.03</v>
      </c>
      <c r="D218" s="519">
        <v>7600</v>
      </c>
      <c r="E218" s="519"/>
      <c r="F218" s="519"/>
      <c r="G218" s="519"/>
      <c r="H218" s="519"/>
      <c r="I218" s="519"/>
      <c r="J218" s="519"/>
      <c r="K218" s="519">
        <v>24590.03</v>
      </c>
      <c r="L218" s="519">
        <v>8000</v>
      </c>
      <c r="M218" s="519"/>
      <c r="N218" s="520"/>
      <c r="O218" s="521">
        <v>120590.03</v>
      </c>
      <c r="P218" s="521">
        <v>120590.03</v>
      </c>
      <c r="Q218" s="463">
        <v>8</v>
      </c>
      <c r="R218" s="654">
        <v>16990.03</v>
      </c>
      <c r="S218" s="519">
        <v>7600</v>
      </c>
      <c r="T218" s="519"/>
      <c r="U218" s="519"/>
      <c r="V218" s="519"/>
      <c r="W218" s="519"/>
      <c r="X218" s="519"/>
      <c r="Y218" s="519"/>
      <c r="Z218" s="519">
        <v>24590.03</v>
      </c>
      <c r="AA218" s="519">
        <v>8000</v>
      </c>
      <c r="AB218" s="519"/>
      <c r="AC218" s="520"/>
      <c r="AD218" s="521">
        <v>120590.03</v>
      </c>
      <c r="AE218" s="617">
        <v>120590.03</v>
      </c>
      <c r="AF218" s="523">
        <f t="shared" si="28"/>
        <v>0</v>
      </c>
      <c r="AG218" s="250">
        <f t="shared" si="29"/>
        <v>0</v>
      </c>
      <c r="AH218" s="655">
        <v>8</v>
      </c>
      <c r="AI218" s="523">
        <v>120590.03</v>
      </c>
    </row>
    <row r="219" spans="1:35" ht="12">
      <c r="A219" s="657" t="s">
        <v>569</v>
      </c>
      <c r="B219" s="463">
        <v>11</v>
      </c>
      <c r="C219" s="654">
        <v>23246.11</v>
      </c>
      <c r="D219" s="519">
        <v>10450</v>
      </c>
      <c r="E219" s="519"/>
      <c r="F219" s="519"/>
      <c r="G219" s="519"/>
      <c r="H219" s="519"/>
      <c r="I219" s="519"/>
      <c r="J219" s="519"/>
      <c r="K219" s="519">
        <v>33696.11</v>
      </c>
      <c r="L219" s="519">
        <v>11000</v>
      </c>
      <c r="M219" s="519"/>
      <c r="N219" s="520"/>
      <c r="O219" s="521">
        <v>165696.11</v>
      </c>
      <c r="P219" s="521">
        <v>165696.11</v>
      </c>
      <c r="Q219" s="463">
        <v>11</v>
      </c>
      <c r="R219" s="654">
        <v>23246.11</v>
      </c>
      <c r="S219" s="519">
        <v>10450</v>
      </c>
      <c r="T219" s="519"/>
      <c r="U219" s="519"/>
      <c r="V219" s="519"/>
      <c r="W219" s="519"/>
      <c r="X219" s="519"/>
      <c r="Y219" s="519"/>
      <c r="Z219" s="519">
        <v>33696.11</v>
      </c>
      <c r="AA219" s="519">
        <v>11000</v>
      </c>
      <c r="AB219" s="519"/>
      <c r="AC219" s="520"/>
      <c r="AD219" s="521">
        <v>165696.11</v>
      </c>
      <c r="AE219" s="617">
        <v>165696.11</v>
      </c>
      <c r="AF219" s="523">
        <f t="shared" si="28"/>
        <v>0</v>
      </c>
      <c r="AG219" s="250">
        <f t="shared" si="29"/>
        <v>0</v>
      </c>
      <c r="AH219" s="655">
        <v>11</v>
      </c>
      <c r="AI219" s="523">
        <v>165696.11</v>
      </c>
    </row>
    <row r="220" spans="1:35" ht="12">
      <c r="A220" s="657" t="s">
        <v>570</v>
      </c>
      <c r="B220" s="463">
        <v>19</v>
      </c>
      <c r="C220" s="654">
        <v>39965.06</v>
      </c>
      <c r="D220" s="519">
        <v>18050</v>
      </c>
      <c r="E220" s="519"/>
      <c r="F220" s="519"/>
      <c r="G220" s="519"/>
      <c r="H220" s="519"/>
      <c r="I220" s="519"/>
      <c r="J220" s="519"/>
      <c r="K220" s="519">
        <v>58015.06</v>
      </c>
      <c r="L220" s="519">
        <v>19000</v>
      </c>
      <c r="M220" s="519"/>
      <c r="N220" s="520"/>
      <c r="O220" s="521">
        <v>286015.06</v>
      </c>
      <c r="P220" s="521">
        <v>286015.06</v>
      </c>
      <c r="Q220" s="463">
        <v>19</v>
      </c>
      <c r="R220" s="654">
        <v>39965.06</v>
      </c>
      <c r="S220" s="519">
        <v>18050</v>
      </c>
      <c r="T220" s="519"/>
      <c r="U220" s="519"/>
      <c r="V220" s="519"/>
      <c r="W220" s="519"/>
      <c r="X220" s="519"/>
      <c r="Y220" s="519"/>
      <c r="Z220" s="519">
        <v>58015.06</v>
      </c>
      <c r="AA220" s="519">
        <v>19000</v>
      </c>
      <c r="AB220" s="519"/>
      <c r="AC220" s="520"/>
      <c r="AD220" s="521">
        <v>286015.06</v>
      </c>
      <c r="AE220" s="617">
        <v>286015.06</v>
      </c>
      <c r="AF220" s="523">
        <f t="shared" si="28"/>
        <v>0</v>
      </c>
      <c r="AG220" s="250">
        <f t="shared" si="29"/>
        <v>0</v>
      </c>
      <c r="AH220" s="655">
        <v>19</v>
      </c>
      <c r="AI220" s="523">
        <v>286015.06</v>
      </c>
    </row>
    <row r="221" spans="1:35" ht="12">
      <c r="A221" s="657" t="s">
        <v>17</v>
      </c>
      <c r="B221" s="463">
        <v>15</v>
      </c>
      <c r="C221" s="654">
        <v>31471.72</v>
      </c>
      <c r="D221" s="519">
        <v>21250</v>
      </c>
      <c r="E221" s="519"/>
      <c r="F221" s="519"/>
      <c r="G221" s="519"/>
      <c r="H221" s="519"/>
      <c r="I221" s="519"/>
      <c r="J221" s="519"/>
      <c r="K221" s="519">
        <v>52721.72</v>
      </c>
      <c r="L221" s="519">
        <v>15000</v>
      </c>
      <c r="M221" s="519"/>
      <c r="N221" s="520"/>
      <c r="O221" s="521">
        <v>232721.72</v>
      </c>
      <c r="P221" s="521">
        <v>232721.72</v>
      </c>
      <c r="Q221" s="463">
        <v>15</v>
      </c>
      <c r="R221" s="654">
        <v>31471.72</v>
      </c>
      <c r="S221" s="519">
        <v>21850</v>
      </c>
      <c r="T221" s="519"/>
      <c r="U221" s="519"/>
      <c r="V221" s="519"/>
      <c r="W221" s="519"/>
      <c r="X221" s="519"/>
      <c r="Y221" s="519"/>
      <c r="Z221" s="519">
        <v>53321.72</v>
      </c>
      <c r="AA221" s="519">
        <v>15000</v>
      </c>
      <c r="AB221" s="519"/>
      <c r="AC221" s="520"/>
      <c r="AD221" s="521">
        <v>233321.72</v>
      </c>
      <c r="AE221" s="617">
        <v>233321.72</v>
      </c>
      <c r="AF221" s="523">
        <f t="shared" si="28"/>
        <v>600</v>
      </c>
      <c r="AG221" s="250">
        <f t="shared" si="29"/>
        <v>0</v>
      </c>
      <c r="AH221" s="655">
        <v>15</v>
      </c>
      <c r="AI221" s="523">
        <v>233321.72</v>
      </c>
    </row>
    <row r="222" spans="1:35" ht="12">
      <c r="A222" s="657" t="s">
        <v>18</v>
      </c>
      <c r="B222" s="463">
        <v>3</v>
      </c>
      <c r="C222" s="654">
        <v>6237.98</v>
      </c>
      <c r="D222" s="519">
        <v>2850</v>
      </c>
      <c r="E222" s="519"/>
      <c r="F222" s="519"/>
      <c r="G222" s="519"/>
      <c r="H222" s="519"/>
      <c r="I222" s="519"/>
      <c r="J222" s="519"/>
      <c r="K222" s="519">
        <v>9087.98</v>
      </c>
      <c r="L222" s="519">
        <v>3000</v>
      </c>
      <c r="M222" s="519"/>
      <c r="N222" s="520"/>
      <c r="O222" s="521">
        <v>45087.979999999996</v>
      </c>
      <c r="P222" s="521">
        <v>45087.979999999996</v>
      </c>
      <c r="Q222" s="463">
        <v>3</v>
      </c>
      <c r="R222" s="654">
        <v>6237.98</v>
      </c>
      <c r="S222" s="519">
        <v>2850</v>
      </c>
      <c r="T222" s="519"/>
      <c r="U222" s="519"/>
      <c r="V222" s="519"/>
      <c r="W222" s="519"/>
      <c r="X222" s="519"/>
      <c r="Y222" s="519"/>
      <c r="Z222" s="519">
        <v>9087.98</v>
      </c>
      <c r="AA222" s="519">
        <v>3000</v>
      </c>
      <c r="AB222" s="519"/>
      <c r="AC222" s="520"/>
      <c r="AD222" s="521">
        <v>45087.979999999996</v>
      </c>
      <c r="AE222" s="617">
        <v>45087.979999999996</v>
      </c>
      <c r="AF222" s="523">
        <f t="shared" si="28"/>
        <v>0</v>
      </c>
      <c r="AG222" s="250">
        <f t="shared" si="29"/>
        <v>0</v>
      </c>
      <c r="AH222" s="655">
        <v>3</v>
      </c>
      <c r="AI222" s="523">
        <v>45087.979999999996</v>
      </c>
    </row>
    <row r="223" spans="1:35" ht="12">
      <c r="A223" s="657" t="s">
        <v>572</v>
      </c>
      <c r="B223" s="463">
        <v>1</v>
      </c>
      <c r="C223" s="654">
        <v>2071.65</v>
      </c>
      <c r="D223" s="519">
        <v>950</v>
      </c>
      <c r="E223" s="519"/>
      <c r="F223" s="519"/>
      <c r="G223" s="519"/>
      <c r="H223" s="519"/>
      <c r="I223" s="519"/>
      <c r="J223" s="519"/>
      <c r="K223" s="519">
        <v>3021.65</v>
      </c>
      <c r="L223" s="519">
        <v>1000</v>
      </c>
      <c r="M223" s="519"/>
      <c r="N223" s="520"/>
      <c r="O223" s="521">
        <v>15021.65</v>
      </c>
      <c r="P223" s="521">
        <v>15021.65</v>
      </c>
      <c r="Q223" s="463">
        <v>1</v>
      </c>
      <c r="R223" s="654">
        <v>2071.65</v>
      </c>
      <c r="S223" s="519">
        <v>950</v>
      </c>
      <c r="T223" s="519"/>
      <c r="U223" s="519"/>
      <c r="V223" s="519"/>
      <c r="W223" s="519"/>
      <c r="X223" s="519"/>
      <c r="Y223" s="519"/>
      <c r="Z223" s="519">
        <v>3021.65</v>
      </c>
      <c r="AA223" s="519">
        <v>1000</v>
      </c>
      <c r="AB223" s="519"/>
      <c r="AC223" s="520"/>
      <c r="AD223" s="521">
        <v>15021.65</v>
      </c>
      <c r="AE223" s="617">
        <v>15021.65</v>
      </c>
      <c r="AF223" s="523">
        <f t="shared" si="28"/>
        <v>0</v>
      </c>
      <c r="AG223" s="250">
        <f t="shared" si="29"/>
        <v>0</v>
      </c>
      <c r="AH223" s="655">
        <v>1</v>
      </c>
      <c r="AI223" s="523">
        <v>15021.65</v>
      </c>
    </row>
    <row r="224" spans="1:35" ht="12">
      <c r="A224" s="657" t="s">
        <v>573</v>
      </c>
      <c r="B224" s="463">
        <v>1</v>
      </c>
      <c r="C224" s="654">
        <v>2063.56</v>
      </c>
      <c r="D224" s="519">
        <v>950</v>
      </c>
      <c r="E224" s="519"/>
      <c r="F224" s="519"/>
      <c r="G224" s="519"/>
      <c r="H224" s="519"/>
      <c r="I224" s="519"/>
      <c r="J224" s="519"/>
      <c r="K224" s="519">
        <v>3013.56</v>
      </c>
      <c r="L224" s="519">
        <v>1000</v>
      </c>
      <c r="M224" s="519"/>
      <c r="N224" s="520"/>
      <c r="O224" s="521">
        <v>15013.56</v>
      </c>
      <c r="P224" s="521">
        <v>15013.56</v>
      </c>
      <c r="Q224" s="463">
        <v>1</v>
      </c>
      <c r="R224" s="654">
        <v>2063.56</v>
      </c>
      <c r="S224" s="519">
        <v>950</v>
      </c>
      <c r="T224" s="519"/>
      <c r="U224" s="519"/>
      <c r="V224" s="519"/>
      <c r="W224" s="519"/>
      <c r="X224" s="519"/>
      <c r="Y224" s="519"/>
      <c r="Z224" s="519">
        <v>3013.56</v>
      </c>
      <c r="AA224" s="519">
        <v>1000</v>
      </c>
      <c r="AB224" s="519"/>
      <c r="AC224" s="520"/>
      <c r="AD224" s="521">
        <v>15013.56</v>
      </c>
      <c r="AE224" s="617">
        <v>15013.56</v>
      </c>
      <c r="AF224" s="523">
        <f t="shared" si="28"/>
        <v>0</v>
      </c>
      <c r="AG224" s="250">
        <f t="shared" si="29"/>
        <v>0</v>
      </c>
      <c r="AH224" s="655">
        <v>1</v>
      </c>
      <c r="AI224" s="523">
        <v>15013.56</v>
      </c>
    </row>
    <row r="225" spans="1:35" ht="12">
      <c r="A225" s="657" t="s">
        <v>574</v>
      </c>
      <c r="B225" s="463">
        <v>3</v>
      </c>
      <c r="C225" s="654">
        <v>6166.08</v>
      </c>
      <c r="D225" s="519">
        <v>2850</v>
      </c>
      <c r="E225" s="519"/>
      <c r="F225" s="519"/>
      <c r="G225" s="519"/>
      <c r="H225" s="519"/>
      <c r="I225" s="519"/>
      <c r="J225" s="519"/>
      <c r="K225" s="519">
        <v>9016.08</v>
      </c>
      <c r="L225" s="519">
        <v>3000</v>
      </c>
      <c r="M225" s="519"/>
      <c r="N225" s="520"/>
      <c r="O225" s="521">
        <v>45016.08</v>
      </c>
      <c r="P225" s="521">
        <v>45016.08</v>
      </c>
      <c r="Q225" s="463">
        <v>3</v>
      </c>
      <c r="R225" s="654">
        <v>6166.08</v>
      </c>
      <c r="S225" s="519">
        <v>2850</v>
      </c>
      <c r="T225" s="519"/>
      <c r="U225" s="519"/>
      <c r="V225" s="519"/>
      <c r="W225" s="519"/>
      <c r="X225" s="519"/>
      <c r="Y225" s="519"/>
      <c r="Z225" s="519">
        <v>9016.08</v>
      </c>
      <c r="AA225" s="519">
        <v>3000</v>
      </c>
      <c r="AB225" s="519"/>
      <c r="AC225" s="520"/>
      <c r="AD225" s="521">
        <v>45016.08</v>
      </c>
      <c r="AE225" s="617">
        <v>45016.08</v>
      </c>
      <c r="AF225" s="523">
        <f t="shared" si="28"/>
        <v>0</v>
      </c>
      <c r="AG225" s="250">
        <f t="shared" si="29"/>
        <v>0</v>
      </c>
      <c r="AH225" s="655">
        <v>3</v>
      </c>
      <c r="AI225" s="523">
        <v>45016.08</v>
      </c>
    </row>
    <row r="226" spans="1:35" ht="12">
      <c r="A226" s="657" t="s">
        <v>19</v>
      </c>
      <c r="B226" s="463">
        <v>43</v>
      </c>
      <c r="C226" s="654">
        <v>88078.25</v>
      </c>
      <c r="D226" s="656">
        <v>42050</v>
      </c>
      <c r="E226" s="656"/>
      <c r="F226" s="656"/>
      <c r="G226" s="656"/>
      <c r="H226" s="656"/>
      <c r="I226" s="656"/>
      <c r="J226" s="656"/>
      <c r="K226" s="519">
        <v>130128.25</v>
      </c>
      <c r="L226" s="519">
        <v>43000</v>
      </c>
      <c r="M226" s="519"/>
      <c r="N226" s="520"/>
      <c r="O226" s="521">
        <v>646128.25</v>
      </c>
      <c r="P226" s="521">
        <v>646128.25</v>
      </c>
      <c r="Q226" s="463">
        <v>43</v>
      </c>
      <c r="R226" s="654">
        <v>88078.25</v>
      </c>
      <c r="S226" s="656">
        <v>46850</v>
      </c>
      <c r="T226" s="519"/>
      <c r="U226" s="519"/>
      <c r="V226" s="519"/>
      <c r="W226" s="519"/>
      <c r="X226" s="519"/>
      <c r="Y226" s="519"/>
      <c r="Z226" s="519">
        <v>134928.25</v>
      </c>
      <c r="AA226" s="519">
        <v>43000</v>
      </c>
      <c r="AB226" s="519"/>
      <c r="AC226" s="520"/>
      <c r="AD226" s="521">
        <v>650928.25</v>
      </c>
      <c r="AE226" s="617">
        <v>650928.25</v>
      </c>
      <c r="AF226" s="523">
        <f t="shared" si="28"/>
        <v>4800</v>
      </c>
      <c r="AG226" s="250">
        <f t="shared" si="29"/>
        <v>0</v>
      </c>
      <c r="AH226" s="655">
        <v>43</v>
      </c>
      <c r="AI226" s="523">
        <v>650928.25</v>
      </c>
    </row>
    <row r="227" spans="1:35" ht="12">
      <c r="A227" s="657" t="s">
        <v>56</v>
      </c>
      <c r="B227" s="456"/>
      <c r="C227" s="519"/>
      <c r="D227" s="519"/>
      <c r="E227" s="519"/>
      <c r="F227" s="519"/>
      <c r="G227" s="519"/>
      <c r="H227" s="519"/>
      <c r="I227" s="519"/>
      <c r="J227" s="519"/>
      <c r="K227" s="519"/>
      <c r="L227" s="519"/>
      <c r="M227" s="519"/>
      <c r="N227" s="520"/>
      <c r="O227" s="521"/>
      <c r="P227" s="521"/>
      <c r="Q227" s="456"/>
      <c r="R227" s="519"/>
      <c r="S227" s="519"/>
      <c r="T227" s="519"/>
      <c r="U227" s="519"/>
      <c r="V227" s="519"/>
      <c r="W227" s="519"/>
      <c r="X227" s="519"/>
      <c r="Y227" s="519"/>
      <c r="Z227" s="519"/>
      <c r="AA227" s="519"/>
      <c r="AB227" s="519"/>
      <c r="AC227" s="520"/>
      <c r="AD227" s="521"/>
      <c r="AE227" s="617"/>
      <c r="AF227" s="523"/>
      <c r="AG227" s="250"/>
      <c r="AH227" s="451"/>
      <c r="AI227" s="523"/>
    </row>
    <row r="228" spans="1:35" ht="12">
      <c r="A228" s="657" t="s">
        <v>55</v>
      </c>
      <c r="B228" s="456"/>
      <c r="C228" s="519"/>
      <c r="D228" s="519"/>
      <c r="E228" s="519"/>
      <c r="F228" s="519"/>
      <c r="G228" s="519"/>
      <c r="H228" s="519"/>
      <c r="I228" s="519"/>
      <c r="J228" s="519"/>
      <c r="K228" s="519"/>
      <c r="L228" s="519"/>
      <c r="M228" s="519"/>
      <c r="N228" s="520"/>
      <c r="O228" s="521"/>
      <c r="P228" s="521"/>
      <c r="Q228" s="456"/>
      <c r="R228" s="519"/>
      <c r="S228" s="519"/>
      <c r="T228" s="519"/>
      <c r="U228" s="519"/>
      <c r="V228" s="519"/>
      <c r="W228" s="519"/>
      <c r="X228" s="519"/>
      <c r="Y228" s="519"/>
      <c r="Z228" s="519"/>
      <c r="AA228" s="519"/>
      <c r="AB228" s="519"/>
      <c r="AC228" s="520"/>
      <c r="AD228" s="521"/>
      <c r="AE228" s="617"/>
      <c r="AF228" s="523"/>
      <c r="AG228" s="250"/>
      <c r="AH228" s="451"/>
      <c r="AI228" s="523"/>
    </row>
    <row r="229" spans="1:35" ht="12">
      <c r="A229" s="657" t="s">
        <v>55</v>
      </c>
      <c r="B229" s="456"/>
      <c r="C229" s="519"/>
      <c r="D229" s="519"/>
      <c r="E229" s="519"/>
      <c r="F229" s="519"/>
      <c r="G229" s="519"/>
      <c r="H229" s="519"/>
      <c r="I229" s="519"/>
      <c r="J229" s="519"/>
      <c r="K229" s="519"/>
      <c r="L229" s="519"/>
      <c r="M229" s="519"/>
      <c r="N229" s="520"/>
      <c r="O229" s="521"/>
      <c r="P229" s="521"/>
      <c r="Q229" s="456"/>
      <c r="R229" s="519"/>
      <c r="S229" s="519"/>
      <c r="T229" s="519"/>
      <c r="U229" s="519"/>
      <c r="V229" s="519"/>
      <c r="W229" s="519"/>
      <c r="X229" s="519"/>
      <c r="Y229" s="519"/>
      <c r="Z229" s="519"/>
      <c r="AA229" s="519"/>
      <c r="AB229" s="519"/>
      <c r="AC229" s="520"/>
      <c r="AD229" s="521"/>
      <c r="AE229" s="617"/>
      <c r="AF229" s="523"/>
      <c r="AG229" s="250"/>
      <c r="AH229" s="451"/>
      <c r="AI229" s="523"/>
    </row>
    <row r="230" spans="1:35" ht="12.75" thickBot="1">
      <c r="A230" s="658" t="s">
        <v>57</v>
      </c>
      <c r="B230" s="466">
        <v>1218</v>
      </c>
      <c r="C230" s="630">
        <v>2991053.47</v>
      </c>
      <c r="D230" s="630"/>
      <c r="E230" s="630"/>
      <c r="F230" s="630"/>
      <c r="G230" s="630"/>
      <c r="H230" s="630"/>
      <c r="I230" s="630"/>
      <c r="J230" s="630"/>
      <c r="K230" s="630">
        <v>2991053.47</v>
      </c>
      <c r="L230" s="630">
        <v>1218000</v>
      </c>
      <c r="M230" s="630"/>
      <c r="N230" s="638"/>
      <c r="O230" s="659">
        <v>37110641.64</v>
      </c>
      <c r="P230" s="659">
        <v>37110641.64</v>
      </c>
      <c r="Q230" s="466">
        <v>1218</v>
      </c>
      <c r="R230" s="630">
        <v>3387622.33</v>
      </c>
      <c r="S230" s="630"/>
      <c r="T230" s="630"/>
      <c r="U230" s="630"/>
      <c r="V230" s="630"/>
      <c r="W230" s="630"/>
      <c r="X230" s="630"/>
      <c r="Y230" s="630"/>
      <c r="Z230" s="630">
        <v>3387622.33</v>
      </c>
      <c r="AA230" s="630">
        <v>1218000</v>
      </c>
      <c r="AB230" s="630"/>
      <c r="AC230" s="638"/>
      <c r="AD230" s="659">
        <v>41869467.96</v>
      </c>
      <c r="AE230" s="660">
        <v>41869467.96</v>
      </c>
      <c r="AF230" s="639">
        <f t="shared" si="28"/>
        <v>4758826.32</v>
      </c>
      <c r="AG230" s="661">
        <f t="shared" si="29"/>
        <v>0</v>
      </c>
      <c r="AH230" s="662">
        <v>1218</v>
      </c>
      <c r="AI230" s="663">
        <v>41869467.96</v>
      </c>
    </row>
    <row r="233" spans="1:35" ht="12.75" thickBot="1">
      <c r="A233" s="106" t="s">
        <v>585</v>
      </c>
      <c r="B233" s="478"/>
      <c r="C233" s="478"/>
      <c r="D233" s="478"/>
      <c r="E233" s="478"/>
      <c r="F233" s="478"/>
      <c r="G233" s="478"/>
      <c r="H233" s="478"/>
      <c r="I233" s="478"/>
      <c r="J233" s="478"/>
      <c r="K233" s="478"/>
      <c r="L233" s="478"/>
      <c r="M233" s="478"/>
      <c r="N233" s="478"/>
      <c r="O233" s="664"/>
      <c r="P233" s="664"/>
      <c r="Q233" s="478"/>
      <c r="R233" s="478"/>
      <c r="S233" s="478"/>
      <c r="T233" s="478"/>
      <c r="U233" s="478"/>
      <c r="V233" s="478"/>
      <c r="W233" s="478"/>
      <c r="X233" s="478"/>
      <c r="Y233" s="478"/>
      <c r="Z233" s="478"/>
      <c r="AA233" s="478"/>
      <c r="AB233" s="478"/>
      <c r="AC233" s="478"/>
      <c r="AD233" s="664"/>
      <c r="AE233" s="664"/>
      <c r="AF233" s="478"/>
      <c r="AG233" s="478"/>
      <c r="AH233" s="478"/>
      <c r="AI233" s="478"/>
    </row>
    <row r="234" spans="1:35" ht="12.75" thickBot="1">
      <c r="A234" s="1559" t="s">
        <v>47</v>
      </c>
      <c r="B234" s="1562" t="s">
        <v>339</v>
      </c>
      <c r="C234" s="1562"/>
      <c r="D234" s="1562"/>
      <c r="E234" s="1562"/>
      <c r="F234" s="1562"/>
      <c r="G234" s="1562"/>
      <c r="H234" s="1562"/>
      <c r="I234" s="1562"/>
      <c r="J234" s="1562"/>
      <c r="K234" s="1562"/>
      <c r="L234" s="1562"/>
      <c r="M234" s="1562"/>
      <c r="N234" s="1562"/>
      <c r="O234" s="1562"/>
      <c r="P234" s="1562"/>
      <c r="Q234" s="1563" t="s">
        <v>434</v>
      </c>
      <c r="R234" s="1562"/>
      <c r="S234" s="1562"/>
      <c r="T234" s="1562"/>
      <c r="U234" s="1562"/>
      <c r="V234" s="1562"/>
      <c r="W234" s="1562"/>
      <c r="X234" s="1562"/>
      <c r="Y234" s="1562"/>
      <c r="Z234" s="1562"/>
      <c r="AA234" s="1562"/>
      <c r="AB234" s="1562"/>
      <c r="AC234" s="1562"/>
      <c r="AD234" s="1562"/>
      <c r="AE234" s="1564"/>
      <c r="AF234" s="1565" t="s">
        <v>436</v>
      </c>
      <c r="AG234" s="1566"/>
      <c r="AH234" s="1565" t="s">
        <v>435</v>
      </c>
      <c r="AI234" s="1566"/>
    </row>
    <row r="235" spans="1:35" ht="140.25">
      <c r="A235" s="1560"/>
      <c r="B235" s="490" t="s">
        <v>11</v>
      </c>
      <c r="C235" s="491" t="s">
        <v>146</v>
      </c>
      <c r="D235" s="492" t="s">
        <v>270</v>
      </c>
      <c r="E235" s="492" t="s">
        <v>148</v>
      </c>
      <c r="F235" s="492" t="s">
        <v>182</v>
      </c>
      <c r="G235" s="492" t="s">
        <v>183</v>
      </c>
      <c r="H235" s="492" t="s">
        <v>184</v>
      </c>
      <c r="I235" s="492" t="s">
        <v>185</v>
      </c>
      <c r="J235" s="492" t="s">
        <v>149</v>
      </c>
      <c r="K235" s="492" t="s">
        <v>150</v>
      </c>
      <c r="L235" s="492" t="s">
        <v>151</v>
      </c>
      <c r="M235" s="492" t="s">
        <v>181</v>
      </c>
      <c r="N235" s="493" t="s">
        <v>119</v>
      </c>
      <c r="O235" s="606" t="s">
        <v>156</v>
      </c>
      <c r="P235" s="607" t="s">
        <v>155</v>
      </c>
      <c r="Q235" s="490" t="s">
        <v>11</v>
      </c>
      <c r="R235" s="491" t="s">
        <v>146</v>
      </c>
      <c r="S235" s="492" t="s">
        <v>147</v>
      </c>
      <c r="T235" s="492" t="s">
        <v>148</v>
      </c>
      <c r="U235" s="492" t="s">
        <v>182</v>
      </c>
      <c r="V235" s="492" t="s">
        <v>183</v>
      </c>
      <c r="W235" s="492" t="s">
        <v>184</v>
      </c>
      <c r="X235" s="492" t="s">
        <v>185</v>
      </c>
      <c r="Y235" s="492" t="s">
        <v>149</v>
      </c>
      <c r="Z235" s="492" t="s">
        <v>150</v>
      </c>
      <c r="AA235" s="492" t="s">
        <v>151</v>
      </c>
      <c r="AB235" s="492" t="s">
        <v>181</v>
      </c>
      <c r="AC235" s="493" t="s">
        <v>119</v>
      </c>
      <c r="AD235" s="606" t="s">
        <v>156</v>
      </c>
      <c r="AE235" s="607" t="s">
        <v>340</v>
      </c>
      <c r="AF235" s="496" t="s">
        <v>160</v>
      </c>
      <c r="AG235" s="496" t="s">
        <v>159</v>
      </c>
      <c r="AH235" s="496" t="s">
        <v>11</v>
      </c>
      <c r="AI235" s="495" t="s">
        <v>341</v>
      </c>
    </row>
    <row r="236" spans="1:35" ht="12.75" thickBot="1">
      <c r="A236" s="1561"/>
      <c r="B236" s="497" t="s">
        <v>48</v>
      </c>
      <c r="C236" s="498" t="s">
        <v>49</v>
      </c>
      <c r="D236" s="499" t="s">
        <v>50</v>
      </c>
      <c r="E236" s="499" t="s">
        <v>51</v>
      </c>
      <c r="F236" s="500" t="s">
        <v>52</v>
      </c>
      <c r="G236" s="500" t="s">
        <v>53</v>
      </c>
      <c r="H236" s="500" t="s">
        <v>79</v>
      </c>
      <c r="I236" s="500" t="s">
        <v>118</v>
      </c>
      <c r="J236" s="500" t="s">
        <v>154</v>
      </c>
      <c r="K236" s="500" t="s">
        <v>158</v>
      </c>
      <c r="L236" s="500" t="s">
        <v>190</v>
      </c>
      <c r="M236" s="500" t="s">
        <v>191</v>
      </c>
      <c r="N236" s="501" t="s">
        <v>193</v>
      </c>
      <c r="O236" s="612" t="s">
        <v>194</v>
      </c>
      <c r="P236" s="613" t="s">
        <v>195</v>
      </c>
      <c r="Q236" s="497" t="s">
        <v>48</v>
      </c>
      <c r="R236" s="498" t="s">
        <v>49</v>
      </c>
      <c r="S236" s="499" t="s">
        <v>50</v>
      </c>
      <c r="T236" s="499" t="s">
        <v>51</v>
      </c>
      <c r="U236" s="500" t="s">
        <v>52</v>
      </c>
      <c r="V236" s="500" t="s">
        <v>53</v>
      </c>
      <c r="W236" s="500" t="s">
        <v>79</v>
      </c>
      <c r="X236" s="500" t="s">
        <v>118</v>
      </c>
      <c r="Y236" s="500" t="s">
        <v>154</v>
      </c>
      <c r="Z236" s="500" t="s">
        <v>158</v>
      </c>
      <c r="AA236" s="500" t="s">
        <v>190</v>
      </c>
      <c r="AB236" s="500" t="s">
        <v>191</v>
      </c>
      <c r="AC236" s="501" t="s">
        <v>193</v>
      </c>
      <c r="AD236" s="612" t="s">
        <v>194</v>
      </c>
      <c r="AE236" s="613" t="s">
        <v>195</v>
      </c>
      <c r="AF236" s="504"/>
      <c r="AG236" s="497"/>
      <c r="AH236" s="504"/>
      <c r="AI236" s="497"/>
    </row>
    <row r="237" spans="1:35" ht="12">
      <c r="A237" s="465"/>
      <c r="B237" s="657"/>
      <c r="C237" s="454"/>
      <c r="D237" s="454"/>
      <c r="E237" s="454"/>
      <c r="F237" s="454"/>
      <c r="G237" s="454"/>
      <c r="H237" s="454"/>
      <c r="I237" s="454"/>
      <c r="J237" s="454"/>
      <c r="K237" s="454"/>
      <c r="L237" s="454"/>
      <c r="M237" s="454"/>
      <c r="N237" s="508"/>
      <c r="O237" s="521"/>
      <c r="P237" s="522"/>
      <c r="Q237" s="456"/>
      <c r="R237" s="454"/>
      <c r="S237" s="454"/>
      <c r="T237" s="454"/>
      <c r="U237" s="454"/>
      <c r="V237" s="454"/>
      <c r="W237" s="454"/>
      <c r="X237" s="454"/>
      <c r="Y237" s="454"/>
      <c r="Z237" s="454"/>
      <c r="AA237" s="454"/>
      <c r="AB237" s="454"/>
      <c r="AC237" s="508"/>
      <c r="AD237" s="521"/>
      <c r="AE237" s="522"/>
      <c r="AF237" s="457"/>
      <c r="AG237" s="456"/>
      <c r="AH237" s="457"/>
      <c r="AI237" s="456"/>
    </row>
    <row r="238" spans="1:35" ht="12">
      <c r="A238" s="456" t="s">
        <v>54</v>
      </c>
      <c r="B238" s="657"/>
      <c r="C238" s="454"/>
      <c r="D238" s="454"/>
      <c r="E238" s="454"/>
      <c r="F238" s="454"/>
      <c r="G238" s="454"/>
      <c r="H238" s="454"/>
      <c r="I238" s="454"/>
      <c r="J238" s="454"/>
      <c r="K238" s="454"/>
      <c r="L238" s="454"/>
      <c r="M238" s="454"/>
      <c r="N238" s="508"/>
      <c r="O238" s="521"/>
      <c r="P238" s="522"/>
      <c r="Q238" s="523"/>
      <c r="R238" s="454"/>
      <c r="S238" s="454"/>
      <c r="T238" s="454"/>
      <c r="U238" s="454"/>
      <c r="V238" s="454"/>
      <c r="W238" s="454"/>
      <c r="X238" s="454"/>
      <c r="Y238" s="454"/>
      <c r="Z238" s="454"/>
      <c r="AA238" s="454"/>
      <c r="AB238" s="454"/>
      <c r="AC238" s="508"/>
      <c r="AD238" s="521"/>
      <c r="AE238" s="522"/>
      <c r="AF238" s="457"/>
      <c r="AG238" s="456"/>
      <c r="AH238" s="457"/>
      <c r="AI238" s="456"/>
    </row>
    <row r="239" spans="1:35" ht="12.75">
      <c r="A239" s="581" t="s">
        <v>668</v>
      </c>
      <c r="B239" s="665">
        <f>SUM(B240:B244)</f>
        <v>3</v>
      </c>
      <c r="C239" s="665">
        <f aca="true" t="shared" si="30" ref="C239:AE239">SUM(C240:C244)</f>
        <v>2080.17</v>
      </c>
      <c r="D239" s="665">
        <f t="shared" si="30"/>
        <v>1500</v>
      </c>
      <c r="E239" s="665">
        <f t="shared" si="30"/>
        <v>0</v>
      </c>
      <c r="F239" s="665">
        <f t="shared" si="30"/>
        <v>0</v>
      </c>
      <c r="G239" s="665">
        <f t="shared" si="30"/>
        <v>0</v>
      </c>
      <c r="H239" s="665">
        <f t="shared" si="30"/>
        <v>0</v>
      </c>
      <c r="I239" s="665">
        <f t="shared" si="30"/>
        <v>0</v>
      </c>
      <c r="J239" s="665">
        <f t="shared" si="30"/>
        <v>0</v>
      </c>
      <c r="K239" s="665">
        <f t="shared" si="30"/>
        <v>3580.17</v>
      </c>
      <c r="L239" s="665">
        <f t="shared" si="30"/>
        <v>1000</v>
      </c>
      <c r="M239" s="665">
        <f t="shared" si="30"/>
        <v>0</v>
      </c>
      <c r="N239" s="665">
        <f t="shared" si="30"/>
        <v>1000</v>
      </c>
      <c r="O239" s="666">
        <f t="shared" si="30"/>
        <v>43962.04</v>
      </c>
      <c r="P239" s="666">
        <f t="shared" si="30"/>
        <v>131886.12</v>
      </c>
      <c r="Q239" s="665">
        <f t="shared" si="30"/>
        <v>3</v>
      </c>
      <c r="R239" s="665">
        <f t="shared" si="30"/>
        <v>2080.17</v>
      </c>
      <c r="S239" s="665">
        <f t="shared" si="30"/>
        <v>1500</v>
      </c>
      <c r="T239" s="665">
        <f t="shared" si="30"/>
        <v>0</v>
      </c>
      <c r="U239" s="665">
        <f t="shared" si="30"/>
        <v>0</v>
      </c>
      <c r="V239" s="665">
        <f t="shared" si="30"/>
        <v>0</v>
      </c>
      <c r="W239" s="665">
        <f t="shared" si="30"/>
        <v>0</v>
      </c>
      <c r="X239" s="665">
        <f t="shared" si="30"/>
        <v>0</v>
      </c>
      <c r="Y239" s="665">
        <f t="shared" si="30"/>
        <v>0</v>
      </c>
      <c r="Z239" s="665">
        <f t="shared" si="30"/>
        <v>3580.17</v>
      </c>
      <c r="AA239" s="665">
        <f t="shared" si="30"/>
        <v>1000</v>
      </c>
      <c r="AB239" s="665">
        <f t="shared" si="30"/>
        <v>0</v>
      </c>
      <c r="AC239" s="665">
        <f t="shared" si="30"/>
        <v>1000</v>
      </c>
      <c r="AD239" s="666">
        <f t="shared" si="30"/>
        <v>43962.04</v>
      </c>
      <c r="AE239" s="666">
        <f t="shared" si="30"/>
        <v>131886.12</v>
      </c>
      <c r="AF239" s="667"/>
      <c r="AG239" s="667"/>
      <c r="AH239" s="668"/>
      <c r="AI239" s="667"/>
    </row>
    <row r="240" spans="1:35" ht="12.75">
      <c r="A240" s="582" t="s">
        <v>563</v>
      </c>
      <c r="B240" s="657"/>
      <c r="C240" s="669"/>
      <c r="D240" s="669"/>
      <c r="E240" s="669"/>
      <c r="F240" s="669"/>
      <c r="G240" s="669"/>
      <c r="H240" s="669"/>
      <c r="I240" s="669"/>
      <c r="J240" s="669"/>
      <c r="K240" s="669"/>
      <c r="L240" s="669"/>
      <c r="M240" s="669"/>
      <c r="N240" s="670"/>
      <c r="O240" s="671"/>
      <c r="P240" s="672"/>
      <c r="Q240" s="673"/>
      <c r="R240" s="669"/>
      <c r="S240" s="669"/>
      <c r="T240" s="669"/>
      <c r="U240" s="669"/>
      <c r="V240" s="669"/>
      <c r="W240" s="669"/>
      <c r="X240" s="669"/>
      <c r="Y240" s="669"/>
      <c r="Z240" s="669"/>
      <c r="AA240" s="669"/>
      <c r="AB240" s="669"/>
      <c r="AC240" s="670"/>
      <c r="AD240" s="671"/>
      <c r="AE240" s="672"/>
      <c r="AF240" s="674"/>
      <c r="AG240" s="674"/>
      <c r="AH240" s="675"/>
      <c r="AI240" s="674">
        <f>+AH240*AD240</f>
        <v>0</v>
      </c>
    </row>
    <row r="241" spans="1:35" ht="12.75">
      <c r="A241" s="582" t="s">
        <v>562</v>
      </c>
      <c r="B241" s="657">
        <v>3</v>
      </c>
      <c r="C241" s="669">
        <v>2080.17</v>
      </c>
      <c r="D241" s="669">
        <v>1500</v>
      </c>
      <c r="E241" s="669">
        <v>0</v>
      </c>
      <c r="F241" s="669">
        <v>0</v>
      </c>
      <c r="G241" s="669">
        <v>0</v>
      </c>
      <c r="H241" s="669">
        <v>0</v>
      </c>
      <c r="I241" s="669">
        <v>0</v>
      </c>
      <c r="J241" s="669">
        <v>0</v>
      </c>
      <c r="K241" s="669">
        <f>SUM(C241:J241)</f>
        <v>3580.17</v>
      </c>
      <c r="L241" s="669">
        <v>1000</v>
      </c>
      <c r="M241" s="669">
        <v>0</v>
      </c>
      <c r="N241" s="670">
        <f>SUM(L241:M241)</f>
        <v>1000</v>
      </c>
      <c r="O241" s="671">
        <f>(K241*12)+N241</f>
        <v>43962.04</v>
      </c>
      <c r="P241" s="672">
        <f>B241*O241</f>
        <v>131886.12</v>
      </c>
      <c r="Q241" s="673">
        <v>3</v>
      </c>
      <c r="R241" s="669">
        <v>2080.17</v>
      </c>
      <c r="S241" s="669">
        <v>1500</v>
      </c>
      <c r="T241" s="669">
        <v>0</v>
      </c>
      <c r="U241" s="669">
        <v>0</v>
      </c>
      <c r="V241" s="669">
        <v>0</v>
      </c>
      <c r="W241" s="669">
        <v>0</v>
      </c>
      <c r="X241" s="669">
        <v>0</v>
      </c>
      <c r="Y241" s="669">
        <v>0</v>
      </c>
      <c r="Z241" s="669">
        <f>SUM(R241:Y241)</f>
        <v>3580.17</v>
      </c>
      <c r="AA241" s="669">
        <v>1000</v>
      </c>
      <c r="AB241" s="669">
        <v>0</v>
      </c>
      <c r="AC241" s="670">
        <f>SUM(AA241:AB241)</f>
        <v>1000</v>
      </c>
      <c r="AD241" s="671">
        <f>(Z241*12)+AC241</f>
        <v>43962.04</v>
      </c>
      <c r="AE241" s="672">
        <f>Q241*AD241</f>
        <v>131886.12</v>
      </c>
      <c r="AF241" s="674">
        <f>+AD241-O241</f>
        <v>0</v>
      </c>
      <c r="AG241" s="674">
        <f>+AE241-P241</f>
        <v>0</v>
      </c>
      <c r="AH241" s="676">
        <f>+Q241</f>
        <v>3</v>
      </c>
      <c r="AI241" s="674">
        <f>+AH241*AD241</f>
        <v>131886.12</v>
      </c>
    </row>
    <row r="242" spans="1:35" ht="12.75">
      <c r="A242" s="582" t="s">
        <v>561</v>
      </c>
      <c r="B242" s="657"/>
      <c r="C242" s="669"/>
      <c r="D242" s="669"/>
      <c r="E242" s="669"/>
      <c r="F242" s="669"/>
      <c r="G242" s="669"/>
      <c r="H242" s="669"/>
      <c r="I242" s="669"/>
      <c r="J242" s="669"/>
      <c r="K242" s="669"/>
      <c r="L242" s="669"/>
      <c r="M242" s="669"/>
      <c r="N242" s="670"/>
      <c r="O242" s="671"/>
      <c r="P242" s="672"/>
      <c r="Q242" s="673"/>
      <c r="R242" s="669"/>
      <c r="S242" s="669"/>
      <c r="T242" s="669"/>
      <c r="U242" s="669"/>
      <c r="V242" s="669"/>
      <c r="W242" s="669"/>
      <c r="X242" s="669"/>
      <c r="Y242" s="669"/>
      <c r="Z242" s="669"/>
      <c r="AA242" s="669"/>
      <c r="AB242" s="669"/>
      <c r="AC242" s="670"/>
      <c r="AD242" s="671"/>
      <c r="AE242" s="672"/>
      <c r="AF242" s="674"/>
      <c r="AG242" s="674"/>
      <c r="AH242" s="675"/>
      <c r="AI242" s="674">
        <f>+AH242*AD242</f>
        <v>0</v>
      </c>
    </row>
    <row r="243" spans="1:35" ht="12.75">
      <c r="A243" s="582" t="s">
        <v>560</v>
      </c>
      <c r="B243" s="657"/>
      <c r="C243" s="669"/>
      <c r="D243" s="669"/>
      <c r="E243" s="669"/>
      <c r="F243" s="669"/>
      <c r="G243" s="669"/>
      <c r="H243" s="669"/>
      <c r="I243" s="669"/>
      <c r="J243" s="669"/>
      <c r="K243" s="669"/>
      <c r="L243" s="669"/>
      <c r="M243" s="669"/>
      <c r="N243" s="670"/>
      <c r="O243" s="671"/>
      <c r="P243" s="672"/>
      <c r="Q243" s="673"/>
      <c r="R243" s="669"/>
      <c r="S243" s="669"/>
      <c r="T243" s="669"/>
      <c r="U243" s="669"/>
      <c r="V243" s="669"/>
      <c r="W243" s="669"/>
      <c r="X243" s="669"/>
      <c r="Y243" s="669"/>
      <c r="Z243" s="669"/>
      <c r="AA243" s="669"/>
      <c r="AB243" s="669"/>
      <c r="AC243" s="670"/>
      <c r="AD243" s="671"/>
      <c r="AE243" s="672"/>
      <c r="AF243" s="674"/>
      <c r="AG243" s="674"/>
      <c r="AH243" s="675"/>
      <c r="AI243" s="674">
        <f>+AH243*AD243</f>
        <v>0</v>
      </c>
    </row>
    <row r="244" spans="1:35" ht="12.75">
      <c r="A244" s="582" t="s">
        <v>12</v>
      </c>
      <c r="B244" s="657"/>
      <c r="C244" s="669"/>
      <c r="D244" s="669"/>
      <c r="E244" s="669"/>
      <c r="F244" s="669"/>
      <c r="G244" s="669"/>
      <c r="H244" s="669"/>
      <c r="I244" s="669"/>
      <c r="J244" s="669"/>
      <c r="K244" s="669"/>
      <c r="L244" s="669"/>
      <c r="M244" s="669"/>
      <c r="N244" s="670"/>
      <c r="O244" s="671"/>
      <c r="P244" s="672"/>
      <c r="Q244" s="673"/>
      <c r="R244" s="669"/>
      <c r="S244" s="669"/>
      <c r="T244" s="669"/>
      <c r="U244" s="669"/>
      <c r="V244" s="669"/>
      <c r="W244" s="669"/>
      <c r="X244" s="669"/>
      <c r="Y244" s="669"/>
      <c r="Z244" s="669"/>
      <c r="AA244" s="669"/>
      <c r="AB244" s="669"/>
      <c r="AC244" s="670"/>
      <c r="AD244" s="671"/>
      <c r="AE244" s="672"/>
      <c r="AF244" s="674"/>
      <c r="AG244" s="674"/>
      <c r="AH244" s="675"/>
      <c r="AI244" s="674">
        <f>+AH244*AD244</f>
        <v>0</v>
      </c>
    </row>
    <row r="245" spans="1:35" ht="12.75">
      <c r="A245" s="581" t="s">
        <v>4</v>
      </c>
      <c r="B245" s="665">
        <f>SUM(B246:B251)</f>
        <v>14</v>
      </c>
      <c r="C245" s="665">
        <f aca="true" t="shared" si="31" ref="C245:AE245">SUM(C246:C251)</f>
        <v>6633.15</v>
      </c>
      <c r="D245" s="665">
        <f t="shared" si="31"/>
        <v>5500</v>
      </c>
      <c r="E245" s="665">
        <f t="shared" si="31"/>
        <v>0</v>
      </c>
      <c r="F245" s="665">
        <f t="shared" si="31"/>
        <v>0</v>
      </c>
      <c r="G245" s="665">
        <f t="shared" si="31"/>
        <v>0</v>
      </c>
      <c r="H245" s="665">
        <f t="shared" si="31"/>
        <v>0</v>
      </c>
      <c r="I245" s="665">
        <f t="shared" si="31"/>
        <v>0</v>
      </c>
      <c r="J245" s="665">
        <f t="shared" si="31"/>
        <v>0</v>
      </c>
      <c r="K245" s="665">
        <f t="shared" si="31"/>
        <v>12133.149999999998</v>
      </c>
      <c r="L245" s="665">
        <f t="shared" si="31"/>
        <v>5000</v>
      </c>
      <c r="M245" s="665">
        <f t="shared" si="31"/>
        <v>0</v>
      </c>
      <c r="N245" s="665">
        <f t="shared" si="31"/>
        <v>5000</v>
      </c>
      <c r="O245" s="666">
        <f t="shared" si="31"/>
        <v>150597.8</v>
      </c>
      <c r="P245" s="666">
        <f t="shared" si="31"/>
        <v>423932.84</v>
      </c>
      <c r="Q245" s="665">
        <f t="shared" si="31"/>
        <v>14</v>
      </c>
      <c r="R245" s="665">
        <f t="shared" si="31"/>
        <v>6633.15</v>
      </c>
      <c r="S245" s="665">
        <f t="shared" si="31"/>
        <v>5550</v>
      </c>
      <c r="T245" s="665">
        <f t="shared" si="31"/>
        <v>0</v>
      </c>
      <c r="U245" s="665">
        <f t="shared" si="31"/>
        <v>0</v>
      </c>
      <c r="V245" s="665">
        <f t="shared" si="31"/>
        <v>0</v>
      </c>
      <c r="W245" s="665">
        <f t="shared" si="31"/>
        <v>0</v>
      </c>
      <c r="X245" s="665">
        <f t="shared" si="31"/>
        <v>0</v>
      </c>
      <c r="Y245" s="665">
        <f t="shared" si="31"/>
        <v>0</v>
      </c>
      <c r="Z245" s="665">
        <f t="shared" si="31"/>
        <v>12183.149999999998</v>
      </c>
      <c r="AA245" s="665">
        <f t="shared" si="31"/>
        <v>5000</v>
      </c>
      <c r="AB245" s="665">
        <f t="shared" si="31"/>
        <v>0</v>
      </c>
      <c r="AC245" s="665">
        <f t="shared" si="31"/>
        <v>5000</v>
      </c>
      <c r="AD245" s="666">
        <f t="shared" si="31"/>
        <v>151197.8</v>
      </c>
      <c r="AE245" s="666">
        <f t="shared" si="31"/>
        <v>425612.84</v>
      </c>
      <c r="AF245" s="667"/>
      <c r="AG245" s="667"/>
      <c r="AH245" s="668"/>
      <c r="AI245" s="667"/>
    </row>
    <row r="246" spans="1:35" ht="12.75">
      <c r="A246" s="582" t="s">
        <v>681</v>
      </c>
      <c r="B246" s="657">
        <v>3</v>
      </c>
      <c r="C246" s="669">
        <v>1523.95</v>
      </c>
      <c r="D246" s="669">
        <v>1100</v>
      </c>
      <c r="E246" s="669">
        <v>0</v>
      </c>
      <c r="F246" s="669">
        <v>0</v>
      </c>
      <c r="G246" s="669">
        <v>0</v>
      </c>
      <c r="H246" s="669">
        <v>0</v>
      </c>
      <c r="I246" s="669">
        <v>0</v>
      </c>
      <c r="J246" s="669">
        <v>0</v>
      </c>
      <c r="K246" s="669">
        <f aca="true" t="shared" si="32" ref="K246:K251">SUM(C246:J246)</f>
        <v>2623.95</v>
      </c>
      <c r="L246" s="669">
        <v>1000</v>
      </c>
      <c r="M246" s="669">
        <v>0</v>
      </c>
      <c r="N246" s="670">
        <f aca="true" t="shared" si="33" ref="N246:N251">SUM(L246:M246)</f>
        <v>1000</v>
      </c>
      <c r="O246" s="671">
        <f>(K246*12)+N246</f>
        <v>32487.399999999998</v>
      </c>
      <c r="P246" s="672">
        <f>B246*O246</f>
        <v>97462.2</v>
      </c>
      <c r="Q246" s="677">
        <v>3</v>
      </c>
      <c r="R246" s="669">
        <v>1523.95</v>
      </c>
      <c r="S246" s="669">
        <v>1110</v>
      </c>
      <c r="T246" s="669">
        <v>0</v>
      </c>
      <c r="U246" s="669">
        <v>0</v>
      </c>
      <c r="V246" s="669">
        <v>0</v>
      </c>
      <c r="W246" s="669">
        <v>0</v>
      </c>
      <c r="X246" s="669">
        <v>0</v>
      </c>
      <c r="Y246" s="669">
        <v>0</v>
      </c>
      <c r="Z246" s="669">
        <f>SUM(R246:Y246)</f>
        <v>2633.95</v>
      </c>
      <c r="AA246" s="669">
        <v>1000</v>
      </c>
      <c r="AB246" s="669">
        <v>0</v>
      </c>
      <c r="AC246" s="670">
        <f aca="true" t="shared" si="34" ref="AC246:AC264">SUM(AA246:AB246)</f>
        <v>1000</v>
      </c>
      <c r="AD246" s="671">
        <f>(Z246*12)+AC246</f>
        <v>32607.399999999998</v>
      </c>
      <c r="AE246" s="672">
        <f>Q246*AD246</f>
        <v>97822.2</v>
      </c>
      <c r="AF246" s="674">
        <f>+AD246-O246</f>
        <v>120</v>
      </c>
      <c r="AG246" s="674">
        <f>+AE246-P246</f>
        <v>360</v>
      </c>
      <c r="AH246" s="676">
        <f>+Q246</f>
        <v>3</v>
      </c>
      <c r="AI246" s="674">
        <f>+AH246*AD246</f>
        <v>97822.2</v>
      </c>
    </row>
    <row r="247" spans="1:35" ht="12.75">
      <c r="A247" s="582" t="s">
        <v>707</v>
      </c>
      <c r="B247" s="657">
        <v>1</v>
      </c>
      <c r="C247" s="669">
        <v>1318.78</v>
      </c>
      <c r="D247" s="669">
        <v>1100</v>
      </c>
      <c r="E247" s="669">
        <v>0</v>
      </c>
      <c r="F247" s="669">
        <v>0</v>
      </c>
      <c r="G247" s="669">
        <v>0</v>
      </c>
      <c r="H247" s="669">
        <v>0</v>
      </c>
      <c r="I247" s="669">
        <v>0</v>
      </c>
      <c r="J247" s="669">
        <v>0</v>
      </c>
      <c r="K247" s="669">
        <f t="shared" si="32"/>
        <v>2418.7799999999997</v>
      </c>
      <c r="L247" s="669">
        <v>1000</v>
      </c>
      <c r="M247" s="669">
        <v>0</v>
      </c>
      <c r="N247" s="670">
        <f t="shared" si="33"/>
        <v>1000</v>
      </c>
      <c r="O247" s="671">
        <f>(K247*12)+N247</f>
        <v>30025.359999999997</v>
      </c>
      <c r="P247" s="672">
        <f>B247*O247</f>
        <v>30025.359999999997</v>
      </c>
      <c r="Q247" s="678">
        <v>1</v>
      </c>
      <c r="R247" s="669">
        <v>1318.78</v>
      </c>
      <c r="S247" s="669">
        <v>1110</v>
      </c>
      <c r="T247" s="669">
        <v>0</v>
      </c>
      <c r="U247" s="669">
        <v>0</v>
      </c>
      <c r="V247" s="669">
        <v>0</v>
      </c>
      <c r="W247" s="669">
        <v>0</v>
      </c>
      <c r="X247" s="669">
        <v>0</v>
      </c>
      <c r="Y247" s="669">
        <v>0</v>
      </c>
      <c r="Z247" s="669">
        <f>SUM(R247:Y247)</f>
        <v>2428.7799999999997</v>
      </c>
      <c r="AA247" s="669">
        <v>1000</v>
      </c>
      <c r="AB247" s="669">
        <v>0</v>
      </c>
      <c r="AC247" s="670">
        <f t="shared" si="34"/>
        <v>1000</v>
      </c>
      <c r="AD247" s="671">
        <f>(Z247*12)+AC247</f>
        <v>30145.359999999997</v>
      </c>
      <c r="AE247" s="672">
        <f>Q247*AD247</f>
        <v>30145.359999999997</v>
      </c>
      <c r="AF247" s="674">
        <f>+AD247-O247</f>
        <v>120</v>
      </c>
      <c r="AG247" s="674">
        <f>+AE247-P247</f>
        <v>120</v>
      </c>
      <c r="AH247" s="676">
        <f>+Q247</f>
        <v>1</v>
      </c>
      <c r="AI247" s="674">
        <f>+AH247*AD247</f>
        <v>30145.359999999997</v>
      </c>
    </row>
    <row r="248" spans="1:35" ht="12.75">
      <c r="A248" s="582" t="s">
        <v>669</v>
      </c>
      <c r="B248" s="657"/>
      <c r="C248" s="679"/>
      <c r="D248" s="669"/>
      <c r="E248" s="669"/>
      <c r="F248" s="669"/>
      <c r="G248" s="669"/>
      <c r="H248" s="669"/>
      <c r="I248" s="669"/>
      <c r="J248" s="669"/>
      <c r="K248" s="669"/>
      <c r="L248" s="669"/>
      <c r="M248" s="669"/>
      <c r="N248" s="670"/>
      <c r="O248" s="671"/>
      <c r="P248" s="672"/>
      <c r="Q248" s="678"/>
      <c r="R248" s="679"/>
      <c r="S248" s="669"/>
      <c r="T248" s="669"/>
      <c r="U248" s="669"/>
      <c r="V248" s="669"/>
      <c r="W248" s="669"/>
      <c r="X248" s="669"/>
      <c r="Y248" s="669"/>
      <c r="Z248" s="669"/>
      <c r="AA248" s="669"/>
      <c r="AB248" s="669"/>
      <c r="AC248" s="670"/>
      <c r="AD248" s="671"/>
      <c r="AE248" s="672"/>
      <c r="AF248" s="674"/>
      <c r="AG248" s="674"/>
      <c r="AH248" s="657"/>
      <c r="AI248" s="674"/>
    </row>
    <row r="249" spans="1:35" ht="12.75">
      <c r="A249" s="582" t="s">
        <v>670</v>
      </c>
      <c r="B249" s="657">
        <v>6</v>
      </c>
      <c r="C249" s="669">
        <v>1322.4</v>
      </c>
      <c r="D249" s="669">
        <v>1100</v>
      </c>
      <c r="E249" s="669">
        <v>0</v>
      </c>
      <c r="F249" s="669">
        <v>0</v>
      </c>
      <c r="G249" s="669">
        <v>0</v>
      </c>
      <c r="H249" s="669">
        <v>0</v>
      </c>
      <c r="I249" s="669">
        <v>0</v>
      </c>
      <c r="J249" s="669">
        <v>0</v>
      </c>
      <c r="K249" s="669">
        <f t="shared" si="32"/>
        <v>2422.4</v>
      </c>
      <c r="L249" s="669">
        <v>1000</v>
      </c>
      <c r="M249" s="669">
        <v>0</v>
      </c>
      <c r="N249" s="670">
        <f t="shared" si="33"/>
        <v>1000</v>
      </c>
      <c r="O249" s="671">
        <f>(K249*12)+N249</f>
        <v>30068.800000000003</v>
      </c>
      <c r="P249" s="672">
        <f>B249*O249</f>
        <v>180412.80000000002</v>
      </c>
      <c r="Q249" s="678">
        <v>6</v>
      </c>
      <c r="R249" s="669">
        <v>1322.4</v>
      </c>
      <c r="S249" s="669">
        <v>1110</v>
      </c>
      <c r="T249" s="669">
        <v>0</v>
      </c>
      <c r="U249" s="669">
        <v>0</v>
      </c>
      <c r="V249" s="669">
        <v>0</v>
      </c>
      <c r="W249" s="669">
        <v>0</v>
      </c>
      <c r="X249" s="669">
        <v>0</v>
      </c>
      <c r="Y249" s="669">
        <v>0</v>
      </c>
      <c r="Z249" s="669">
        <f>SUM(R249:Y249)</f>
        <v>2432.4</v>
      </c>
      <c r="AA249" s="669">
        <v>1000</v>
      </c>
      <c r="AB249" s="669">
        <v>0</v>
      </c>
      <c r="AC249" s="670">
        <f t="shared" si="34"/>
        <v>1000</v>
      </c>
      <c r="AD249" s="671">
        <f>(Z249*12)+AC249</f>
        <v>30188.800000000003</v>
      </c>
      <c r="AE249" s="672">
        <f>Q249*AD249</f>
        <v>181132.80000000002</v>
      </c>
      <c r="AF249" s="674">
        <f aca="true" t="shared" si="35" ref="AF249:AG251">+AD249-O249</f>
        <v>120</v>
      </c>
      <c r="AG249" s="674">
        <f t="shared" si="35"/>
        <v>720</v>
      </c>
      <c r="AH249" s="676">
        <f>+Q249</f>
        <v>6</v>
      </c>
      <c r="AI249" s="674">
        <f>+AH249*AD249</f>
        <v>181132.80000000002</v>
      </c>
    </row>
    <row r="250" spans="1:35" ht="12.75">
      <c r="A250" s="582" t="s">
        <v>671</v>
      </c>
      <c r="B250" s="657">
        <v>2</v>
      </c>
      <c r="C250" s="669">
        <v>1272.04</v>
      </c>
      <c r="D250" s="669">
        <v>1100</v>
      </c>
      <c r="E250" s="669">
        <v>0</v>
      </c>
      <c r="F250" s="669">
        <v>0</v>
      </c>
      <c r="G250" s="669">
        <v>0</v>
      </c>
      <c r="H250" s="669">
        <v>0</v>
      </c>
      <c r="I250" s="669">
        <v>0</v>
      </c>
      <c r="J250" s="669">
        <v>0</v>
      </c>
      <c r="K250" s="669">
        <f t="shared" si="32"/>
        <v>2372.04</v>
      </c>
      <c r="L250" s="669">
        <v>1000</v>
      </c>
      <c r="M250" s="669">
        <v>0</v>
      </c>
      <c r="N250" s="670">
        <f t="shared" si="33"/>
        <v>1000</v>
      </c>
      <c r="O250" s="671">
        <f>(K250*12)+N250</f>
        <v>29464.48</v>
      </c>
      <c r="P250" s="672">
        <f>B250*O250</f>
        <v>58928.96</v>
      </c>
      <c r="Q250" s="678">
        <v>2</v>
      </c>
      <c r="R250" s="669">
        <v>1272.04</v>
      </c>
      <c r="S250" s="669">
        <v>1110</v>
      </c>
      <c r="T250" s="669">
        <v>0</v>
      </c>
      <c r="U250" s="669">
        <v>0</v>
      </c>
      <c r="V250" s="669">
        <v>0</v>
      </c>
      <c r="W250" s="669">
        <v>0</v>
      </c>
      <c r="X250" s="669">
        <v>0</v>
      </c>
      <c r="Y250" s="669">
        <v>0</v>
      </c>
      <c r="Z250" s="669">
        <f>SUM(R250:Y250)</f>
        <v>2382.04</v>
      </c>
      <c r="AA250" s="669">
        <v>1000</v>
      </c>
      <c r="AB250" s="669">
        <v>0</v>
      </c>
      <c r="AC250" s="670">
        <f t="shared" si="34"/>
        <v>1000</v>
      </c>
      <c r="AD250" s="671">
        <f>(Z250*12)+AC250</f>
        <v>29584.48</v>
      </c>
      <c r="AE250" s="672">
        <f>Q250*AD250</f>
        <v>59168.96</v>
      </c>
      <c r="AF250" s="674">
        <f t="shared" si="35"/>
        <v>120</v>
      </c>
      <c r="AG250" s="674">
        <f t="shared" si="35"/>
        <v>240</v>
      </c>
      <c r="AH250" s="676">
        <f>+Q250</f>
        <v>2</v>
      </c>
      <c r="AI250" s="674">
        <f>+AH250*AD250</f>
        <v>59168.96</v>
      </c>
    </row>
    <row r="251" spans="1:35" ht="12.75">
      <c r="A251" s="582" t="s">
        <v>684</v>
      </c>
      <c r="B251" s="657">
        <v>2</v>
      </c>
      <c r="C251" s="669">
        <v>1195.98</v>
      </c>
      <c r="D251" s="669">
        <v>1100</v>
      </c>
      <c r="E251" s="669">
        <v>0</v>
      </c>
      <c r="F251" s="669">
        <v>0</v>
      </c>
      <c r="G251" s="669">
        <v>0</v>
      </c>
      <c r="H251" s="669">
        <v>0</v>
      </c>
      <c r="I251" s="669">
        <v>0</v>
      </c>
      <c r="J251" s="669">
        <v>0</v>
      </c>
      <c r="K251" s="669">
        <f t="shared" si="32"/>
        <v>2295.98</v>
      </c>
      <c r="L251" s="669">
        <v>1000</v>
      </c>
      <c r="M251" s="669">
        <v>0</v>
      </c>
      <c r="N251" s="670">
        <f t="shared" si="33"/>
        <v>1000</v>
      </c>
      <c r="O251" s="671">
        <f>(K251*12)+N251</f>
        <v>28551.760000000002</v>
      </c>
      <c r="P251" s="672">
        <f>B251*O251</f>
        <v>57103.520000000004</v>
      </c>
      <c r="Q251" s="680">
        <v>2</v>
      </c>
      <c r="R251" s="669">
        <v>1195.98</v>
      </c>
      <c r="S251" s="669">
        <v>1110</v>
      </c>
      <c r="T251" s="669">
        <v>0</v>
      </c>
      <c r="U251" s="669">
        <v>0</v>
      </c>
      <c r="V251" s="669">
        <v>0</v>
      </c>
      <c r="W251" s="669">
        <v>0</v>
      </c>
      <c r="X251" s="669">
        <v>0</v>
      </c>
      <c r="Y251" s="669">
        <v>0</v>
      </c>
      <c r="Z251" s="669">
        <f>SUM(R251:Y251)</f>
        <v>2305.98</v>
      </c>
      <c r="AA251" s="669">
        <v>1000</v>
      </c>
      <c r="AB251" s="669">
        <v>0</v>
      </c>
      <c r="AC251" s="670">
        <f t="shared" si="34"/>
        <v>1000</v>
      </c>
      <c r="AD251" s="671">
        <f>(Z251*12)+AC251</f>
        <v>28671.760000000002</v>
      </c>
      <c r="AE251" s="672">
        <f>Q251*AD251</f>
        <v>57343.520000000004</v>
      </c>
      <c r="AF251" s="674">
        <f t="shared" si="35"/>
        <v>120</v>
      </c>
      <c r="AG251" s="674">
        <f t="shared" si="35"/>
        <v>240</v>
      </c>
      <c r="AH251" s="676">
        <f>+Q251</f>
        <v>2</v>
      </c>
      <c r="AI251" s="674">
        <f>+AH251*AD251</f>
        <v>57343.520000000004</v>
      </c>
    </row>
    <row r="252" spans="1:35" ht="12.75">
      <c r="A252" s="581" t="s">
        <v>5</v>
      </c>
      <c r="B252" s="665">
        <f>SUM(B253:B258)</f>
        <v>96</v>
      </c>
      <c r="C252" s="665">
        <f aca="true" t="shared" si="36" ref="C252:AE252">SUM(C253:C258)</f>
        <v>6467.85</v>
      </c>
      <c r="D252" s="665">
        <f t="shared" si="36"/>
        <v>5700</v>
      </c>
      <c r="E252" s="665">
        <f t="shared" si="36"/>
        <v>0</v>
      </c>
      <c r="F252" s="665">
        <f t="shared" si="36"/>
        <v>0</v>
      </c>
      <c r="G252" s="665">
        <f t="shared" si="36"/>
        <v>0</v>
      </c>
      <c r="H252" s="665">
        <f t="shared" si="36"/>
        <v>0</v>
      </c>
      <c r="I252" s="665">
        <f t="shared" si="36"/>
        <v>0</v>
      </c>
      <c r="J252" s="665">
        <f t="shared" si="36"/>
        <v>0</v>
      </c>
      <c r="K252" s="665">
        <f t="shared" si="36"/>
        <v>12167.849999999999</v>
      </c>
      <c r="L252" s="665">
        <f t="shared" si="36"/>
        <v>6000</v>
      </c>
      <c r="M252" s="665">
        <f t="shared" si="36"/>
        <v>0</v>
      </c>
      <c r="N252" s="665">
        <f t="shared" si="36"/>
        <v>6000</v>
      </c>
      <c r="O252" s="666">
        <f t="shared" si="36"/>
        <v>152014.2</v>
      </c>
      <c r="P252" s="666">
        <f t="shared" si="36"/>
        <v>2453903.7599999993</v>
      </c>
      <c r="Q252" s="665">
        <f t="shared" si="36"/>
        <v>90</v>
      </c>
      <c r="R252" s="665">
        <f t="shared" si="36"/>
        <v>6467.85</v>
      </c>
      <c r="S252" s="665">
        <f t="shared" si="36"/>
        <v>6420</v>
      </c>
      <c r="T252" s="665">
        <f t="shared" si="36"/>
        <v>0</v>
      </c>
      <c r="U252" s="665">
        <f t="shared" si="36"/>
        <v>0</v>
      </c>
      <c r="V252" s="665">
        <f t="shared" si="36"/>
        <v>0</v>
      </c>
      <c r="W252" s="665">
        <f t="shared" si="36"/>
        <v>0</v>
      </c>
      <c r="X252" s="665">
        <f t="shared" si="36"/>
        <v>0</v>
      </c>
      <c r="Y252" s="665">
        <f t="shared" si="36"/>
        <v>0</v>
      </c>
      <c r="Z252" s="665">
        <f t="shared" si="36"/>
        <v>12887.850000000002</v>
      </c>
      <c r="AA252" s="665">
        <f t="shared" si="36"/>
        <v>6000</v>
      </c>
      <c r="AB252" s="665">
        <f t="shared" si="36"/>
        <v>0</v>
      </c>
      <c r="AC252" s="665">
        <f t="shared" si="36"/>
        <v>6000</v>
      </c>
      <c r="AD252" s="666">
        <f t="shared" si="36"/>
        <v>160654.2</v>
      </c>
      <c r="AE252" s="666">
        <f t="shared" si="36"/>
        <v>2431316.3999999994</v>
      </c>
      <c r="AF252" s="681"/>
      <c r="AG252" s="681"/>
      <c r="AH252" s="682"/>
      <c r="AI252" s="681"/>
    </row>
    <row r="253" spans="1:35" ht="12.75">
      <c r="A253" s="582" t="s">
        <v>672</v>
      </c>
      <c r="B253" s="657">
        <v>43</v>
      </c>
      <c r="C253" s="669">
        <v>1125.12</v>
      </c>
      <c r="D253" s="669">
        <v>950</v>
      </c>
      <c r="E253" s="669">
        <v>0</v>
      </c>
      <c r="F253" s="669">
        <v>0</v>
      </c>
      <c r="G253" s="669">
        <v>0</v>
      </c>
      <c r="H253" s="669">
        <v>0</v>
      </c>
      <c r="I253" s="669">
        <v>0</v>
      </c>
      <c r="J253" s="669">
        <v>0</v>
      </c>
      <c r="K253" s="669">
        <f aca="true" t="shared" si="37" ref="K253:K258">SUM(C253:J253)</f>
        <v>2075.12</v>
      </c>
      <c r="L253" s="669">
        <v>1000</v>
      </c>
      <c r="M253" s="669">
        <v>0</v>
      </c>
      <c r="N253" s="670">
        <f aca="true" t="shared" si="38" ref="N253:N258">SUM(L253:M253)</f>
        <v>1000</v>
      </c>
      <c r="O253" s="671">
        <f aca="true" t="shared" si="39" ref="O253:O258">(K253*12)+N253</f>
        <v>25901.44</v>
      </c>
      <c r="P253" s="672">
        <f aca="true" t="shared" si="40" ref="P253:P258">B253*O253</f>
        <v>1113761.92</v>
      </c>
      <c r="Q253" s="677">
        <v>40</v>
      </c>
      <c r="R253" s="669">
        <v>1125.12</v>
      </c>
      <c r="S253" s="669">
        <v>1070</v>
      </c>
      <c r="T253" s="669">
        <v>0</v>
      </c>
      <c r="U253" s="669">
        <v>0</v>
      </c>
      <c r="V253" s="669">
        <v>0</v>
      </c>
      <c r="W253" s="669">
        <v>0</v>
      </c>
      <c r="X253" s="669">
        <v>0</v>
      </c>
      <c r="Y253" s="669">
        <v>0</v>
      </c>
      <c r="Z253" s="669">
        <f aca="true" t="shared" si="41" ref="Z253:Z258">SUM(R253:Y253)</f>
        <v>2195.12</v>
      </c>
      <c r="AA253" s="669">
        <v>1000</v>
      </c>
      <c r="AB253" s="669">
        <v>0</v>
      </c>
      <c r="AC253" s="670">
        <f t="shared" si="34"/>
        <v>1000</v>
      </c>
      <c r="AD253" s="671">
        <f aca="true" t="shared" si="42" ref="AD253:AD258">(Z253*12)+AC253</f>
        <v>27341.44</v>
      </c>
      <c r="AE253" s="672">
        <f aca="true" t="shared" si="43" ref="AE253:AE258">Q253*AD253</f>
        <v>1093657.5999999999</v>
      </c>
      <c r="AF253" s="674">
        <f aca="true" t="shared" si="44" ref="AF253:AG258">+AD253-O253</f>
        <v>1440</v>
      </c>
      <c r="AG253" s="674">
        <f t="shared" si="44"/>
        <v>-20104.320000000065</v>
      </c>
      <c r="AH253" s="676">
        <f aca="true" t="shared" si="45" ref="AH253:AH258">+Q253</f>
        <v>40</v>
      </c>
      <c r="AI253" s="674">
        <f aca="true" t="shared" si="46" ref="AI253:AI258">+AH253*AD253</f>
        <v>1093657.5999999999</v>
      </c>
    </row>
    <row r="254" spans="1:35" ht="12.75">
      <c r="A254" s="582" t="s">
        <v>673</v>
      </c>
      <c r="B254" s="657">
        <v>23</v>
      </c>
      <c r="C254" s="669">
        <v>1104.7</v>
      </c>
      <c r="D254" s="669">
        <v>950</v>
      </c>
      <c r="E254" s="669">
        <v>0</v>
      </c>
      <c r="F254" s="669">
        <v>0</v>
      </c>
      <c r="G254" s="669">
        <v>0</v>
      </c>
      <c r="H254" s="669">
        <v>0</v>
      </c>
      <c r="I254" s="669">
        <v>0</v>
      </c>
      <c r="J254" s="669">
        <v>0</v>
      </c>
      <c r="K254" s="669">
        <f t="shared" si="37"/>
        <v>2054.7</v>
      </c>
      <c r="L254" s="669">
        <v>1000</v>
      </c>
      <c r="M254" s="669">
        <v>0</v>
      </c>
      <c r="N254" s="670">
        <f t="shared" si="38"/>
        <v>1000</v>
      </c>
      <c r="O254" s="671">
        <f t="shared" si="39"/>
        <v>25656.399999999998</v>
      </c>
      <c r="P254" s="672">
        <f t="shared" si="40"/>
        <v>590097.2</v>
      </c>
      <c r="Q254" s="678">
        <v>23</v>
      </c>
      <c r="R254" s="669">
        <v>1104.7</v>
      </c>
      <c r="S254" s="669">
        <v>1070</v>
      </c>
      <c r="T254" s="669">
        <v>0</v>
      </c>
      <c r="U254" s="669">
        <v>0</v>
      </c>
      <c r="V254" s="669">
        <v>0</v>
      </c>
      <c r="W254" s="669">
        <v>0</v>
      </c>
      <c r="X254" s="669">
        <v>0</v>
      </c>
      <c r="Y254" s="669">
        <v>0</v>
      </c>
      <c r="Z254" s="669">
        <f t="shared" si="41"/>
        <v>2174.7</v>
      </c>
      <c r="AA254" s="669">
        <v>1000</v>
      </c>
      <c r="AB254" s="669">
        <v>0</v>
      </c>
      <c r="AC254" s="670">
        <f t="shared" si="34"/>
        <v>1000</v>
      </c>
      <c r="AD254" s="671">
        <f t="shared" si="42"/>
        <v>27096.399999999998</v>
      </c>
      <c r="AE254" s="672">
        <f t="shared" si="43"/>
        <v>623217.2</v>
      </c>
      <c r="AF254" s="674">
        <f t="shared" si="44"/>
        <v>1440</v>
      </c>
      <c r="AG254" s="674">
        <f t="shared" si="44"/>
        <v>33120</v>
      </c>
      <c r="AH254" s="676">
        <f t="shared" si="45"/>
        <v>23</v>
      </c>
      <c r="AI254" s="674">
        <f t="shared" si="46"/>
        <v>623217.2</v>
      </c>
    </row>
    <row r="255" spans="1:35" ht="12.75">
      <c r="A255" s="582" t="s">
        <v>676</v>
      </c>
      <c r="B255" s="657">
        <v>7</v>
      </c>
      <c r="C255" s="669">
        <v>1070.74</v>
      </c>
      <c r="D255" s="669">
        <v>950</v>
      </c>
      <c r="E255" s="669">
        <v>0</v>
      </c>
      <c r="F255" s="669">
        <v>0</v>
      </c>
      <c r="G255" s="669">
        <v>0</v>
      </c>
      <c r="H255" s="669">
        <v>0</v>
      </c>
      <c r="I255" s="669">
        <v>0</v>
      </c>
      <c r="J255" s="669">
        <v>0</v>
      </c>
      <c r="K255" s="669">
        <f t="shared" si="37"/>
        <v>2020.74</v>
      </c>
      <c r="L255" s="669">
        <v>1000</v>
      </c>
      <c r="M255" s="669">
        <v>0</v>
      </c>
      <c r="N255" s="670">
        <f t="shared" si="38"/>
        <v>1000</v>
      </c>
      <c r="O255" s="671">
        <f t="shared" si="39"/>
        <v>25248.88</v>
      </c>
      <c r="P255" s="672">
        <f t="shared" si="40"/>
        <v>176742.16</v>
      </c>
      <c r="Q255" s="678">
        <v>7</v>
      </c>
      <c r="R255" s="669">
        <v>1070.74</v>
      </c>
      <c r="S255" s="669">
        <v>1070</v>
      </c>
      <c r="T255" s="669">
        <v>0</v>
      </c>
      <c r="U255" s="669">
        <v>0</v>
      </c>
      <c r="V255" s="669">
        <v>0</v>
      </c>
      <c r="W255" s="669">
        <v>0</v>
      </c>
      <c r="X255" s="669">
        <v>0</v>
      </c>
      <c r="Y255" s="669">
        <v>0</v>
      </c>
      <c r="Z255" s="669">
        <f t="shared" si="41"/>
        <v>2140.74</v>
      </c>
      <c r="AA255" s="669">
        <v>1000</v>
      </c>
      <c r="AB255" s="669">
        <v>0</v>
      </c>
      <c r="AC255" s="670">
        <f t="shared" si="34"/>
        <v>1000</v>
      </c>
      <c r="AD255" s="671">
        <f t="shared" si="42"/>
        <v>26688.879999999997</v>
      </c>
      <c r="AE255" s="672">
        <f t="shared" si="43"/>
        <v>186822.15999999997</v>
      </c>
      <c r="AF255" s="674">
        <f t="shared" si="44"/>
        <v>1439.9999999999964</v>
      </c>
      <c r="AG255" s="674">
        <f t="shared" si="44"/>
        <v>10079.99999999997</v>
      </c>
      <c r="AH255" s="676">
        <f t="shared" si="45"/>
        <v>7</v>
      </c>
      <c r="AI255" s="674">
        <f t="shared" si="46"/>
        <v>186822.15999999997</v>
      </c>
    </row>
    <row r="256" spans="1:35" ht="12.75">
      <c r="A256" s="582" t="s">
        <v>677</v>
      </c>
      <c r="B256" s="657">
        <v>4</v>
      </c>
      <c r="C256" s="669">
        <v>1069.68</v>
      </c>
      <c r="D256" s="669">
        <v>950</v>
      </c>
      <c r="E256" s="669">
        <v>0</v>
      </c>
      <c r="F256" s="669">
        <v>0</v>
      </c>
      <c r="G256" s="669">
        <v>0</v>
      </c>
      <c r="H256" s="669">
        <v>0</v>
      </c>
      <c r="I256" s="669">
        <v>0</v>
      </c>
      <c r="J256" s="669">
        <v>0</v>
      </c>
      <c r="K256" s="669">
        <f t="shared" si="37"/>
        <v>2019.68</v>
      </c>
      <c r="L256" s="669">
        <v>1000</v>
      </c>
      <c r="M256" s="669">
        <v>0</v>
      </c>
      <c r="N256" s="670">
        <f t="shared" si="38"/>
        <v>1000</v>
      </c>
      <c r="O256" s="671">
        <f t="shared" si="39"/>
        <v>25236.16</v>
      </c>
      <c r="P256" s="672">
        <f t="shared" si="40"/>
        <v>100944.64</v>
      </c>
      <c r="Q256" s="678">
        <v>4</v>
      </c>
      <c r="R256" s="669">
        <v>1069.68</v>
      </c>
      <c r="S256" s="669">
        <v>1070</v>
      </c>
      <c r="T256" s="669">
        <v>0</v>
      </c>
      <c r="U256" s="669">
        <v>0</v>
      </c>
      <c r="V256" s="669">
        <v>0</v>
      </c>
      <c r="W256" s="669">
        <v>0</v>
      </c>
      <c r="X256" s="669">
        <v>0</v>
      </c>
      <c r="Y256" s="669">
        <v>0</v>
      </c>
      <c r="Z256" s="669">
        <f t="shared" si="41"/>
        <v>2139.6800000000003</v>
      </c>
      <c r="AA256" s="669">
        <v>1000</v>
      </c>
      <c r="AB256" s="669">
        <v>0</v>
      </c>
      <c r="AC256" s="670">
        <f t="shared" si="34"/>
        <v>1000</v>
      </c>
      <c r="AD256" s="671">
        <f t="shared" si="42"/>
        <v>26676.160000000003</v>
      </c>
      <c r="AE256" s="672">
        <f t="shared" si="43"/>
        <v>106704.64000000001</v>
      </c>
      <c r="AF256" s="674">
        <f t="shared" si="44"/>
        <v>1440.0000000000036</v>
      </c>
      <c r="AG256" s="674">
        <f t="shared" si="44"/>
        <v>5760.000000000015</v>
      </c>
      <c r="AH256" s="676">
        <f t="shared" si="45"/>
        <v>4</v>
      </c>
      <c r="AI256" s="674">
        <f t="shared" si="46"/>
        <v>106704.64000000001</v>
      </c>
    </row>
    <row r="257" spans="1:35" ht="12.75">
      <c r="A257" s="582" t="s">
        <v>678</v>
      </c>
      <c r="B257" s="657">
        <v>17</v>
      </c>
      <c r="C257" s="669">
        <v>1035.64</v>
      </c>
      <c r="D257" s="669">
        <v>950</v>
      </c>
      <c r="E257" s="669">
        <v>0</v>
      </c>
      <c r="F257" s="669">
        <v>0</v>
      </c>
      <c r="G257" s="669">
        <v>0</v>
      </c>
      <c r="H257" s="669">
        <v>0</v>
      </c>
      <c r="I257" s="669">
        <v>0</v>
      </c>
      <c r="J257" s="669">
        <v>0</v>
      </c>
      <c r="K257" s="669">
        <f t="shared" si="37"/>
        <v>1985.64</v>
      </c>
      <c r="L257" s="669">
        <v>1000</v>
      </c>
      <c r="M257" s="669">
        <v>0</v>
      </c>
      <c r="N257" s="670">
        <f t="shared" si="38"/>
        <v>1000</v>
      </c>
      <c r="O257" s="671">
        <f t="shared" si="39"/>
        <v>24827.68</v>
      </c>
      <c r="P257" s="672">
        <f t="shared" si="40"/>
        <v>422070.56</v>
      </c>
      <c r="Q257" s="678">
        <v>14</v>
      </c>
      <c r="R257" s="669">
        <v>1035.64</v>
      </c>
      <c r="S257" s="669">
        <v>1070</v>
      </c>
      <c r="T257" s="669">
        <v>0</v>
      </c>
      <c r="U257" s="669">
        <v>0</v>
      </c>
      <c r="V257" s="669">
        <v>0</v>
      </c>
      <c r="W257" s="669">
        <v>0</v>
      </c>
      <c r="X257" s="669">
        <v>0</v>
      </c>
      <c r="Y257" s="669">
        <v>0</v>
      </c>
      <c r="Z257" s="669">
        <f t="shared" si="41"/>
        <v>2105.6400000000003</v>
      </c>
      <c r="AA257" s="669">
        <v>1000</v>
      </c>
      <c r="AB257" s="669">
        <v>0</v>
      </c>
      <c r="AC257" s="670">
        <f t="shared" si="34"/>
        <v>1000</v>
      </c>
      <c r="AD257" s="671">
        <f t="shared" si="42"/>
        <v>26267.680000000004</v>
      </c>
      <c r="AE257" s="672">
        <f t="shared" si="43"/>
        <v>367747.5200000001</v>
      </c>
      <c r="AF257" s="674">
        <f t="shared" si="44"/>
        <v>1440.0000000000036</v>
      </c>
      <c r="AG257" s="674">
        <f t="shared" si="44"/>
        <v>-54323.03999999992</v>
      </c>
      <c r="AH257" s="676">
        <f t="shared" si="45"/>
        <v>14</v>
      </c>
      <c r="AI257" s="674">
        <f t="shared" si="46"/>
        <v>367747.5200000001</v>
      </c>
    </row>
    <row r="258" spans="1:35" ht="12.75">
      <c r="A258" s="582" t="s">
        <v>708</v>
      </c>
      <c r="B258" s="657">
        <v>2</v>
      </c>
      <c r="C258" s="669">
        <v>1061.97</v>
      </c>
      <c r="D258" s="669">
        <v>950</v>
      </c>
      <c r="E258" s="669">
        <v>0</v>
      </c>
      <c r="F258" s="669">
        <v>0</v>
      </c>
      <c r="G258" s="669">
        <v>0</v>
      </c>
      <c r="H258" s="669">
        <v>0</v>
      </c>
      <c r="I258" s="669">
        <v>0</v>
      </c>
      <c r="J258" s="669">
        <v>0</v>
      </c>
      <c r="K258" s="669">
        <f t="shared" si="37"/>
        <v>2011.97</v>
      </c>
      <c r="L258" s="669">
        <v>1000</v>
      </c>
      <c r="M258" s="669">
        <v>0</v>
      </c>
      <c r="N258" s="670">
        <f t="shared" si="38"/>
        <v>1000</v>
      </c>
      <c r="O258" s="671">
        <f t="shared" si="39"/>
        <v>25143.64</v>
      </c>
      <c r="P258" s="672">
        <f t="shared" si="40"/>
        <v>50287.28</v>
      </c>
      <c r="Q258" s="680">
        <v>2</v>
      </c>
      <c r="R258" s="669">
        <v>1061.97</v>
      </c>
      <c r="S258" s="669">
        <v>1070</v>
      </c>
      <c r="T258" s="669">
        <v>0</v>
      </c>
      <c r="U258" s="669">
        <v>0</v>
      </c>
      <c r="V258" s="669">
        <v>0</v>
      </c>
      <c r="W258" s="669">
        <v>0</v>
      </c>
      <c r="X258" s="669">
        <v>0</v>
      </c>
      <c r="Y258" s="669">
        <v>0</v>
      </c>
      <c r="Z258" s="669">
        <f t="shared" si="41"/>
        <v>2131.9700000000003</v>
      </c>
      <c r="AA258" s="669">
        <v>1000</v>
      </c>
      <c r="AB258" s="669">
        <v>0</v>
      </c>
      <c r="AC258" s="670">
        <f t="shared" si="34"/>
        <v>1000</v>
      </c>
      <c r="AD258" s="671">
        <f t="shared" si="42"/>
        <v>26583.640000000003</v>
      </c>
      <c r="AE258" s="672">
        <f t="shared" si="43"/>
        <v>53167.280000000006</v>
      </c>
      <c r="AF258" s="674">
        <f t="shared" si="44"/>
        <v>1440.0000000000036</v>
      </c>
      <c r="AG258" s="674">
        <f t="shared" si="44"/>
        <v>2880.0000000000073</v>
      </c>
      <c r="AH258" s="676">
        <f t="shared" si="45"/>
        <v>2</v>
      </c>
      <c r="AI258" s="674">
        <f t="shared" si="46"/>
        <v>53167.280000000006</v>
      </c>
    </row>
    <row r="259" spans="1:35" ht="12.75">
      <c r="A259" s="581" t="s">
        <v>6</v>
      </c>
      <c r="B259" s="665">
        <f>SUM(B260:B265)</f>
        <v>164</v>
      </c>
      <c r="C259" s="665">
        <f aca="true" t="shared" si="47" ref="C259:AE259">SUM(C260:C265)</f>
        <v>5032.54</v>
      </c>
      <c r="D259" s="665">
        <f t="shared" si="47"/>
        <v>4750</v>
      </c>
      <c r="E259" s="665">
        <f t="shared" si="47"/>
        <v>0</v>
      </c>
      <c r="F259" s="665">
        <f t="shared" si="47"/>
        <v>0</v>
      </c>
      <c r="G259" s="665">
        <f t="shared" si="47"/>
        <v>0</v>
      </c>
      <c r="H259" s="665">
        <f t="shared" si="47"/>
        <v>0</v>
      </c>
      <c r="I259" s="665">
        <f t="shared" si="47"/>
        <v>0</v>
      </c>
      <c r="J259" s="665">
        <f t="shared" si="47"/>
        <v>0</v>
      </c>
      <c r="K259" s="665">
        <f t="shared" si="47"/>
        <v>9782.539999999999</v>
      </c>
      <c r="L259" s="665">
        <f t="shared" si="47"/>
        <v>5000</v>
      </c>
      <c r="M259" s="665">
        <f t="shared" si="47"/>
        <v>0</v>
      </c>
      <c r="N259" s="665">
        <f t="shared" si="47"/>
        <v>5000</v>
      </c>
      <c r="O259" s="666">
        <f t="shared" si="47"/>
        <v>122390.48000000001</v>
      </c>
      <c r="P259" s="666">
        <f t="shared" si="47"/>
        <v>3986465.8400000003</v>
      </c>
      <c r="Q259" s="665">
        <f t="shared" si="47"/>
        <v>158</v>
      </c>
      <c r="R259" s="665">
        <f t="shared" si="47"/>
        <v>5032.54</v>
      </c>
      <c r="S259" s="665">
        <f t="shared" si="47"/>
        <v>5350</v>
      </c>
      <c r="T259" s="665">
        <f t="shared" si="47"/>
        <v>0</v>
      </c>
      <c r="U259" s="665">
        <f t="shared" si="47"/>
        <v>0</v>
      </c>
      <c r="V259" s="665">
        <f t="shared" si="47"/>
        <v>0</v>
      </c>
      <c r="W259" s="665">
        <f t="shared" si="47"/>
        <v>0</v>
      </c>
      <c r="X259" s="665">
        <f t="shared" si="47"/>
        <v>0</v>
      </c>
      <c r="Y259" s="665">
        <f t="shared" si="47"/>
        <v>0</v>
      </c>
      <c r="Z259" s="665">
        <f t="shared" si="47"/>
        <v>10382.539999999999</v>
      </c>
      <c r="AA259" s="665">
        <f t="shared" si="47"/>
        <v>5000</v>
      </c>
      <c r="AB259" s="665">
        <f t="shared" si="47"/>
        <v>0</v>
      </c>
      <c r="AC259" s="665">
        <f t="shared" si="47"/>
        <v>5000</v>
      </c>
      <c r="AD259" s="666">
        <f t="shared" si="47"/>
        <v>129590.48000000001</v>
      </c>
      <c r="AE259" s="666">
        <f t="shared" si="47"/>
        <v>4067763.9200000004</v>
      </c>
      <c r="AF259" s="683"/>
      <c r="AG259" s="683"/>
      <c r="AH259" s="684"/>
      <c r="AI259" s="683"/>
    </row>
    <row r="260" spans="1:35" ht="12.75">
      <c r="A260" s="582" t="s">
        <v>685</v>
      </c>
      <c r="B260" s="657">
        <v>21</v>
      </c>
      <c r="C260" s="669">
        <v>1027.34</v>
      </c>
      <c r="D260" s="669">
        <v>950</v>
      </c>
      <c r="E260" s="669">
        <v>0</v>
      </c>
      <c r="F260" s="669">
        <v>0</v>
      </c>
      <c r="G260" s="669">
        <v>0</v>
      </c>
      <c r="H260" s="669">
        <v>0</v>
      </c>
      <c r="I260" s="669">
        <v>0</v>
      </c>
      <c r="J260" s="669">
        <v>0</v>
      </c>
      <c r="K260" s="669">
        <f>SUM(C260:J260)</f>
        <v>1977.34</v>
      </c>
      <c r="L260" s="669">
        <v>1000</v>
      </c>
      <c r="M260" s="669">
        <v>0</v>
      </c>
      <c r="N260" s="670">
        <f>SUM(L260:M260)</f>
        <v>1000</v>
      </c>
      <c r="O260" s="671">
        <f>(K260*12)+N260</f>
        <v>24728.079999999998</v>
      </c>
      <c r="P260" s="672">
        <f>B260*O260</f>
        <v>519289.67999999993</v>
      </c>
      <c r="Q260" s="677">
        <v>20</v>
      </c>
      <c r="R260" s="669">
        <v>1027.34</v>
      </c>
      <c r="S260" s="669">
        <v>1070</v>
      </c>
      <c r="T260" s="669">
        <v>0</v>
      </c>
      <c r="U260" s="669">
        <v>0</v>
      </c>
      <c r="V260" s="669">
        <v>0</v>
      </c>
      <c r="W260" s="669">
        <v>0</v>
      </c>
      <c r="X260" s="669">
        <v>0</v>
      </c>
      <c r="Y260" s="669">
        <v>0</v>
      </c>
      <c r="Z260" s="669">
        <f>SUM(R260:Y260)</f>
        <v>2097.34</v>
      </c>
      <c r="AA260" s="669">
        <v>1000</v>
      </c>
      <c r="AB260" s="669">
        <v>0</v>
      </c>
      <c r="AC260" s="670">
        <f t="shared" si="34"/>
        <v>1000</v>
      </c>
      <c r="AD260" s="671">
        <f>(Z260*12)+AC260</f>
        <v>26168.08</v>
      </c>
      <c r="AE260" s="672">
        <f>Q260*AD260</f>
        <v>523361.60000000003</v>
      </c>
      <c r="AF260" s="674">
        <f aca="true" t="shared" si="48" ref="AF260:AG264">+AD260-O260</f>
        <v>1440.0000000000036</v>
      </c>
      <c r="AG260" s="674">
        <f t="shared" si="48"/>
        <v>4071.9200000001</v>
      </c>
      <c r="AH260" s="676">
        <f>+Q260</f>
        <v>20</v>
      </c>
      <c r="AI260" s="674">
        <f>+AH260*AD260</f>
        <v>523361.60000000003</v>
      </c>
    </row>
    <row r="261" spans="1:35" ht="12.75">
      <c r="A261" s="582" t="s">
        <v>679</v>
      </c>
      <c r="B261" s="657">
        <v>6</v>
      </c>
      <c r="C261" s="669">
        <v>1026.84</v>
      </c>
      <c r="D261" s="669">
        <v>950</v>
      </c>
      <c r="E261" s="669">
        <v>0</v>
      </c>
      <c r="F261" s="669">
        <v>0</v>
      </c>
      <c r="G261" s="669">
        <v>0</v>
      </c>
      <c r="H261" s="669">
        <v>0</v>
      </c>
      <c r="I261" s="669">
        <v>0</v>
      </c>
      <c r="J261" s="669">
        <v>0</v>
      </c>
      <c r="K261" s="669">
        <f>SUM(C261:J261)</f>
        <v>1976.84</v>
      </c>
      <c r="L261" s="669">
        <v>1000</v>
      </c>
      <c r="M261" s="669">
        <v>0</v>
      </c>
      <c r="N261" s="670">
        <f>SUM(L261:M261)</f>
        <v>1000</v>
      </c>
      <c r="O261" s="671">
        <f>(K261*12)+N261</f>
        <v>24722.079999999998</v>
      </c>
      <c r="P261" s="672">
        <f>B261*O261</f>
        <v>148332.47999999998</v>
      </c>
      <c r="Q261" s="678">
        <v>6</v>
      </c>
      <c r="R261" s="669">
        <v>1026.84</v>
      </c>
      <c r="S261" s="669">
        <v>1070</v>
      </c>
      <c r="T261" s="669">
        <v>0</v>
      </c>
      <c r="U261" s="669">
        <v>0</v>
      </c>
      <c r="V261" s="669">
        <v>0</v>
      </c>
      <c r="W261" s="669">
        <v>0</v>
      </c>
      <c r="X261" s="669">
        <v>0</v>
      </c>
      <c r="Y261" s="669">
        <v>0</v>
      </c>
      <c r="Z261" s="669">
        <f>SUM(R261:Y261)</f>
        <v>2096.84</v>
      </c>
      <c r="AA261" s="669">
        <v>1000</v>
      </c>
      <c r="AB261" s="669">
        <v>0</v>
      </c>
      <c r="AC261" s="670">
        <f t="shared" si="34"/>
        <v>1000</v>
      </c>
      <c r="AD261" s="671">
        <f>(Z261*12)+AC261</f>
        <v>26162.08</v>
      </c>
      <c r="AE261" s="672">
        <f>Q261*AD261</f>
        <v>156972.48</v>
      </c>
      <c r="AF261" s="674">
        <f t="shared" si="48"/>
        <v>1440.0000000000036</v>
      </c>
      <c r="AG261" s="674">
        <f t="shared" si="48"/>
        <v>8640.00000000003</v>
      </c>
      <c r="AH261" s="676">
        <f>+Q261</f>
        <v>6</v>
      </c>
      <c r="AI261" s="674">
        <f>+AH261*AD261</f>
        <v>156972.48</v>
      </c>
    </row>
    <row r="262" spans="1:35" ht="12.75">
      <c r="A262" s="582" t="s">
        <v>709</v>
      </c>
      <c r="B262" s="657">
        <v>14</v>
      </c>
      <c r="C262" s="669">
        <v>998.9</v>
      </c>
      <c r="D262" s="669">
        <v>950</v>
      </c>
      <c r="E262" s="669">
        <v>0</v>
      </c>
      <c r="F262" s="669">
        <v>0</v>
      </c>
      <c r="G262" s="669">
        <v>0</v>
      </c>
      <c r="H262" s="669">
        <v>0</v>
      </c>
      <c r="I262" s="669">
        <v>0</v>
      </c>
      <c r="J262" s="669">
        <v>0</v>
      </c>
      <c r="K262" s="669">
        <f>SUM(C262:J262)</f>
        <v>1948.9</v>
      </c>
      <c r="L262" s="669">
        <v>1000</v>
      </c>
      <c r="M262" s="669">
        <v>0</v>
      </c>
      <c r="N262" s="670">
        <f>SUM(L262:M262)</f>
        <v>1000</v>
      </c>
      <c r="O262" s="671">
        <f>(K262*12)+N262</f>
        <v>24386.800000000003</v>
      </c>
      <c r="P262" s="672">
        <f>B262*O262</f>
        <v>341415.20000000007</v>
      </c>
      <c r="Q262" s="678">
        <v>13</v>
      </c>
      <c r="R262" s="669">
        <v>998.9</v>
      </c>
      <c r="S262" s="669">
        <v>1070</v>
      </c>
      <c r="T262" s="669">
        <v>0</v>
      </c>
      <c r="U262" s="669">
        <v>0</v>
      </c>
      <c r="V262" s="669">
        <v>0</v>
      </c>
      <c r="W262" s="669">
        <v>0</v>
      </c>
      <c r="X262" s="669">
        <v>0</v>
      </c>
      <c r="Y262" s="669">
        <v>0</v>
      </c>
      <c r="Z262" s="669">
        <f>SUM(R262:Y262)</f>
        <v>2068.9</v>
      </c>
      <c r="AA262" s="669">
        <v>1000</v>
      </c>
      <c r="AB262" s="669">
        <v>0</v>
      </c>
      <c r="AC262" s="670">
        <f t="shared" si="34"/>
        <v>1000</v>
      </c>
      <c r="AD262" s="671">
        <f>(Z262*12)+AC262</f>
        <v>25826.800000000003</v>
      </c>
      <c r="AE262" s="672">
        <f>Q262*AD262</f>
        <v>335748.4</v>
      </c>
      <c r="AF262" s="674">
        <f t="shared" si="48"/>
        <v>1440</v>
      </c>
      <c r="AG262" s="674">
        <f t="shared" si="48"/>
        <v>-5666.800000000047</v>
      </c>
      <c r="AH262" s="676">
        <f>+Q262</f>
        <v>13</v>
      </c>
      <c r="AI262" s="674">
        <f>+AH262*AD262</f>
        <v>335748.4</v>
      </c>
    </row>
    <row r="263" spans="1:35" ht="12.75">
      <c r="A263" s="582" t="s">
        <v>686</v>
      </c>
      <c r="B263" s="657">
        <v>18</v>
      </c>
      <c r="C263" s="669">
        <v>997.98</v>
      </c>
      <c r="D263" s="669">
        <v>950</v>
      </c>
      <c r="E263" s="669">
        <v>0</v>
      </c>
      <c r="F263" s="669">
        <v>0</v>
      </c>
      <c r="G263" s="669">
        <v>0</v>
      </c>
      <c r="H263" s="669">
        <v>0</v>
      </c>
      <c r="I263" s="669">
        <v>0</v>
      </c>
      <c r="J263" s="669">
        <v>0</v>
      </c>
      <c r="K263" s="669">
        <f>SUM(C263:J263)</f>
        <v>1947.98</v>
      </c>
      <c r="L263" s="669">
        <v>1000</v>
      </c>
      <c r="M263" s="669">
        <v>0</v>
      </c>
      <c r="N263" s="670">
        <f>SUM(L263:M263)</f>
        <v>1000</v>
      </c>
      <c r="O263" s="671">
        <f>(K263*12)+N263</f>
        <v>24375.760000000002</v>
      </c>
      <c r="P263" s="672">
        <f>B263*O263</f>
        <v>438763.68000000005</v>
      </c>
      <c r="Q263" s="678">
        <v>16</v>
      </c>
      <c r="R263" s="669">
        <v>997.98</v>
      </c>
      <c r="S263" s="669">
        <v>1070</v>
      </c>
      <c r="T263" s="669">
        <v>0</v>
      </c>
      <c r="U263" s="669">
        <v>0</v>
      </c>
      <c r="V263" s="669">
        <v>0</v>
      </c>
      <c r="W263" s="669">
        <v>0</v>
      </c>
      <c r="X263" s="669">
        <v>0</v>
      </c>
      <c r="Y263" s="669">
        <v>0</v>
      </c>
      <c r="Z263" s="669">
        <f>SUM(R263:Y263)</f>
        <v>2067.98</v>
      </c>
      <c r="AA263" s="669">
        <v>1000</v>
      </c>
      <c r="AB263" s="669">
        <v>0</v>
      </c>
      <c r="AC263" s="670">
        <f t="shared" si="34"/>
        <v>1000</v>
      </c>
      <c r="AD263" s="671">
        <f>(Z263*12)+AC263</f>
        <v>25815.760000000002</v>
      </c>
      <c r="AE263" s="672">
        <f>Q263*AD263</f>
        <v>413052.16000000003</v>
      </c>
      <c r="AF263" s="674">
        <f t="shared" si="48"/>
        <v>1440</v>
      </c>
      <c r="AG263" s="674">
        <f t="shared" si="48"/>
        <v>-25711.52000000002</v>
      </c>
      <c r="AH263" s="676">
        <f>+Q263</f>
        <v>16</v>
      </c>
      <c r="AI263" s="674">
        <f>+AH263*AD263</f>
        <v>413052.16000000003</v>
      </c>
    </row>
    <row r="264" spans="1:35" ht="12.75">
      <c r="A264" s="582" t="s">
        <v>682</v>
      </c>
      <c r="B264" s="657">
        <v>105</v>
      </c>
      <c r="C264" s="669">
        <v>981.48</v>
      </c>
      <c r="D264" s="669">
        <v>950</v>
      </c>
      <c r="E264" s="669">
        <v>0</v>
      </c>
      <c r="F264" s="669">
        <v>0</v>
      </c>
      <c r="G264" s="669">
        <v>0</v>
      </c>
      <c r="H264" s="669">
        <v>0</v>
      </c>
      <c r="I264" s="669">
        <v>0</v>
      </c>
      <c r="J264" s="669">
        <v>0</v>
      </c>
      <c r="K264" s="669">
        <f>SUM(C264:J264)</f>
        <v>1931.48</v>
      </c>
      <c r="L264" s="669">
        <v>1000</v>
      </c>
      <c r="M264" s="669">
        <v>0</v>
      </c>
      <c r="N264" s="670">
        <f>SUM(L264:M264)</f>
        <v>1000</v>
      </c>
      <c r="O264" s="671">
        <f>(K264*12)+N264</f>
        <v>24177.760000000002</v>
      </c>
      <c r="P264" s="672">
        <f>B264*O264</f>
        <v>2538664.8000000003</v>
      </c>
      <c r="Q264" s="680">
        <v>103</v>
      </c>
      <c r="R264" s="669">
        <v>981.48</v>
      </c>
      <c r="S264" s="669">
        <v>1070</v>
      </c>
      <c r="T264" s="669">
        <v>0</v>
      </c>
      <c r="U264" s="669">
        <v>0</v>
      </c>
      <c r="V264" s="669">
        <v>0</v>
      </c>
      <c r="W264" s="669">
        <v>0</v>
      </c>
      <c r="X264" s="669">
        <v>0</v>
      </c>
      <c r="Y264" s="669">
        <v>0</v>
      </c>
      <c r="Z264" s="669">
        <f>SUM(R264:Y264)</f>
        <v>2051.48</v>
      </c>
      <c r="AA264" s="669">
        <v>1000</v>
      </c>
      <c r="AB264" s="669">
        <v>0</v>
      </c>
      <c r="AC264" s="670">
        <f t="shared" si="34"/>
        <v>1000</v>
      </c>
      <c r="AD264" s="671">
        <f>(Z264*12)+AC264</f>
        <v>25617.760000000002</v>
      </c>
      <c r="AE264" s="672">
        <f>Q264*AD264</f>
        <v>2638629.2800000003</v>
      </c>
      <c r="AF264" s="674">
        <f t="shared" si="48"/>
        <v>1440</v>
      </c>
      <c r="AG264" s="674">
        <f t="shared" si="48"/>
        <v>99964.47999999998</v>
      </c>
      <c r="AH264" s="676">
        <f>+Q264</f>
        <v>103</v>
      </c>
      <c r="AI264" s="674">
        <f>+AH264*AD264</f>
        <v>2638629.2800000003</v>
      </c>
    </row>
    <row r="265" spans="1:35" ht="12.75">
      <c r="A265" s="582" t="s">
        <v>710</v>
      </c>
      <c r="B265" s="657"/>
      <c r="C265" s="669"/>
      <c r="D265" s="669"/>
      <c r="E265" s="669"/>
      <c r="F265" s="669"/>
      <c r="G265" s="669"/>
      <c r="H265" s="669"/>
      <c r="I265" s="669"/>
      <c r="J265" s="669"/>
      <c r="K265" s="669"/>
      <c r="L265" s="685"/>
      <c r="M265" s="669"/>
      <c r="N265" s="670"/>
      <c r="O265" s="671"/>
      <c r="P265" s="672"/>
      <c r="Q265" s="673"/>
      <c r="R265" s="669"/>
      <c r="S265" s="669"/>
      <c r="T265" s="669"/>
      <c r="U265" s="669"/>
      <c r="V265" s="669"/>
      <c r="W265" s="669"/>
      <c r="X265" s="669"/>
      <c r="Y265" s="669"/>
      <c r="Z265" s="669"/>
      <c r="AA265" s="669"/>
      <c r="AB265" s="669"/>
      <c r="AC265" s="670"/>
      <c r="AD265" s="671"/>
      <c r="AE265" s="672"/>
      <c r="AF265" s="674"/>
      <c r="AG265" s="674"/>
      <c r="AH265" s="675"/>
      <c r="AI265" s="674"/>
    </row>
    <row r="266" spans="1:35" ht="12">
      <c r="A266" s="686" t="s">
        <v>586</v>
      </c>
      <c r="B266" s="665">
        <f>SUM(B267:B275)</f>
        <v>2846</v>
      </c>
      <c r="C266" s="665">
        <f aca="true" t="shared" si="49" ref="C266:AE266">SUM(C267:C275)</f>
        <v>25788.419999999995</v>
      </c>
      <c r="D266" s="665">
        <f t="shared" si="49"/>
        <v>0</v>
      </c>
      <c r="E266" s="665">
        <f t="shared" si="49"/>
        <v>0</v>
      </c>
      <c r="F266" s="665">
        <f t="shared" si="49"/>
        <v>0</v>
      </c>
      <c r="G266" s="665">
        <f t="shared" si="49"/>
        <v>0</v>
      </c>
      <c r="H266" s="665">
        <f t="shared" si="49"/>
        <v>0</v>
      </c>
      <c r="I266" s="665">
        <f t="shared" si="49"/>
        <v>0</v>
      </c>
      <c r="J266" s="665">
        <f t="shared" si="49"/>
        <v>0</v>
      </c>
      <c r="K266" s="665">
        <f t="shared" si="49"/>
        <v>25788.419999999995</v>
      </c>
      <c r="L266" s="665">
        <f t="shared" si="49"/>
        <v>9000</v>
      </c>
      <c r="M266" s="665">
        <f t="shared" si="49"/>
        <v>0</v>
      </c>
      <c r="N266" s="665">
        <f t="shared" si="49"/>
        <v>9000</v>
      </c>
      <c r="O266" s="666">
        <f t="shared" si="49"/>
        <v>318461.04</v>
      </c>
      <c r="P266" s="666">
        <f t="shared" si="49"/>
        <v>78523625.72</v>
      </c>
      <c r="Q266" s="665">
        <f t="shared" si="49"/>
        <v>2800</v>
      </c>
      <c r="R266" s="665">
        <f t="shared" si="49"/>
        <v>28152.809999999998</v>
      </c>
      <c r="S266" s="665">
        <f t="shared" si="49"/>
        <v>0</v>
      </c>
      <c r="T266" s="665">
        <f t="shared" si="49"/>
        <v>0</v>
      </c>
      <c r="U266" s="665">
        <f t="shared" si="49"/>
        <v>0</v>
      </c>
      <c r="V266" s="665">
        <f t="shared" si="49"/>
        <v>0</v>
      </c>
      <c r="W266" s="665">
        <f t="shared" si="49"/>
        <v>0</v>
      </c>
      <c r="X266" s="665">
        <f t="shared" si="49"/>
        <v>0</v>
      </c>
      <c r="Y266" s="665">
        <f t="shared" si="49"/>
        <v>0</v>
      </c>
      <c r="Z266" s="665">
        <f t="shared" si="49"/>
        <v>28152.809999999998</v>
      </c>
      <c r="AA266" s="665">
        <f t="shared" si="49"/>
        <v>9000</v>
      </c>
      <c r="AB266" s="665">
        <f t="shared" si="49"/>
        <v>0</v>
      </c>
      <c r="AC266" s="665">
        <f t="shared" si="49"/>
        <v>9000</v>
      </c>
      <c r="AD266" s="666">
        <f t="shared" si="49"/>
        <v>346833.72000000003</v>
      </c>
      <c r="AE266" s="666">
        <f t="shared" si="49"/>
        <v>84498418.11999999</v>
      </c>
      <c r="AF266" s="681"/>
      <c r="AG266" s="681"/>
      <c r="AH266" s="687"/>
      <c r="AI266" s="681"/>
    </row>
    <row r="267" spans="1:35" ht="14.25">
      <c r="A267" s="688" t="s">
        <v>587</v>
      </c>
      <c r="B267" s="657">
        <v>522</v>
      </c>
      <c r="C267" s="669">
        <v>2100.3</v>
      </c>
      <c r="D267" s="669">
        <v>0</v>
      </c>
      <c r="E267" s="669">
        <v>0</v>
      </c>
      <c r="F267" s="669">
        <v>0</v>
      </c>
      <c r="G267" s="669">
        <v>0</v>
      </c>
      <c r="H267" s="669">
        <v>0</v>
      </c>
      <c r="I267" s="669">
        <v>0</v>
      </c>
      <c r="J267" s="669">
        <v>0</v>
      </c>
      <c r="K267" s="669">
        <f>SUM(C267:J267)</f>
        <v>2100.3</v>
      </c>
      <c r="L267" s="669">
        <v>1000</v>
      </c>
      <c r="M267" s="669">
        <v>0</v>
      </c>
      <c r="N267" s="670">
        <f aca="true" t="shared" si="50" ref="N267:N275">SUM(L267:M267)</f>
        <v>1000</v>
      </c>
      <c r="O267" s="671">
        <f aca="true" t="shared" si="51" ref="O267:O275">(K267*12)+N267</f>
        <v>26203.600000000002</v>
      </c>
      <c r="P267" s="672">
        <f aca="true" t="shared" si="52" ref="P267:P275">B267*O267</f>
        <v>13678279.200000001</v>
      </c>
      <c r="Q267" s="673">
        <v>514</v>
      </c>
      <c r="R267" s="669">
        <v>2300.1</v>
      </c>
      <c r="S267" s="669">
        <v>0</v>
      </c>
      <c r="T267" s="669">
        <v>0</v>
      </c>
      <c r="U267" s="669">
        <v>0</v>
      </c>
      <c r="V267" s="669">
        <v>0</v>
      </c>
      <c r="W267" s="669">
        <v>0</v>
      </c>
      <c r="X267" s="669">
        <v>0</v>
      </c>
      <c r="Y267" s="669">
        <v>0</v>
      </c>
      <c r="Z267" s="669">
        <f aca="true" t="shared" si="53" ref="Z267:Z275">SUM(R267:Y267)</f>
        <v>2300.1</v>
      </c>
      <c r="AA267" s="669">
        <v>1000</v>
      </c>
      <c r="AB267" s="669">
        <v>0</v>
      </c>
      <c r="AC267" s="670">
        <f aca="true" t="shared" si="54" ref="AC267:AC277">SUM(AA267:AB267)</f>
        <v>1000</v>
      </c>
      <c r="AD267" s="671">
        <f aca="true" t="shared" si="55" ref="AD267:AD275">(Z267*12)+AC267</f>
        <v>28601.199999999997</v>
      </c>
      <c r="AE267" s="672">
        <f aca="true" t="shared" si="56" ref="AE267:AE275">Q267*AD267</f>
        <v>14701016.799999999</v>
      </c>
      <c r="AF267" s="674">
        <f aca="true" t="shared" si="57" ref="AF267:AG275">+AD267-O267</f>
        <v>2397.599999999995</v>
      </c>
      <c r="AG267" s="674">
        <f t="shared" si="57"/>
        <v>1022737.5999999978</v>
      </c>
      <c r="AH267" s="676">
        <f aca="true" t="shared" si="58" ref="AH267:AH275">+Q267</f>
        <v>514</v>
      </c>
      <c r="AI267" s="674">
        <f aca="true" t="shared" si="59" ref="AI267:AI275">+AH267*AD267</f>
        <v>14701016.799999999</v>
      </c>
    </row>
    <row r="268" spans="1:35" ht="14.25">
      <c r="A268" s="688" t="s">
        <v>588</v>
      </c>
      <c r="B268" s="657">
        <v>574</v>
      </c>
      <c r="C268" s="685">
        <v>2310.33</v>
      </c>
      <c r="D268" s="669">
        <v>0</v>
      </c>
      <c r="E268" s="669">
        <v>0</v>
      </c>
      <c r="F268" s="669">
        <v>0</v>
      </c>
      <c r="G268" s="669">
        <v>0</v>
      </c>
      <c r="H268" s="669">
        <v>0</v>
      </c>
      <c r="I268" s="669">
        <v>0</v>
      </c>
      <c r="J268" s="669">
        <v>0</v>
      </c>
      <c r="K268" s="669">
        <f aca="true" t="shared" si="60" ref="K268:K275">SUM(C268:J268)</f>
        <v>2310.33</v>
      </c>
      <c r="L268" s="669">
        <v>1000</v>
      </c>
      <c r="M268" s="669">
        <v>0</v>
      </c>
      <c r="N268" s="670">
        <f t="shared" si="50"/>
        <v>1000</v>
      </c>
      <c r="O268" s="671">
        <f t="shared" si="51"/>
        <v>28723.96</v>
      </c>
      <c r="P268" s="672">
        <f t="shared" si="52"/>
        <v>16487553.04</v>
      </c>
      <c r="Q268" s="673">
        <v>573</v>
      </c>
      <c r="R268" s="669">
        <v>2530.11</v>
      </c>
      <c r="S268" s="669">
        <v>0</v>
      </c>
      <c r="T268" s="669">
        <v>0</v>
      </c>
      <c r="U268" s="669">
        <v>0</v>
      </c>
      <c r="V268" s="669">
        <v>0</v>
      </c>
      <c r="W268" s="669">
        <v>0</v>
      </c>
      <c r="X268" s="669">
        <v>0</v>
      </c>
      <c r="Y268" s="669">
        <v>0</v>
      </c>
      <c r="Z268" s="669">
        <f t="shared" si="53"/>
        <v>2530.11</v>
      </c>
      <c r="AA268" s="669">
        <v>1000</v>
      </c>
      <c r="AB268" s="669">
        <v>0</v>
      </c>
      <c r="AC268" s="670">
        <f t="shared" si="54"/>
        <v>1000</v>
      </c>
      <c r="AD268" s="671">
        <f t="shared" si="55"/>
        <v>31361.32</v>
      </c>
      <c r="AE268" s="672">
        <f t="shared" si="56"/>
        <v>17970036.36</v>
      </c>
      <c r="AF268" s="674">
        <f t="shared" si="57"/>
        <v>2637.3600000000006</v>
      </c>
      <c r="AG268" s="674">
        <f t="shared" si="57"/>
        <v>1482483.3200000003</v>
      </c>
      <c r="AH268" s="676">
        <f t="shared" si="58"/>
        <v>573</v>
      </c>
      <c r="AI268" s="674">
        <f t="shared" si="59"/>
        <v>17970036.36</v>
      </c>
    </row>
    <row r="269" spans="1:35" ht="14.25">
      <c r="A269" s="688" t="s">
        <v>589</v>
      </c>
      <c r="B269" s="657">
        <v>388</v>
      </c>
      <c r="C269" s="669">
        <v>2520.36</v>
      </c>
      <c r="D269" s="669">
        <v>0</v>
      </c>
      <c r="E269" s="669">
        <v>0</v>
      </c>
      <c r="F269" s="669">
        <v>0</v>
      </c>
      <c r="G269" s="669">
        <v>0</v>
      </c>
      <c r="H269" s="669">
        <v>0</v>
      </c>
      <c r="I269" s="669">
        <v>0</v>
      </c>
      <c r="J269" s="669">
        <v>0</v>
      </c>
      <c r="K269" s="669">
        <f t="shared" si="60"/>
        <v>2520.36</v>
      </c>
      <c r="L269" s="669">
        <v>1000</v>
      </c>
      <c r="M269" s="669">
        <v>0</v>
      </c>
      <c r="N269" s="670">
        <f t="shared" si="50"/>
        <v>1000</v>
      </c>
      <c r="O269" s="671">
        <f t="shared" si="51"/>
        <v>31244.32</v>
      </c>
      <c r="P269" s="672">
        <f t="shared" si="52"/>
        <v>12122796.16</v>
      </c>
      <c r="Q269" s="673">
        <v>375</v>
      </c>
      <c r="R269" s="669">
        <v>2700.12</v>
      </c>
      <c r="S269" s="669">
        <v>0</v>
      </c>
      <c r="T269" s="669">
        <v>0</v>
      </c>
      <c r="U269" s="669">
        <v>0</v>
      </c>
      <c r="V269" s="669">
        <v>0</v>
      </c>
      <c r="W269" s="669">
        <v>0</v>
      </c>
      <c r="X269" s="669">
        <v>0</v>
      </c>
      <c r="Y269" s="669">
        <v>0</v>
      </c>
      <c r="Z269" s="669">
        <f t="shared" si="53"/>
        <v>2700.12</v>
      </c>
      <c r="AA269" s="669">
        <v>1000</v>
      </c>
      <c r="AB269" s="669">
        <v>0</v>
      </c>
      <c r="AC269" s="670">
        <f t="shared" si="54"/>
        <v>1000</v>
      </c>
      <c r="AD269" s="671">
        <f t="shared" si="55"/>
        <v>33401.44</v>
      </c>
      <c r="AE269" s="672">
        <f t="shared" si="56"/>
        <v>12525540</v>
      </c>
      <c r="AF269" s="674">
        <f t="shared" si="57"/>
        <v>2157.1200000000026</v>
      </c>
      <c r="AG269" s="674">
        <f t="shared" si="57"/>
        <v>402743.83999999985</v>
      </c>
      <c r="AH269" s="676">
        <f t="shared" si="58"/>
        <v>375</v>
      </c>
      <c r="AI269" s="674">
        <f t="shared" si="59"/>
        <v>12525540</v>
      </c>
    </row>
    <row r="270" spans="1:35" ht="14.25">
      <c r="A270" s="688" t="s">
        <v>590</v>
      </c>
      <c r="B270" s="657">
        <v>134</v>
      </c>
      <c r="C270" s="669">
        <v>2730.39</v>
      </c>
      <c r="D270" s="669">
        <v>0</v>
      </c>
      <c r="E270" s="669">
        <v>0</v>
      </c>
      <c r="F270" s="669">
        <v>0</v>
      </c>
      <c r="G270" s="669">
        <v>0</v>
      </c>
      <c r="H270" s="669">
        <v>0</v>
      </c>
      <c r="I270" s="669">
        <v>0</v>
      </c>
      <c r="J270" s="669">
        <v>0</v>
      </c>
      <c r="K270" s="669">
        <f t="shared" si="60"/>
        <v>2730.39</v>
      </c>
      <c r="L270" s="669">
        <v>1000</v>
      </c>
      <c r="M270" s="669">
        <v>0</v>
      </c>
      <c r="N270" s="670">
        <f t="shared" si="50"/>
        <v>1000</v>
      </c>
      <c r="O270" s="671">
        <f t="shared" si="51"/>
        <v>33764.68</v>
      </c>
      <c r="P270" s="672">
        <f t="shared" si="52"/>
        <v>4524467.12</v>
      </c>
      <c r="Q270" s="673">
        <v>148</v>
      </c>
      <c r="R270" s="669">
        <v>2990.13</v>
      </c>
      <c r="S270" s="669">
        <v>0</v>
      </c>
      <c r="T270" s="669">
        <v>0</v>
      </c>
      <c r="U270" s="669">
        <v>0</v>
      </c>
      <c r="V270" s="669">
        <v>0</v>
      </c>
      <c r="W270" s="669">
        <v>0</v>
      </c>
      <c r="X270" s="669">
        <v>0</v>
      </c>
      <c r="Y270" s="669">
        <v>0</v>
      </c>
      <c r="Z270" s="669">
        <f t="shared" si="53"/>
        <v>2990.13</v>
      </c>
      <c r="AA270" s="669">
        <v>1000</v>
      </c>
      <c r="AB270" s="669">
        <v>0</v>
      </c>
      <c r="AC270" s="670">
        <f t="shared" si="54"/>
        <v>1000</v>
      </c>
      <c r="AD270" s="671">
        <f t="shared" si="55"/>
        <v>36881.56</v>
      </c>
      <c r="AE270" s="672">
        <f t="shared" si="56"/>
        <v>5458470.88</v>
      </c>
      <c r="AF270" s="674">
        <f t="shared" si="57"/>
        <v>3116.8799999999974</v>
      </c>
      <c r="AG270" s="674">
        <f t="shared" si="57"/>
        <v>934003.7599999998</v>
      </c>
      <c r="AH270" s="676">
        <f t="shared" si="58"/>
        <v>148</v>
      </c>
      <c r="AI270" s="674">
        <f t="shared" si="59"/>
        <v>5458470.88</v>
      </c>
    </row>
    <row r="271" spans="1:35" ht="14.25">
      <c r="A271" s="688" t="s">
        <v>591</v>
      </c>
      <c r="B271" s="657">
        <v>41</v>
      </c>
      <c r="C271" s="689">
        <v>3150.45</v>
      </c>
      <c r="D271" s="669">
        <v>0</v>
      </c>
      <c r="E271" s="669">
        <v>0</v>
      </c>
      <c r="F271" s="669">
        <v>0</v>
      </c>
      <c r="G271" s="669">
        <v>0</v>
      </c>
      <c r="H271" s="669">
        <v>0</v>
      </c>
      <c r="I271" s="669">
        <v>0</v>
      </c>
      <c r="J271" s="669">
        <v>0</v>
      </c>
      <c r="K271" s="669">
        <f t="shared" si="60"/>
        <v>3150.45</v>
      </c>
      <c r="L271" s="669">
        <v>1000</v>
      </c>
      <c r="M271" s="669">
        <v>0</v>
      </c>
      <c r="N271" s="670">
        <f t="shared" si="50"/>
        <v>1000</v>
      </c>
      <c r="O271" s="671">
        <f t="shared" si="51"/>
        <v>38805.399999999994</v>
      </c>
      <c r="P271" s="672">
        <f t="shared" si="52"/>
        <v>1591021.3999999997</v>
      </c>
      <c r="Q271" s="673">
        <v>56</v>
      </c>
      <c r="R271" s="669">
        <v>3450.15</v>
      </c>
      <c r="S271" s="669">
        <v>0</v>
      </c>
      <c r="T271" s="669">
        <v>0</v>
      </c>
      <c r="U271" s="669">
        <v>0</v>
      </c>
      <c r="V271" s="669">
        <v>0</v>
      </c>
      <c r="W271" s="669">
        <v>0</v>
      </c>
      <c r="X271" s="669">
        <v>0</v>
      </c>
      <c r="Y271" s="669">
        <v>0</v>
      </c>
      <c r="Z271" s="669">
        <f t="shared" si="53"/>
        <v>3450.15</v>
      </c>
      <c r="AA271" s="669">
        <v>1000</v>
      </c>
      <c r="AB271" s="669">
        <v>0</v>
      </c>
      <c r="AC271" s="670">
        <f t="shared" si="54"/>
        <v>1000</v>
      </c>
      <c r="AD271" s="671">
        <f t="shared" si="55"/>
        <v>42401.8</v>
      </c>
      <c r="AE271" s="672">
        <f t="shared" si="56"/>
        <v>2374500.8000000003</v>
      </c>
      <c r="AF271" s="674">
        <f t="shared" si="57"/>
        <v>3596.4000000000087</v>
      </c>
      <c r="AG271" s="674">
        <f t="shared" si="57"/>
        <v>783479.4000000006</v>
      </c>
      <c r="AH271" s="676">
        <f t="shared" si="58"/>
        <v>56</v>
      </c>
      <c r="AI271" s="674">
        <f t="shared" si="59"/>
        <v>2374500.8000000003</v>
      </c>
    </row>
    <row r="272" spans="1:35" ht="14.25">
      <c r="A272" s="688" t="s">
        <v>592</v>
      </c>
      <c r="B272" s="657">
        <v>8</v>
      </c>
      <c r="C272" s="669">
        <v>3675.53</v>
      </c>
      <c r="D272" s="669">
        <v>0</v>
      </c>
      <c r="E272" s="669">
        <v>0</v>
      </c>
      <c r="F272" s="669">
        <v>0</v>
      </c>
      <c r="G272" s="669">
        <v>0</v>
      </c>
      <c r="H272" s="669">
        <v>0</v>
      </c>
      <c r="I272" s="669">
        <v>0</v>
      </c>
      <c r="J272" s="669">
        <v>0</v>
      </c>
      <c r="K272" s="669">
        <f t="shared" si="60"/>
        <v>3675.53</v>
      </c>
      <c r="L272" s="669">
        <v>1000</v>
      </c>
      <c r="M272" s="669">
        <v>0</v>
      </c>
      <c r="N272" s="670">
        <f t="shared" si="50"/>
        <v>1000</v>
      </c>
      <c r="O272" s="671">
        <f t="shared" si="51"/>
        <v>45106.36</v>
      </c>
      <c r="P272" s="672">
        <f t="shared" si="52"/>
        <v>360850.88</v>
      </c>
      <c r="Q272" s="673">
        <v>9</v>
      </c>
      <c r="R272" s="669">
        <v>4025.18</v>
      </c>
      <c r="S272" s="669">
        <v>0</v>
      </c>
      <c r="T272" s="669">
        <v>0</v>
      </c>
      <c r="U272" s="669">
        <v>0</v>
      </c>
      <c r="V272" s="669">
        <v>0</v>
      </c>
      <c r="W272" s="669">
        <v>0</v>
      </c>
      <c r="X272" s="669">
        <v>0</v>
      </c>
      <c r="Y272" s="669">
        <v>0</v>
      </c>
      <c r="Z272" s="669">
        <f t="shared" si="53"/>
        <v>4025.18</v>
      </c>
      <c r="AA272" s="669">
        <v>1000</v>
      </c>
      <c r="AB272" s="669">
        <v>0</v>
      </c>
      <c r="AC272" s="670">
        <f t="shared" si="54"/>
        <v>1000</v>
      </c>
      <c r="AD272" s="671">
        <f t="shared" si="55"/>
        <v>49302.159999999996</v>
      </c>
      <c r="AE272" s="672">
        <f t="shared" si="56"/>
        <v>443719.43999999994</v>
      </c>
      <c r="AF272" s="674">
        <f t="shared" si="57"/>
        <v>4195.799999999996</v>
      </c>
      <c r="AG272" s="674">
        <f t="shared" si="57"/>
        <v>82868.55999999994</v>
      </c>
      <c r="AH272" s="676">
        <f t="shared" si="58"/>
        <v>9</v>
      </c>
      <c r="AI272" s="674">
        <f t="shared" si="59"/>
        <v>443719.43999999994</v>
      </c>
    </row>
    <row r="273" spans="1:35" ht="14.25">
      <c r="A273" s="688" t="s">
        <v>593</v>
      </c>
      <c r="B273" s="657">
        <v>1</v>
      </c>
      <c r="C273" s="669">
        <v>5920.76</v>
      </c>
      <c r="D273" s="669">
        <v>0</v>
      </c>
      <c r="E273" s="669">
        <v>0</v>
      </c>
      <c r="F273" s="669">
        <v>0</v>
      </c>
      <c r="G273" s="669">
        <v>0</v>
      </c>
      <c r="H273" s="669">
        <v>0</v>
      </c>
      <c r="I273" s="669">
        <v>0</v>
      </c>
      <c r="J273" s="669">
        <v>0</v>
      </c>
      <c r="K273" s="669">
        <f>SUM(C273:J273)</f>
        <v>5920.76</v>
      </c>
      <c r="L273" s="669">
        <v>1000</v>
      </c>
      <c r="M273" s="669">
        <v>0</v>
      </c>
      <c r="N273" s="670">
        <f t="shared" si="50"/>
        <v>1000</v>
      </c>
      <c r="O273" s="671">
        <f t="shared" si="51"/>
        <v>72049.12</v>
      </c>
      <c r="P273" s="672">
        <f t="shared" si="52"/>
        <v>72049.12</v>
      </c>
      <c r="Q273" s="673">
        <v>1</v>
      </c>
      <c r="R273" s="669">
        <v>6426.92</v>
      </c>
      <c r="S273" s="669">
        <v>0</v>
      </c>
      <c r="T273" s="669">
        <v>0</v>
      </c>
      <c r="U273" s="669">
        <v>0</v>
      </c>
      <c r="V273" s="669">
        <v>0</v>
      </c>
      <c r="W273" s="669">
        <v>0</v>
      </c>
      <c r="X273" s="669">
        <v>0</v>
      </c>
      <c r="Y273" s="669">
        <v>0</v>
      </c>
      <c r="Z273" s="669">
        <f t="shared" si="53"/>
        <v>6426.92</v>
      </c>
      <c r="AA273" s="669">
        <v>1000</v>
      </c>
      <c r="AB273" s="669">
        <v>0</v>
      </c>
      <c r="AC273" s="670">
        <f t="shared" si="54"/>
        <v>1000</v>
      </c>
      <c r="AD273" s="671">
        <f t="shared" si="55"/>
        <v>78123.04000000001</v>
      </c>
      <c r="AE273" s="672">
        <f t="shared" si="56"/>
        <v>78123.04000000001</v>
      </c>
      <c r="AF273" s="674">
        <f t="shared" si="57"/>
        <v>6073.920000000013</v>
      </c>
      <c r="AG273" s="674">
        <f t="shared" si="57"/>
        <v>6073.920000000013</v>
      </c>
      <c r="AH273" s="676">
        <f t="shared" si="58"/>
        <v>1</v>
      </c>
      <c r="AI273" s="674">
        <f t="shared" si="59"/>
        <v>78123.04000000001</v>
      </c>
    </row>
    <row r="274" spans="1:35" ht="14.25">
      <c r="A274" s="688" t="s">
        <v>594</v>
      </c>
      <c r="B274" s="657">
        <v>1058</v>
      </c>
      <c r="C274" s="685">
        <v>2100.3</v>
      </c>
      <c r="D274" s="669">
        <v>0</v>
      </c>
      <c r="E274" s="669">
        <v>0</v>
      </c>
      <c r="F274" s="669">
        <v>0</v>
      </c>
      <c r="G274" s="669">
        <v>0</v>
      </c>
      <c r="H274" s="669">
        <v>0</v>
      </c>
      <c r="I274" s="669">
        <v>0</v>
      </c>
      <c r="J274" s="669">
        <v>0</v>
      </c>
      <c r="K274" s="669">
        <f t="shared" si="60"/>
        <v>2100.3</v>
      </c>
      <c r="L274" s="669">
        <v>1000</v>
      </c>
      <c r="M274" s="669">
        <v>0</v>
      </c>
      <c r="N274" s="670">
        <f t="shared" si="50"/>
        <v>1000</v>
      </c>
      <c r="O274" s="671">
        <f t="shared" si="51"/>
        <v>26203.600000000002</v>
      </c>
      <c r="P274" s="672">
        <f t="shared" si="52"/>
        <v>27723408.8</v>
      </c>
      <c r="Q274" s="673">
        <v>1009</v>
      </c>
      <c r="R274" s="669">
        <v>2300.1</v>
      </c>
      <c r="S274" s="669">
        <v>0</v>
      </c>
      <c r="T274" s="669">
        <v>0</v>
      </c>
      <c r="U274" s="669">
        <v>0</v>
      </c>
      <c r="V274" s="669">
        <v>0</v>
      </c>
      <c r="W274" s="669">
        <v>0</v>
      </c>
      <c r="X274" s="669">
        <v>0</v>
      </c>
      <c r="Y274" s="669">
        <v>0</v>
      </c>
      <c r="Z274" s="669">
        <f t="shared" si="53"/>
        <v>2300.1</v>
      </c>
      <c r="AA274" s="669">
        <v>1000</v>
      </c>
      <c r="AB274" s="669">
        <v>0</v>
      </c>
      <c r="AC274" s="670">
        <f t="shared" si="54"/>
        <v>1000</v>
      </c>
      <c r="AD274" s="671">
        <f t="shared" si="55"/>
        <v>28601.199999999997</v>
      </c>
      <c r="AE274" s="672">
        <f t="shared" si="56"/>
        <v>28858610.799999997</v>
      </c>
      <c r="AF274" s="674">
        <f t="shared" si="57"/>
        <v>2397.599999999995</v>
      </c>
      <c r="AG274" s="674">
        <f t="shared" si="57"/>
        <v>1135201.9999999963</v>
      </c>
      <c r="AH274" s="676">
        <f t="shared" si="58"/>
        <v>1009</v>
      </c>
      <c r="AI274" s="674">
        <f t="shared" si="59"/>
        <v>28858610.799999997</v>
      </c>
    </row>
    <row r="275" spans="1:35" ht="14.25">
      <c r="A275" s="688" t="s">
        <v>595</v>
      </c>
      <c r="B275" s="657">
        <v>120</v>
      </c>
      <c r="C275" s="685">
        <v>1280</v>
      </c>
      <c r="D275" s="669">
        <v>0</v>
      </c>
      <c r="E275" s="669">
        <v>0</v>
      </c>
      <c r="F275" s="669">
        <v>0</v>
      </c>
      <c r="G275" s="669">
        <v>0</v>
      </c>
      <c r="H275" s="669">
        <v>0</v>
      </c>
      <c r="I275" s="669">
        <v>0</v>
      </c>
      <c r="J275" s="669">
        <v>0</v>
      </c>
      <c r="K275" s="669">
        <f t="shared" si="60"/>
        <v>1280</v>
      </c>
      <c r="L275" s="669">
        <v>1000</v>
      </c>
      <c r="M275" s="669">
        <v>0</v>
      </c>
      <c r="N275" s="670">
        <f t="shared" si="50"/>
        <v>1000</v>
      </c>
      <c r="O275" s="671">
        <f t="shared" si="51"/>
        <v>16360</v>
      </c>
      <c r="P275" s="672">
        <f t="shared" si="52"/>
        <v>1963200</v>
      </c>
      <c r="Q275" s="673">
        <v>115</v>
      </c>
      <c r="R275" s="669">
        <v>1430</v>
      </c>
      <c r="S275" s="669">
        <v>0</v>
      </c>
      <c r="T275" s="669">
        <v>0</v>
      </c>
      <c r="U275" s="669">
        <v>0</v>
      </c>
      <c r="V275" s="669">
        <v>0</v>
      </c>
      <c r="W275" s="669">
        <v>0</v>
      </c>
      <c r="X275" s="669">
        <v>0</v>
      </c>
      <c r="Y275" s="669">
        <v>0</v>
      </c>
      <c r="Z275" s="669">
        <f t="shared" si="53"/>
        <v>1430</v>
      </c>
      <c r="AA275" s="669">
        <v>1000</v>
      </c>
      <c r="AB275" s="669">
        <v>0</v>
      </c>
      <c r="AC275" s="670">
        <f t="shared" si="54"/>
        <v>1000</v>
      </c>
      <c r="AD275" s="671">
        <f t="shared" si="55"/>
        <v>18160</v>
      </c>
      <c r="AE275" s="672">
        <f t="shared" si="56"/>
        <v>2088400</v>
      </c>
      <c r="AF275" s="674">
        <f t="shared" si="57"/>
        <v>1800</v>
      </c>
      <c r="AG275" s="674">
        <f t="shared" si="57"/>
        <v>125200</v>
      </c>
      <c r="AH275" s="676">
        <f t="shared" si="58"/>
        <v>115</v>
      </c>
      <c r="AI275" s="674">
        <f t="shared" si="59"/>
        <v>2088400</v>
      </c>
    </row>
    <row r="276" spans="1:35" ht="12">
      <c r="A276" s="686" t="s">
        <v>596</v>
      </c>
      <c r="B276" s="665">
        <f>SUM(B277)</f>
        <v>153</v>
      </c>
      <c r="C276" s="665">
        <f aca="true" t="shared" si="61" ref="C276:AE276">SUM(C277)</f>
        <v>1707.52</v>
      </c>
      <c r="D276" s="665">
        <f t="shared" si="61"/>
        <v>0</v>
      </c>
      <c r="E276" s="665">
        <f t="shared" si="61"/>
        <v>0</v>
      </c>
      <c r="F276" s="665">
        <f t="shared" si="61"/>
        <v>0</v>
      </c>
      <c r="G276" s="665">
        <f t="shared" si="61"/>
        <v>0</v>
      </c>
      <c r="H276" s="665">
        <f t="shared" si="61"/>
        <v>0</v>
      </c>
      <c r="I276" s="665">
        <f t="shared" si="61"/>
        <v>0</v>
      </c>
      <c r="J276" s="665">
        <f t="shared" si="61"/>
        <v>0</v>
      </c>
      <c r="K276" s="665">
        <f t="shared" si="61"/>
        <v>1707.52</v>
      </c>
      <c r="L276" s="665">
        <f t="shared" si="61"/>
        <v>1000</v>
      </c>
      <c r="M276" s="665">
        <f t="shared" si="61"/>
        <v>0</v>
      </c>
      <c r="N276" s="665">
        <f t="shared" si="61"/>
        <v>1000</v>
      </c>
      <c r="O276" s="666">
        <f t="shared" si="61"/>
        <v>21490.239999999998</v>
      </c>
      <c r="P276" s="666">
        <f t="shared" si="61"/>
        <v>3288006.7199999997</v>
      </c>
      <c r="Q276" s="665">
        <f t="shared" si="61"/>
        <v>133</v>
      </c>
      <c r="R276" s="665">
        <f t="shared" si="61"/>
        <v>1689.5</v>
      </c>
      <c r="S276" s="665">
        <f t="shared" si="61"/>
        <v>0</v>
      </c>
      <c r="T276" s="665">
        <f t="shared" si="61"/>
        <v>0</v>
      </c>
      <c r="U276" s="665">
        <f t="shared" si="61"/>
        <v>0</v>
      </c>
      <c r="V276" s="665">
        <f t="shared" si="61"/>
        <v>0</v>
      </c>
      <c r="W276" s="665">
        <f t="shared" si="61"/>
        <v>0</v>
      </c>
      <c r="X276" s="665">
        <f t="shared" si="61"/>
        <v>0</v>
      </c>
      <c r="Y276" s="665">
        <f t="shared" si="61"/>
        <v>0</v>
      </c>
      <c r="Z276" s="665">
        <f t="shared" si="61"/>
        <v>1689.5</v>
      </c>
      <c r="AA276" s="665">
        <f t="shared" si="61"/>
        <v>1000</v>
      </c>
      <c r="AB276" s="665">
        <f t="shared" si="61"/>
        <v>0</v>
      </c>
      <c r="AC276" s="665">
        <f t="shared" si="61"/>
        <v>1000</v>
      </c>
      <c r="AD276" s="666">
        <f t="shared" si="61"/>
        <v>21274</v>
      </c>
      <c r="AE276" s="666">
        <f t="shared" si="61"/>
        <v>2829442</v>
      </c>
      <c r="AF276" s="681"/>
      <c r="AG276" s="681"/>
      <c r="AH276" s="687"/>
      <c r="AI276" s="681"/>
    </row>
    <row r="277" spans="1:35" ht="12">
      <c r="A277" s="690" t="s">
        <v>96</v>
      </c>
      <c r="B277" s="657">
        <v>153</v>
      </c>
      <c r="C277" s="669">
        <v>1707.52</v>
      </c>
      <c r="D277" s="669">
        <v>0</v>
      </c>
      <c r="E277" s="669">
        <v>0</v>
      </c>
      <c r="F277" s="669">
        <v>0</v>
      </c>
      <c r="G277" s="669">
        <v>0</v>
      </c>
      <c r="H277" s="669">
        <v>0</v>
      </c>
      <c r="I277" s="669">
        <v>0</v>
      </c>
      <c r="J277" s="669">
        <v>0</v>
      </c>
      <c r="K277" s="669">
        <f>SUM(C277:J277)</f>
        <v>1707.52</v>
      </c>
      <c r="L277" s="669">
        <v>1000</v>
      </c>
      <c r="M277" s="669">
        <v>0</v>
      </c>
      <c r="N277" s="670">
        <f>SUM(L277:M277)</f>
        <v>1000</v>
      </c>
      <c r="O277" s="671">
        <f>(K277*12)+N277</f>
        <v>21490.239999999998</v>
      </c>
      <c r="P277" s="672">
        <f>B277*O277</f>
        <v>3288006.7199999997</v>
      </c>
      <c r="Q277" s="673">
        <v>133</v>
      </c>
      <c r="R277" s="669">
        <v>1689.5</v>
      </c>
      <c r="S277" s="669">
        <v>0</v>
      </c>
      <c r="T277" s="669">
        <v>0</v>
      </c>
      <c r="U277" s="669">
        <v>0</v>
      </c>
      <c r="V277" s="669">
        <v>0</v>
      </c>
      <c r="W277" s="669">
        <v>0</v>
      </c>
      <c r="X277" s="669">
        <v>0</v>
      </c>
      <c r="Y277" s="669">
        <v>0</v>
      </c>
      <c r="Z277" s="669">
        <f>SUM(R277:Y277)</f>
        <v>1689.5</v>
      </c>
      <c r="AA277" s="669">
        <v>1000</v>
      </c>
      <c r="AB277" s="669">
        <v>0</v>
      </c>
      <c r="AC277" s="670">
        <f t="shared" si="54"/>
        <v>1000</v>
      </c>
      <c r="AD277" s="671">
        <f>(Z277*12)+AC277</f>
        <v>21274</v>
      </c>
      <c r="AE277" s="672">
        <f>Q277*AD277</f>
        <v>2829442</v>
      </c>
      <c r="AF277" s="674">
        <f>+AD277-O277</f>
        <v>-216.23999999999796</v>
      </c>
      <c r="AG277" s="674">
        <f>+AE277-P277</f>
        <v>-458564.71999999974</v>
      </c>
      <c r="AH277" s="676">
        <f>+Q277</f>
        <v>133</v>
      </c>
      <c r="AI277" s="674">
        <f>+AH277*AD277</f>
        <v>2829442</v>
      </c>
    </row>
    <row r="278" spans="1:35" ht="12.75" thickBot="1">
      <c r="A278" s="691" t="s">
        <v>0</v>
      </c>
      <c r="B278" s="692">
        <f>+B239+B245+B252+B259+B266+B276</f>
        <v>3276</v>
      </c>
      <c r="C278" s="692">
        <f aca="true" t="shared" si="62" ref="C278:AE278">+C239+C245+C252+C259+C266+C276</f>
        <v>47709.64999999999</v>
      </c>
      <c r="D278" s="692">
        <f t="shared" si="62"/>
        <v>17450</v>
      </c>
      <c r="E278" s="692">
        <f t="shared" si="62"/>
        <v>0</v>
      </c>
      <c r="F278" s="692">
        <f t="shared" si="62"/>
        <v>0</v>
      </c>
      <c r="G278" s="692">
        <f t="shared" si="62"/>
        <v>0</v>
      </c>
      <c r="H278" s="692">
        <f t="shared" si="62"/>
        <v>0</v>
      </c>
      <c r="I278" s="692">
        <f t="shared" si="62"/>
        <v>0</v>
      </c>
      <c r="J278" s="692">
        <f t="shared" si="62"/>
        <v>0</v>
      </c>
      <c r="K278" s="692">
        <f t="shared" si="62"/>
        <v>65159.64999999999</v>
      </c>
      <c r="L278" s="692">
        <f t="shared" si="62"/>
        <v>27000</v>
      </c>
      <c r="M278" s="692">
        <f t="shared" si="62"/>
        <v>0</v>
      </c>
      <c r="N278" s="692">
        <f t="shared" si="62"/>
        <v>27000</v>
      </c>
      <c r="O278" s="693">
        <f t="shared" si="62"/>
        <v>808915.8</v>
      </c>
      <c r="P278" s="693">
        <f t="shared" si="62"/>
        <v>88807821</v>
      </c>
      <c r="Q278" s="692">
        <f t="shared" si="62"/>
        <v>3198</v>
      </c>
      <c r="R278" s="692">
        <f t="shared" si="62"/>
        <v>50056.02</v>
      </c>
      <c r="S278" s="692">
        <f t="shared" si="62"/>
        <v>18820</v>
      </c>
      <c r="T278" s="692">
        <f t="shared" si="62"/>
        <v>0</v>
      </c>
      <c r="U278" s="692">
        <f t="shared" si="62"/>
        <v>0</v>
      </c>
      <c r="V278" s="692">
        <f t="shared" si="62"/>
        <v>0</v>
      </c>
      <c r="W278" s="692">
        <f t="shared" si="62"/>
        <v>0</v>
      </c>
      <c r="X278" s="692">
        <f t="shared" si="62"/>
        <v>0</v>
      </c>
      <c r="Y278" s="692">
        <f t="shared" si="62"/>
        <v>0</v>
      </c>
      <c r="Z278" s="692">
        <f t="shared" si="62"/>
        <v>68876.01999999999</v>
      </c>
      <c r="AA278" s="692">
        <f t="shared" si="62"/>
        <v>27000</v>
      </c>
      <c r="AB278" s="692">
        <f t="shared" si="62"/>
        <v>0</v>
      </c>
      <c r="AC278" s="692">
        <f t="shared" si="62"/>
        <v>27000</v>
      </c>
      <c r="AD278" s="693">
        <f t="shared" si="62"/>
        <v>853512.24</v>
      </c>
      <c r="AE278" s="693">
        <f t="shared" si="62"/>
        <v>94384439.39999999</v>
      </c>
      <c r="AF278" s="692"/>
      <c r="AG278" s="692"/>
      <c r="AH278" s="692"/>
      <c r="AI278" s="692"/>
    </row>
    <row r="281" spans="1:35" ht="16.5" thickBot="1">
      <c r="A281" s="249" t="s">
        <v>711</v>
      </c>
      <c r="B281" s="81"/>
      <c r="C281" s="81"/>
      <c r="D281" s="81"/>
      <c r="E281" s="81"/>
      <c r="F281" s="81"/>
      <c r="G281" s="81"/>
      <c r="H281" s="81"/>
      <c r="I281" s="81"/>
      <c r="J281" s="81"/>
      <c r="K281" s="81"/>
      <c r="L281" s="81"/>
      <c r="M281" s="81"/>
      <c r="N281" s="81"/>
      <c r="O281" s="81"/>
      <c r="P281" s="81"/>
      <c r="Q281" s="81"/>
      <c r="R281" s="81"/>
      <c r="S281" s="81"/>
      <c r="T281" s="81"/>
      <c r="U281" s="81"/>
      <c r="V281" s="81"/>
      <c r="W281" s="81"/>
      <c r="X281"/>
      <c r="Y281"/>
      <c r="Z281"/>
      <c r="AA281"/>
      <c r="AB281"/>
      <c r="AC281"/>
      <c r="AD281"/>
      <c r="AE281"/>
      <c r="AF281"/>
      <c r="AG281"/>
      <c r="AH281"/>
      <c r="AI281"/>
    </row>
    <row r="282" spans="1:35" ht="12.75" thickBot="1">
      <c r="A282" s="1559" t="s">
        <v>47</v>
      </c>
      <c r="B282" s="1562" t="s">
        <v>339</v>
      </c>
      <c r="C282" s="1562"/>
      <c r="D282" s="1562"/>
      <c r="E282" s="1562"/>
      <c r="F282" s="1562"/>
      <c r="G282" s="1562"/>
      <c r="H282" s="1562"/>
      <c r="I282" s="1562"/>
      <c r="J282" s="1562"/>
      <c r="K282" s="1562"/>
      <c r="L282" s="1562"/>
      <c r="M282" s="1562"/>
      <c r="N282" s="1562"/>
      <c r="O282" s="1562"/>
      <c r="P282" s="1562"/>
      <c r="Q282" s="1563" t="s">
        <v>434</v>
      </c>
      <c r="R282" s="1562"/>
      <c r="S282" s="1562"/>
      <c r="T282" s="1562"/>
      <c r="U282" s="1562"/>
      <c r="V282" s="1562"/>
      <c r="W282" s="1562"/>
      <c r="X282" s="1562"/>
      <c r="Y282" s="1562"/>
      <c r="Z282" s="1562"/>
      <c r="AA282" s="1562"/>
      <c r="AB282" s="1562"/>
      <c r="AC282" s="1562"/>
      <c r="AD282" s="1562"/>
      <c r="AE282" s="1564"/>
      <c r="AF282" s="1565" t="s">
        <v>436</v>
      </c>
      <c r="AG282" s="1566"/>
      <c r="AH282" s="1565" t="s">
        <v>435</v>
      </c>
      <c r="AI282" s="1566"/>
    </row>
    <row r="283" spans="1:35" ht="140.25">
      <c r="A283" s="1560"/>
      <c r="B283" s="490" t="s">
        <v>11</v>
      </c>
      <c r="C283" s="491" t="s">
        <v>146</v>
      </c>
      <c r="D283" s="492" t="s">
        <v>270</v>
      </c>
      <c r="E283" s="492" t="s">
        <v>148</v>
      </c>
      <c r="F283" s="492" t="s">
        <v>182</v>
      </c>
      <c r="G283" s="492" t="s">
        <v>183</v>
      </c>
      <c r="H283" s="492" t="s">
        <v>184</v>
      </c>
      <c r="I283" s="492" t="s">
        <v>185</v>
      </c>
      <c r="J283" s="492" t="s">
        <v>149</v>
      </c>
      <c r="K283" s="492" t="s">
        <v>150</v>
      </c>
      <c r="L283" s="492" t="s">
        <v>151</v>
      </c>
      <c r="M283" s="492" t="s">
        <v>181</v>
      </c>
      <c r="N283" s="493" t="s">
        <v>119</v>
      </c>
      <c r="O283" s="494" t="s">
        <v>156</v>
      </c>
      <c r="P283" s="495" t="s">
        <v>155</v>
      </c>
      <c r="Q283" s="490" t="s">
        <v>11</v>
      </c>
      <c r="R283" s="491" t="s">
        <v>146</v>
      </c>
      <c r="S283" s="492" t="s">
        <v>147</v>
      </c>
      <c r="T283" s="492" t="s">
        <v>148</v>
      </c>
      <c r="U283" s="492" t="s">
        <v>182</v>
      </c>
      <c r="V283" s="492" t="s">
        <v>183</v>
      </c>
      <c r="W283" s="492" t="s">
        <v>184</v>
      </c>
      <c r="X283" s="492" t="s">
        <v>185</v>
      </c>
      <c r="Y283" s="492" t="s">
        <v>149</v>
      </c>
      <c r="Z283" s="492" t="s">
        <v>150</v>
      </c>
      <c r="AA283" s="492" t="s">
        <v>151</v>
      </c>
      <c r="AB283" s="492" t="s">
        <v>181</v>
      </c>
      <c r="AC283" s="493" t="s">
        <v>119</v>
      </c>
      <c r="AD283" s="494" t="s">
        <v>156</v>
      </c>
      <c r="AE283" s="495" t="s">
        <v>340</v>
      </c>
      <c r="AF283" s="496" t="s">
        <v>160</v>
      </c>
      <c r="AG283" s="496" t="s">
        <v>159</v>
      </c>
      <c r="AH283" s="496" t="s">
        <v>11</v>
      </c>
      <c r="AI283" s="495" t="s">
        <v>341</v>
      </c>
    </row>
    <row r="284" spans="1:35" ht="12.75" thickBot="1">
      <c r="A284" s="1561"/>
      <c r="B284" s="497" t="s">
        <v>48</v>
      </c>
      <c r="C284" s="498" t="s">
        <v>49</v>
      </c>
      <c r="D284" s="499" t="s">
        <v>50</v>
      </c>
      <c r="E284" s="499" t="s">
        <v>51</v>
      </c>
      <c r="F284" s="500" t="s">
        <v>52</v>
      </c>
      <c r="G284" s="500" t="s">
        <v>53</v>
      </c>
      <c r="H284" s="500" t="s">
        <v>79</v>
      </c>
      <c r="I284" s="500" t="s">
        <v>118</v>
      </c>
      <c r="J284" s="500" t="s">
        <v>154</v>
      </c>
      <c r="K284" s="500" t="s">
        <v>158</v>
      </c>
      <c r="L284" s="500" t="s">
        <v>190</v>
      </c>
      <c r="M284" s="500" t="s">
        <v>191</v>
      </c>
      <c r="N284" s="501" t="s">
        <v>193</v>
      </c>
      <c r="O284" s="502" t="s">
        <v>194</v>
      </c>
      <c r="P284" s="503" t="s">
        <v>195</v>
      </c>
      <c r="Q284" s="497" t="s">
        <v>48</v>
      </c>
      <c r="R284" s="498" t="s">
        <v>49</v>
      </c>
      <c r="S284" s="499" t="s">
        <v>50</v>
      </c>
      <c r="T284" s="499" t="s">
        <v>51</v>
      </c>
      <c r="U284" s="500" t="s">
        <v>52</v>
      </c>
      <c r="V284" s="500" t="s">
        <v>53</v>
      </c>
      <c r="W284" s="500" t="s">
        <v>79</v>
      </c>
      <c r="X284" s="500" t="s">
        <v>118</v>
      </c>
      <c r="Y284" s="500" t="s">
        <v>154</v>
      </c>
      <c r="Z284" s="500" t="s">
        <v>158</v>
      </c>
      <c r="AA284" s="500" t="s">
        <v>190</v>
      </c>
      <c r="AB284" s="500" t="s">
        <v>191</v>
      </c>
      <c r="AC284" s="501" t="s">
        <v>193</v>
      </c>
      <c r="AD284" s="502" t="s">
        <v>194</v>
      </c>
      <c r="AE284" s="503" t="s">
        <v>195</v>
      </c>
      <c r="AF284" s="504"/>
      <c r="AG284" s="497"/>
      <c r="AH284" s="504"/>
      <c r="AI284" s="497"/>
    </row>
    <row r="285" spans="1:35" ht="12">
      <c r="A285" s="465"/>
      <c r="B285" s="657"/>
      <c r="C285" s="454"/>
      <c r="D285" s="454"/>
      <c r="E285" s="454"/>
      <c r="F285" s="454"/>
      <c r="G285" s="454"/>
      <c r="H285" s="454"/>
      <c r="I285" s="454"/>
      <c r="J285" s="454"/>
      <c r="K285" s="454"/>
      <c r="L285" s="454"/>
      <c r="M285" s="454"/>
      <c r="N285" s="508"/>
      <c r="O285" s="467"/>
      <c r="P285" s="457"/>
      <c r="Q285" s="456"/>
      <c r="R285" s="454"/>
      <c r="S285" s="454"/>
      <c r="T285" s="454"/>
      <c r="U285" s="454"/>
      <c r="V285" s="454"/>
      <c r="W285" s="454"/>
      <c r="X285" s="454"/>
      <c r="Y285" s="454"/>
      <c r="Z285" s="454"/>
      <c r="AA285" s="454"/>
      <c r="AB285" s="454"/>
      <c r="AC285" s="508"/>
      <c r="AD285" s="467"/>
      <c r="AE285" s="457"/>
      <c r="AF285" s="457"/>
      <c r="AG285" s="456"/>
      <c r="AH285" s="457"/>
      <c r="AI285" s="456"/>
    </row>
    <row r="286" spans="1:35" ht="12">
      <c r="A286" s="456" t="s">
        <v>54</v>
      </c>
      <c r="B286" s="657"/>
      <c r="C286" s="454"/>
      <c r="D286" s="454"/>
      <c r="E286" s="454"/>
      <c r="F286" s="454"/>
      <c r="G286" s="454"/>
      <c r="H286" s="454"/>
      <c r="I286" s="454"/>
      <c r="J286" s="454"/>
      <c r="K286" s="454"/>
      <c r="L286" s="454"/>
      <c r="M286" s="454"/>
      <c r="N286" s="508"/>
      <c r="O286" s="521"/>
      <c r="P286" s="522"/>
      <c r="Q286" s="523"/>
      <c r="R286" s="454"/>
      <c r="S286" s="454"/>
      <c r="T286" s="454"/>
      <c r="U286" s="454"/>
      <c r="V286" s="454"/>
      <c r="W286" s="454"/>
      <c r="X286" s="454"/>
      <c r="Y286" s="454"/>
      <c r="Z286" s="454"/>
      <c r="AA286" s="454"/>
      <c r="AB286" s="454"/>
      <c r="AC286" s="508"/>
      <c r="AD286" s="467"/>
      <c r="AE286" s="457"/>
      <c r="AF286" s="457"/>
      <c r="AG286" s="456"/>
      <c r="AH286" s="457"/>
      <c r="AI286" s="456"/>
    </row>
    <row r="287" spans="1:35" ht="12.75">
      <c r="A287" s="581" t="s">
        <v>668</v>
      </c>
      <c r="B287" s="665">
        <f>SUM(B288:B292)</f>
        <v>3</v>
      </c>
      <c r="C287" s="694">
        <f aca="true" t="shared" si="63" ref="C287:AI287">SUM(C288:C292)</f>
        <v>3860.5199999999995</v>
      </c>
      <c r="D287" s="694">
        <f t="shared" si="63"/>
        <v>4800</v>
      </c>
      <c r="E287" s="694">
        <f t="shared" si="63"/>
        <v>0</v>
      </c>
      <c r="F287" s="694">
        <f t="shared" si="63"/>
        <v>0</v>
      </c>
      <c r="G287" s="694">
        <f t="shared" si="63"/>
        <v>0</v>
      </c>
      <c r="H287" s="694">
        <f t="shared" si="63"/>
        <v>0</v>
      </c>
      <c r="I287" s="694">
        <f t="shared" si="63"/>
        <v>0</v>
      </c>
      <c r="J287" s="694">
        <f t="shared" si="63"/>
        <v>0</v>
      </c>
      <c r="K287" s="694">
        <f t="shared" si="63"/>
        <v>0</v>
      </c>
      <c r="L287" s="694">
        <f t="shared" si="63"/>
        <v>3000</v>
      </c>
      <c r="M287" s="694">
        <f t="shared" si="63"/>
        <v>0</v>
      </c>
      <c r="N287" s="694">
        <f t="shared" si="63"/>
        <v>0</v>
      </c>
      <c r="O287" s="695">
        <f>SUM(O288:O292)</f>
        <v>106926.23999999999</v>
      </c>
      <c r="P287" s="696">
        <f t="shared" si="63"/>
        <v>106926.23999999999</v>
      </c>
      <c r="Q287" s="697">
        <f t="shared" si="63"/>
        <v>3</v>
      </c>
      <c r="R287" s="698">
        <f t="shared" si="63"/>
        <v>3860.5199999999995</v>
      </c>
      <c r="S287" s="699">
        <f t="shared" si="63"/>
        <v>4800</v>
      </c>
      <c r="T287" s="699">
        <f t="shared" si="63"/>
        <v>0</v>
      </c>
      <c r="U287" s="699">
        <f t="shared" si="63"/>
        <v>0</v>
      </c>
      <c r="V287" s="699">
        <f t="shared" si="63"/>
        <v>0</v>
      </c>
      <c r="W287" s="699">
        <f t="shared" si="63"/>
        <v>0</v>
      </c>
      <c r="X287" s="699">
        <f t="shared" si="63"/>
        <v>0</v>
      </c>
      <c r="Y287" s="699">
        <f t="shared" si="63"/>
        <v>0</v>
      </c>
      <c r="Z287" s="699">
        <f t="shared" si="63"/>
        <v>0</v>
      </c>
      <c r="AA287" s="699">
        <f t="shared" si="63"/>
        <v>3000</v>
      </c>
      <c r="AB287" s="699">
        <f t="shared" si="63"/>
        <v>0</v>
      </c>
      <c r="AC287" s="699">
        <f t="shared" si="63"/>
        <v>0</v>
      </c>
      <c r="AD287" s="699">
        <f t="shared" si="63"/>
        <v>106926.23999999999</v>
      </c>
      <c r="AE287" s="699">
        <f t="shared" si="63"/>
        <v>93600</v>
      </c>
      <c r="AF287" s="667">
        <f t="shared" si="63"/>
        <v>0</v>
      </c>
      <c r="AG287" s="667">
        <f t="shared" si="63"/>
        <v>0</v>
      </c>
      <c r="AH287" s="668">
        <f t="shared" si="63"/>
        <v>3</v>
      </c>
      <c r="AI287" s="667">
        <f t="shared" si="63"/>
        <v>106926.23999999999</v>
      </c>
    </row>
    <row r="288" spans="1:35" ht="12.75">
      <c r="A288" s="582" t="s">
        <v>563</v>
      </c>
      <c r="B288" s="657"/>
      <c r="C288" s="669"/>
      <c r="D288" s="669"/>
      <c r="E288" s="669"/>
      <c r="F288" s="669"/>
      <c r="G288" s="669"/>
      <c r="H288" s="669"/>
      <c r="I288" s="669"/>
      <c r="J288" s="669"/>
      <c r="K288" s="669"/>
      <c r="L288" s="669"/>
      <c r="M288" s="669"/>
      <c r="N288" s="670"/>
      <c r="O288" s="671"/>
      <c r="P288" s="672"/>
      <c r="Q288" s="673"/>
      <c r="R288" s="669"/>
      <c r="S288" s="669"/>
      <c r="T288" s="669"/>
      <c r="U288" s="669"/>
      <c r="V288" s="669"/>
      <c r="W288" s="669"/>
      <c r="X288" s="669"/>
      <c r="Y288" s="669"/>
      <c r="Z288" s="669"/>
      <c r="AA288" s="669"/>
      <c r="AB288" s="669"/>
      <c r="AC288" s="670"/>
      <c r="AD288" s="671"/>
      <c r="AE288" s="672"/>
      <c r="AF288" s="674"/>
      <c r="AG288" s="674"/>
      <c r="AH288" s="675"/>
      <c r="AI288" s="674"/>
    </row>
    <row r="289" spans="1:35" ht="12.75">
      <c r="A289" s="582" t="s">
        <v>562</v>
      </c>
      <c r="B289" s="657">
        <v>1</v>
      </c>
      <c r="C289" s="669">
        <v>1483.3</v>
      </c>
      <c r="D289" s="669">
        <v>1760</v>
      </c>
      <c r="E289" s="669"/>
      <c r="F289" s="669"/>
      <c r="G289" s="669"/>
      <c r="H289" s="669"/>
      <c r="I289" s="669"/>
      <c r="J289" s="669"/>
      <c r="K289" s="669"/>
      <c r="L289" s="669">
        <v>1000</v>
      </c>
      <c r="M289" s="669"/>
      <c r="N289" s="670"/>
      <c r="O289" s="671">
        <f>SUM(C289:K289)*12+L289</f>
        <v>39919.600000000006</v>
      </c>
      <c r="P289" s="672">
        <f>SUM(C289:K289)*12+L289</f>
        <v>39919.600000000006</v>
      </c>
      <c r="Q289" s="673">
        <v>1</v>
      </c>
      <c r="R289" s="669">
        <v>1483.3</v>
      </c>
      <c r="S289" s="669">
        <v>1760</v>
      </c>
      <c r="T289" s="669"/>
      <c r="U289" s="669"/>
      <c r="V289" s="669"/>
      <c r="W289" s="669"/>
      <c r="X289" s="669"/>
      <c r="Y289" s="669"/>
      <c r="Z289" s="669"/>
      <c r="AA289" s="669">
        <v>1000</v>
      </c>
      <c r="AB289" s="669"/>
      <c r="AC289" s="670"/>
      <c r="AD289" s="671">
        <f>SUM(R289:Z289)*12+AA289</f>
        <v>39919.600000000006</v>
      </c>
      <c r="AE289" s="671">
        <f>SUM(S289:AA289)*12+AB289</f>
        <v>33120</v>
      </c>
      <c r="AF289" s="674"/>
      <c r="AG289" s="674"/>
      <c r="AH289" s="675">
        <v>1</v>
      </c>
      <c r="AI289" s="674">
        <v>39919.600000000006</v>
      </c>
    </row>
    <row r="290" spans="1:35" ht="12.75">
      <c r="A290" s="582" t="s">
        <v>561</v>
      </c>
      <c r="B290" s="657"/>
      <c r="C290" s="669"/>
      <c r="D290" s="669"/>
      <c r="E290" s="669"/>
      <c r="F290" s="669"/>
      <c r="G290" s="669"/>
      <c r="H290" s="669"/>
      <c r="I290" s="669"/>
      <c r="J290" s="669"/>
      <c r="K290" s="669"/>
      <c r="L290" s="669"/>
      <c r="M290" s="669"/>
      <c r="N290" s="670"/>
      <c r="O290" s="671"/>
      <c r="P290" s="672"/>
      <c r="Q290" s="673"/>
      <c r="R290" s="669"/>
      <c r="S290" s="669"/>
      <c r="T290" s="669"/>
      <c r="U290" s="669"/>
      <c r="V290" s="669"/>
      <c r="W290" s="669"/>
      <c r="X290" s="669"/>
      <c r="Y290" s="669"/>
      <c r="Z290" s="669"/>
      <c r="AA290" s="669"/>
      <c r="AB290" s="669"/>
      <c r="AC290" s="670"/>
      <c r="AD290" s="671"/>
      <c r="AE290" s="671"/>
      <c r="AF290" s="674"/>
      <c r="AG290" s="674"/>
      <c r="AH290" s="675"/>
      <c r="AI290" s="674"/>
    </row>
    <row r="291" spans="1:35" ht="12.75">
      <c r="A291" s="582" t="s">
        <v>560</v>
      </c>
      <c r="B291" s="657">
        <v>2</v>
      </c>
      <c r="C291" s="669">
        <v>2377.22</v>
      </c>
      <c r="D291" s="669">
        <v>3040</v>
      </c>
      <c r="E291" s="669"/>
      <c r="F291" s="669"/>
      <c r="G291" s="669"/>
      <c r="H291" s="669"/>
      <c r="I291" s="669"/>
      <c r="J291" s="669"/>
      <c r="K291" s="669"/>
      <c r="L291" s="669">
        <v>2000</v>
      </c>
      <c r="M291" s="669"/>
      <c r="N291" s="670"/>
      <c r="O291" s="671">
        <f>SUM(C291:K291)*12+L291</f>
        <v>67006.63999999998</v>
      </c>
      <c r="P291" s="672">
        <f>SUM(C291:K291)*12+L291</f>
        <v>67006.63999999998</v>
      </c>
      <c r="Q291" s="673">
        <v>2</v>
      </c>
      <c r="R291" s="669">
        <v>2377.22</v>
      </c>
      <c r="S291" s="669">
        <v>3040</v>
      </c>
      <c r="T291" s="669"/>
      <c r="U291" s="669"/>
      <c r="V291" s="669"/>
      <c r="W291" s="669"/>
      <c r="X291" s="669"/>
      <c r="Y291" s="669"/>
      <c r="Z291" s="669"/>
      <c r="AA291" s="669">
        <v>2000</v>
      </c>
      <c r="AB291" s="669"/>
      <c r="AC291" s="670"/>
      <c r="AD291" s="671">
        <f>SUM(R291:Z291)*12+AA291</f>
        <v>67006.63999999998</v>
      </c>
      <c r="AE291" s="671">
        <f>SUM(S291:AA291)*12+AB291</f>
        <v>60480</v>
      </c>
      <c r="AF291" s="674"/>
      <c r="AG291" s="674"/>
      <c r="AH291" s="675">
        <v>2</v>
      </c>
      <c r="AI291" s="674">
        <v>67006.63999999998</v>
      </c>
    </row>
    <row r="292" spans="1:35" ht="12.75">
      <c r="A292" s="582" t="s">
        <v>12</v>
      </c>
      <c r="B292" s="657"/>
      <c r="C292" s="669"/>
      <c r="D292" s="669"/>
      <c r="E292" s="669"/>
      <c r="F292" s="669"/>
      <c r="G292" s="669"/>
      <c r="H292" s="669"/>
      <c r="I292" s="669"/>
      <c r="J292" s="669"/>
      <c r="K292" s="669"/>
      <c r="L292" s="669"/>
      <c r="M292" s="669"/>
      <c r="N292" s="670"/>
      <c r="O292" s="671"/>
      <c r="P292" s="672"/>
      <c r="Q292" s="673"/>
      <c r="R292" s="669"/>
      <c r="S292" s="669"/>
      <c r="T292" s="669"/>
      <c r="U292" s="669"/>
      <c r="V292" s="669"/>
      <c r="W292" s="669"/>
      <c r="X292" s="669"/>
      <c r="Y292" s="669"/>
      <c r="Z292" s="669"/>
      <c r="AA292" s="669"/>
      <c r="AB292" s="669"/>
      <c r="AC292" s="670"/>
      <c r="AD292" s="671"/>
      <c r="AE292" s="672"/>
      <c r="AF292" s="674"/>
      <c r="AG292" s="674"/>
      <c r="AH292" s="675"/>
      <c r="AI292" s="674"/>
    </row>
    <row r="293" spans="1:35" ht="12.75">
      <c r="A293" s="581" t="s">
        <v>4</v>
      </c>
      <c r="B293" s="665">
        <f>SUM(B294:B299)</f>
        <v>12</v>
      </c>
      <c r="C293" s="700">
        <f aca="true" t="shared" si="64" ref="C293:AI293">SUM(C294:C299)</f>
        <v>12350.359999999999</v>
      </c>
      <c r="D293" s="701">
        <f t="shared" si="64"/>
        <v>16320</v>
      </c>
      <c r="E293" s="700">
        <f t="shared" si="64"/>
        <v>0</v>
      </c>
      <c r="F293" s="700">
        <f t="shared" si="64"/>
        <v>0</v>
      </c>
      <c r="G293" s="700">
        <f t="shared" si="64"/>
        <v>0</v>
      </c>
      <c r="H293" s="700">
        <f t="shared" si="64"/>
        <v>0</v>
      </c>
      <c r="I293" s="700">
        <f t="shared" si="64"/>
        <v>0</v>
      </c>
      <c r="J293" s="700">
        <f t="shared" si="64"/>
        <v>0</v>
      </c>
      <c r="K293" s="700">
        <f t="shared" si="64"/>
        <v>0</v>
      </c>
      <c r="L293" s="700">
        <f t="shared" si="64"/>
        <v>11000</v>
      </c>
      <c r="M293" s="700">
        <f t="shared" si="64"/>
        <v>0</v>
      </c>
      <c r="N293" s="702">
        <f t="shared" si="64"/>
        <v>0</v>
      </c>
      <c r="O293" s="703">
        <f t="shared" si="64"/>
        <v>355044.31999999995</v>
      </c>
      <c r="P293" s="704">
        <f t="shared" si="64"/>
        <v>90264</v>
      </c>
      <c r="Q293" s="705">
        <f t="shared" si="64"/>
        <v>11</v>
      </c>
      <c r="R293" s="706">
        <f t="shared" si="64"/>
        <v>12350.359999999999</v>
      </c>
      <c r="S293" s="706">
        <f t="shared" si="64"/>
        <v>16320</v>
      </c>
      <c r="T293" s="706">
        <f t="shared" si="64"/>
        <v>0</v>
      </c>
      <c r="U293" s="699">
        <f t="shared" si="64"/>
        <v>0</v>
      </c>
      <c r="V293" s="699">
        <f t="shared" si="64"/>
        <v>0</v>
      </c>
      <c r="W293" s="699">
        <f t="shared" si="64"/>
        <v>0</v>
      </c>
      <c r="X293" s="699">
        <f t="shared" si="64"/>
        <v>0</v>
      </c>
      <c r="Y293" s="699">
        <f t="shared" si="64"/>
        <v>0</v>
      </c>
      <c r="Z293" s="699">
        <f t="shared" si="64"/>
        <v>0</v>
      </c>
      <c r="AA293" s="699">
        <f t="shared" si="64"/>
        <v>11000</v>
      </c>
      <c r="AB293" s="699">
        <f t="shared" si="64"/>
        <v>0</v>
      </c>
      <c r="AC293" s="707">
        <f t="shared" si="64"/>
        <v>0</v>
      </c>
      <c r="AD293" s="707">
        <f t="shared" si="64"/>
        <v>90264</v>
      </c>
      <c r="AE293" s="707">
        <f t="shared" si="64"/>
        <v>90264</v>
      </c>
      <c r="AF293" s="667">
        <f t="shared" si="64"/>
        <v>0</v>
      </c>
      <c r="AG293" s="667">
        <f t="shared" si="64"/>
        <v>0</v>
      </c>
      <c r="AH293" s="668">
        <f t="shared" si="64"/>
        <v>11</v>
      </c>
      <c r="AI293" s="667">
        <f t="shared" si="64"/>
        <v>90264</v>
      </c>
    </row>
    <row r="294" spans="1:35" ht="12.75">
      <c r="A294" s="582" t="s">
        <v>681</v>
      </c>
      <c r="B294" s="657"/>
      <c r="C294" s="669"/>
      <c r="D294" s="685"/>
      <c r="E294" s="669"/>
      <c r="F294" s="669"/>
      <c r="G294" s="669"/>
      <c r="H294" s="669"/>
      <c r="I294" s="669"/>
      <c r="J294" s="669"/>
      <c r="K294" s="669"/>
      <c r="L294" s="669"/>
      <c r="M294" s="669"/>
      <c r="N294" s="670"/>
      <c r="O294" s="671"/>
      <c r="P294" s="672"/>
      <c r="Q294" s="673"/>
      <c r="R294" s="669"/>
      <c r="S294" s="669"/>
      <c r="T294" s="669"/>
      <c r="U294" s="669"/>
      <c r="V294" s="669"/>
      <c r="W294" s="669"/>
      <c r="X294" s="669"/>
      <c r="Y294" s="669"/>
      <c r="Z294" s="669"/>
      <c r="AA294" s="669"/>
      <c r="AB294" s="669"/>
      <c r="AC294" s="670"/>
      <c r="AD294" s="671"/>
      <c r="AE294" s="672"/>
      <c r="AF294" s="674"/>
      <c r="AG294" s="674"/>
      <c r="AH294" s="675"/>
      <c r="AI294" s="674"/>
    </row>
    <row r="295" spans="1:35" ht="12.75">
      <c r="A295" s="582" t="s">
        <v>707</v>
      </c>
      <c r="B295" s="657"/>
      <c r="C295" s="669"/>
      <c r="D295" s="685"/>
      <c r="E295" s="669"/>
      <c r="F295" s="669"/>
      <c r="G295" s="669"/>
      <c r="H295" s="669"/>
      <c r="I295" s="669"/>
      <c r="J295" s="669"/>
      <c r="K295" s="669"/>
      <c r="L295" s="669"/>
      <c r="M295" s="669"/>
      <c r="N295" s="670"/>
      <c r="O295" s="671"/>
      <c r="P295" s="672"/>
      <c r="Q295" s="673"/>
      <c r="R295" s="669"/>
      <c r="S295" s="669"/>
      <c r="T295" s="669"/>
      <c r="U295" s="669"/>
      <c r="V295" s="669"/>
      <c r="W295" s="669"/>
      <c r="X295" s="669"/>
      <c r="Y295" s="669"/>
      <c r="Z295" s="669"/>
      <c r="AA295" s="669"/>
      <c r="AB295" s="669"/>
      <c r="AC295" s="670"/>
      <c r="AD295" s="671"/>
      <c r="AE295" s="672"/>
      <c r="AF295" s="674"/>
      <c r="AG295" s="674"/>
      <c r="AH295" s="675"/>
      <c r="AI295" s="674"/>
    </row>
    <row r="296" spans="1:35" ht="12.75">
      <c r="A296" s="582" t="s">
        <v>669</v>
      </c>
      <c r="B296" s="657">
        <v>1</v>
      </c>
      <c r="C296" s="679">
        <v>1064</v>
      </c>
      <c r="D296" s="669">
        <v>1360</v>
      </c>
      <c r="E296" s="669"/>
      <c r="F296" s="669"/>
      <c r="G296" s="669"/>
      <c r="H296" s="669"/>
      <c r="I296" s="669"/>
      <c r="J296" s="669"/>
      <c r="K296" s="669"/>
      <c r="L296" s="669">
        <f>1000*1</f>
        <v>1000</v>
      </c>
      <c r="M296" s="669"/>
      <c r="N296" s="670"/>
      <c r="O296" s="671">
        <f>SUM(C296:K296)*12+L296</f>
        <v>30088</v>
      </c>
      <c r="P296" s="672">
        <f>SUM(C296:K296)*12+L296</f>
        <v>30088</v>
      </c>
      <c r="Q296" s="673">
        <v>1</v>
      </c>
      <c r="R296" s="679">
        <v>1064</v>
      </c>
      <c r="S296" s="669">
        <v>1360</v>
      </c>
      <c r="T296" s="669"/>
      <c r="U296" s="669"/>
      <c r="V296" s="669"/>
      <c r="W296" s="669"/>
      <c r="X296" s="669"/>
      <c r="Y296" s="669"/>
      <c r="Z296" s="669"/>
      <c r="AA296" s="669">
        <f>1000*1</f>
        <v>1000</v>
      </c>
      <c r="AB296" s="669"/>
      <c r="AC296" s="670"/>
      <c r="AD296" s="671">
        <f>SUM(C296:K296)*12+L296</f>
        <v>30088</v>
      </c>
      <c r="AE296" s="672">
        <f>SUM(C296:K296)*12+L296</f>
        <v>30088</v>
      </c>
      <c r="AF296" s="674"/>
      <c r="AG296" s="674"/>
      <c r="AH296" s="675">
        <v>1</v>
      </c>
      <c r="AI296" s="674">
        <v>30088</v>
      </c>
    </row>
    <row r="297" spans="1:35" ht="12.75">
      <c r="A297" s="582" t="s">
        <v>670</v>
      </c>
      <c r="B297" s="657">
        <v>8</v>
      </c>
      <c r="C297" s="679">
        <v>8312.88</v>
      </c>
      <c r="D297" s="669">
        <v>10880</v>
      </c>
      <c r="E297" s="669"/>
      <c r="F297" s="669"/>
      <c r="G297" s="669"/>
      <c r="H297" s="669"/>
      <c r="I297" s="669"/>
      <c r="J297" s="669"/>
      <c r="K297" s="669"/>
      <c r="L297" s="669">
        <v>8000</v>
      </c>
      <c r="M297" s="669"/>
      <c r="N297" s="670"/>
      <c r="O297" s="671">
        <f>SUM(C297:K297)*12+L297</f>
        <v>238314.55999999997</v>
      </c>
      <c r="P297" s="672">
        <f>SUM(C296:K296)*12+L296</f>
        <v>30088</v>
      </c>
      <c r="Q297" s="673">
        <v>8</v>
      </c>
      <c r="R297" s="679">
        <v>8312.88</v>
      </c>
      <c r="S297" s="669">
        <v>10880</v>
      </c>
      <c r="T297" s="669"/>
      <c r="U297" s="669"/>
      <c r="V297" s="669"/>
      <c r="W297" s="669"/>
      <c r="X297" s="669"/>
      <c r="Y297" s="669"/>
      <c r="Z297" s="669"/>
      <c r="AA297" s="669">
        <v>8000</v>
      </c>
      <c r="AB297" s="669"/>
      <c r="AC297" s="670"/>
      <c r="AD297" s="671">
        <f>SUM(C296:K296)*12+L296</f>
        <v>30088</v>
      </c>
      <c r="AE297" s="672">
        <f>SUM(C296:K296)*12+L296</f>
        <v>30088</v>
      </c>
      <c r="AF297" s="674"/>
      <c r="AG297" s="674"/>
      <c r="AH297" s="675">
        <v>8</v>
      </c>
      <c r="AI297" s="674">
        <v>30088</v>
      </c>
    </row>
    <row r="298" spans="1:35" ht="12.75">
      <c r="A298" s="582" t="s">
        <v>671</v>
      </c>
      <c r="B298" s="657"/>
      <c r="C298" s="679"/>
      <c r="D298" s="669"/>
      <c r="E298" s="669"/>
      <c r="F298" s="669"/>
      <c r="G298" s="669"/>
      <c r="H298" s="669"/>
      <c r="I298" s="669"/>
      <c r="J298" s="669"/>
      <c r="K298" s="669"/>
      <c r="L298" s="669"/>
      <c r="M298" s="669"/>
      <c r="N298" s="670"/>
      <c r="O298" s="671"/>
      <c r="P298" s="672"/>
      <c r="Q298" s="673"/>
      <c r="R298" s="679"/>
      <c r="S298" s="669"/>
      <c r="T298" s="669"/>
      <c r="U298" s="669"/>
      <c r="V298" s="669"/>
      <c r="W298" s="669"/>
      <c r="X298" s="669"/>
      <c r="Y298" s="669"/>
      <c r="Z298" s="669"/>
      <c r="AA298" s="669"/>
      <c r="AB298" s="669"/>
      <c r="AC298" s="670"/>
      <c r="AD298" s="671"/>
      <c r="AE298" s="672"/>
      <c r="AF298" s="674"/>
      <c r="AG298" s="674"/>
      <c r="AH298" s="675"/>
      <c r="AI298" s="674"/>
    </row>
    <row r="299" spans="1:35" ht="12.75">
      <c r="A299" s="582" t="s">
        <v>684</v>
      </c>
      <c r="B299" s="657">
        <v>3</v>
      </c>
      <c r="C299" s="679">
        <v>2973.48</v>
      </c>
      <c r="D299" s="669">
        <v>4080</v>
      </c>
      <c r="E299" s="669"/>
      <c r="F299" s="669"/>
      <c r="G299" s="669"/>
      <c r="H299" s="669"/>
      <c r="I299" s="669"/>
      <c r="J299" s="669"/>
      <c r="K299" s="669"/>
      <c r="L299" s="669">
        <f>1000*2</f>
        <v>2000</v>
      </c>
      <c r="M299" s="669"/>
      <c r="N299" s="670"/>
      <c r="O299" s="671">
        <f>SUM(C299:K299)*12+L299</f>
        <v>86641.76</v>
      </c>
      <c r="P299" s="672">
        <f>SUM(C296:K296)*12+L296</f>
        <v>30088</v>
      </c>
      <c r="Q299" s="673">
        <v>2</v>
      </c>
      <c r="R299" s="679">
        <v>2973.48</v>
      </c>
      <c r="S299" s="669">
        <v>4080</v>
      </c>
      <c r="T299" s="669"/>
      <c r="U299" s="669"/>
      <c r="V299" s="669"/>
      <c r="W299" s="669"/>
      <c r="X299" s="669"/>
      <c r="Y299" s="669"/>
      <c r="Z299" s="669"/>
      <c r="AA299" s="669">
        <f>1000*2</f>
        <v>2000</v>
      </c>
      <c r="AB299" s="669"/>
      <c r="AC299" s="670"/>
      <c r="AD299" s="671">
        <f>SUM(C296:K296)*12+L296</f>
        <v>30088</v>
      </c>
      <c r="AE299" s="672">
        <f>SUM(C296:K296)*12+L296</f>
        <v>30088</v>
      </c>
      <c r="AF299" s="674"/>
      <c r="AG299" s="674"/>
      <c r="AH299" s="675">
        <v>2</v>
      </c>
      <c r="AI299" s="674">
        <v>30088</v>
      </c>
    </row>
    <row r="300" spans="1:35" ht="12.75">
      <c r="A300" s="581" t="s">
        <v>5</v>
      </c>
      <c r="B300" s="665">
        <f>SUM(B301:B306)</f>
        <v>7</v>
      </c>
      <c r="C300" s="700">
        <f aca="true" t="shared" si="65" ref="C300:AI300">SUM(C301:C306)</f>
        <v>6681.610000000001</v>
      </c>
      <c r="D300" s="700">
        <f t="shared" si="65"/>
        <v>8960</v>
      </c>
      <c r="E300" s="700">
        <f t="shared" si="65"/>
        <v>0</v>
      </c>
      <c r="F300" s="700">
        <f t="shared" si="65"/>
        <v>0</v>
      </c>
      <c r="G300" s="700">
        <f t="shared" si="65"/>
        <v>0</v>
      </c>
      <c r="H300" s="700">
        <f t="shared" si="65"/>
        <v>0</v>
      </c>
      <c r="I300" s="700">
        <f t="shared" si="65"/>
        <v>0</v>
      </c>
      <c r="J300" s="700">
        <f t="shared" si="65"/>
        <v>0</v>
      </c>
      <c r="K300" s="700">
        <f t="shared" si="65"/>
        <v>0</v>
      </c>
      <c r="L300" s="700">
        <f t="shared" si="65"/>
        <v>7000</v>
      </c>
      <c r="M300" s="700">
        <f t="shared" si="65"/>
        <v>0</v>
      </c>
      <c r="N300" s="702">
        <f t="shared" si="65"/>
        <v>0</v>
      </c>
      <c r="O300" s="703">
        <f t="shared" si="65"/>
        <v>194699.32</v>
      </c>
      <c r="P300" s="704">
        <f t="shared" si="65"/>
        <v>194699.32</v>
      </c>
      <c r="Q300" s="705">
        <f t="shared" si="65"/>
        <v>7</v>
      </c>
      <c r="R300" s="706">
        <f t="shared" si="65"/>
        <v>6681.610000000001</v>
      </c>
      <c r="S300" s="706">
        <f t="shared" si="65"/>
        <v>8960</v>
      </c>
      <c r="T300" s="706">
        <f t="shared" si="65"/>
        <v>0</v>
      </c>
      <c r="U300" s="706">
        <f t="shared" si="65"/>
        <v>0</v>
      </c>
      <c r="V300" s="706">
        <f t="shared" si="65"/>
        <v>0</v>
      </c>
      <c r="W300" s="706">
        <f t="shared" si="65"/>
        <v>0</v>
      </c>
      <c r="X300" s="706">
        <f t="shared" si="65"/>
        <v>0</v>
      </c>
      <c r="Y300" s="706">
        <f t="shared" si="65"/>
        <v>0</v>
      </c>
      <c r="Z300" s="706">
        <f t="shared" si="65"/>
        <v>0</v>
      </c>
      <c r="AA300" s="706">
        <f t="shared" si="65"/>
        <v>7000</v>
      </c>
      <c r="AB300" s="706">
        <f t="shared" si="65"/>
        <v>0</v>
      </c>
      <c r="AC300" s="708">
        <f t="shared" si="65"/>
        <v>0</v>
      </c>
      <c r="AD300" s="708">
        <f t="shared" si="65"/>
        <v>194699.32</v>
      </c>
      <c r="AE300" s="708">
        <f t="shared" si="65"/>
        <v>194699.32</v>
      </c>
      <c r="AF300" s="681">
        <f t="shared" si="65"/>
        <v>0</v>
      </c>
      <c r="AG300" s="681">
        <f t="shared" si="65"/>
        <v>0</v>
      </c>
      <c r="AH300" s="682">
        <f t="shared" si="65"/>
        <v>7</v>
      </c>
      <c r="AI300" s="681">
        <f t="shared" si="65"/>
        <v>194699.32</v>
      </c>
    </row>
    <row r="301" spans="1:35" ht="12.75">
      <c r="A301" s="582" t="s">
        <v>672</v>
      </c>
      <c r="B301" s="657">
        <v>3</v>
      </c>
      <c r="C301" s="669">
        <v>2876.85</v>
      </c>
      <c r="D301" s="669">
        <v>3840</v>
      </c>
      <c r="E301" s="669"/>
      <c r="F301" s="669"/>
      <c r="G301" s="669"/>
      <c r="H301" s="669"/>
      <c r="I301" s="669"/>
      <c r="J301" s="669"/>
      <c r="K301" s="669"/>
      <c r="L301" s="669">
        <f>1000*3</f>
        <v>3000</v>
      </c>
      <c r="M301" s="669"/>
      <c r="N301" s="670"/>
      <c r="O301" s="671">
        <f>SUM(C301:K301)*12+L301</f>
        <v>83602.20000000001</v>
      </c>
      <c r="P301" s="672">
        <f>SUM(C301:K301)*12+L301</f>
        <v>83602.20000000001</v>
      </c>
      <c r="Q301" s="673">
        <v>3</v>
      </c>
      <c r="R301" s="669">
        <v>2876.85</v>
      </c>
      <c r="S301" s="669">
        <v>3840</v>
      </c>
      <c r="T301" s="669"/>
      <c r="U301" s="669"/>
      <c r="V301" s="669"/>
      <c r="W301" s="669"/>
      <c r="X301" s="669"/>
      <c r="Y301" s="669"/>
      <c r="Z301" s="669"/>
      <c r="AA301" s="669">
        <f>1000*3</f>
        <v>3000</v>
      </c>
      <c r="AB301" s="669"/>
      <c r="AC301" s="670"/>
      <c r="AD301" s="671">
        <f>SUM(R301:Z301)*12+AA301</f>
        <v>83602.20000000001</v>
      </c>
      <c r="AE301" s="672">
        <f>SUM(R301:Z301)*12+AA301</f>
        <v>83602.20000000001</v>
      </c>
      <c r="AF301" s="674"/>
      <c r="AG301" s="674"/>
      <c r="AH301" s="675">
        <v>3</v>
      </c>
      <c r="AI301" s="674">
        <v>83602.20000000001</v>
      </c>
    </row>
    <row r="302" spans="1:35" ht="12.75">
      <c r="A302" s="582" t="s">
        <v>673</v>
      </c>
      <c r="B302" s="657">
        <v>4</v>
      </c>
      <c r="C302" s="669">
        <v>3804.76</v>
      </c>
      <c r="D302" s="669">
        <v>5120</v>
      </c>
      <c r="E302" s="669"/>
      <c r="F302" s="669"/>
      <c r="G302" s="669"/>
      <c r="H302" s="669"/>
      <c r="I302" s="669"/>
      <c r="J302" s="669"/>
      <c r="K302" s="669"/>
      <c r="L302" s="669">
        <f>1000*4</f>
        <v>4000</v>
      </c>
      <c r="M302" s="669"/>
      <c r="N302" s="670"/>
      <c r="O302" s="671">
        <f>SUM(C302:K302)*12+L302</f>
        <v>111097.12</v>
      </c>
      <c r="P302" s="672">
        <f>SUM(C302:K302)*12+L302</f>
        <v>111097.12</v>
      </c>
      <c r="Q302" s="673">
        <v>4</v>
      </c>
      <c r="R302" s="669">
        <v>3804.76</v>
      </c>
      <c r="S302" s="669">
        <v>5120</v>
      </c>
      <c r="T302" s="669"/>
      <c r="U302" s="669"/>
      <c r="V302" s="669"/>
      <c r="W302" s="669"/>
      <c r="X302" s="669"/>
      <c r="Y302" s="669"/>
      <c r="Z302" s="669"/>
      <c r="AA302" s="669">
        <f>1000*4</f>
        <v>4000</v>
      </c>
      <c r="AB302" s="669"/>
      <c r="AC302" s="670"/>
      <c r="AD302" s="671">
        <f>SUM(R302:Z302)*12+AA302</f>
        <v>111097.12</v>
      </c>
      <c r="AE302" s="672">
        <f>SUM(R302:Z302)*12+AA302</f>
        <v>111097.12</v>
      </c>
      <c r="AF302" s="674"/>
      <c r="AG302" s="674"/>
      <c r="AH302" s="675">
        <v>4</v>
      </c>
      <c r="AI302" s="674">
        <v>111097.12</v>
      </c>
    </row>
    <row r="303" spans="1:35" ht="12.75">
      <c r="A303" s="582" t="s">
        <v>676</v>
      </c>
      <c r="B303" s="657"/>
      <c r="C303" s="669"/>
      <c r="D303" s="669"/>
      <c r="E303" s="669"/>
      <c r="F303" s="669"/>
      <c r="G303" s="669"/>
      <c r="H303" s="669"/>
      <c r="I303" s="669"/>
      <c r="J303" s="669"/>
      <c r="K303" s="669"/>
      <c r="L303" s="669"/>
      <c r="M303" s="669"/>
      <c r="N303" s="670"/>
      <c r="O303" s="671"/>
      <c r="P303" s="672"/>
      <c r="Q303" s="673"/>
      <c r="R303" s="669"/>
      <c r="S303" s="669"/>
      <c r="T303" s="669"/>
      <c r="U303" s="669"/>
      <c r="V303" s="669"/>
      <c r="W303" s="669"/>
      <c r="X303" s="669"/>
      <c r="Y303" s="669"/>
      <c r="Z303" s="669"/>
      <c r="AA303" s="669"/>
      <c r="AB303" s="669"/>
      <c r="AC303" s="670"/>
      <c r="AD303" s="671"/>
      <c r="AE303" s="672"/>
      <c r="AF303" s="674"/>
      <c r="AG303" s="674"/>
      <c r="AH303" s="675"/>
      <c r="AI303" s="674"/>
    </row>
    <row r="304" spans="1:35" ht="12.75">
      <c r="A304" s="582" t="s">
        <v>677</v>
      </c>
      <c r="B304" s="657"/>
      <c r="C304" s="669"/>
      <c r="D304" s="669"/>
      <c r="E304" s="669"/>
      <c r="F304" s="669"/>
      <c r="G304" s="669"/>
      <c r="H304" s="669"/>
      <c r="I304" s="669"/>
      <c r="J304" s="669"/>
      <c r="K304" s="669"/>
      <c r="L304" s="669"/>
      <c r="M304" s="669"/>
      <c r="N304" s="670"/>
      <c r="O304" s="671"/>
      <c r="P304" s="672"/>
      <c r="Q304" s="673"/>
      <c r="R304" s="669"/>
      <c r="S304" s="669"/>
      <c r="T304" s="669"/>
      <c r="U304" s="669"/>
      <c r="V304" s="669"/>
      <c r="W304" s="669"/>
      <c r="X304" s="669"/>
      <c r="Y304" s="669"/>
      <c r="Z304" s="669"/>
      <c r="AA304" s="669"/>
      <c r="AB304" s="669"/>
      <c r="AC304" s="670"/>
      <c r="AD304" s="671"/>
      <c r="AE304" s="672"/>
      <c r="AF304" s="674"/>
      <c r="AG304" s="674"/>
      <c r="AH304" s="675"/>
      <c r="AI304" s="674"/>
    </row>
    <row r="305" spans="1:35" ht="12.75">
      <c r="A305" s="582" t="s">
        <v>678</v>
      </c>
      <c r="B305" s="657"/>
      <c r="C305" s="669"/>
      <c r="D305" s="669"/>
      <c r="E305" s="669"/>
      <c r="F305" s="669"/>
      <c r="G305" s="669"/>
      <c r="H305" s="669"/>
      <c r="I305" s="669"/>
      <c r="J305" s="669"/>
      <c r="K305" s="669"/>
      <c r="L305" s="669"/>
      <c r="M305" s="669"/>
      <c r="N305" s="670"/>
      <c r="O305" s="671"/>
      <c r="P305" s="672"/>
      <c r="Q305" s="673"/>
      <c r="R305" s="669"/>
      <c r="S305" s="669"/>
      <c r="T305" s="669"/>
      <c r="U305" s="669"/>
      <c r="V305" s="669"/>
      <c r="W305" s="669"/>
      <c r="X305" s="669"/>
      <c r="Y305" s="669"/>
      <c r="Z305" s="669"/>
      <c r="AA305" s="669"/>
      <c r="AB305" s="669"/>
      <c r="AC305" s="670"/>
      <c r="AD305" s="671"/>
      <c r="AE305" s="672"/>
      <c r="AF305" s="674"/>
      <c r="AG305" s="674"/>
      <c r="AH305" s="675"/>
      <c r="AI305" s="674"/>
    </row>
    <row r="306" spans="1:35" ht="12.75">
      <c r="A306" s="582" t="s">
        <v>708</v>
      </c>
      <c r="B306" s="657"/>
      <c r="C306" s="669"/>
      <c r="D306" s="669"/>
      <c r="E306" s="669"/>
      <c r="F306" s="669"/>
      <c r="G306" s="669"/>
      <c r="H306" s="669"/>
      <c r="I306" s="669"/>
      <c r="J306" s="669"/>
      <c r="K306" s="669"/>
      <c r="L306" s="669"/>
      <c r="M306" s="669"/>
      <c r="N306" s="670"/>
      <c r="O306" s="671"/>
      <c r="P306" s="672"/>
      <c r="Q306" s="673"/>
      <c r="R306" s="669"/>
      <c r="S306" s="669"/>
      <c r="T306" s="669"/>
      <c r="U306" s="669"/>
      <c r="V306" s="669"/>
      <c r="W306" s="669"/>
      <c r="X306" s="669"/>
      <c r="Y306" s="669"/>
      <c r="Z306" s="669"/>
      <c r="AA306" s="669"/>
      <c r="AB306" s="669"/>
      <c r="AC306" s="670"/>
      <c r="AD306" s="671"/>
      <c r="AE306" s="672"/>
      <c r="AF306" s="674"/>
      <c r="AG306" s="674"/>
      <c r="AH306" s="675"/>
      <c r="AI306" s="674"/>
    </row>
    <row r="307" spans="1:35" ht="12.75">
      <c r="A307" s="709"/>
      <c r="B307" s="710"/>
      <c r="C307" s="711"/>
      <c r="D307" s="711"/>
      <c r="E307" s="711"/>
      <c r="F307" s="711"/>
      <c r="G307" s="711"/>
      <c r="H307" s="711"/>
      <c r="I307" s="711"/>
      <c r="J307" s="711"/>
      <c r="K307" s="711"/>
      <c r="L307" s="711"/>
      <c r="M307" s="711"/>
      <c r="N307" s="670"/>
      <c r="O307" s="711"/>
      <c r="P307" s="711"/>
      <c r="Q307" s="712"/>
      <c r="R307" s="711"/>
      <c r="S307" s="711"/>
      <c r="T307" s="711"/>
      <c r="U307" s="711"/>
      <c r="V307" s="711"/>
      <c r="W307" s="711"/>
      <c r="X307" s="711"/>
      <c r="Y307" s="711"/>
      <c r="Z307" s="711"/>
      <c r="AA307" s="711"/>
      <c r="AB307" s="711"/>
      <c r="AC307" s="670"/>
      <c r="AD307" s="711"/>
      <c r="AE307" s="711"/>
      <c r="AF307" s="711"/>
      <c r="AG307" s="711"/>
      <c r="AH307" s="713"/>
      <c r="AI307" s="711"/>
    </row>
    <row r="308" spans="1:35" ht="15.75">
      <c r="A308" s="106" t="s">
        <v>712</v>
      </c>
      <c r="B308" s="714"/>
      <c r="C308" s="714"/>
      <c r="D308" s="714"/>
      <c r="E308" s="714"/>
      <c r="F308" s="714"/>
      <c r="G308" s="714"/>
      <c r="H308" s="714"/>
      <c r="I308" s="714"/>
      <c r="J308" s="714"/>
      <c r="K308" s="714"/>
      <c r="L308" s="714"/>
      <c r="M308" s="714"/>
      <c r="N308" s="714"/>
      <c r="O308" s="714"/>
      <c r="P308" s="714"/>
      <c r="Q308" s="714"/>
      <c r="R308" s="714"/>
      <c r="S308" s="714"/>
      <c r="T308" s="714"/>
      <c r="U308" s="714"/>
      <c r="V308" s="714"/>
      <c r="W308" s="714"/>
      <c r="X308"/>
      <c r="Y308"/>
      <c r="Z308"/>
      <c r="AA308"/>
      <c r="AB308"/>
      <c r="AC308"/>
      <c r="AD308"/>
      <c r="AE308"/>
      <c r="AF308"/>
      <c r="AG308"/>
      <c r="AH308"/>
      <c r="AI308"/>
    </row>
    <row r="309" spans="1:35" ht="15.75">
      <c r="A309" s="249" t="s">
        <v>711</v>
      </c>
      <c r="B309" s="81"/>
      <c r="C309" s="81"/>
      <c r="D309" s="81"/>
      <c r="E309" s="81"/>
      <c r="F309" s="81"/>
      <c r="G309" s="81"/>
      <c r="H309" s="81"/>
      <c r="I309" s="81"/>
      <c r="J309" s="81"/>
      <c r="K309" s="81"/>
      <c r="L309" s="81"/>
      <c r="M309" s="81"/>
      <c r="N309" s="81"/>
      <c r="O309" s="81"/>
      <c r="P309" s="81"/>
      <c r="Q309" s="81"/>
      <c r="R309" s="81"/>
      <c r="S309" s="81"/>
      <c r="T309" s="81"/>
      <c r="U309" s="81"/>
      <c r="V309" s="81"/>
      <c r="W309" s="81"/>
      <c r="X309"/>
      <c r="Y309"/>
      <c r="Z309"/>
      <c r="AA309"/>
      <c r="AB309"/>
      <c r="AC309"/>
      <c r="AD309"/>
      <c r="AE309"/>
      <c r="AF309"/>
      <c r="AG309"/>
      <c r="AH309"/>
      <c r="AI309"/>
    </row>
    <row r="310" spans="1:35" ht="12.75" thickBot="1">
      <c r="A310" s="455"/>
      <c r="B310" s="478"/>
      <c r="C310" s="478"/>
      <c r="D310" s="478"/>
      <c r="E310" s="478"/>
      <c r="F310" s="478"/>
      <c r="G310" s="478"/>
      <c r="H310" s="478"/>
      <c r="I310" s="478"/>
      <c r="J310" s="478"/>
      <c r="K310" s="478"/>
      <c r="L310" s="478"/>
      <c r="M310" s="478"/>
      <c r="N310" s="478"/>
      <c r="O310" s="478"/>
      <c r="P310" s="478"/>
      <c r="Q310" s="478"/>
      <c r="R310" s="478"/>
      <c r="S310" s="478"/>
      <c r="T310" s="478"/>
      <c r="U310" s="478"/>
      <c r="V310" s="478"/>
      <c r="W310" s="478"/>
      <c r="X310" s="478"/>
      <c r="Y310" s="478"/>
      <c r="Z310" s="478"/>
      <c r="AA310" s="478"/>
      <c r="AB310" s="478"/>
      <c r="AC310" s="478"/>
      <c r="AD310" s="478"/>
      <c r="AE310" s="478"/>
      <c r="AF310" s="478"/>
      <c r="AG310" s="478"/>
      <c r="AH310" s="478"/>
      <c r="AI310" s="478"/>
    </row>
    <row r="311" spans="1:35" ht="12.75" thickBot="1">
      <c r="A311" s="1559" t="s">
        <v>47</v>
      </c>
      <c r="B311" s="1562" t="s">
        <v>339</v>
      </c>
      <c r="C311" s="1562"/>
      <c r="D311" s="1562"/>
      <c r="E311" s="1562"/>
      <c r="F311" s="1562"/>
      <c r="G311" s="1562"/>
      <c r="H311" s="1562"/>
      <c r="I311" s="1562"/>
      <c r="J311" s="1562"/>
      <c r="K311" s="1562"/>
      <c r="L311" s="1562"/>
      <c r="M311" s="1562"/>
      <c r="N311" s="1562"/>
      <c r="O311" s="1562"/>
      <c r="P311" s="1562"/>
      <c r="Q311" s="1563" t="s">
        <v>434</v>
      </c>
      <c r="R311" s="1562"/>
      <c r="S311" s="1562"/>
      <c r="T311" s="1562"/>
      <c r="U311" s="1562"/>
      <c r="V311" s="1562"/>
      <c r="W311" s="1562"/>
      <c r="X311" s="1562"/>
      <c r="Y311" s="1562"/>
      <c r="Z311" s="1562"/>
      <c r="AA311" s="1562"/>
      <c r="AB311" s="1562"/>
      <c r="AC311" s="1562"/>
      <c r="AD311" s="1562"/>
      <c r="AE311" s="1564"/>
      <c r="AF311" s="1565" t="s">
        <v>436</v>
      </c>
      <c r="AG311" s="1566"/>
      <c r="AH311" s="1565" t="s">
        <v>435</v>
      </c>
      <c r="AI311" s="1566"/>
    </row>
    <row r="312" spans="1:35" ht="140.25">
      <c r="A312" s="1560"/>
      <c r="B312" s="490" t="s">
        <v>11</v>
      </c>
      <c r="C312" s="491" t="s">
        <v>146</v>
      </c>
      <c r="D312" s="492" t="s">
        <v>270</v>
      </c>
      <c r="E312" s="492" t="s">
        <v>148</v>
      </c>
      <c r="F312" s="492" t="s">
        <v>182</v>
      </c>
      <c r="G312" s="492" t="s">
        <v>183</v>
      </c>
      <c r="H312" s="492" t="s">
        <v>184</v>
      </c>
      <c r="I312" s="492" t="s">
        <v>185</v>
      </c>
      <c r="J312" s="492" t="s">
        <v>149</v>
      </c>
      <c r="K312" s="492" t="s">
        <v>150</v>
      </c>
      <c r="L312" s="492" t="s">
        <v>151</v>
      </c>
      <c r="M312" s="492" t="s">
        <v>181</v>
      </c>
      <c r="N312" s="493" t="s">
        <v>119</v>
      </c>
      <c r="O312" s="494" t="s">
        <v>156</v>
      </c>
      <c r="P312" s="495" t="s">
        <v>155</v>
      </c>
      <c r="Q312" s="490" t="s">
        <v>11</v>
      </c>
      <c r="R312" s="491" t="s">
        <v>146</v>
      </c>
      <c r="S312" s="492" t="s">
        <v>147</v>
      </c>
      <c r="T312" s="492" t="s">
        <v>148</v>
      </c>
      <c r="U312" s="492" t="s">
        <v>182</v>
      </c>
      <c r="V312" s="492" t="s">
        <v>183</v>
      </c>
      <c r="W312" s="492" t="s">
        <v>184</v>
      </c>
      <c r="X312" s="492" t="s">
        <v>185</v>
      </c>
      <c r="Y312" s="492" t="s">
        <v>149</v>
      </c>
      <c r="Z312" s="492" t="s">
        <v>150</v>
      </c>
      <c r="AA312" s="492" t="s">
        <v>151</v>
      </c>
      <c r="AB312" s="492" t="s">
        <v>181</v>
      </c>
      <c r="AC312" s="493" t="s">
        <v>119</v>
      </c>
      <c r="AD312" s="494" t="s">
        <v>156</v>
      </c>
      <c r="AE312" s="495" t="s">
        <v>340</v>
      </c>
      <c r="AF312" s="496" t="s">
        <v>160</v>
      </c>
      <c r="AG312" s="496" t="s">
        <v>159</v>
      </c>
      <c r="AH312" s="496" t="s">
        <v>11</v>
      </c>
      <c r="AI312" s="495" t="s">
        <v>341</v>
      </c>
    </row>
    <row r="313" spans="1:35" ht="12.75" thickBot="1">
      <c r="A313" s="1561"/>
      <c r="B313" s="497" t="s">
        <v>48</v>
      </c>
      <c r="C313" s="498" t="s">
        <v>49</v>
      </c>
      <c r="D313" s="499" t="s">
        <v>50</v>
      </c>
      <c r="E313" s="499" t="s">
        <v>51</v>
      </c>
      <c r="F313" s="500" t="s">
        <v>52</v>
      </c>
      <c r="G313" s="500" t="s">
        <v>53</v>
      </c>
      <c r="H313" s="500" t="s">
        <v>79</v>
      </c>
      <c r="I313" s="500" t="s">
        <v>118</v>
      </c>
      <c r="J313" s="500" t="s">
        <v>154</v>
      </c>
      <c r="K313" s="500" t="s">
        <v>158</v>
      </c>
      <c r="L313" s="500" t="s">
        <v>190</v>
      </c>
      <c r="M313" s="500" t="s">
        <v>191</v>
      </c>
      <c r="N313" s="501" t="s">
        <v>193</v>
      </c>
      <c r="O313" s="502" t="s">
        <v>194</v>
      </c>
      <c r="P313" s="503" t="s">
        <v>195</v>
      </c>
      <c r="Q313" s="497" t="s">
        <v>48</v>
      </c>
      <c r="R313" s="498" t="s">
        <v>49</v>
      </c>
      <c r="S313" s="499" t="s">
        <v>50</v>
      </c>
      <c r="T313" s="499" t="s">
        <v>51</v>
      </c>
      <c r="U313" s="500" t="s">
        <v>52</v>
      </c>
      <c r="V313" s="500" t="s">
        <v>53</v>
      </c>
      <c r="W313" s="500" t="s">
        <v>79</v>
      </c>
      <c r="X313" s="500" t="s">
        <v>118</v>
      </c>
      <c r="Y313" s="500" t="s">
        <v>154</v>
      </c>
      <c r="Z313" s="500" t="s">
        <v>158</v>
      </c>
      <c r="AA313" s="500" t="s">
        <v>190</v>
      </c>
      <c r="AB313" s="500" t="s">
        <v>191</v>
      </c>
      <c r="AC313" s="501" t="s">
        <v>193</v>
      </c>
      <c r="AD313" s="502" t="s">
        <v>194</v>
      </c>
      <c r="AE313" s="503" t="s">
        <v>195</v>
      </c>
      <c r="AF313" s="504"/>
      <c r="AG313" s="497"/>
      <c r="AH313" s="504"/>
      <c r="AI313" s="497"/>
    </row>
    <row r="314" spans="1:35" ht="12">
      <c r="A314" s="465"/>
      <c r="B314" s="657"/>
      <c r="C314" s="454"/>
      <c r="D314" s="454"/>
      <c r="E314" s="454"/>
      <c r="F314" s="454"/>
      <c r="G314" s="454"/>
      <c r="H314" s="454"/>
      <c r="I314" s="454"/>
      <c r="J314" s="454"/>
      <c r="K314" s="454"/>
      <c r="L314" s="454"/>
      <c r="M314" s="454"/>
      <c r="N314" s="508"/>
      <c r="O314" s="467"/>
      <c r="P314" s="457"/>
      <c r="Q314" s="456"/>
      <c r="R314" s="454"/>
      <c r="S314" s="454"/>
      <c r="T314" s="454"/>
      <c r="U314" s="454"/>
      <c r="V314" s="454"/>
      <c r="W314" s="454"/>
      <c r="X314" s="454"/>
      <c r="Y314" s="454"/>
      <c r="Z314" s="454"/>
      <c r="AA314" s="454"/>
      <c r="AB314" s="454"/>
      <c r="AC314" s="508"/>
      <c r="AD314" s="467"/>
      <c r="AE314" s="457"/>
      <c r="AF314" s="457"/>
      <c r="AG314" s="456"/>
      <c r="AH314" s="457"/>
      <c r="AI314" s="456"/>
    </row>
    <row r="315" spans="1:35" ht="12">
      <c r="A315" s="456" t="s">
        <v>54</v>
      </c>
      <c r="B315" s="657"/>
      <c r="C315" s="454"/>
      <c r="D315" s="454"/>
      <c r="E315" s="454"/>
      <c r="F315" s="454"/>
      <c r="G315" s="454"/>
      <c r="H315" s="454"/>
      <c r="I315" s="454"/>
      <c r="J315" s="454"/>
      <c r="K315" s="454"/>
      <c r="L315" s="454"/>
      <c r="M315" s="454"/>
      <c r="N315" s="508"/>
      <c r="O315" s="521"/>
      <c r="P315" s="522"/>
      <c r="Q315" s="523"/>
      <c r="R315" s="454"/>
      <c r="S315" s="454"/>
      <c r="T315" s="454"/>
      <c r="U315" s="454"/>
      <c r="V315" s="454"/>
      <c r="W315" s="454"/>
      <c r="X315" s="454"/>
      <c r="Y315" s="454"/>
      <c r="Z315" s="454"/>
      <c r="AA315" s="454"/>
      <c r="AB315" s="454"/>
      <c r="AC315" s="508"/>
      <c r="AD315" s="467"/>
      <c r="AE315" s="457"/>
      <c r="AF315" s="457"/>
      <c r="AG315" s="456"/>
      <c r="AH315" s="457"/>
      <c r="AI315" s="456"/>
    </row>
    <row r="316" spans="1:35" ht="12.75">
      <c r="A316" s="581" t="s">
        <v>668</v>
      </c>
      <c r="B316" s="665">
        <f aca="true" t="shared" si="66" ref="B316:AI316">SUM(B317:B321)</f>
        <v>0</v>
      </c>
      <c r="C316" s="694">
        <f t="shared" si="66"/>
        <v>0</v>
      </c>
      <c r="D316" s="694">
        <f t="shared" si="66"/>
        <v>0</v>
      </c>
      <c r="E316" s="694">
        <f t="shared" si="66"/>
        <v>0</v>
      </c>
      <c r="F316" s="694">
        <f t="shared" si="66"/>
        <v>0</v>
      </c>
      <c r="G316" s="694">
        <f t="shared" si="66"/>
        <v>0</v>
      </c>
      <c r="H316" s="694">
        <f t="shared" si="66"/>
        <v>0</v>
      </c>
      <c r="I316" s="694">
        <f t="shared" si="66"/>
        <v>0</v>
      </c>
      <c r="J316" s="694">
        <f t="shared" si="66"/>
        <v>0</v>
      </c>
      <c r="K316" s="694">
        <f t="shared" si="66"/>
        <v>0</v>
      </c>
      <c r="L316" s="694">
        <f t="shared" si="66"/>
        <v>0</v>
      </c>
      <c r="M316" s="694">
        <f t="shared" si="66"/>
        <v>0</v>
      </c>
      <c r="N316" s="694">
        <f t="shared" si="66"/>
        <v>0</v>
      </c>
      <c r="O316" s="695">
        <f t="shared" si="66"/>
        <v>0</v>
      </c>
      <c r="P316" s="696">
        <f t="shared" si="66"/>
        <v>0</v>
      </c>
      <c r="Q316" s="697">
        <f t="shared" si="66"/>
        <v>0</v>
      </c>
      <c r="R316" s="698">
        <f t="shared" si="66"/>
        <v>0</v>
      </c>
      <c r="S316" s="699">
        <f t="shared" si="66"/>
        <v>0</v>
      </c>
      <c r="T316" s="699">
        <f t="shared" si="66"/>
        <v>0</v>
      </c>
      <c r="U316" s="699">
        <f t="shared" si="66"/>
        <v>0</v>
      </c>
      <c r="V316" s="699">
        <f t="shared" si="66"/>
        <v>0</v>
      </c>
      <c r="W316" s="699">
        <f t="shared" si="66"/>
        <v>0</v>
      </c>
      <c r="X316" s="699">
        <f t="shared" si="66"/>
        <v>0</v>
      </c>
      <c r="Y316" s="699">
        <f t="shared" si="66"/>
        <v>0</v>
      </c>
      <c r="Z316" s="699">
        <f t="shared" si="66"/>
        <v>0</v>
      </c>
      <c r="AA316" s="699">
        <f t="shared" si="66"/>
        <v>0</v>
      </c>
      <c r="AB316" s="699">
        <f t="shared" si="66"/>
        <v>0</v>
      </c>
      <c r="AC316" s="699">
        <f t="shared" si="66"/>
        <v>0</v>
      </c>
      <c r="AD316" s="699">
        <f t="shared" si="66"/>
        <v>0</v>
      </c>
      <c r="AE316" s="699">
        <f t="shared" si="66"/>
        <v>0</v>
      </c>
      <c r="AF316" s="667">
        <f t="shared" si="66"/>
        <v>0</v>
      </c>
      <c r="AG316" s="667">
        <f t="shared" si="66"/>
        <v>0</v>
      </c>
      <c r="AH316" s="668">
        <f t="shared" si="66"/>
        <v>0</v>
      </c>
      <c r="AI316" s="667">
        <f t="shared" si="66"/>
        <v>0</v>
      </c>
    </row>
    <row r="317" spans="1:35" ht="12.75">
      <c r="A317" s="582" t="s">
        <v>563</v>
      </c>
      <c r="B317" s="657"/>
      <c r="C317" s="669"/>
      <c r="D317" s="669"/>
      <c r="E317" s="669"/>
      <c r="F317" s="669"/>
      <c r="G317" s="669"/>
      <c r="H317" s="669"/>
      <c r="I317" s="669"/>
      <c r="J317" s="669"/>
      <c r="K317" s="669"/>
      <c r="L317" s="669"/>
      <c r="M317" s="669"/>
      <c r="N317" s="670"/>
      <c r="O317" s="671"/>
      <c r="P317" s="672"/>
      <c r="Q317" s="673"/>
      <c r="R317" s="669"/>
      <c r="S317" s="669"/>
      <c r="T317" s="669"/>
      <c r="U317" s="669"/>
      <c r="V317" s="669"/>
      <c r="W317" s="669"/>
      <c r="X317" s="669"/>
      <c r="Y317" s="669"/>
      <c r="Z317" s="669"/>
      <c r="AA317" s="669"/>
      <c r="AB317" s="669"/>
      <c r="AC317" s="670"/>
      <c r="AD317" s="671"/>
      <c r="AE317" s="672"/>
      <c r="AF317" s="674"/>
      <c r="AG317" s="674"/>
      <c r="AH317" s="675"/>
      <c r="AI317" s="674"/>
    </row>
    <row r="318" spans="1:35" ht="12.75">
      <c r="A318" s="582" t="s">
        <v>562</v>
      </c>
      <c r="B318" s="657"/>
      <c r="C318" s="669"/>
      <c r="D318" s="669"/>
      <c r="E318" s="669"/>
      <c r="F318" s="669"/>
      <c r="G318" s="669"/>
      <c r="H318" s="669"/>
      <c r="I318" s="669"/>
      <c r="J318" s="669"/>
      <c r="K318" s="669"/>
      <c r="L318" s="669"/>
      <c r="M318" s="669"/>
      <c r="N318" s="670"/>
      <c r="O318" s="671"/>
      <c r="P318" s="672"/>
      <c r="Q318" s="673"/>
      <c r="R318" s="669"/>
      <c r="S318" s="669"/>
      <c r="T318" s="669"/>
      <c r="U318" s="669"/>
      <c r="V318" s="669"/>
      <c r="W318" s="669"/>
      <c r="X318" s="669"/>
      <c r="Y318" s="669"/>
      <c r="Z318" s="669"/>
      <c r="AA318" s="669"/>
      <c r="AB318" s="669"/>
      <c r="AC318" s="670"/>
      <c r="AD318" s="671"/>
      <c r="AE318" s="672"/>
      <c r="AF318" s="674"/>
      <c r="AG318" s="674"/>
      <c r="AH318" s="675"/>
      <c r="AI318" s="674"/>
    </row>
    <row r="319" spans="1:35" ht="12.75">
      <c r="A319" s="582" t="s">
        <v>561</v>
      </c>
      <c r="B319" s="657"/>
      <c r="C319" s="669"/>
      <c r="D319" s="669"/>
      <c r="E319" s="669"/>
      <c r="F319" s="669"/>
      <c r="G319" s="669"/>
      <c r="H319" s="669"/>
      <c r="I319" s="669"/>
      <c r="J319" s="669"/>
      <c r="K319" s="669"/>
      <c r="L319" s="669"/>
      <c r="M319" s="669"/>
      <c r="N319" s="670"/>
      <c r="O319" s="671"/>
      <c r="P319" s="672"/>
      <c r="Q319" s="673"/>
      <c r="R319" s="669"/>
      <c r="S319" s="669"/>
      <c r="T319" s="669"/>
      <c r="U319" s="669"/>
      <c r="V319" s="669"/>
      <c r="W319" s="669"/>
      <c r="X319" s="669"/>
      <c r="Y319" s="669"/>
      <c r="Z319" s="669"/>
      <c r="AA319" s="669"/>
      <c r="AB319" s="669"/>
      <c r="AC319" s="670"/>
      <c r="AD319" s="671"/>
      <c r="AE319" s="672"/>
      <c r="AF319" s="674"/>
      <c r="AG319" s="674"/>
      <c r="AH319" s="675"/>
      <c r="AI319" s="674"/>
    </row>
    <row r="320" spans="1:35" ht="12.75">
      <c r="A320" s="582" t="s">
        <v>560</v>
      </c>
      <c r="B320" s="657"/>
      <c r="C320" s="669"/>
      <c r="D320" s="669"/>
      <c r="E320" s="669"/>
      <c r="F320" s="669"/>
      <c r="G320" s="669"/>
      <c r="H320" s="669"/>
      <c r="I320" s="669"/>
      <c r="J320" s="669"/>
      <c r="K320" s="669"/>
      <c r="L320" s="669"/>
      <c r="M320" s="669"/>
      <c r="N320" s="670"/>
      <c r="O320" s="671"/>
      <c r="P320" s="672"/>
      <c r="Q320" s="673"/>
      <c r="R320" s="669"/>
      <c r="S320" s="669"/>
      <c r="T320" s="669"/>
      <c r="U320" s="669"/>
      <c r="V320" s="669"/>
      <c r="W320" s="669"/>
      <c r="X320" s="669"/>
      <c r="Y320" s="669"/>
      <c r="Z320" s="669"/>
      <c r="AA320" s="669"/>
      <c r="AB320" s="669"/>
      <c r="AC320" s="670"/>
      <c r="AD320" s="671"/>
      <c r="AE320" s="672"/>
      <c r="AF320" s="674"/>
      <c r="AG320" s="674"/>
      <c r="AH320" s="675"/>
      <c r="AI320" s="674"/>
    </row>
    <row r="321" spans="1:35" ht="12.75">
      <c r="A321" s="582" t="s">
        <v>12</v>
      </c>
      <c r="B321" s="657"/>
      <c r="C321" s="669"/>
      <c r="D321" s="669"/>
      <c r="E321" s="669"/>
      <c r="F321" s="669"/>
      <c r="G321" s="669"/>
      <c r="H321" s="669"/>
      <c r="I321" s="669"/>
      <c r="J321" s="669"/>
      <c r="K321" s="669"/>
      <c r="L321" s="669"/>
      <c r="M321" s="669"/>
      <c r="N321" s="670"/>
      <c r="O321" s="671"/>
      <c r="P321" s="672"/>
      <c r="Q321" s="673"/>
      <c r="R321" s="669"/>
      <c r="S321" s="669"/>
      <c r="T321" s="669"/>
      <c r="U321" s="669"/>
      <c r="V321" s="669"/>
      <c r="W321" s="669"/>
      <c r="X321" s="669"/>
      <c r="Y321" s="669"/>
      <c r="Z321" s="669"/>
      <c r="AA321" s="669"/>
      <c r="AB321" s="669"/>
      <c r="AC321" s="670"/>
      <c r="AD321" s="671"/>
      <c r="AE321" s="672"/>
      <c r="AF321" s="674"/>
      <c r="AG321" s="674"/>
      <c r="AH321" s="675"/>
      <c r="AI321" s="674"/>
    </row>
    <row r="322" spans="1:35" ht="12.75">
      <c r="A322" s="581" t="s">
        <v>4</v>
      </c>
      <c r="B322" s="665">
        <f aca="true" t="shared" si="67" ref="B322:AI322">SUM(B323:B328)</f>
        <v>0</v>
      </c>
      <c r="C322" s="700">
        <f t="shared" si="67"/>
        <v>0</v>
      </c>
      <c r="D322" s="701">
        <f t="shared" si="67"/>
        <v>0</v>
      </c>
      <c r="E322" s="700">
        <f t="shared" si="67"/>
        <v>0</v>
      </c>
      <c r="F322" s="700">
        <f t="shared" si="67"/>
        <v>0</v>
      </c>
      <c r="G322" s="700">
        <f t="shared" si="67"/>
        <v>0</v>
      </c>
      <c r="H322" s="700">
        <f t="shared" si="67"/>
        <v>0</v>
      </c>
      <c r="I322" s="700">
        <f t="shared" si="67"/>
        <v>0</v>
      </c>
      <c r="J322" s="700">
        <f t="shared" si="67"/>
        <v>0</v>
      </c>
      <c r="K322" s="700">
        <f t="shared" si="67"/>
        <v>0</v>
      </c>
      <c r="L322" s="700">
        <f t="shared" si="67"/>
        <v>0</v>
      </c>
      <c r="M322" s="700">
        <f t="shared" si="67"/>
        <v>0</v>
      </c>
      <c r="N322" s="702">
        <f t="shared" si="67"/>
        <v>0</v>
      </c>
      <c r="O322" s="703">
        <f t="shared" si="67"/>
        <v>0</v>
      </c>
      <c r="P322" s="704">
        <f t="shared" si="67"/>
        <v>0</v>
      </c>
      <c r="Q322" s="705">
        <f t="shared" si="67"/>
        <v>0</v>
      </c>
      <c r="R322" s="706">
        <f t="shared" si="67"/>
        <v>0</v>
      </c>
      <c r="S322" s="706">
        <f t="shared" si="67"/>
        <v>0</v>
      </c>
      <c r="T322" s="706">
        <f t="shared" si="67"/>
        <v>0</v>
      </c>
      <c r="U322" s="699">
        <f t="shared" si="67"/>
        <v>0</v>
      </c>
      <c r="V322" s="699">
        <f t="shared" si="67"/>
        <v>0</v>
      </c>
      <c r="W322" s="699">
        <f t="shared" si="67"/>
        <v>0</v>
      </c>
      <c r="X322" s="699">
        <f t="shared" si="67"/>
        <v>0</v>
      </c>
      <c r="Y322" s="699">
        <f t="shared" si="67"/>
        <v>0</v>
      </c>
      <c r="Z322" s="699">
        <f t="shared" si="67"/>
        <v>0</v>
      </c>
      <c r="AA322" s="699">
        <f t="shared" si="67"/>
        <v>0</v>
      </c>
      <c r="AB322" s="699">
        <f t="shared" si="67"/>
        <v>0</v>
      </c>
      <c r="AC322" s="707">
        <f t="shared" si="67"/>
        <v>0</v>
      </c>
      <c r="AD322" s="707">
        <f t="shared" si="67"/>
        <v>0</v>
      </c>
      <c r="AE322" s="707">
        <f t="shared" si="67"/>
        <v>0</v>
      </c>
      <c r="AF322" s="667">
        <f t="shared" si="67"/>
        <v>0</v>
      </c>
      <c r="AG322" s="667">
        <f t="shared" si="67"/>
        <v>0</v>
      </c>
      <c r="AH322" s="668">
        <f t="shared" si="67"/>
        <v>0</v>
      </c>
      <c r="AI322" s="667">
        <f t="shared" si="67"/>
        <v>0</v>
      </c>
    </row>
    <row r="323" spans="1:35" ht="12.75">
      <c r="A323" s="582" t="s">
        <v>681</v>
      </c>
      <c r="B323" s="657"/>
      <c r="C323" s="669"/>
      <c r="D323" s="685"/>
      <c r="E323" s="669"/>
      <c r="F323" s="669"/>
      <c r="G323" s="669"/>
      <c r="H323" s="669"/>
      <c r="I323" s="669"/>
      <c r="J323" s="669"/>
      <c r="K323" s="669"/>
      <c r="L323" s="669"/>
      <c r="M323" s="669"/>
      <c r="N323" s="670"/>
      <c r="O323" s="671"/>
      <c r="P323" s="672"/>
      <c r="Q323" s="673"/>
      <c r="R323" s="669"/>
      <c r="S323" s="669"/>
      <c r="T323" s="669"/>
      <c r="U323" s="669"/>
      <c r="V323" s="669"/>
      <c r="W323" s="669"/>
      <c r="X323" s="669"/>
      <c r="Y323" s="669"/>
      <c r="Z323" s="669"/>
      <c r="AA323" s="669"/>
      <c r="AB323" s="669"/>
      <c r="AC323" s="670"/>
      <c r="AD323" s="671"/>
      <c r="AE323" s="672"/>
      <c r="AF323" s="674"/>
      <c r="AG323" s="674"/>
      <c r="AH323" s="675"/>
      <c r="AI323" s="674"/>
    </row>
    <row r="324" spans="1:35" ht="12.75">
      <c r="A324" s="582" t="s">
        <v>707</v>
      </c>
      <c r="B324" s="657"/>
      <c r="C324" s="669"/>
      <c r="D324" s="685"/>
      <c r="E324" s="669"/>
      <c r="F324" s="669"/>
      <c r="G324" s="669"/>
      <c r="H324" s="669"/>
      <c r="I324" s="669"/>
      <c r="J324" s="669"/>
      <c r="K324" s="669"/>
      <c r="L324" s="669"/>
      <c r="M324" s="669"/>
      <c r="N324" s="670"/>
      <c r="O324" s="671"/>
      <c r="P324" s="672"/>
      <c r="Q324" s="673"/>
      <c r="R324" s="669"/>
      <c r="S324" s="669"/>
      <c r="T324" s="669"/>
      <c r="U324" s="669"/>
      <c r="V324" s="669"/>
      <c r="W324" s="669"/>
      <c r="X324" s="669"/>
      <c r="Y324" s="669"/>
      <c r="Z324" s="669"/>
      <c r="AA324" s="669"/>
      <c r="AB324" s="669"/>
      <c r="AC324" s="670"/>
      <c r="AD324" s="671"/>
      <c r="AE324" s="672"/>
      <c r="AF324" s="674"/>
      <c r="AG324" s="674"/>
      <c r="AH324" s="675"/>
      <c r="AI324" s="674"/>
    </row>
    <row r="325" spans="1:35" ht="12.75">
      <c r="A325" s="582" t="s">
        <v>669</v>
      </c>
      <c r="B325" s="657"/>
      <c r="C325" s="679"/>
      <c r="D325" s="669"/>
      <c r="E325" s="669"/>
      <c r="F325" s="669"/>
      <c r="G325" s="669"/>
      <c r="H325" s="669"/>
      <c r="I325" s="669"/>
      <c r="J325" s="669"/>
      <c r="K325" s="669"/>
      <c r="L325" s="669"/>
      <c r="M325" s="669"/>
      <c r="N325" s="670"/>
      <c r="O325" s="671"/>
      <c r="P325" s="672"/>
      <c r="Q325" s="673"/>
      <c r="R325" s="679"/>
      <c r="S325" s="669"/>
      <c r="T325" s="669"/>
      <c r="U325" s="669"/>
      <c r="V325" s="669"/>
      <c r="W325" s="669"/>
      <c r="X325" s="669"/>
      <c r="Y325" s="669"/>
      <c r="Z325" s="669"/>
      <c r="AA325" s="669"/>
      <c r="AB325" s="669"/>
      <c r="AC325" s="670"/>
      <c r="AD325" s="671"/>
      <c r="AE325" s="672"/>
      <c r="AF325" s="674"/>
      <c r="AG325" s="674"/>
      <c r="AH325" s="675"/>
      <c r="AI325" s="674"/>
    </row>
    <row r="326" spans="1:35" ht="12.75">
      <c r="A326" s="582" t="s">
        <v>670</v>
      </c>
      <c r="B326" s="657"/>
      <c r="C326" s="679"/>
      <c r="D326" s="669"/>
      <c r="E326" s="669"/>
      <c r="F326" s="669"/>
      <c r="G326" s="669"/>
      <c r="H326" s="669"/>
      <c r="I326" s="669"/>
      <c r="J326" s="669"/>
      <c r="K326" s="669"/>
      <c r="L326" s="669"/>
      <c r="M326" s="669"/>
      <c r="N326" s="670"/>
      <c r="O326" s="671"/>
      <c r="P326" s="672"/>
      <c r="Q326" s="673"/>
      <c r="R326" s="679"/>
      <c r="S326" s="669"/>
      <c r="T326" s="669"/>
      <c r="U326" s="669"/>
      <c r="V326" s="669"/>
      <c r="W326" s="669"/>
      <c r="X326" s="669"/>
      <c r="Y326" s="669"/>
      <c r="Z326" s="669"/>
      <c r="AA326" s="669"/>
      <c r="AB326" s="669"/>
      <c r="AC326" s="670"/>
      <c r="AD326" s="671"/>
      <c r="AE326" s="672"/>
      <c r="AF326" s="674"/>
      <c r="AG326" s="674"/>
      <c r="AH326" s="675"/>
      <c r="AI326" s="674"/>
    </row>
    <row r="327" spans="1:35" ht="12.75">
      <c r="A327" s="582" t="s">
        <v>671</v>
      </c>
      <c r="B327" s="657"/>
      <c r="C327" s="679"/>
      <c r="D327" s="669"/>
      <c r="E327" s="669"/>
      <c r="F327" s="669"/>
      <c r="G327" s="669"/>
      <c r="H327" s="669"/>
      <c r="I327" s="669"/>
      <c r="J327" s="669"/>
      <c r="K327" s="669"/>
      <c r="L327" s="669"/>
      <c r="M327" s="669"/>
      <c r="N327" s="670"/>
      <c r="O327" s="671"/>
      <c r="P327" s="672"/>
      <c r="Q327" s="673"/>
      <c r="R327" s="679"/>
      <c r="S327" s="669"/>
      <c r="T327" s="669"/>
      <c r="U327" s="669"/>
      <c r="V327" s="669"/>
      <c r="W327" s="669"/>
      <c r="X327" s="669"/>
      <c r="Y327" s="669"/>
      <c r="Z327" s="669"/>
      <c r="AA327" s="669"/>
      <c r="AB327" s="669"/>
      <c r="AC327" s="670"/>
      <c r="AD327" s="671"/>
      <c r="AE327" s="672"/>
      <c r="AF327" s="674"/>
      <c r="AG327" s="674"/>
      <c r="AH327" s="675"/>
      <c r="AI327" s="674"/>
    </row>
    <row r="328" spans="1:35" ht="12.75">
      <c r="A328" s="582" t="s">
        <v>684</v>
      </c>
      <c r="B328" s="657"/>
      <c r="C328" s="679"/>
      <c r="D328" s="669"/>
      <c r="E328" s="669"/>
      <c r="F328" s="669"/>
      <c r="G328" s="669"/>
      <c r="H328" s="669"/>
      <c r="I328" s="669"/>
      <c r="J328" s="669"/>
      <c r="K328" s="669"/>
      <c r="L328" s="669"/>
      <c r="M328" s="669"/>
      <c r="N328" s="670"/>
      <c r="O328" s="671"/>
      <c r="P328" s="672"/>
      <c r="Q328" s="673"/>
      <c r="R328" s="679"/>
      <c r="S328" s="669"/>
      <c r="T328" s="669"/>
      <c r="U328" s="669"/>
      <c r="V328" s="669"/>
      <c r="W328" s="669"/>
      <c r="X328" s="669"/>
      <c r="Y328" s="669"/>
      <c r="Z328" s="669"/>
      <c r="AA328" s="669"/>
      <c r="AB328" s="669"/>
      <c r="AC328" s="670"/>
      <c r="AD328" s="671"/>
      <c r="AE328" s="672"/>
      <c r="AF328" s="674"/>
      <c r="AG328" s="674"/>
      <c r="AH328" s="675"/>
      <c r="AI328" s="674"/>
    </row>
    <row r="329" spans="1:35" ht="12.75">
      <c r="A329" s="581" t="s">
        <v>5</v>
      </c>
      <c r="B329" s="665">
        <f>SUM(B330:B335)</f>
        <v>94</v>
      </c>
      <c r="C329" s="700">
        <f aca="true" t="shared" si="68" ref="C329:AI329">SUM(C330:C335)</f>
        <v>225075.31</v>
      </c>
      <c r="D329" s="700">
        <f t="shared" si="68"/>
        <v>0</v>
      </c>
      <c r="E329" s="700">
        <f t="shared" si="68"/>
        <v>0</v>
      </c>
      <c r="F329" s="700">
        <f t="shared" si="68"/>
        <v>0</v>
      </c>
      <c r="G329" s="700">
        <f t="shared" si="68"/>
        <v>0</v>
      </c>
      <c r="H329" s="700">
        <f t="shared" si="68"/>
        <v>0</v>
      </c>
      <c r="I329" s="700">
        <f t="shared" si="68"/>
        <v>0</v>
      </c>
      <c r="J329" s="700">
        <f t="shared" si="68"/>
        <v>44188.04</v>
      </c>
      <c r="K329" s="700">
        <f t="shared" si="68"/>
        <v>0</v>
      </c>
      <c r="L329" s="700">
        <f t="shared" si="68"/>
        <v>94000</v>
      </c>
      <c r="M329" s="700">
        <f t="shared" si="68"/>
        <v>0</v>
      </c>
      <c r="N329" s="702">
        <f t="shared" si="68"/>
        <v>0</v>
      </c>
      <c r="O329" s="703">
        <f t="shared" si="68"/>
        <v>3325160.1999999993</v>
      </c>
      <c r="P329" s="704">
        <f t="shared" si="68"/>
        <v>3325160.1999999993</v>
      </c>
      <c r="Q329" s="705">
        <f t="shared" si="68"/>
        <v>94</v>
      </c>
      <c r="R329" s="706">
        <f t="shared" si="68"/>
        <v>225075.31</v>
      </c>
      <c r="S329" s="706">
        <f t="shared" si="68"/>
        <v>0</v>
      </c>
      <c r="T329" s="706">
        <f t="shared" si="68"/>
        <v>0</v>
      </c>
      <c r="U329" s="706">
        <f t="shared" si="68"/>
        <v>0</v>
      </c>
      <c r="V329" s="706">
        <f t="shared" si="68"/>
        <v>0</v>
      </c>
      <c r="W329" s="706">
        <f t="shared" si="68"/>
        <v>0</v>
      </c>
      <c r="X329" s="706">
        <f t="shared" si="68"/>
        <v>0</v>
      </c>
      <c r="Y329" s="706">
        <f t="shared" si="68"/>
        <v>44188.04</v>
      </c>
      <c r="Z329" s="706">
        <f t="shared" si="68"/>
        <v>0</v>
      </c>
      <c r="AA329" s="706">
        <f t="shared" si="68"/>
        <v>94000</v>
      </c>
      <c r="AB329" s="706">
        <f t="shared" si="68"/>
        <v>0</v>
      </c>
      <c r="AC329" s="708">
        <f t="shared" si="68"/>
        <v>0</v>
      </c>
      <c r="AD329" s="708">
        <f t="shared" si="68"/>
        <v>3325160.1999999993</v>
      </c>
      <c r="AE329" s="708">
        <f t="shared" si="68"/>
        <v>3325160.1999999993</v>
      </c>
      <c r="AF329" s="681">
        <f t="shared" si="68"/>
        <v>0</v>
      </c>
      <c r="AG329" s="681">
        <f t="shared" si="68"/>
        <v>0</v>
      </c>
      <c r="AH329" s="682">
        <f t="shared" si="68"/>
        <v>94</v>
      </c>
      <c r="AI329" s="681">
        <f t="shared" si="68"/>
        <v>3325160.1999999993</v>
      </c>
    </row>
    <row r="330" spans="1:35" ht="12.75">
      <c r="A330" s="582" t="s">
        <v>672</v>
      </c>
      <c r="B330" s="657">
        <v>18</v>
      </c>
      <c r="C330" s="669">
        <v>44162.64</v>
      </c>
      <c r="D330" s="669"/>
      <c r="E330" s="669"/>
      <c r="F330" s="669"/>
      <c r="G330" s="669"/>
      <c r="H330" s="669"/>
      <c r="I330" s="669"/>
      <c r="J330" s="669">
        <v>10863</v>
      </c>
      <c r="K330" s="669"/>
      <c r="L330" s="669">
        <f>1000*18</f>
        <v>18000</v>
      </c>
      <c r="M330" s="669"/>
      <c r="N330" s="670"/>
      <c r="O330" s="671">
        <f aca="true" t="shared" si="69" ref="O330:O335">SUM(C330:J330)*12+L330</f>
        <v>678307.6799999999</v>
      </c>
      <c r="P330" s="672">
        <f aca="true" t="shared" si="70" ref="P330:P335">SUM(C330:J330)*12+L330</f>
        <v>678307.6799999999</v>
      </c>
      <c r="Q330" s="673">
        <v>18</v>
      </c>
      <c r="R330" s="669">
        <v>44162.64</v>
      </c>
      <c r="S330" s="669"/>
      <c r="T330" s="669"/>
      <c r="U330" s="669"/>
      <c r="V330" s="669"/>
      <c r="W330" s="669"/>
      <c r="X330" s="669"/>
      <c r="Y330" s="669">
        <v>10863</v>
      </c>
      <c r="Z330" s="669"/>
      <c r="AA330" s="669">
        <f>1000*18</f>
        <v>18000</v>
      </c>
      <c r="AB330" s="669"/>
      <c r="AC330" s="670"/>
      <c r="AD330" s="671">
        <f aca="true" t="shared" si="71" ref="AD330:AD335">SUM(R330:Y330)*12+AA330</f>
        <v>678307.6799999999</v>
      </c>
      <c r="AE330" s="672">
        <f aca="true" t="shared" si="72" ref="AE330:AE335">SUM(R330:Y330)*12+AA330</f>
        <v>678307.6799999999</v>
      </c>
      <c r="AF330" s="674"/>
      <c r="AG330" s="674"/>
      <c r="AH330" s="675">
        <v>18</v>
      </c>
      <c r="AI330" s="674">
        <v>678307.6799999999</v>
      </c>
    </row>
    <row r="331" spans="1:35" ht="12.75">
      <c r="A331" s="582" t="s">
        <v>673</v>
      </c>
      <c r="B331" s="657">
        <v>15</v>
      </c>
      <c r="C331" s="669">
        <v>36291.45</v>
      </c>
      <c r="D331" s="669"/>
      <c r="E331" s="669"/>
      <c r="F331" s="669"/>
      <c r="G331" s="669"/>
      <c r="H331" s="669"/>
      <c r="I331" s="669"/>
      <c r="J331" s="669">
        <v>9025.5</v>
      </c>
      <c r="K331" s="669"/>
      <c r="L331" s="669">
        <f>1000*15</f>
        <v>15000</v>
      </c>
      <c r="M331" s="669"/>
      <c r="N331" s="670"/>
      <c r="O331" s="671">
        <f t="shared" si="69"/>
        <v>558803.3999999999</v>
      </c>
      <c r="P331" s="672">
        <f t="shared" si="70"/>
        <v>558803.3999999999</v>
      </c>
      <c r="Q331" s="673">
        <v>15</v>
      </c>
      <c r="R331" s="669">
        <v>36291.45</v>
      </c>
      <c r="S331" s="669"/>
      <c r="T331" s="669"/>
      <c r="U331" s="669"/>
      <c r="V331" s="669"/>
      <c r="W331" s="669"/>
      <c r="X331" s="669"/>
      <c r="Y331" s="669">
        <v>9025.5</v>
      </c>
      <c r="Z331" s="669"/>
      <c r="AA331" s="669">
        <f>1000*15</f>
        <v>15000</v>
      </c>
      <c r="AB331" s="669"/>
      <c r="AC331" s="670"/>
      <c r="AD331" s="671">
        <f t="shared" si="71"/>
        <v>558803.3999999999</v>
      </c>
      <c r="AE331" s="672">
        <f t="shared" si="72"/>
        <v>558803.3999999999</v>
      </c>
      <c r="AF331" s="674"/>
      <c r="AG331" s="674"/>
      <c r="AH331" s="675">
        <v>15</v>
      </c>
      <c r="AI331" s="674">
        <v>558803.3999999999</v>
      </c>
    </row>
    <row r="332" spans="1:35" ht="12.75">
      <c r="A332" s="582" t="s">
        <v>676</v>
      </c>
      <c r="B332" s="657">
        <v>30</v>
      </c>
      <c r="C332" s="669">
        <v>71711.4</v>
      </c>
      <c r="D332" s="669"/>
      <c r="E332" s="669"/>
      <c r="F332" s="669"/>
      <c r="G332" s="669"/>
      <c r="H332" s="669"/>
      <c r="I332" s="669"/>
      <c r="J332" s="669">
        <v>13680.14</v>
      </c>
      <c r="K332" s="669"/>
      <c r="L332" s="669">
        <f>1000*30</f>
        <v>30000</v>
      </c>
      <c r="M332" s="669"/>
      <c r="N332" s="670"/>
      <c r="O332" s="671">
        <f t="shared" si="69"/>
        <v>1054698.48</v>
      </c>
      <c r="P332" s="672">
        <f t="shared" si="70"/>
        <v>1054698.48</v>
      </c>
      <c r="Q332" s="673">
        <v>30</v>
      </c>
      <c r="R332" s="669">
        <v>71711.4</v>
      </c>
      <c r="S332" s="669"/>
      <c r="T332" s="669"/>
      <c r="U332" s="669"/>
      <c r="V332" s="669"/>
      <c r="W332" s="669"/>
      <c r="X332" s="669"/>
      <c r="Y332" s="669">
        <v>13680.14</v>
      </c>
      <c r="Z332" s="669"/>
      <c r="AA332" s="669">
        <f>1000*30</f>
        <v>30000</v>
      </c>
      <c r="AB332" s="669"/>
      <c r="AC332" s="670"/>
      <c r="AD332" s="671">
        <f t="shared" si="71"/>
        <v>1054698.48</v>
      </c>
      <c r="AE332" s="672">
        <f t="shared" si="72"/>
        <v>1054698.48</v>
      </c>
      <c r="AF332" s="674"/>
      <c r="AG332" s="674"/>
      <c r="AH332" s="675">
        <v>30</v>
      </c>
      <c r="AI332" s="674">
        <v>1054698.48</v>
      </c>
    </row>
    <row r="333" spans="1:35" ht="12.75">
      <c r="A333" s="582" t="s">
        <v>677</v>
      </c>
      <c r="B333" s="657">
        <v>5</v>
      </c>
      <c r="C333" s="669">
        <v>11856.6</v>
      </c>
      <c r="D333" s="669"/>
      <c r="E333" s="669"/>
      <c r="F333" s="669"/>
      <c r="G333" s="669"/>
      <c r="H333" s="669"/>
      <c r="I333" s="669"/>
      <c r="J333" s="669">
        <v>2338.55</v>
      </c>
      <c r="K333" s="669"/>
      <c r="L333" s="669">
        <f>1000*5</f>
        <v>5000</v>
      </c>
      <c r="M333" s="669"/>
      <c r="N333" s="670"/>
      <c r="O333" s="671">
        <f t="shared" si="69"/>
        <v>175341.80000000002</v>
      </c>
      <c r="P333" s="672">
        <f t="shared" si="70"/>
        <v>175341.80000000002</v>
      </c>
      <c r="Q333" s="673">
        <v>5</v>
      </c>
      <c r="R333" s="669">
        <v>11856.6</v>
      </c>
      <c r="S333" s="669"/>
      <c r="T333" s="669"/>
      <c r="U333" s="669"/>
      <c r="V333" s="669"/>
      <c r="W333" s="669"/>
      <c r="X333" s="669"/>
      <c r="Y333" s="669">
        <v>2338.55</v>
      </c>
      <c r="Z333" s="669"/>
      <c r="AA333" s="669">
        <f>1000*5</f>
        <v>5000</v>
      </c>
      <c r="AB333" s="669"/>
      <c r="AC333" s="670"/>
      <c r="AD333" s="671">
        <f t="shared" si="71"/>
        <v>175341.80000000002</v>
      </c>
      <c r="AE333" s="672">
        <f t="shared" si="72"/>
        <v>175341.80000000002</v>
      </c>
      <c r="AF333" s="674"/>
      <c r="AG333" s="674"/>
      <c r="AH333" s="675">
        <v>5</v>
      </c>
      <c r="AI333" s="674">
        <v>175341.80000000002</v>
      </c>
    </row>
    <row r="334" spans="1:35" ht="12.75">
      <c r="A334" s="582" t="s">
        <v>678</v>
      </c>
      <c r="B334" s="657">
        <v>3</v>
      </c>
      <c r="C334" s="669">
        <v>7072.68</v>
      </c>
      <c r="D334" s="669"/>
      <c r="E334" s="669"/>
      <c r="F334" s="669"/>
      <c r="G334" s="669"/>
      <c r="H334" s="669"/>
      <c r="I334" s="669"/>
      <c r="J334" s="669">
        <v>1471.47</v>
      </c>
      <c r="K334" s="669"/>
      <c r="L334" s="669">
        <f>1000*3</f>
        <v>3000</v>
      </c>
      <c r="M334" s="669"/>
      <c r="N334" s="670"/>
      <c r="O334" s="671">
        <f t="shared" si="69"/>
        <v>105529.79999999999</v>
      </c>
      <c r="P334" s="672">
        <f t="shared" si="70"/>
        <v>105529.79999999999</v>
      </c>
      <c r="Q334" s="673">
        <v>3</v>
      </c>
      <c r="R334" s="669">
        <v>7072.68</v>
      </c>
      <c r="S334" s="669"/>
      <c r="T334" s="669"/>
      <c r="U334" s="669"/>
      <c r="V334" s="669"/>
      <c r="W334" s="669"/>
      <c r="X334" s="669"/>
      <c r="Y334" s="669">
        <v>1471.47</v>
      </c>
      <c r="Z334" s="669"/>
      <c r="AA334" s="669">
        <f>1000*3</f>
        <v>3000</v>
      </c>
      <c r="AB334" s="669"/>
      <c r="AC334" s="670"/>
      <c r="AD334" s="671">
        <f t="shared" si="71"/>
        <v>105529.79999999999</v>
      </c>
      <c r="AE334" s="672">
        <f t="shared" si="72"/>
        <v>105529.79999999999</v>
      </c>
      <c r="AF334" s="674"/>
      <c r="AG334" s="674"/>
      <c r="AH334" s="675">
        <v>3</v>
      </c>
      <c r="AI334" s="674">
        <v>105529.79999999999</v>
      </c>
    </row>
    <row r="335" spans="1:35" ht="12.75">
      <c r="A335" s="582" t="s">
        <v>708</v>
      </c>
      <c r="B335" s="657">
        <v>23</v>
      </c>
      <c r="C335" s="669">
        <v>53980.54</v>
      </c>
      <c r="D335" s="669"/>
      <c r="E335" s="669"/>
      <c r="F335" s="669"/>
      <c r="G335" s="669"/>
      <c r="H335" s="669"/>
      <c r="I335" s="669"/>
      <c r="J335" s="669">
        <v>6809.38</v>
      </c>
      <c r="K335" s="669"/>
      <c r="L335" s="669">
        <f>1000*23</f>
        <v>23000</v>
      </c>
      <c r="M335" s="669"/>
      <c r="N335" s="670"/>
      <c r="O335" s="671">
        <f t="shared" si="69"/>
        <v>752479.04</v>
      </c>
      <c r="P335" s="672">
        <f t="shared" si="70"/>
        <v>752479.04</v>
      </c>
      <c r="Q335" s="673">
        <v>23</v>
      </c>
      <c r="R335" s="669">
        <v>53980.54</v>
      </c>
      <c r="S335" s="669"/>
      <c r="T335" s="669"/>
      <c r="U335" s="669"/>
      <c r="V335" s="669"/>
      <c r="W335" s="669"/>
      <c r="X335" s="669"/>
      <c r="Y335" s="669">
        <v>6809.38</v>
      </c>
      <c r="Z335" s="669"/>
      <c r="AA335" s="669">
        <f>1000*23</f>
        <v>23000</v>
      </c>
      <c r="AB335" s="669"/>
      <c r="AC335" s="670"/>
      <c r="AD335" s="671">
        <f t="shared" si="71"/>
        <v>752479.04</v>
      </c>
      <c r="AE335" s="672">
        <f t="shared" si="72"/>
        <v>752479.04</v>
      </c>
      <c r="AF335" s="674"/>
      <c r="AG335" s="674"/>
      <c r="AH335" s="675">
        <v>23</v>
      </c>
      <c r="AI335" s="674">
        <v>752479.04</v>
      </c>
    </row>
    <row r="336" spans="1:35" ht="12.75">
      <c r="A336" s="581" t="s">
        <v>6</v>
      </c>
      <c r="B336" s="665">
        <f>SUM(B337:B342)</f>
        <v>7</v>
      </c>
      <c r="C336" s="700">
        <f aca="true" t="shared" si="73" ref="C336:AI336">SUM(C337:C342)</f>
        <v>16324.060000000001</v>
      </c>
      <c r="D336" s="700">
        <f t="shared" si="73"/>
        <v>0</v>
      </c>
      <c r="E336" s="700">
        <f t="shared" si="73"/>
        <v>0</v>
      </c>
      <c r="F336" s="700">
        <f t="shared" si="73"/>
        <v>0</v>
      </c>
      <c r="G336" s="700">
        <f t="shared" si="73"/>
        <v>0</v>
      </c>
      <c r="H336" s="700">
        <f t="shared" si="73"/>
        <v>0</v>
      </c>
      <c r="I336" s="700">
        <f t="shared" si="73"/>
        <v>0</v>
      </c>
      <c r="J336" s="700">
        <f t="shared" si="73"/>
        <v>2693.1800000000003</v>
      </c>
      <c r="K336" s="700">
        <f t="shared" si="73"/>
        <v>0</v>
      </c>
      <c r="L336" s="700">
        <f t="shared" si="73"/>
        <v>7000</v>
      </c>
      <c r="M336" s="700">
        <f t="shared" si="73"/>
        <v>0</v>
      </c>
      <c r="N336" s="702">
        <f t="shared" si="73"/>
        <v>0</v>
      </c>
      <c r="O336" s="703">
        <f t="shared" si="73"/>
        <v>235206.88</v>
      </c>
      <c r="P336" s="704">
        <f t="shared" si="73"/>
        <v>235206.88</v>
      </c>
      <c r="Q336" s="715">
        <f t="shared" si="73"/>
        <v>7</v>
      </c>
      <c r="R336" s="700">
        <f t="shared" si="73"/>
        <v>16324.060000000001</v>
      </c>
      <c r="S336" s="700">
        <f t="shared" si="73"/>
        <v>0</v>
      </c>
      <c r="T336" s="700">
        <f t="shared" si="73"/>
        <v>0</v>
      </c>
      <c r="U336" s="700">
        <f t="shared" si="73"/>
        <v>0</v>
      </c>
      <c r="V336" s="700">
        <f t="shared" si="73"/>
        <v>0</v>
      </c>
      <c r="W336" s="700">
        <f t="shared" si="73"/>
        <v>0</v>
      </c>
      <c r="X336" s="700">
        <f t="shared" si="73"/>
        <v>0</v>
      </c>
      <c r="Y336" s="700">
        <f t="shared" si="73"/>
        <v>2693.1800000000003</v>
      </c>
      <c r="Z336" s="700">
        <f t="shared" si="73"/>
        <v>0</v>
      </c>
      <c r="AA336" s="700">
        <f t="shared" si="73"/>
        <v>7000</v>
      </c>
      <c r="AB336" s="700">
        <f t="shared" si="73"/>
        <v>0</v>
      </c>
      <c r="AC336" s="716">
        <f t="shared" si="73"/>
        <v>0</v>
      </c>
      <c r="AD336" s="716">
        <f t="shared" si="73"/>
        <v>235206.88</v>
      </c>
      <c r="AE336" s="716">
        <f t="shared" si="73"/>
        <v>235206.88</v>
      </c>
      <c r="AF336" s="683">
        <f t="shared" si="73"/>
        <v>0</v>
      </c>
      <c r="AG336" s="683">
        <f t="shared" si="73"/>
        <v>0</v>
      </c>
      <c r="AH336" s="684">
        <f t="shared" si="73"/>
        <v>7</v>
      </c>
      <c r="AI336" s="683">
        <f t="shared" si="73"/>
        <v>235206.88</v>
      </c>
    </row>
    <row r="337" spans="1:35" ht="12.75">
      <c r="A337" s="582" t="s">
        <v>685</v>
      </c>
      <c r="B337" s="657">
        <v>1</v>
      </c>
      <c r="C337" s="669">
        <v>2366.03</v>
      </c>
      <c r="D337" s="669"/>
      <c r="E337" s="669"/>
      <c r="F337" s="669"/>
      <c r="G337" s="669"/>
      <c r="H337" s="669"/>
      <c r="I337" s="669"/>
      <c r="J337" s="669">
        <v>467.71</v>
      </c>
      <c r="K337" s="669"/>
      <c r="L337" s="669">
        <v>1000</v>
      </c>
      <c r="M337" s="669"/>
      <c r="N337" s="670"/>
      <c r="O337" s="671">
        <f aca="true" t="shared" si="74" ref="O337:O342">SUM(C337:J337)*12+L337</f>
        <v>35004.880000000005</v>
      </c>
      <c r="P337" s="671">
        <f aca="true" t="shared" si="75" ref="P337:P342">SUM(C337:J337)*12+L337</f>
        <v>35004.880000000005</v>
      </c>
      <c r="Q337" s="673">
        <v>1</v>
      </c>
      <c r="R337" s="669">
        <v>2366.03</v>
      </c>
      <c r="S337" s="669"/>
      <c r="T337" s="669"/>
      <c r="U337" s="669"/>
      <c r="V337" s="669"/>
      <c r="W337" s="669"/>
      <c r="X337" s="669"/>
      <c r="Y337" s="669">
        <v>467.71</v>
      </c>
      <c r="Z337" s="669"/>
      <c r="AA337" s="669">
        <v>1000</v>
      </c>
      <c r="AB337" s="669"/>
      <c r="AC337" s="670"/>
      <c r="AD337" s="671">
        <f aca="true" t="shared" si="76" ref="AD337:AD342">SUM(R337:Y337)*12+AA337</f>
        <v>35004.880000000005</v>
      </c>
      <c r="AE337" s="672">
        <f aca="true" t="shared" si="77" ref="AE337:AE342">SUM(R337:Y337)*12+AA337</f>
        <v>35004.880000000005</v>
      </c>
      <c r="AF337" s="674"/>
      <c r="AG337" s="674"/>
      <c r="AH337" s="675">
        <v>1</v>
      </c>
      <c r="AI337" s="674">
        <v>35004.880000000005</v>
      </c>
    </row>
    <row r="338" spans="1:35" ht="12.75">
      <c r="A338" s="582" t="s">
        <v>679</v>
      </c>
      <c r="B338" s="657"/>
      <c r="C338" s="669"/>
      <c r="D338" s="669"/>
      <c r="E338" s="669"/>
      <c r="F338" s="669"/>
      <c r="G338" s="669"/>
      <c r="H338" s="669"/>
      <c r="I338" s="669"/>
      <c r="J338" s="669"/>
      <c r="K338" s="669"/>
      <c r="L338" s="669"/>
      <c r="M338" s="669"/>
      <c r="N338" s="670"/>
      <c r="O338" s="671"/>
      <c r="P338" s="671"/>
      <c r="Q338" s="673"/>
      <c r="R338" s="669"/>
      <c r="S338" s="669"/>
      <c r="T338" s="669"/>
      <c r="U338" s="669"/>
      <c r="V338" s="669"/>
      <c r="W338" s="669"/>
      <c r="X338" s="669"/>
      <c r="Y338" s="669"/>
      <c r="Z338" s="669"/>
      <c r="AA338" s="669"/>
      <c r="AB338" s="669"/>
      <c r="AC338" s="670"/>
      <c r="AD338" s="671">
        <f t="shared" si="76"/>
        <v>0</v>
      </c>
      <c r="AE338" s="672">
        <f t="shared" si="77"/>
        <v>0</v>
      </c>
      <c r="AF338" s="674"/>
      <c r="AG338" s="674"/>
      <c r="AH338" s="675"/>
      <c r="AI338" s="674">
        <v>0</v>
      </c>
    </row>
    <row r="339" spans="1:35" ht="12.75">
      <c r="A339" s="582" t="s">
        <v>709</v>
      </c>
      <c r="B339" s="657">
        <v>1</v>
      </c>
      <c r="C339" s="669">
        <v>2346.98</v>
      </c>
      <c r="D339" s="669"/>
      <c r="E339" s="669"/>
      <c r="F339" s="669"/>
      <c r="G339" s="669"/>
      <c r="H339" s="669"/>
      <c r="I339" s="669"/>
      <c r="J339" s="669">
        <v>451.23</v>
      </c>
      <c r="K339" s="669"/>
      <c r="L339" s="669">
        <v>1000</v>
      </c>
      <c r="M339" s="669"/>
      <c r="N339" s="670"/>
      <c r="O339" s="671">
        <f t="shared" si="74"/>
        <v>34578.520000000004</v>
      </c>
      <c r="P339" s="671">
        <f t="shared" si="75"/>
        <v>34578.520000000004</v>
      </c>
      <c r="Q339" s="673">
        <v>1</v>
      </c>
      <c r="R339" s="669">
        <v>2346.98</v>
      </c>
      <c r="S339" s="669"/>
      <c r="T339" s="669"/>
      <c r="U339" s="669"/>
      <c r="V339" s="669"/>
      <c r="W339" s="669"/>
      <c r="X339" s="669"/>
      <c r="Y339" s="669">
        <v>451.23</v>
      </c>
      <c r="Z339" s="669"/>
      <c r="AA339" s="669">
        <v>1000</v>
      </c>
      <c r="AB339" s="669"/>
      <c r="AC339" s="670"/>
      <c r="AD339" s="671">
        <f t="shared" si="76"/>
        <v>34578.520000000004</v>
      </c>
      <c r="AE339" s="672">
        <f t="shared" si="77"/>
        <v>34578.520000000004</v>
      </c>
      <c r="AF339" s="674"/>
      <c r="AG339" s="674"/>
      <c r="AH339" s="675">
        <v>1</v>
      </c>
      <c r="AI339" s="674">
        <v>34578.520000000004</v>
      </c>
    </row>
    <row r="340" spans="1:35" ht="12.75">
      <c r="A340" s="582" t="s">
        <v>686</v>
      </c>
      <c r="B340" s="657">
        <v>1</v>
      </c>
      <c r="C340" s="669">
        <v>2337.45</v>
      </c>
      <c r="D340" s="669"/>
      <c r="E340" s="669"/>
      <c r="F340" s="669"/>
      <c r="G340" s="669"/>
      <c r="H340" s="669"/>
      <c r="I340" s="669"/>
      <c r="J340" s="669">
        <v>467.7</v>
      </c>
      <c r="K340" s="669"/>
      <c r="L340" s="669">
        <v>1000</v>
      </c>
      <c r="M340" s="669"/>
      <c r="N340" s="670"/>
      <c r="O340" s="671">
        <f t="shared" si="74"/>
        <v>34661.799999999996</v>
      </c>
      <c r="P340" s="671">
        <f t="shared" si="75"/>
        <v>34661.799999999996</v>
      </c>
      <c r="Q340" s="673">
        <v>1</v>
      </c>
      <c r="R340" s="669">
        <v>2337.45</v>
      </c>
      <c r="S340" s="669"/>
      <c r="T340" s="669"/>
      <c r="U340" s="669"/>
      <c r="V340" s="669"/>
      <c r="W340" s="669"/>
      <c r="X340" s="669"/>
      <c r="Y340" s="669">
        <v>467.7</v>
      </c>
      <c r="Z340" s="669"/>
      <c r="AA340" s="669">
        <v>1000</v>
      </c>
      <c r="AB340" s="669"/>
      <c r="AC340" s="670"/>
      <c r="AD340" s="671">
        <f t="shared" si="76"/>
        <v>34661.799999999996</v>
      </c>
      <c r="AE340" s="672">
        <f t="shared" si="77"/>
        <v>34661.799999999996</v>
      </c>
      <c r="AF340" s="674"/>
      <c r="AG340" s="674"/>
      <c r="AH340" s="675">
        <v>1</v>
      </c>
      <c r="AI340" s="674">
        <v>34661.799999999996</v>
      </c>
    </row>
    <row r="341" spans="1:35" ht="12.75">
      <c r="A341" s="582" t="s">
        <v>682</v>
      </c>
      <c r="B341" s="657"/>
      <c r="C341" s="669"/>
      <c r="D341" s="685"/>
      <c r="E341" s="669"/>
      <c r="F341" s="669"/>
      <c r="G341" s="669"/>
      <c r="H341" s="669"/>
      <c r="I341" s="669"/>
      <c r="J341" s="669"/>
      <c r="K341" s="669"/>
      <c r="L341" s="685"/>
      <c r="M341" s="669"/>
      <c r="N341" s="670"/>
      <c r="O341" s="671"/>
      <c r="P341" s="671"/>
      <c r="Q341" s="673"/>
      <c r="R341" s="669"/>
      <c r="S341" s="685"/>
      <c r="T341" s="669"/>
      <c r="U341" s="669"/>
      <c r="V341" s="669"/>
      <c r="W341" s="669"/>
      <c r="X341" s="669"/>
      <c r="Y341" s="669"/>
      <c r="Z341" s="669"/>
      <c r="AA341" s="685"/>
      <c r="AB341" s="669"/>
      <c r="AC341" s="670"/>
      <c r="AD341" s="671">
        <f t="shared" si="76"/>
        <v>0</v>
      </c>
      <c r="AE341" s="672">
        <f t="shared" si="77"/>
        <v>0</v>
      </c>
      <c r="AF341" s="674"/>
      <c r="AG341" s="674"/>
      <c r="AH341" s="675"/>
      <c r="AI341" s="674">
        <v>0</v>
      </c>
    </row>
    <row r="342" spans="1:35" ht="12.75">
      <c r="A342" s="582" t="s">
        <v>710</v>
      </c>
      <c r="B342" s="657">
        <v>4</v>
      </c>
      <c r="C342" s="669">
        <v>9273.6</v>
      </c>
      <c r="D342" s="685"/>
      <c r="E342" s="669"/>
      <c r="F342" s="669"/>
      <c r="G342" s="669"/>
      <c r="H342" s="669"/>
      <c r="I342" s="669"/>
      <c r="J342" s="669">
        <v>1306.54</v>
      </c>
      <c r="K342" s="669"/>
      <c r="L342" s="669">
        <v>4000</v>
      </c>
      <c r="M342" s="669"/>
      <c r="N342" s="670"/>
      <c r="O342" s="671">
        <f t="shared" si="74"/>
        <v>130961.68</v>
      </c>
      <c r="P342" s="671">
        <f t="shared" si="75"/>
        <v>130961.68</v>
      </c>
      <c r="Q342" s="673">
        <v>4</v>
      </c>
      <c r="R342" s="669">
        <v>9273.6</v>
      </c>
      <c r="S342" s="685"/>
      <c r="T342" s="669"/>
      <c r="U342" s="669"/>
      <c r="V342" s="669"/>
      <c r="W342" s="669"/>
      <c r="X342" s="669"/>
      <c r="Y342" s="669">
        <v>1306.54</v>
      </c>
      <c r="Z342" s="669"/>
      <c r="AA342" s="669">
        <v>4000</v>
      </c>
      <c r="AB342" s="669"/>
      <c r="AC342" s="670"/>
      <c r="AD342" s="671">
        <f t="shared" si="76"/>
        <v>130961.68</v>
      </c>
      <c r="AE342" s="672">
        <f t="shared" si="77"/>
        <v>130961.68</v>
      </c>
      <c r="AF342" s="674"/>
      <c r="AG342" s="674"/>
      <c r="AH342" s="675">
        <v>4</v>
      </c>
      <c r="AI342" s="674">
        <v>130961.68</v>
      </c>
    </row>
    <row r="343" spans="1:35" ht="12">
      <c r="A343" s="717" t="s">
        <v>713</v>
      </c>
      <c r="B343" s="657"/>
      <c r="C343" s="669"/>
      <c r="D343" s="685"/>
      <c r="E343" s="669"/>
      <c r="F343" s="669"/>
      <c r="G343" s="669"/>
      <c r="H343" s="669"/>
      <c r="I343" s="669"/>
      <c r="J343" s="669"/>
      <c r="K343" s="685"/>
      <c r="L343" s="685"/>
      <c r="M343" s="669"/>
      <c r="N343" s="473"/>
      <c r="O343" s="671"/>
      <c r="P343" s="672"/>
      <c r="Q343" s="673"/>
      <c r="R343" s="669"/>
      <c r="S343" s="669"/>
      <c r="T343" s="669"/>
      <c r="U343" s="669"/>
      <c r="V343" s="669"/>
      <c r="W343" s="669"/>
      <c r="X343" s="669"/>
      <c r="Y343" s="669"/>
      <c r="Z343" s="669"/>
      <c r="AA343" s="669"/>
      <c r="AB343" s="669"/>
      <c r="AC343" s="670"/>
      <c r="AD343" s="718"/>
      <c r="AE343" s="675"/>
      <c r="AF343" s="674"/>
      <c r="AG343" s="674"/>
      <c r="AH343" s="675"/>
      <c r="AI343" s="674"/>
    </row>
    <row r="344" spans="1:35" ht="12.75">
      <c r="A344" s="581" t="s">
        <v>4</v>
      </c>
      <c r="B344" s="665">
        <f>SUM(B345:B350)</f>
        <v>6</v>
      </c>
      <c r="C344" s="700">
        <f aca="true" t="shared" si="78" ref="C344:AI344">SUM(C345:C350)</f>
        <v>15951.179999999998</v>
      </c>
      <c r="D344" s="700">
        <f t="shared" si="78"/>
        <v>0</v>
      </c>
      <c r="E344" s="700">
        <f t="shared" si="78"/>
        <v>0</v>
      </c>
      <c r="F344" s="700">
        <f t="shared" si="78"/>
        <v>0</v>
      </c>
      <c r="G344" s="700">
        <f t="shared" si="78"/>
        <v>0</v>
      </c>
      <c r="H344" s="700">
        <f t="shared" si="78"/>
        <v>0</v>
      </c>
      <c r="I344" s="700">
        <f t="shared" si="78"/>
        <v>0</v>
      </c>
      <c r="J344" s="700">
        <f t="shared" si="78"/>
        <v>4159.9</v>
      </c>
      <c r="K344" s="700">
        <f t="shared" si="78"/>
        <v>0</v>
      </c>
      <c r="L344" s="700">
        <f t="shared" si="78"/>
        <v>6000</v>
      </c>
      <c r="M344" s="700">
        <f t="shared" si="78"/>
        <v>0</v>
      </c>
      <c r="N344" s="702">
        <f t="shared" si="78"/>
        <v>0</v>
      </c>
      <c r="O344" s="703">
        <f t="shared" si="78"/>
        <v>247332.96</v>
      </c>
      <c r="P344" s="704">
        <f t="shared" si="78"/>
        <v>247332.96</v>
      </c>
      <c r="Q344" s="705">
        <f t="shared" si="78"/>
        <v>6</v>
      </c>
      <c r="R344" s="706">
        <f t="shared" si="78"/>
        <v>15951.179999999998</v>
      </c>
      <c r="S344" s="706">
        <f t="shared" si="78"/>
        <v>0</v>
      </c>
      <c r="T344" s="706">
        <f t="shared" si="78"/>
        <v>0</v>
      </c>
      <c r="U344" s="706">
        <f t="shared" si="78"/>
        <v>0</v>
      </c>
      <c r="V344" s="706">
        <f t="shared" si="78"/>
        <v>0</v>
      </c>
      <c r="W344" s="706">
        <f t="shared" si="78"/>
        <v>0</v>
      </c>
      <c r="X344" s="706">
        <f t="shared" si="78"/>
        <v>0</v>
      </c>
      <c r="Y344" s="706">
        <f t="shared" si="78"/>
        <v>4159.9</v>
      </c>
      <c r="Z344" s="706">
        <f t="shared" si="78"/>
        <v>0</v>
      </c>
      <c r="AA344" s="706">
        <f t="shared" si="78"/>
        <v>6000</v>
      </c>
      <c r="AB344" s="706">
        <f t="shared" si="78"/>
        <v>0</v>
      </c>
      <c r="AC344" s="708">
        <f t="shared" si="78"/>
        <v>0</v>
      </c>
      <c r="AD344" s="708">
        <f t="shared" si="78"/>
        <v>247332.96</v>
      </c>
      <c r="AE344" s="708">
        <f t="shared" si="78"/>
        <v>247332.96</v>
      </c>
      <c r="AF344" s="681">
        <f t="shared" si="78"/>
        <v>0</v>
      </c>
      <c r="AG344" s="681">
        <f t="shared" si="78"/>
        <v>0</v>
      </c>
      <c r="AH344" s="682">
        <f t="shared" si="78"/>
        <v>6</v>
      </c>
      <c r="AI344" s="681">
        <f t="shared" si="78"/>
        <v>247332.96</v>
      </c>
    </row>
    <row r="345" spans="1:35" ht="12.75">
      <c r="A345" s="582" t="s">
        <v>681</v>
      </c>
      <c r="B345" s="657"/>
      <c r="C345" s="669"/>
      <c r="D345" s="669"/>
      <c r="E345" s="669"/>
      <c r="F345" s="669"/>
      <c r="G345" s="669"/>
      <c r="H345" s="669"/>
      <c r="I345" s="669"/>
      <c r="J345" s="669"/>
      <c r="K345" s="669"/>
      <c r="L345" s="669"/>
      <c r="M345" s="669"/>
      <c r="N345" s="670"/>
      <c r="O345" s="671"/>
      <c r="P345" s="672"/>
      <c r="Q345" s="673"/>
      <c r="R345" s="669"/>
      <c r="S345" s="669"/>
      <c r="T345" s="669"/>
      <c r="U345" s="669"/>
      <c r="V345" s="669"/>
      <c r="W345" s="669"/>
      <c r="X345" s="669"/>
      <c r="Y345" s="669"/>
      <c r="Z345" s="669"/>
      <c r="AA345" s="669"/>
      <c r="AB345" s="669"/>
      <c r="AC345" s="670"/>
      <c r="AD345" s="671"/>
      <c r="AE345" s="672"/>
      <c r="AF345" s="674"/>
      <c r="AG345" s="674"/>
      <c r="AH345" s="675"/>
      <c r="AI345" s="674"/>
    </row>
    <row r="346" spans="1:35" ht="12.75">
      <c r="A346" s="582" t="s">
        <v>707</v>
      </c>
      <c r="B346" s="657"/>
      <c r="C346" s="669"/>
      <c r="D346" s="669"/>
      <c r="E346" s="669"/>
      <c r="F346" s="669"/>
      <c r="G346" s="669"/>
      <c r="H346" s="669"/>
      <c r="I346" s="669"/>
      <c r="J346" s="669"/>
      <c r="K346" s="669"/>
      <c r="L346" s="669"/>
      <c r="M346" s="669"/>
      <c r="N346" s="670"/>
      <c r="O346" s="671"/>
      <c r="P346" s="672"/>
      <c r="Q346" s="673"/>
      <c r="R346" s="669"/>
      <c r="S346" s="669"/>
      <c r="T346" s="669"/>
      <c r="U346" s="669"/>
      <c r="V346" s="669"/>
      <c r="W346" s="669"/>
      <c r="X346" s="669"/>
      <c r="Y346" s="669"/>
      <c r="Z346" s="669"/>
      <c r="AA346" s="669"/>
      <c r="AB346" s="669"/>
      <c r="AC346" s="670"/>
      <c r="AD346" s="671"/>
      <c r="AE346" s="672"/>
      <c r="AF346" s="674"/>
      <c r="AG346" s="674"/>
      <c r="AH346" s="675"/>
      <c r="AI346" s="674"/>
    </row>
    <row r="347" spans="1:35" ht="12.75">
      <c r="A347" s="582" t="s">
        <v>669</v>
      </c>
      <c r="B347" s="657"/>
      <c r="C347" s="669"/>
      <c r="D347" s="669"/>
      <c r="E347" s="669"/>
      <c r="F347" s="669"/>
      <c r="G347" s="669"/>
      <c r="H347" s="669"/>
      <c r="I347" s="669"/>
      <c r="J347" s="669"/>
      <c r="K347" s="669"/>
      <c r="L347" s="669"/>
      <c r="M347" s="669"/>
      <c r="N347" s="670"/>
      <c r="O347" s="671"/>
      <c r="P347" s="672"/>
      <c r="Q347" s="673"/>
      <c r="R347" s="669"/>
      <c r="S347" s="669"/>
      <c r="T347" s="669"/>
      <c r="U347" s="669"/>
      <c r="V347" s="669"/>
      <c r="W347" s="669"/>
      <c r="X347" s="669"/>
      <c r="Y347" s="669"/>
      <c r="Z347" s="669"/>
      <c r="AA347" s="669"/>
      <c r="AB347" s="669"/>
      <c r="AC347" s="670"/>
      <c r="AD347" s="671"/>
      <c r="AE347" s="672"/>
      <c r="AF347" s="674"/>
      <c r="AG347" s="674"/>
      <c r="AH347" s="675"/>
      <c r="AI347" s="674"/>
    </row>
    <row r="348" spans="1:35" ht="12.75">
      <c r="A348" s="582" t="s">
        <v>670</v>
      </c>
      <c r="B348" s="673">
        <v>2</v>
      </c>
      <c r="C348" s="669">
        <v>5360.82</v>
      </c>
      <c r="D348" s="669"/>
      <c r="E348" s="669"/>
      <c r="F348" s="669"/>
      <c r="G348" s="669"/>
      <c r="H348" s="669"/>
      <c r="I348" s="669"/>
      <c r="J348" s="669">
        <v>1144.7</v>
      </c>
      <c r="K348" s="669"/>
      <c r="L348" s="669">
        <v>2000</v>
      </c>
      <c r="M348" s="669"/>
      <c r="N348" s="670"/>
      <c r="O348" s="671">
        <f>SUM(C348:J348)*12+L348</f>
        <v>80066.23999999999</v>
      </c>
      <c r="P348" s="672">
        <f>SUM(C348:J348)*12+L348</f>
        <v>80066.23999999999</v>
      </c>
      <c r="Q348" s="673">
        <v>2</v>
      </c>
      <c r="R348" s="669">
        <v>5360.82</v>
      </c>
      <c r="S348" s="669"/>
      <c r="T348" s="669"/>
      <c r="U348" s="669"/>
      <c r="V348" s="669"/>
      <c r="W348" s="669"/>
      <c r="X348" s="669"/>
      <c r="Y348" s="669">
        <v>1144.7</v>
      </c>
      <c r="Z348" s="669"/>
      <c r="AA348" s="669">
        <v>2000</v>
      </c>
      <c r="AB348" s="669"/>
      <c r="AC348" s="670"/>
      <c r="AD348" s="671">
        <f>SUM(R348:Y348)*12+AA348</f>
        <v>80066.23999999999</v>
      </c>
      <c r="AE348" s="672">
        <f>SUM(R348:Y348)*12+AA348</f>
        <v>80066.23999999999</v>
      </c>
      <c r="AF348" s="674"/>
      <c r="AG348" s="674"/>
      <c r="AH348" s="675">
        <v>2</v>
      </c>
      <c r="AI348" s="674">
        <v>80066.23999999999</v>
      </c>
    </row>
    <row r="349" spans="1:35" ht="12.75">
      <c r="A349" s="582" t="s">
        <v>671</v>
      </c>
      <c r="B349" s="673">
        <v>2</v>
      </c>
      <c r="C349" s="669">
        <v>5354.46</v>
      </c>
      <c r="D349" s="669"/>
      <c r="E349" s="669"/>
      <c r="F349" s="669"/>
      <c r="G349" s="669"/>
      <c r="H349" s="669"/>
      <c r="I349" s="669"/>
      <c r="J349" s="669">
        <v>1467.6</v>
      </c>
      <c r="K349" s="669"/>
      <c r="L349" s="669">
        <v>2000</v>
      </c>
      <c r="M349" s="669"/>
      <c r="N349" s="670"/>
      <c r="O349" s="671">
        <f>SUM(C349:J349)*12+L349</f>
        <v>83864.72</v>
      </c>
      <c r="P349" s="672">
        <f>SUM(C349:J349)*12+L349</f>
        <v>83864.72</v>
      </c>
      <c r="Q349" s="673">
        <v>2</v>
      </c>
      <c r="R349" s="669">
        <v>5354.46</v>
      </c>
      <c r="S349" s="669"/>
      <c r="T349" s="669"/>
      <c r="U349" s="669"/>
      <c r="V349" s="669"/>
      <c r="W349" s="669"/>
      <c r="X349" s="669"/>
      <c r="Y349" s="669">
        <v>1467.6</v>
      </c>
      <c r="Z349" s="669"/>
      <c r="AA349" s="669">
        <v>2000</v>
      </c>
      <c r="AB349" s="669"/>
      <c r="AC349" s="670"/>
      <c r="AD349" s="671">
        <f>SUM(R349:Y349)*12+AA349</f>
        <v>83864.72</v>
      </c>
      <c r="AE349" s="672">
        <f>SUM(R349:Y349)*12+AA349</f>
        <v>83864.72</v>
      </c>
      <c r="AF349" s="674"/>
      <c r="AG349" s="674"/>
      <c r="AH349" s="675">
        <v>2</v>
      </c>
      <c r="AI349" s="674">
        <v>83864.72</v>
      </c>
    </row>
    <row r="350" spans="1:35" ht="12.75">
      <c r="A350" s="582" t="s">
        <v>684</v>
      </c>
      <c r="B350" s="673">
        <v>2</v>
      </c>
      <c r="C350" s="669">
        <v>5235.9</v>
      </c>
      <c r="D350" s="669"/>
      <c r="E350" s="669"/>
      <c r="F350" s="669"/>
      <c r="G350" s="669"/>
      <c r="H350" s="669"/>
      <c r="I350" s="669"/>
      <c r="J350" s="669">
        <v>1547.6</v>
      </c>
      <c r="K350" s="669"/>
      <c r="L350" s="669">
        <v>2000</v>
      </c>
      <c r="M350" s="669"/>
      <c r="N350" s="670"/>
      <c r="O350" s="671">
        <f>SUM(C350:J350)*12+L350</f>
        <v>83402</v>
      </c>
      <c r="P350" s="672">
        <f>SUM(C350:J350)*12+L350</f>
        <v>83402</v>
      </c>
      <c r="Q350" s="673">
        <v>2</v>
      </c>
      <c r="R350" s="669">
        <v>5235.9</v>
      </c>
      <c r="S350" s="669"/>
      <c r="T350" s="669"/>
      <c r="U350" s="669"/>
      <c r="V350" s="669"/>
      <c r="W350" s="669"/>
      <c r="X350" s="669"/>
      <c r="Y350" s="669">
        <v>1547.6</v>
      </c>
      <c r="Z350" s="669"/>
      <c r="AA350" s="669">
        <v>2000</v>
      </c>
      <c r="AB350" s="669"/>
      <c r="AC350" s="670"/>
      <c r="AD350" s="671">
        <f>SUM(R350:Y350)*12+AA350</f>
        <v>83402</v>
      </c>
      <c r="AE350" s="672">
        <f>SUM(R350:Y350)*12+AA350</f>
        <v>83402</v>
      </c>
      <c r="AF350" s="674"/>
      <c r="AG350" s="674"/>
      <c r="AH350" s="675">
        <v>2</v>
      </c>
      <c r="AI350" s="674">
        <v>83402</v>
      </c>
    </row>
    <row r="351" spans="1:35" ht="12.75">
      <c r="A351" s="709"/>
      <c r="B351" s="710"/>
      <c r="C351" s="719"/>
      <c r="D351" s="711"/>
      <c r="E351" s="711"/>
      <c r="F351" s="711"/>
      <c r="G351" s="711"/>
      <c r="H351" s="711"/>
      <c r="I351" s="711"/>
      <c r="J351" s="711"/>
      <c r="K351" s="711"/>
      <c r="L351" s="711"/>
      <c r="M351" s="711"/>
      <c r="N351" s="670"/>
      <c r="O351" s="711"/>
      <c r="P351" s="711"/>
      <c r="Q351" s="712"/>
      <c r="R351" s="711"/>
      <c r="S351" s="711"/>
      <c r="T351" s="711"/>
      <c r="U351" s="711"/>
      <c r="V351" s="711"/>
      <c r="W351" s="711"/>
      <c r="X351" s="711"/>
      <c r="Y351" s="711"/>
      <c r="Z351" s="711"/>
      <c r="AA351" s="711"/>
      <c r="AB351" s="711"/>
      <c r="AC351" s="670"/>
      <c r="AD351" s="711"/>
      <c r="AE351" s="711"/>
      <c r="AF351" s="711"/>
      <c r="AG351" s="711"/>
      <c r="AH351" s="713"/>
      <c r="AI351" s="711"/>
    </row>
    <row r="352" spans="1:35" ht="12.75">
      <c r="A352" s="581" t="s">
        <v>714</v>
      </c>
      <c r="B352" s="665">
        <f>SUM(B353:B357)</f>
        <v>18</v>
      </c>
      <c r="C352" s="703">
        <f aca="true" t="shared" si="79" ref="C352:AI352">SUM(C353:C357)</f>
        <v>133803.76</v>
      </c>
      <c r="D352" s="700">
        <f t="shared" si="79"/>
        <v>0</v>
      </c>
      <c r="E352" s="700">
        <f t="shared" si="79"/>
        <v>0</v>
      </c>
      <c r="F352" s="700">
        <f t="shared" si="79"/>
        <v>0</v>
      </c>
      <c r="G352" s="700">
        <f t="shared" si="79"/>
        <v>0</v>
      </c>
      <c r="H352" s="700">
        <f t="shared" si="79"/>
        <v>0</v>
      </c>
      <c r="I352" s="700">
        <f t="shared" si="79"/>
        <v>0</v>
      </c>
      <c r="J352" s="700">
        <f t="shared" si="79"/>
        <v>21970.9</v>
      </c>
      <c r="K352" s="700">
        <f t="shared" si="79"/>
        <v>0</v>
      </c>
      <c r="L352" s="700">
        <f t="shared" si="79"/>
        <v>18000</v>
      </c>
      <c r="M352" s="700">
        <f t="shared" si="79"/>
        <v>0</v>
      </c>
      <c r="N352" s="702">
        <f t="shared" si="79"/>
        <v>0</v>
      </c>
      <c r="O352" s="703">
        <f t="shared" si="79"/>
        <v>1887295.92</v>
      </c>
      <c r="P352" s="704">
        <f t="shared" si="79"/>
        <v>1887295.92</v>
      </c>
      <c r="Q352" s="705">
        <f t="shared" si="79"/>
        <v>18</v>
      </c>
      <c r="R352" s="706">
        <f t="shared" si="79"/>
        <v>133803.76</v>
      </c>
      <c r="S352" s="706">
        <f t="shared" si="79"/>
        <v>0</v>
      </c>
      <c r="T352" s="706">
        <f t="shared" si="79"/>
        <v>0</v>
      </c>
      <c r="U352" s="706">
        <f t="shared" si="79"/>
        <v>0</v>
      </c>
      <c r="V352" s="706">
        <f t="shared" si="79"/>
        <v>0</v>
      </c>
      <c r="W352" s="706">
        <f t="shared" si="79"/>
        <v>0</v>
      </c>
      <c r="X352" s="706">
        <f t="shared" si="79"/>
        <v>0</v>
      </c>
      <c r="Y352" s="706">
        <f t="shared" si="79"/>
        <v>21970.9</v>
      </c>
      <c r="Z352" s="706">
        <f t="shared" si="79"/>
        <v>0</v>
      </c>
      <c r="AA352" s="706">
        <f t="shared" si="79"/>
        <v>18000</v>
      </c>
      <c r="AB352" s="706">
        <f t="shared" si="79"/>
        <v>0</v>
      </c>
      <c r="AC352" s="708">
        <f t="shared" si="79"/>
        <v>0</v>
      </c>
      <c r="AD352" s="708">
        <f t="shared" si="79"/>
        <v>1887295.92</v>
      </c>
      <c r="AE352" s="708">
        <f t="shared" si="79"/>
        <v>1887295.92</v>
      </c>
      <c r="AF352" s="681">
        <f t="shared" si="79"/>
        <v>0</v>
      </c>
      <c r="AG352" s="681">
        <f t="shared" si="79"/>
        <v>0</v>
      </c>
      <c r="AH352" s="682">
        <f t="shared" si="79"/>
        <v>18</v>
      </c>
      <c r="AI352" s="681">
        <f t="shared" si="79"/>
        <v>1887295.92</v>
      </c>
    </row>
    <row r="353" spans="1:35" ht="12.75">
      <c r="A353" s="582" t="s">
        <v>715</v>
      </c>
      <c r="B353" s="514">
        <v>8</v>
      </c>
      <c r="C353" s="671">
        <v>67775.28</v>
      </c>
      <c r="D353" s="669"/>
      <c r="E353" s="669"/>
      <c r="F353" s="669"/>
      <c r="G353" s="669"/>
      <c r="H353" s="669"/>
      <c r="I353" s="669"/>
      <c r="J353" s="669">
        <v>13276.43</v>
      </c>
      <c r="K353" s="669"/>
      <c r="L353" s="669">
        <v>8000</v>
      </c>
      <c r="M353" s="669"/>
      <c r="N353" s="670"/>
      <c r="O353" s="671">
        <f>SUM(C353:J353)*12+L353</f>
        <v>980620.5199999999</v>
      </c>
      <c r="P353" s="672">
        <f>SUM(C353:J353)*12+L353</f>
        <v>980620.5199999999</v>
      </c>
      <c r="Q353" s="673">
        <v>8</v>
      </c>
      <c r="R353" s="671">
        <v>67775.28</v>
      </c>
      <c r="S353" s="669"/>
      <c r="T353" s="669"/>
      <c r="U353" s="669"/>
      <c r="V353" s="669"/>
      <c r="W353" s="669"/>
      <c r="X353" s="669"/>
      <c r="Y353" s="669">
        <v>13276.43</v>
      </c>
      <c r="Z353" s="669"/>
      <c r="AA353" s="669">
        <v>8000</v>
      </c>
      <c r="AB353" s="669"/>
      <c r="AC353" s="670"/>
      <c r="AD353" s="671">
        <f>SUM(R353:Y353)*12+AA353</f>
        <v>980620.5199999999</v>
      </c>
      <c r="AE353" s="672">
        <f>SUM(R353:Y353)*12+AA353</f>
        <v>980620.5199999999</v>
      </c>
      <c r="AF353" s="674"/>
      <c r="AG353" s="674"/>
      <c r="AH353" s="675">
        <v>8</v>
      </c>
      <c r="AI353" s="674">
        <v>980620.5199999999</v>
      </c>
    </row>
    <row r="354" spans="1:35" ht="12.75">
      <c r="A354" s="582" t="s">
        <v>716</v>
      </c>
      <c r="B354" s="657"/>
      <c r="C354" s="508"/>
      <c r="D354" s="669"/>
      <c r="E354" s="669"/>
      <c r="F354" s="669"/>
      <c r="G354" s="669"/>
      <c r="H354" s="669"/>
      <c r="I354" s="669"/>
      <c r="J354" s="508"/>
      <c r="K354" s="669"/>
      <c r="L354" s="669"/>
      <c r="M354" s="669"/>
      <c r="N354" s="670"/>
      <c r="O354" s="671"/>
      <c r="P354" s="672"/>
      <c r="Q354" s="673"/>
      <c r="R354" s="508"/>
      <c r="S354" s="669"/>
      <c r="T354" s="669"/>
      <c r="U354" s="669"/>
      <c r="V354" s="669"/>
      <c r="W354" s="669"/>
      <c r="X354" s="669"/>
      <c r="Y354" s="508"/>
      <c r="Z354" s="669"/>
      <c r="AA354" s="669"/>
      <c r="AB354" s="669"/>
      <c r="AC354" s="670"/>
      <c r="AD354" s="671"/>
      <c r="AE354" s="672"/>
      <c r="AF354" s="674"/>
      <c r="AG354" s="674"/>
      <c r="AH354" s="675"/>
      <c r="AI354" s="674"/>
    </row>
    <row r="355" spans="1:35" ht="12.75">
      <c r="A355" s="582" t="s">
        <v>717</v>
      </c>
      <c r="B355" s="514">
        <v>2</v>
      </c>
      <c r="C355" s="671">
        <v>15636.72</v>
      </c>
      <c r="D355" s="669"/>
      <c r="E355" s="669"/>
      <c r="F355" s="669"/>
      <c r="G355" s="669"/>
      <c r="H355" s="669"/>
      <c r="I355" s="669"/>
      <c r="J355" s="669">
        <v>3049.9</v>
      </c>
      <c r="K355" s="669"/>
      <c r="L355" s="669">
        <v>2000</v>
      </c>
      <c r="M355" s="669"/>
      <c r="N355" s="670"/>
      <c r="O355" s="671">
        <f>SUM(C355:J355)*12+L355</f>
        <v>226239.44</v>
      </c>
      <c r="P355" s="672">
        <f>SUM(C355:J355)*12+L355</f>
        <v>226239.44</v>
      </c>
      <c r="Q355" s="673">
        <v>2</v>
      </c>
      <c r="R355" s="671">
        <v>15636.72</v>
      </c>
      <c r="S355" s="669"/>
      <c r="T355" s="669"/>
      <c r="U355" s="669"/>
      <c r="V355" s="669"/>
      <c r="W355" s="669"/>
      <c r="X355" s="669"/>
      <c r="Y355" s="669">
        <v>3049.9</v>
      </c>
      <c r="Z355" s="669"/>
      <c r="AA355" s="669">
        <v>2000</v>
      </c>
      <c r="AB355" s="669"/>
      <c r="AC355" s="670"/>
      <c r="AD355" s="671">
        <f>SUM(R355:Y355)*12+AA355</f>
        <v>226239.44</v>
      </c>
      <c r="AE355" s="672">
        <f>SUM(R355:Y355)*12+AA355</f>
        <v>226239.44</v>
      </c>
      <c r="AF355" s="674"/>
      <c r="AG355" s="674"/>
      <c r="AH355" s="675">
        <v>2</v>
      </c>
      <c r="AI355" s="674">
        <v>226239.44</v>
      </c>
    </row>
    <row r="356" spans="1:35" ht="12.75">
      <c r="A356" s="582" t="s">
        <v>718</v>
      </c>
      <c r="B356" s="514"/>
      <c r="C356" s="671"/>
      <c r="D356" s="669"/>
      <c r="E356" s="669"/>
      <c r="F356" s="669"/>
      <c r="G356" s="669"/>
      <c r="H356" s="669"/>
      <c r="I356" s="669"/>
      <c r="J356" s="508"/>
      <c r="K356" s="669"/>
      <c r="L356" s="669"/>
      <c r="M356" s="669"/>
      <c r="N356" s="670"/>
      <c r="O356" s="671"/>
      <c r="P356" s="672"/>
      <c r="Q356" s="673"/>
      <c r="R356" s="671"/>
      <c r="S356" s="669"/>
      <c r="T356" s="669"/>
      <c r="U356" s="669"/>
      <c r="V356" s="669"/>
      <c r="W356" s="669"/>
      <c r="X356" s="669"/>
      <c r="Y356" s="508"/>
      <c r="Z356" s="669"/>
      <c r="AA356" s="669"/>
      <c r="AB356" s="669"/>
      <c r="AC356" s="670"/>
      <c r="AD356" s="671"/>
      <c r="AE356" s="672"/>
      <c r="AF356" s="674"/>
      <c r="AG356" s="674"/>
      <c r="AH356" s="675"/>
      <c r="AI356" s="674"/>
    </row>
    <row r="357" spans="1:35" ht="12.75">
      <c r="A357" s="582" t="s">
        <v>719</v>
      </c>
      <c r="B357" s="514">
        <v>8</v>
      </c>
      <c r="C357" s="671">
        <v>50391.76</v>
      </c>
      <c r="D357" s="669"/>
      <c r="E357" s="669"/>
      <c r="F357" s="669"/>
      <c r="G357" s="669"/>
      <c r="H357" s="669"/>
      <c r="I357" s="669"/>
      <c r="J357" s="669">
        <v>5644.57</v>
      </c>
      <c r="K357" s="669"/>
      <c r="L357" s="669">
        <v>8000</v>
      </c>
      <c r="M357" s="669"/>
      <c r="N357" s="670"/>
      <c r="O357" s="671">
        <f>SUM(C357:J357)*12+L357</f>
        <v>680435.96</v>
      </c>
      <c r="P357" s="672">
        <f>SUM(C357:J357)*12+L357</f>
        <v>680435.96</v>
      </c>
      <c r="Q357" s="673">
        <v>8</v>
      </c>
      <c r="R357" s="671">
        <v>50391.76</v>
      </c>
      <c r="S357" s="669"/>
      <c r="T357" s="669"/>
      <c r="U357" s="669"/>
      <c r="V357" s="669"/>
      <c r="W357" s="669"/>
      <c r="X357" s="669"/>
      <c r="Y357" s="669">
        <v>5644.57</v>
      </c>
      <c r="Z357" s="669"/>
      <c r="AA357" s="669">
        <v>8000</v>
      </c>
      <c r="AB357" s="669"/>
      <c r="AC357" s="670"/>
      <c r="AD357" s="671">
        <f>SUM(R357:Y357)*12+AA357</f>
        <v>680435.96</v>
      </c>
      <c r="AE357" s="672">
        <f>SUM(R357:Y357)*12+AA357</f>
        <v>680435.96</v>
      </c>
      <c r="AF357" s="674"/>
      <c r="AG357" s="674"/>
      <c r="AH357" s="675">
        <v>8</v>
      </c>
      <c r="AI357" s="674">
        <v>680435.96</v>
      </c>
    </row>
    <row r="358" spans="1:35" ht="12">
      <c r="A358" s="717" t="s">
        <v>720</v>
      </c>
      <c r="B358" s="657"/>
      <c r="C358" s="685"/>
      <c r="D358" s="669"/>
      <c r="E358" s="685"/>
      <c r="F358" s="685"/>
      <c r="G358" s="685"/>
      <c r="H358" s="685"/>
      <c r="I358" s="685"/>
      <c r="J358" s="669"/>
      <c r="K358" s="685"/>
      <c r="L358" s="685"/>
      <c r="M358" s="685"/>
      <c r="N358" s="473"/>
      <c r="O358" s="671"/>
      <c r="P358" s="672"/>
      <c r="Q358" s="673"/>
      <c r="R358" s="669"/>
      <c r="S358" s="669"/>
      <c r="T358" s="669"/>
      <c r="U358" s="669"/>
      <c r="V358" s="669"/>
      <c r="W358" s="669"/>
      <c r="X358" s="669"/>
      <c r="Y358" s="669"/>
      <c r="Z358" s="669"/>
      <c r="AA358" s="669"/>
      <c r="AB358" s="669"/>
      <c r="AC358" s="670"/>
      <c r="AD358" s="718"/>
      <c r="AE358" s="675"/>
      <c r="AF358" s="674"/>
      <c r="AG358" s="674"/>
      <c r="AH358" s="675"/>
      <c r="AI358" s="674">
        <f>+AH358*AD358</f>
        <v>0</v>
      </c>
    </row>
    <row r="359" spans="1:35" ht="12">
      <c r="A359" s="717" t="s">
        <v>721</v>
      </c>
      <c r="B359" s="665">
        <f>SUM(B360:B364)</f>
        <v>39</v>
      </c>
      <c r="C359" s="700">
        <f aca="true" t="shared" si="80" ref="C359:AI359">SUM(C360:C364)</f>
        <v>167693.91999999998</v>
      </c>
      <c r="D359" s="700">
        <f t="shared" si="80"/>
        <v>0</v>
      </c>
      <c r="E359" s="700">
        <f t="shared" si="80"/>
        <v>0</v>
      </c>
      <c r="F359" s="700">
        <f t="shared" si="80"/>
        <v>0</v>
      </c>
      <c r="G359" s="700">
        <f t="shared" si="80"/>
        <v>0</v>
      </c>
      <c r="H359" s="700">
        <f t="shared" si="80"/>
        <v>0</v>
      </c>
      <c r="I359" s="700">
        <f t="shared" si="80"/>
        <v>0</v>
      </c>
      <c r="J359" s="700">
        <f t="shared" si="80"/>
        <v>36158.93</v>
      </c>
      <c r="K359" s="700">
        <f t="shared" si="80"/>
        <v>0</v>
      </c>
      <c r="L359" s="700">
        <f t="shared" si="80"/>
        <v>39000</v>
      </c>
      <c r="M359" s="700">
        <f t="shared" si="80"/>
        <v>0</v>
      </c>
      <c r="N359" s="702">
        <f t="shared" si="80"/>
        <v>0</v>
      </c>
      <c r="O359" s="703">
        <f t="shared" si="80"/>
        <v>2485234.2</v>
      </c>
      <c r="P359" s="704">
        <f t="shared" si="80"/>
        <v>2485234.2</v>
      </c>
      <c r="Q359" s="705">
        <f t="shared" si="80"/>
        <v>39</v>
      </c>
      <c r="R359" s="706">
        <f t="shared" si="80"/>
        <v>167693.91999999998</v>
      </c>
      <c r="S359" s="706">
        <f t="shared" si="80"/>
        <v>0</v>
      </c>
      <c r="T359" s="706">
        <f t="shared" si="80"/>
        <v>0</v>
      </c>
      <c r="U359" s="706">
        <f t="shared" si="80"/>
        <v>0</v>
      </c>
      <c r="V359" s="706">
        <f t="shared" si="80"/>
        <v>0</v>
      </c>
      <c r="W359" s="706">
        <f t="shared" si="80"/>
        <v>0</v>
      </c>
      <c r="X359" s="706">
        <f t="shared" si="80"/>
        <v>0</v>
      </c>
      <c r="Y359" s="706">
        <f t="shared" si="80"/>
        <v>36158.93</v>
      </c>
      <c r="Z359" s="706">
        <f t="shared" si="80"/>
        <v>0</v>
      </c>
      <c r="AA359" s="706">
        <f t="shared" si="80"/>
        <v>39000</v>
      </c>
      <c r="AB359" s="706">
        <f t="shared" si="80"/>
        <v>0</v>
      </c>
      <c r="AC359" s="708">
        <f t="shared" si="80"/>
        <v>0</v>
      </c>
      <c r="AD359" s="708">
        <f t="shared" si="80"/>
        <v>2485234.2</v>
      </c>
      <c r="AE359" s="708">
        <f t="shared" si="80"/>
        <v>2485234.2</v>
      </c>
      <c r="AF359" s="681">
        <f t="shared" si="80"/>
        <v>0</v>
      </c>
      <c r="AG359" s="681">
        <f t="shared" si="80"/>
        <v>0</v>
      </c>
      <c r="AH359" s="682">
        <f t="shared" si="80"/>
        <v>40</v>
      </c>
      <c r="AI359" s="681">
        <f t="shared" si="80"/>
        <v>2542045</v>
      </c>
    </row>
    <row r="360" spans="1:35" ht="12">
      <c r="A360" s="720" t="s">
        <v>722</v>
      </c>
      <c r="B360" s="657">
        <v>10</v>
      </c>
      <c r="C360" s="669">
        <v>52698.9</v>
      </c>
      <c r="D360" s="669"/>
      <c r="E360" s="669"/>
      <c r="F360" s="669"/>
      <c r="G360" s="669"/>
      <c r="H360" s="669"/>
      <c r="I360" s="669"/>
      <c r="J360" s="669">
        <v>12403</v>
      </c>
      <c r="K360" s="669"/>
      <c r="L360" s="669">
        <v>10000</v>
      </c>
      <c r="M360" s="669"/>
      <c r="N360" s="670"/>
      <c r="O360" s="671">
        <f>SUM(C360:J360)*12+L360</f>
        <v>791222.8</v>
      </c>
      <c r="P360" s="672">
        <f>SUM(C360:J360)*12+L360</f>
        <v>791222.8</v>
      </c>
      <c r="Q360" s="657">
        <v>10</v>
      </c>
      <c r="R360" s="669">
        <v>52698.9</v>
      </c>
      <c r="S360" s="669"/>
      <c r="T360" s="669"/>
      <c r="U360" s="669"/>
      <c r="V360" s="669"/>
      <c r="W360" s="669"/>
      <c r="X360" s="669"/>
      <c r="Y360" s="669">
        <v>12403</v>
      </c>
      <c r="Z360" s="669"/>
      <c r="AA360" s="669">
        <v>10000</v>
      </c>
      <c r="AB360" s="669"/>
      <c r="AC360" s="670"/>
      <c r="AD360" s="671">
        <f>SUM(R360:Y360)*12+AA360</f>
        <v>791222.8</v>
      </c>
      <c r="AE360" s="672">
        <f>SUM(R360:Y360)*12+AA360</f>
        <v>791222.8</v>
      </c>
      <c r="AF360" s="674"/>
      <c r="AG360" s="674"/>
      <c r="AH360" s="657">
        <v>10</v>
      </c>
      <c r="AI360" s="674">
        <v>791222.8</v>
      </c>
    </row>
    <row r="361" spans="1:35" ht="12">
      <c r="A361" s="720" t="s">
        <v>723</v>
      </c>
      <c r="B361" s="657"/>
      <c r="C361" s="669"/>
      <c r="D361" s="669"/>
      <c r="E361" s="669"/>
      <c r="F361" s="669"/>
      <c r="G361" s="669"/>
      <c r="H361" s="669"/>
      <c r="I361" s="669"/>
      <c r="J361" s="669"/>
      <c r="K361" s="669"/>
      <c r="L361" s="669"/>
      <c r="M361" s="669"/>
      <c r="N361" s="670"/>
      <c r="O361" s="671"/>
      <c r="P361" s="672"/>
      <c r="Q361" s="657"/>
      <c r="R361" s="669"/>
      <c r="S361" s="669"/>
      <c r="T361" s="669"/>
      <c r="U361" s="669"/>
      <c r="V361" s="669"/>
      <c r="W361" s="669"/>
      <c r="X361" s="669"/>
      <c r="Y361" s="669"/>
      <c r="Z361" s="669"/>
      <c r="AA361" s="669"/>
      <c r="AB361" s="669"/>
      <c r="AC361" s="670"/>
      <c r="AD361" s="671"/>
      <c r="AE361" s="672"/>
      <c r="AF361" s="674"/>
      <c r="AG361" s="674"/>
      <c r="AH361" s="657"/>
      <c r="AI361" s="674"/>
    </row>
    <row r="362" spans="1:35" ht="12">
      <c r="A362" s="720" t="s">
        <v>724</v>
      </c>
      <c r="B362" s="657">
        <v>2</v>
      </c>
      <c r="C362" s="669">
        <v>9156.3</v>
      </c>
      <c r="D362" s="669"/>
      <c r="E362" s="669"/>
      <c r="F362" s="669"/>
      <c r="G362" s="669"/>
      <c r="H362" s="669"/>
      <c r="I362" s="669"/>
      <c r="J362" s="669">
        <v>2278</v>
      </c>
      <c r="K362" s="669"/>
      <c r="L362" s="669">
        <v>2000</v>
      </c>
      <c r="M362" s="669"/>
      <c r="N362" s="670"/>
      <c r="O362" s="671">
        <f>SUM(C362:J362)*12+L362</f>
        <v>139211.59999999998</v>
      </c>
      <c r="P362" s="672">
        <f>SUM(C362:J362)*12+L362</f>
        <v>139211.59999999998</v>
      </c>
      <c r="Q362" s="657">
        <v>2</v>
      </c>
      <c r="R362" s="669">
        <v>9156.3</v>
      </c>
      <c r="S362" s="669"/>
      <c r="T362" s="669"/>
      <c r="U362" s="669"/>
      <c r="V362" s="669"/>
      <c r="W362" s="669"/>
      <c r="X362" s="669"/>
      <c r="Y362" s="669">
        <v>2278</v>
      </c>
      <c r="Z362" s="669"/>
      <c r="AA362" s="669">
        <v>2000</v>
      </c>
      <c r="AB362" s="669"/>
      <c r="AC362" s="670"/>
      <c r="AD362" s="671">
        <f>SUM(R362:Y362)*12+AA362</f>
        <v>139211.59999999998</v>
      </c>
      <c r="AE362" s="672">
        <f>SUM(R362:Y362)*12+AA362</f>
        <v>139211.59999999998</v>
      </c>
      <c r="AF362" s="674"/>
      <c r="AG362" s="674"/>
      <c r="AH362" s="657">
        <v>2</v>
      </c>
      <c r="AI362" s="674">
        <v>139211.59999999998</v>
      </c>
    </row>
    <row r="363" spans="1:35" ht="12">
      <c r="A363" s="690" t="s">
        <v>725</v>
      </c>
      <c r="B363" s="657">
        <v>2</v>
      </c>
      <c r="C363" s="669">
        <v>8648.22</v>
      </c>
      <c r="D363" s="669"/>
      <c r="E363" s="669"/>
      <c r="F363" s="669"/>
      <c r="G363" s="669"/>
      <c r="H363" s="669"/>
      <c r="I363" s="669"/>
      <c r="J363" s="669">
        <v>2396</v>
      </c>
      <c r="K363" s="669"/>
      <c r="L363" s="669">
        <v>2000</v>
      </c>
      <c r="M363" s="669"/>
      <c r="N363" s="670"/>
      <c r="O363" s="671">
        <f>SUM(C363:J363)*12+L363</f>
        <v>134530.63999999998</v>
      </c>
      <c r="P363" s="672">
        <f>SUM(C363:J363)*12+L363</f>
        <v>134530.63999999998</v>
      </c>
      <c r="Q363" s="657">
        <v>2</v>
      </c>
      <c r="R363" s="669">
        <v>8648.22</v>
      </c>
      <c r="S363" s="669"/>
      <c r="T363" s="669"/>
      <c r="U363" s="669"/>
      <c r="V363" s="669"/>
      <c r="W363" s="669"/>
      <c r="X363" s="669"/>
      <c r="Y363" s="669">
        <v>2396</v>
      </c>
      <c r="Z363" s="669"/>
      <c r="AA363" s="669">
        <v>2000</v>
      </c>
      <c r="AB363" s="669"/>
      <c r="AC363" s="670"/>
      <c r="AD363" s="671">
        <f>SUM(R363:Y363)*12+AA363</f>
        <v>134530.63999999998</v>
      </c>
      <c r="AE363" s="672">
        <f>SUM(R363:Y363)*12+AA363</f>
        <v>134530.63999999998</v>
      </c>
      <c r="AF363" s="674"/>
      <c r="AG363" s="674"/>
      <c r="AH363" s="657">
        <v>2</v>
      </c>
      <c r="AI363" s="674">
        <v>134530.63999999998</v>
      </c>
    </row>
    <row r="364" spans="1:35" ht="12">
      <c r="A364" s="690" t="s">
        <v>726</v>
      </c>
      <c r="B364" s="657">
        <v>25</v>
      </c>
      <c r="C364" s="689">
        <v>97190.5</v>
      </c>
      <c r="D364" s="669"/>
      <c r="E364" s="669"/>
      <c r="F364" s="669"/>
      <c r="G364" s="669"/>
      <c r="H364" s="669"/>
      <c r="I364" s="669"/>
      <c r="J364" s="669">
        <v>19081.93</v>
      </c>
      <c r="K364" s="669"/>
      <c r="L364" s="669">
        <v>25000</v>
      </c>
      <c r="M364" s="669"/>
      <c r="N364" s="670"/>
      <c r="O364" s="671">
        <f>SUM(C364:J364)*12+L364</f>
        <v>1420269.16</v>
      </c>
      <c r="P364" s="672">
        <f>SUM(C364:J364)*12+L364</f>
        <v>1420269.16</v>
      </c>
      <c r="Q364" s="657">
        <v>25</v>
      </c>
      <c r="R364" s="689">
        <v>97190.5</v>
      </c>
      <c r="S364" s="669"/>
      <c r="T364" s="669"/>
      <c r="U364" s="669"/>
      <c r="V364" s="669"/>
      <c r="W364" s="669"/>
      <c r="X364" s="669"/>
      <c r="Y364" s="669">
        <v>19081.93</v>
      </c>
      <c r="Z364" s="669"/>
      <c r="AA364" s="669">
        <v>25000</v>
      </c>
      <c r="AB364" s="669"/>
      <c r="AC364" s="670"/>
      <c r="AD364" s="671">
        <f>SUM(R364:Y364)*12+AA364</f>
        <v>1420269.16</v>
      </c>
      <c r="AE364" s="672">
        <f>SUM(R364:Y364)*12+AA364</f>
        <v>1420269.16</v>
      </c>
      <c r="AF364" s="674"/>
      <c r="AG364" s="674"/>
      <c r="AH364" s="657">
        <v>26</v>
      </c>
      <c r="AI364" s="674">
        <f>1420269.16+56810.8</f>
        <v>1477079.96</v>
      </c>
    </row>
    <row r="365" spans="1:35" ht="12">
      <c r="A365" s="686" t="s">
        <v>727</v>
      </c>
      <c r="B365" s="665">
        <f>SUM(B366:B370)</f>
        <v>24</v>
      </c>
      <c r="C365" s="700">
        <f aca="true" t="shared" si="81" ref="C365:AI365">SUM(C366:C370)</f>
        <v>174369</v>
      </c>
      <c r="D365" s="700">
        <f t="shared" si="81"/>
        <v>0</v>
      </c>
      <c r="E365" s="700">
        <f t="shared" si="81"/>
        <v>0</v>
      </c>
      <c r="F365" s="700">
        <f t="shared" si="81"/>
        <v>0</v>
      </c>
      <c r="G365" s="700">
        <f t="shared" si="81"/>
        <v>0</v>
      </c>
      <c r="H365" s="700">
        <f t="shared" si="81"/>
        <v>0</v>
      </c>
      <c r="I365" s="700">
        <f t="shared" si="81"/>
        <v>0</v>
      </c>
      <c r="J365" s="700">
        <f t="shared" si="81"/>
        <v>58123</v>
      </c>
      <c r="K365" s="700">
        <f t="shared" si="81"/>
        <v>0</v>
      </c>
      <c r="L365" s="700">
        <f t="shared" si="81"/>
        <v>24000</v>
      </c>
      <c r="M365" s="700">
        <f t="shared" si="81"/>
        <v>0</v>
      </c>
      <c r="N365" s="702">
        <f t="shared" si="81"/>
        <v>0</v>
      </c>
      <c r="O365" s="703">
        <f t="shared" si="81"/>
        <v>2813904</v>
      </c>
      <c r="P365" s="704">
        <f t="shared" si="81"/>
        <v>2813904</v>
      </c>
      <c r="Q365" s="715">
        <f t="shared" si="81"/>
        <v>24</v>
      </c>
      <c r="R365" s="700">
        <f t="shared" si="81"/>
        <v>174369</v>
      </c>
      <c r="S365" s="700">
        <f t="shared" si="81"/>
        <v>0</v>
      </c>
      <c r="T365" s="700">
        <f t="shared" si="81"/>
        <v>0</v>
      </c>
      <c r="U365" s="700">
        <f t="shared" si="81"/>
        <v>0</v>
      </c>
      <c r="V365" s="700">
        <f t="shared" si="81"/>
        <v>0</v>
      </c>
      <c r="W365" s="700">
        <f t="shared" si="81"/>
        <v>0</v>
      </c>
      <c r="X365" s="700">
        <f t="shared" si="81"/>
        <v>0</v>
      </c>
      <c r="Y365" s="700">
        <f t="shared" si="81"/>
        <v>58123</v>
      </c>
      <c r="Z365" s="700">
        <f t="shared" si="81"/>
        <v>0</v>
      </c>
      <c r="AA365" s="700">
        <f t="shared" si="81"/>
        <v>24000</v>
      </c>
      <c r="AB365" s="700">
        <f t="shared" si="81"/>
        <v>0</v>
      </c>
      <c r="AC365" s="721">
        <f t="shared" si="81"/>
        <v>0</v>
      </c>
      <c r="AD365" s="721">
        <f t="shared" si="81"/>
        <v>2813904</v>
      </c>
      <c r="AE365" s="721">
        <f t="shared" si="81"/>
        <v>2813904</v>
      </c>
      <c r="AF365" s="681">
        <f t="shared" si="81"/>
        <v>0</v>
      </c>
      <c r="AG365" s="681">
        <f t="shared" si="81"/>
        <v>0</v>
      </c>
      <c r="AH365" s="682">
        <f t="shared" si="81"/>
        <v>24</v>
      </c>
      <c r="AI365" s="681">
        <f t="shared" si="81"/>
        <v>2813904</v>
      </c>
    </row>
    <row r="366" spans="1:35" ht="12">
      <c r="A366" s="690" t="s">
        <v>728</v>
      </c>
      <c r="B366" s="657">
        <v>4</v>
      </c>
      <c r="C366" s="669">
        <v>34873.8</v>
      </c>
      <c r="D366" s="669"/>
      <c r="E366" s="669"/>
      <c r="F366" s="669"/>
      <c r="G366" s="669"/>
      <c r="H366" s="669"/>
      <c r="I366" s="669"/>
      <c r="J366" s="669">
        <v>11624.6</v>
      </c>
      <c r="K366" s="669"/>
      <c r="L366" s="669">
        <v>4000</v>
      </c>
      <c r="M366" s="669"/>
      <c r="N366" s="670"/>
      <c r="O366" s="671">
        <f>SUM(C366:J366)*12+L366</f>
        <v>561980.8</v>
      </c>
      <c r="P366" s="672">
        <f>SUM(C366:J366)*12+L366</f>
        <v>561980.8</v>
      </c>
      <c r="Q366" s="657">
        <v>4</v>
      </c>
      <c r="R366" s="669">
        <v>34873.8</v>
      </c>
      <c r="S366" s="669"/>
      <c r="T366" s="669"/>
      <c r="U366" s="669"/>
      <c r="V366" s="669"/>
      <c r="W366" s="669"/>
      <c r="X366" s="669"/>
      <c r="Y366" s="669">
        <v>11624.6</v>
      </c>
      <c r="Z366" s="669"/>
      <c r="AA366" s="669">
        <v>4000</v>
      </c>
      <c r="AB366" s="669"/>
      <c r="AC366" s="670"/>
      <c r="AD366" s="671">
        <f>SUM(R366:Y366)*12+AA366</f>
        <v>561980.8</v>
      </c>
      <c r="AE366" s="672">
        <f>SUM(R366:Y366)*12+AA366</f>
        <v>561980.8</v>
      </c>
      <c r="AF366" s="674"/>
      <c r="AG366" s="674"/>
      <c r="AH366" s="675">
        <v>4</v>
      </c>
      <c r="AI366" s="674">
        <v>561980.8</v>
      </c>
    </row>
    <row r="367" spans="1:35" ht="12">
      <c r="A367" s="690" t="s">
        <v>729</v>
      </c>
      <c r="B367" s="657">
        <v>1</v>
      </c>
      <c r="C367" s="669">
        <v>34873.8</v>
      </c>
      <c r="D367" s="669"/>
      <c r="E367" s="669"/>
      <c r="F367" s="669"/>
      <c r="G367" s="669"/>
      <c r="H367" s="669"/>
      <c r="I367" s="669"/>
      <c r="J367" s="669">
        <v>11624.6</v>
      </c>
      <c r="K367" s="669"/>
      <c r="L367" s="669">
        <v>1000</v>
      </c>
      <c r="M367" s="669"/>
      <c r="N367" s="670"/>
      <c r="O367" s="671">
        <f>SUM(C367:J367)*12+L367</f>
        <v>558980.8</v>
      </c>
      <c r="P367" s="672">
        <f>SUM(C367:J367)*12+L367</f>
        <v>558980.8</v>
      </c>
      <c r="Q367" s="657">
        <v>1</v>
      </c>
      <c r="R367" s="669">
        <v>34873.8</v>
      </c>
      <c r="S367" s="669"/>
      <c r="T367" s="669"/>
      <c r="U367" s="669"/>
      <c r="V367" s="669"/>
      <c r="W367" s="669"/>
      <c r="X367" s="669"/>
      <c r="Y367" s="669">
        <v>11624.6</v>
      </c>
      <c r="Z367" s="669"/>
      <c r="AA367" s="669">
        <v>1000</v>
      </c>
      <c r="AB367" s="669"/>
      <c r="AC367" s="670"/>
      <c r="AD367" s="671">
        <f>SUM(R367:Y367)*12+AA367</f>
        <v>558980.8</v>
      </c>
      <c r="AE367" s="672">
        <f>SUM(R367:Y367)*12+AA367</f>
        <v>558980.8</v>
      </c>
      <c r="AF367" s="674"/>
      <c r="AG367" s="674"/>
      <c r="AH367" s="675">
        <v>1</v>
      </c>
      <c r="AI367" s="674">
        <v>558980.8</v>
      </c>
    </row>
    <row r="368" spans="1:35" ht="12">
      <c r="A368" s="690" t="s">
        <v>730</v>
      </c>
      <c r="B368" s="657">
        <v>1</v>
      </c>
      <c r="C368" s="669">
        <v>34873.8</v>
      </c>
      <c r="D368" s="669"/>
      <c r="E368" s="669"/>
      <c r="F368" s="669"/>
      <c r="G368" s="669"/>
      <c r="H368" s="669"/>
      <c r="I368" s="669"/>
      <c r="J368" s="669">
        <v>11624.6</v>
      </c>
      <c r="K368" s="669"/>
      <c r="L368" s="669">
        <v>1000</v>
      </c>
      <c r="M368" s="669"/>
      <c r="N368" s="670"/>
      <c r="O368" s="671">
        <f>SUM(C368:J368)*12+L368</f>
        <v>558980.8</v>
      </c>
      <c r="P368" s="672">
        <f>SUM(C368:J368)*12+L368</f>
        <v>558980.8</v>
      </c>
      <c r="Q368" s="657">
        <v>1</v>
      </c>
      <c r="R368" s="669">
        <v>34873.8</v>
      </c>
      <c r="S368" s="669"/>
      <c r="T368" s="669"/>
      <c r="U368" s="669"/>
      <c r="V368" s="669"/>
      <c r="W368" s="669"/>
      <c r="X368" s="669"/>
      <c r="Y368" s="669">
        <v>11624.6</v>
      </c>
      <c r="Z368" s="669"/>
      <c r="AA368" s="669">
        <v>1000</v>
      </c>
      <c r="AB368" s="669"/>
      <c r="AC368" s="670"/>
      <c r="AD368" s="671">
        <f>SUM(R368:Y368)*12+AA368</f>
        <v>558980.8</v>
      </c>
      <c r="AE368" s="672">
        <f>SUM(R368:Y368)*12+AA368</f>
        <v>558980.8</v>
      </c>
      <c r="AF368" s="674"/>
      <c r="AG368" s="674"/>
      <c r="AH368" s="675">
        <v>1</v>
      </c>
      <c r="AI368" s="674">
        <v>558980.8</v>
      </c>
    </row>
    <row r="369" spans="1:35" ht="12">
      <c r="A369" s="690" t="s">
        <v>731</v>
      </c>
      <c r="B369" s="657">
        <v>2</v>
      </c>
      <c r="C369" s="669">
        <v>34873.8</v>
      </c>
      <c r="D369" s="669"/>
      <c r="E369" s="669"/>
      <c r="F369" s="669"/>
      <c r="G369" s="669"/>
      <c r="H369" s="669"/>
      <c r="I369" s="669"/>
      <c r="J369" s="669">
        <v>11624.6</v>
      </c>
      <c r="K369" s="669"/>
      <c r="L369" s="669">
        <v>2000</v>
      </c>
      <c r="M369" s="669"/>
      <c r="N369" s="670"/>
      <c r="O369" s="671">
        <f>SUM(C369:J369)*12+L369</f>
        <v>559980.8</v>
      </c>
      <c r="P369" s="672">
        <f>SUM(C369:J369)*12+L369</f>
        <v>559980.8</v>
      </c>
      <c r="Q369" s="657">
        <v>2</v>
      </c>
      <c r="R369" s="669">
        <v>34873.8</v>
      </c>
      <c r="S369" s="669"/>
      <c r="T369" s="669"/>
      <c r="U369" s="669"/>
      <c r="V369" s="669"/>
      <c r="W369" s="669"/>
      <c r="X369" s="669"/>
      <c r="Y369" s="669">
        <v>11624.6</v>
      </c>
      <c r="Z369" s="669"/>
      <c r="AA369" s="669">
        <v>2000</v>
      </c>
      <c r="AB369" s="669"/>
      <c r="AC369" s="670"/>
      <c r="AD369" s="671">
        <f>SUM(R369:Y369)*12+AA369</f>
        <v>559980.8</v>
      </c>
      <c r="AE369" s="672">
        <f>SUM(R369:Y369)*12+AA369</f>
        <v>559980.8</v>
      </c>
      <c r="AF369" s="674"/>
      <c r="AG369" s="674"/>
      <c r="AH369" s="675">
        <v>2</v>
      </c>
      <c r="AI369" s="674">
        <v>559980.8</v>
      </c>
    </row>
    <row r="370" spans="1:35" ht="12">
      <c r="A370" s="690" t="s">
        <v>732</v>
      </c>
      <c r="B370" s="657">
        <v>16</v>
      </c>
      <c r="C370" s="689">
        <v>34873.8</v>
      </c>
      <c r="D370" s="669"/>
      <c r="E370" s="669"/>
      <c r="F370" s="669"/>
      <c r="G370" s="669"/>
      <c r="H370" s="669"/>
      <c r="I370" s="669"/>
      <c r="J370" s="669">
        <v>11624.6</v>
      </c>
      <c r="K370" s="669"/>
      <c r="L370" s="669">
        <v>16000</v>
      </c>
      <c r="M370" s="669"/>
      <c r="N370" s="670"/>
      <c r="O370" s="671">
        <f>SUM(C370:J370)*12+L370</f>
        <v>573980.8</v>
      </c>
      <c r="P370" s="672">
        <f>SUM(C370:J370)*12+L370</f>
        <v>573980.8</v>
      </c>
      <c r="Q370" s="657">
        <v>16</v>
      </c>
      <c r="R370" s="689">
        <v>34873.8</v>
      </c>
      <c r="S370" s="669"/>
      <c r="T370" s="669"/>
      <c r="U370" s="669"/>
      <c r="V370" s="669"/>
      <c r="W370" s="669"/>
      <c r="X370" s="669"/>
      <c r="Y370" s="669">
        <v>11624.6</v>
      </c>
      <c r="Z370" s="669"/>
      <c r="AA370" s="669">
        <v>16000</v>
      </c>
      <c r="AB370" s="669"/>
      <c r="AC370" s="670"/>
      <c r="AD370" s="671">
        <f>SUM(R370:Y370)*12+AA370</f>
        <v>573980.8</v>
      </c>
      <c r="AE370" s="672">
        <f>SUM(R370:Y370)*12+AA370</f>
        <v>573980.8</v>
      </c>
      <c r="AF370" s="674"/>
      <c r="AG370" s="674"/>
      <c r="AH370" s="675">
        <v>16</v>
      </c>
      <c r="AI370" s="674">
        <v>573980.8</v>
      </c>
    </row>
    <row r="371" spans="1:35" ht="12">
      <c r="A371" s="686" t="s">
        <v>733</v>
      </c>
      <c r="B371" s="665">
        <f>SUM(B372:B376)</f>
        <v>3</v>
      </c>
      <c r="C371" s="700">
        <f aca="true" t="shared" si="82" ref="C371:AI371">SUM(C372:C376)</f>
        <v>11711.24</v>
      </c>
      <c r="D371" s="700">
        <f t="shared" si="82"/>
        <v>0</v>
      </c>
      <c r="E371" s="700">
        <f t="shared" si="82"/>
        <v>0</v>
      </c>
      <c r="F371" s="700">
        <f t="shared" si="82"/>
        <v>0</v>
      </c>
      <c r="G371" s="700">
        <f t="shared" si="82"/>
        <v>0</v>
      </c>
      <c r="H371" s="700">
        <f t="shared" si="82"/>
        <v>0</v>
      </c>
      <c r="I371" s="700">
        <f t="shared" si="82"/>
        <v>0</v>
      </c>
      <c r="J371" s="700">
        <f t="shared" si="82"/>
        <v>1497.2</v>
      </c>
      <c r="K371" s="700">
        <f t="shared" si="82"/>
        <v>0</v>
      </c>
      <c r="L371" s="700">
        <f t="shared" si="82"/>
        <v>3000</v>
      </c>
      <c r="M371" s="700">
        <f t="shared" si="82"/>
        <v>0</v>
      </c>
      <c r="N371" s="702">
        <f t="shared" si="82"/>
        <v>0</v>
      </c>
      <c r="O371" s="703">
        <f t="shared" si="82"/>
        <v>161501.27999999997</v>
      </c>
      <c r="P371" s="704">
        <f t="shared" si="82"/>
        <v>161501.27999999997</v>
      </c>
      <c r="Q371" s="715">
        <f t="shared" si="82"/>
        <v>3</v>
      </c>
      <c r="R371" s="700">
        <f t="shared" si="82"/>
        <v>11711.24</v>
      </c>
      <c r="S371" s="700">
        <f t="shared" si="82"/>
        <v>0</v>
      </c>
      <c r="T371" s="700">
        <f t="shared" si="82"/>
        <v>0</v>
      </c>
      <c r="U371" s="700">
        <f t="shared" si="82"/>
        <v>0</v>
      </c>
      <c r="V371" s="700">
        <f t="shared" si="82"/>
        <v>0</v>
      </c>
      <c r="W371" s="700">
        <f t="shared" si="82"/>
        <v>0</v>
      </c>
      <c r="X371" s="700">
        <f t="shared" si="82"/>
        <v>0</v>
      </c>
      <c r="Y371" s="700">
        <f t="shared" si="82"/>
        <v>1497.2</v>
      </c>
      <c r="Z371" s="700">
        <f t="shared" si="82"/>
        <v>0</v>
      </c>
      <c r="AA371" s="700">
        <f t="shared" si="82"/>
        <v>3000</v>
      </c>
      <c r="AB371" s="700">
        <f t="shared" si="82"/>
        <v>0</v>
      </c>
      <c r="AC371" s="716">
        <f t="shared" si="82"/>
        <v>0</v>
      </c>
      <c r="AD371" s="716">
        <f t="shared" si="82"/>
        <v>161501.27999999997</v>
      </c>
      <c r="AE371" s="716">
        <f t="shared" si="82"/>
        <v>161501.27999999997</v>
      </c>
      <c r="AF371" s="681">
        <f t="shared" si="82"/>
        <v>0</v>
      </c>
      <c r="AG371" s="681">
        <f t="shared" si="82"/>
        <v>0</v>
      </c>
      <c r="AH371" s="682">
        <f t="shared" si="82"/>
        <v>3</v>
      </c>
      <c r="AI371" s="681">
        <f t="shared" si="82"/>
        <v>161501.28</v>
      </c>
    </row>
    <row r="372" spans="1:35" ht="12">
      <c r="A372" s="690" t="s">
        <v>728</v>
      </c>
      <c r="B372" s="657"/>
      <c r="C372" s="669"/>
      <c r="D372" s="669"/>
      <c r="E372" s="669"/>
      <c r="F372" s="669"/>
      <c r="G372" s="669"/>
      <c r="H372" s="669"/>
      <c r="I372" s="669"/>
      <c r="J372" s="669"/>
      <c r="K372" s="669"/>
      <c r="L372" s="669"/>
      <c r="M372" s="669"/>
      <c r="N372" s="670"/>
      <c r="O372" s="671"/>
      <c r="P372" s="672"/>
      <c r="Q372" s="673"/>
      <c r="R372" s="669"/>
      <c r="S372" s="669"/>
      <c r="T372" s="669"/>
      <c r="U372" s="669"/>
      <c r="V372" s="669"/>
      <c r="W372" s="669"/>
      <c r="X372" s="669"/>
      <c r="Y372" s="669"/>
      <c r="Z372" s="669"/>
      <c r="AA372" s="669"/>
      <c r="AB372" s="669"/>
      <c r="AC372" s="670"/>
      <c r="AD372" s="671"/>
      <c r="AE372" s="672"/>
      <c r="AF372" s="674"/>
      <c r="AG372" s="674"/>
      <c r="AH372" s="675"/>
      <c r="AI372" s="674"/>
    </row>
    <row r="373" spans="1:35" ht="12">
      <c r="A373" s="690" t="s">
        <v>729</v>
      </c>
      <c r="B373" s="657"/>
      <c r="C373" s="669"/>
      <c r="D373" s="669"/>
      <c r="E373" s="669"/>
      <c r="F373" s="669"/>
      <c r="G373" s="669"/>
      <c r="H373" s="669"/>
      <c r="I373" s="669"/>
      <c r="J373" s="669"/>
      <c r="K373" s="669"/>
      <c r="L373" s="669"/>
      <c r="M373" s="669"/>
      <c r="N373" s="670"/>
      <c r="O373" s="671"/>
      <c r="P373" s="672"/>
      <c r="Q373" s="673"/>
      <c r="R373" s="669"/>
      <c r="S373" s="669"/>
      <c r="T373" s="669"/>
      <c r="U373" s="669"/>
      <c r="V373" s="669"/>
      <c r="W373" s="669"/>
      <c r="X373" s="669"/>
      <c r="Y373" s="669"/>
      <c r="Z373" s="669"/>
      <c r="AA373" s="669"/>
      <c r="AB373" s="669"/>
      <c r="AC373" s="670"/>
      <c r="AD373" s="671"/>
      <c r="AE373" s="672"/>
      <c r="AF373" s="674"/>
      <c r="AG373" s="674"/>
      <c r="AH373" s="675"/>
      <c r="AI373" s="674"/>
    </row>
    <row r="374" spans="1:35" ht="12">
      <c r="A374" s="690" t="s">
        <v>730</v>
      </c>
      <c r="B374" s="657"/>
      <c r="C374" s="669"/>
      <c r="D374" s="669"/>
      <c r="E374" s="669"/>
      <c r="F374" s="669"/>
      <c r="G374" s="669"/>
      <c r="H374" s="669"/>
      <c r="I374" s="669"/>
      <c r="J374" s="669"/>
      <c r="K374" s="669"/>
      <c r="L374" s="669"/>
      <c r="M374" s="669"/>
      <c r="N374" s="670"/>
      <c r="O374" s="671"/>
      <c r="P374" s="672"/>
      <c r="Q374" s="673"/>
      <c r="R374" s="669"/>
      <c r="S374" s="669"/>
      <c r="T374" s="669"/>
      <c r="U374" s="669"/>
      <c r="V374" s="669"/>
      <c r="W374" s="669"/>
      <c r="X374" s="669"/>
      <c r="Y374" s="669"/>
      <c r="Z374" s="669"/>
      <c r="AA374" s="669"/>
      <c r="AB374" s="669"/>
      <c r="AC374" s="670"/>
      <c r="AD374" s="671"/>
      <c r="AE374" s="672"/>
      <c r="AF374" s="674"/>
      <c r="AG374" s="674"/>
      <c r="AH374" s="675"/>
      <c r="AI374" s="674"/>
    </row>
    <row r="375" spans="1:35" ht="12">
      <c r="A375" s="690" t="s">
        <v>731</v>
      </c>
      <c r="B375" s="657">
        <v>2</v>
      </c>
      <c r="C375" s="669">
        <v>8171.62</v>
      </c>
      <c r="D375" s="669"/>
      <c r="E375" s="669"/>
      <c r="F375" s="669"/>
      <c r="G375" s="669"/>
      <c r="H375" s="669"/>
      <c r="I375" s="669"/>
      <c r="J375" s="669">
        <v>895.5</v>
      </c>
      <c r="K375" s="669"/>
      <c r="L375" s="669">
        <v>2000</v>
      </c>
      <c r="M375" s="669"/>
      <c r="N375" s="670"/>
      <c r="O375" s="671">
        <f>SUM(C375:J375)*12+L375</f>
        <v>110805.43999999999</v>
      </c>
      <c r="P375" s="672">
        <f>SUM(C375:J375)*12+L375</f>
        <v>110805.43999999999</v>
      </c>
      <c r="Q375" s="657">
        <v>2</v>
      </c>
      <c r="R375" s="669">
        <v>8171.62</v>
      </c>
      <c r="S375" s="669"/>
      <c r="T375" s="669"/>
      <c r="U375" s="669"/>
      <c r="V375" s="669"/>
      <c r="W375" s="669"/>
      <c r="X375" s="669"/>
      <c r="Y375" s="669">
        <v>895.5</v>
      </c>
      <c r="Z375" s="669"/>
      <c r="AA375" s="669">
        <v>2000</v>
      </c>
      <c r="AB375" s="669"/>
      <c r="AC375" s="670"/>
      <c r="AD375" s="671">
        <f>SUM(R375:Y375)*12+AA375</f>
        <v>110805.43999999999</v>
      </c>
      <c r="AE375" s="672">
        <f>SUM(R375:Y375)*12+AA375</f>
        <v>110805.43999999999</v>
      </c>
      <c r="AF375" s="674"/>
      <c r="AG375" s="674"/>
      <c r="AH375" s="675">
        <v>2</v>
      </c>
      <c r="AI375" s="674">
        <v>110805.44</v>
      </c>
    </row>
    <row r="376" spans="1:35" ht="12">
      <c r="A376" s="690" t="s">
        <v>732</v>
      </c>
      <c r="B376" s="657">
        <v>1</v>
      </c>
      <c r="C376" s="689">
        <v>3539.62</v>
      </c>
      <c r="D376" s="669"/>
      <c r="E376" s="669"/>
      <c r="F376" s="669"/>
      <c r="G376" s="669"/>
      <c r="H376" s="669"/>
      <c r="I376" s="669"/>
      <c r="J376" s="669">
        <v>601.7</v>
      </c>
      <c r="K376" s="669"/>
      <c r="L376" s="669">
        <v>1000</v>
      </c>
      <c r="M376" s="669"/>
      <c r="N376" s="670"/>
      <c r="O376" s="671">
        <f>SUM(C376:J376)*12+L376</f>
        <v>50695.84</v>
      </c>
      <c r="P376" s="672">
        <f>SUM(C376:J376)*12+L376</f>
        <v>50695.84</v>
      </c>
      <c r="Q376" s="657">
        <v>1</v>
      </c>
      <c r="R376" s="689">
        <v>3539.62</v>
      </c>
      <c r="S376" s="669"/>
      <c r="T376" s="669"/>
      <c r="U376" s="669"/>
      <c r="V376" s="669"/>
      <c r="W376" s="669"/>
      <c r="X376" s="669"/>
      <c r="Y376" s="669">
        <v>601.7</v>
      </c>
      <c r="Z376" s="669"/>
      <c r="AA376" s="669">
        <v>1000</v>
      </c>
      <c r="AB376" s="669"/>
      <c r="AC376" s="670"/>
      <c r="AD376" s="671">
        <f>SUM(R376:Y376)*12+AA376</f>
        <v>50695.84</v>
      </c>
      <c r="AE376" s="672">
        <f>SUM(R376:Y376)*12+AA376</f>
        <v>50695.84</v>
      </c>
      <c r="AF376" s="674"/>
      <c r="AG376" s="674"/>
      <c r="AH376" s="675">
        <v>1</v>
      </c>
      <c r="AI376" s="674">
        <v>50695.84</v>
      </c>
    </row>
    <row r="377" spans="1:35" ht="12">
      <c r="A377" s="686" t="s">
        <v>734</v>
      </c>
      <c r="B377" s="665">
        <f>SUM(B378)</f>
        <v>4</v>
      </c>
      <c r="C377" s="700">
        <f aca="true" t="shared" si="83" ref="C377:AI377">SUM(C378)</f>
        <v>14608.48</v>
      </c>
      <c r="D377" s="700">
        <f t="shared" si="83"/>
        <v>0</v>
      </c>
      <c r="E377" s="700">
        <f t="shared" si="83"/>
        <v>0</v>
      </c>
      <c r="F377" s="700">
        <f t="shared" si="83"/>
        <v>0</v>
      </c>
      <c r="G377" s="700">
        <f t="shared" si="83"/>
        <v>0</v>
      </c>
      <c r="H377" s="700">
        <f t="shared" si="83"/>
        <v>0</v>
      </c>
      <c r="I377" s="700">
        <f t="shared" si="83"/>
        <v>0</v>
      </c>
      <c r="J377" s="700">
        <f t="shared" si="83"/>
        <v>2792.06</v>
      </c>
      <c r="K377" s="700">
        <f t="shared" si="83"/>
        <v>0</v>
      </c>
      <c r="L377" s="700">
        <f t="shared" si="83"/>
        <v>4000</v>
      </c>
      <c r="M377" s="700">
        <f t="shared" si="83"/>
        <v>0</v>
      </c>
      <c r="N377" s="716">
        <f t="shared" si="83"/>
        <v>0</v>
      </c>
      <c r="O377" s="703">
        <f t="shared" si="83"/>
        <v>212806.48</v>
      </c>
      <c r="P377" s="704">
        <f t="shared" si="83"/>
        <v>212806.48</v>
      </c>
      <c r="Q377" s="665">
        <f t="shared" si="83"/>
        <v>4</v>
      </c>
      <c r="R377" s="700">
        <f t="shared" si="83"/>
        <v>14608.48</v>
      </c>
      <c r="S377" s="700">
        <f t="shared" si="83"/>
        <v>0</v>
      </c>
      <c r="T377" s="700">
        <f t="shared" si="83"/>
        <v>0</v>
      </c>
      <c r="U377" s="700">
        <f t="shared" si="83"/>
        <v>0</v>
      </c>
      <c r="V377" s="700">
        <f t="shared" si="83"/>
        <v>0</v>
      </c>
      <c r="W377" s="700">
        <f t="shared" si="83"/>
        <v>0</v>
      </c>
      <c r="X377" s="700">
        <f t="shared" si="83"/>
        <v>0</v>
      </c>
      <c r="Y377" s="700">
        <f t="shared" si="83"/>
        <v>2792.06</v>
      </c>
      <c r="Z377" s="700">
        <f t="shared" si="83"/>
        <v>0</v>
      </c>
      <c r="AA377" s="700">
        <f t="shared" si="83"/>
        <v>4000</v>
      </c>
      <c r="AB377" s="700">
        <f t="shared" si="83"/>
        <v>0</v>
      </c>
      <c r="AC377" s="716">
        <f t="shared" si="83"/>
        <v>0</v>
      </c>
      <c r="AD377" s="722">
        <f t="shared" si="83"/>
        <v>212806.48</v>
      </c>
      <c r="AE377" s="722">
        <f t="shared" si="83"/>
        <v>212806.48</v>
      </c>
      <c r="AF377" s="683">
        <f t="shared" si="83"/>
        <v>0</v>
      </c>
      <c r="AG377" s="683">
        <f t="shared" si="83"/>
        <v>0</v>
      </c>
      <c r="AH377" s="684">
        <f t="shared" si="83"/>
        <v>4</v>
      </c>
      <c r="AI377" s="683">
        <f t="shared" si="83"/>
        <v>212806.48</v>
      </c>
    </row>
    <row r="378" spans="1:35" ht="12">
      <c r="A378" s="690" t="s">
        <v>732</v>
      </c>
      <c r="B378" s="657">
        <v>4</v>
      </c>
      <c r="C378" s="669">
        <v>14608.48</v>
      </c>
      <c r="D378" s="669"/>
      <c r="E378" s="669"/>
      <c r="F378" s="669"/>
      <c r="G378" s="669"/>
      <c r="H378" s="669"/>
      <c r="I378" s="669"/>
      <c r="J378" s="669">
        <v>2792.06</v>
      </c>
      <c r="K378" s="669"/>
      <c r="L378" s="669">
        <v>4000</v>
      </c>
      <c r="M378" s="669"/>
      <c r="N378" s="670"/>
      <c r="O378" s="671">
        <f>SUM(C378:J378)*12+L378</f>
        <v>212806.48</v>
      </c>
      <c r="P378" s="671">
        <f>SUM(C378:J378)*12+L378</f>
        <v>212806.48</v>
      </c>
      <c r="Q378" s="657">
        <v>4</v>
      </c>
      <c r="R378" s="669">
        <v>14608.48</v>
      </c>
      <c r="S378" s="669"/>
      <c r="T378" s="669"/>
      <c r="U378" s="669"/>
      <c r="V378" s="669"/>
      <c r="W378" s="669"/>
      <c r="X378" s="669"/>
      <c r="Y378" s="669">
        <v>2792.06</v>
      </c>
      <c r="Z378" s="669"/>
      <c r="AA378" s="669">
        <v>4000</v>
      </c>
      <c r="AB378" s="669"/>
      <c r="AC378" s="670"/>
      <c r="AD378" s="671">
        <f>SUM(R378:Y378)*12+AA378</f>
        <v>212806.48</v>
      </c>
      <c r="AE378" s="671">
        <f>SUM(R378:Y378)*12+AA378</f>
        <v>212806.48</v>
      </c>
      <c r="AF378" s="674"/>
      <c r="AG378" s="674"/>
      <c r="AH378" s="675">
        <v>4</v>
      </c>
      <c r="AI378" s="674">
        <v>212806.48</v>
      </c>
    </row>
    <row r="379" spans="1:35" ht="12">
      <c r="A379" s="686" t="s">
        <v>735</v>
      </c>
      <c r="B379" s="665">
        <f>SUM(B380:B384)</f>
        <v>2</v>
      </c>
      <c r="C379" s="700">
        <f aca="true" t="shared" si="84" ref="C379:AI379">SUM(C380:C384)</f>
        <v>7079.24</v>
      </c>
      <c r="D379" s="700">
        <f t="shared" si="84"/>
        <v>0</v>
      </c>
      <c r="E379" s="700">
        <f t="shared" si="84"/>
        <v>0</v>
      </c>
      <c r="F379" s="700">
        <f t="shared" si="84"/>
        <v>0</v>
      </c>
      <c r="G379" s="700">
        <f t="shared" si="84"/>
        <v>0</v>
      </c>
      <c r="H379" s="700">
        <f t="shared" si="84"/>
        <v>0</v>
      </c>
      <c r="I379" s="700">
        <f t="shared" si="84"/>
        <v>0</v>
      </c>
      <c r="J379" s="700">
        <f t="shared" si="84"/>
        <v>1852.8</v>
      </c>
      <c r="K379" s="700">
        <f t="shared" si="84"/>
        <v>0</v>
      </c>
      <c r="L379" s="700">
        <f t="shared" si="84"/>
        <v>0</v>
      </c>
      <c r="M379" s="700">
        <f t="shared" si="84"/>
        <v>1000</v>
      </c>
      <c r="N379" s="702">
        <f t="shared" si="84"/>
        <v>0</v>
      </c>
      <c r="O379" s="703">
        <f t="shared" si="84"/>
        <v>108184.47999999998</v>
      </c>
      <c r="P379" s="704">
        <f t="shared" si="84"/>
        <v>108184.47999999998</v>
      </c>
      <c r="Q379" s="705">
        <f t="shared" si="84"/>
        <v>2</v>
      </c>
      <c r="R379" s="706">
        <f t="shared" si="84"/>
        <v>7079.24</v>
      </c>
      <c r="S379" s="706">
        <f t="shared" si="84"/>
        <v>0</v>
      </c>
      <c r="T379" s="706">
        <f t="shared" si="84"/>
        <v>0</v>
      </c>
      <c r="U379" s="706">
        <f t="shared" si="84"/>
        <v>0</v>
      </c>
      <c r="V379" s="706">
        <f t="shared" si="84"/>
        <v>0</v>
      </c>
      <c r="W379" s="706">
        <f t="shared" si="84"/>
        <v>0</v>
      </c>
      <c r="X379" s="706">
        <f t="shared" si="84"/>
        <v>0</v>
      </c>
      <c r="Y379" s="706">
        <f t="shared" si="84"/>
        <v>1852.8</v>
      </c>
      <c r="Z379" s="706">
        <f t="shared" si="84"/>
        <v>0</v>
      </c>
      <c r="AA379" s="706">
        <f t="shared" si="84"/>
        <v>0</v>
      </c>
      <c r="AB379" s="706">
        <f t="shared" si="84"/>
        <v>1000</v>
      </c>
      <c r="AC379" s="708">
        <f t="shared" si="84"/>
        <v>0</v>
      </c>
      <c r="AD379" s="708">
        <f t="shared" si="84"/>
        <v>108184.47999999998</v>
      </c>
      <c r="AE379" s="708">
        <f t="shared" si="84"/>
        <v>108184.47999999998</v>
      </c>
      <c r="AF379" s="681">
        <f t="shared" si="84"/>
        <v>0</v>
      </c>
      <c r="AG379" s="681">
        <f t="shared" si="84"/>
        <v>0</v>
      </c>
      <c r="AH379" s="682">
        <f t="shared" si="84"/>
        <v>2</v>
      </c>
      <c r="AI379" s="681">
        <f t="shared" si="84"/>
        <v>108184.47999999998</v>
      </c>
    </row>
    <row r="380" spans="1:35" ht="12">
      <c r="A380" s="690" t="s">
        <v>728</v>
      </c>
      <c r="B380" s="657"/>
      <c r="C380" s="669"/>
      <c r="D380" s="669"/>
      <c r="E380" s="669"/>
      <c r="F380" s="669"/>
      <c r="G380" s="669"/>
      <c r="H380" s="669"/>
      <c r="I380" s="669"/>
      <c r="J380" s="669"/>
      <c r="K380" s="669"/>
      <c r="L380" s="669"/>
      <c r="M380" s="669"/>
      <c r="N380" s="670"/>
      <c r="O380" s="671"/>
      <c r="P380" s="672"/>
      <c r="Q380" s="673"/>
      <c r="R380" s="669"/>
      <c r="S380" s="669"/>
      <c r="T380" s="669"/>
      <c r="U380" s="669"/>
      <c r="V380" s="669"/>
      <c r="W380" s="669"/>
      <c r="X380" s="669"/>
      <c r="Y380" s="669"/>
      <c r="Z380" s="669"/>
      <c r="AA380" s="669"/>
      <c r="AB380" s="669"/>
      <c r="AC380" s="670"/>
      <c r="AD380" s="671"/>
      <c r="AE380" s="672"/>
      <c r="AF380" s="674"/>
      <c r="AG380" s="674"/>
      <c r="AH380" s="675"/>
      <c r="AI380" s="674"/>
    </row>
    <row r="381" spans="1:35" ht="12">
      <c r="A381" s="690" t="s">
        <v>729</v>
      </c>
      <c r="B381" s="657"/>
      <c r="C381" s="669"/>
      <c r="D381" s="669"/>
      <c r="E381" s="669"/>
      <c r="F381" s="669"/>
      <c r="G381" s="669"/>
      <c r="H381" s="669"/>
      <c r="I381" s="669"/>
      <c r="J381" s="669"/>
      <c r="K381" s="669"/>
      <c r="L381" s="669"/>
      <c r="M381" s="669"/>
      <c r="N381" s="670"/>
      <c r="O381" s="671"/>
      <c r="P381" s="672"/>
      <c r="Q381" s="673"/>
      <c r="R381" s="669"/>
      <c r="S381" s="669"/>
      <c r="T381" s="669"/>
      <c r="U381" s="669"/>
      <c r="V381" s="669"/>
      <c r="W381" s="669"/>
      <c r="X381" s="669"/>
      <c r="Y381" s="669"/>
      <c r="Z381" s="669"/>
      <c r="AA381" s="669"/>
      <c r="AB381" s="669"/>
      <c r="AC381" s="670"/>
      <c r="AD381" s="671"/>
      <c r="AE381" s="672"/>
      <c r="AF381" s="674"/>
      <c r="AG381" s="674"/>
      <c r="AH381" s="675"/>
      <c r="AI381" s="674"/>
    </row>
    <row r="382" spans="1:35" ht="12">
      <c r="A382" s="690" t="s">
        <v>730</v>
      </c>
      <c r="B382" s="657"/>
      <c r="C382" s="685"/>
      <c r="D382" s="669"/>
      <c r="E382" s="669"/>
      <c r="F382" s="669"/>
      <c r="G382" s="669"/>
      <c r="H382" s="669"/>
      <c r="I382" s="669"/>
      <c r="J382" s="669"/>
      <c r="K382" s="669"/>
      <c r="L382" s="669"/>
      <c r="M382" s="669"/>
      <c r="N382" s="670"/>
      <c r="O382" s="671"/>
      <c r="P382" s="672"/>
      <c r="Q382" s="673"/>
      <c r="R382" s="669"/>
      <c r="S382" s="669"/>
      <c r="T382" s="669"/>
      <c r="U382" s="669"/>
      <c r="V382" s="669"/>
      <c r="W382" s="669"/>
      <c r="X382" s="669"/>
      <c r="Y382" s="669"/>
      <c r="Z382" s="669"/>
      <c r="AA382" s="669"/>
      <c r="AB382" s="669"/>
      <c r="AC382" s="670"/>
      <c r="AD382" s="671"/>
      <c r="AE382" s="672"/>
      <c r="AF382" s="674"/>
      <c r="AG382" s="674"/>
      <c r="AH382" s="675"/>
      <c r="AI382" s="674"/>
    </row>
    <row r="383" spans="1:35" ht="12">
      <c r="A383" s="690" t="s">
        <v>731</v>
      </c>
      <c r="B383" s="657"/>
      <c r="C383" s="669"/>
      <c r="D383" s="669"/>
      <c r="E383" s="669"/>
      <c r="F383" s="669"/>
      <c r="G383" s="669"/>
      <c r="H383" s="669"/>
      <c r="I383" s="669"/>
      <c r="J383" s="669"/>
      <c r="K383" s="669"/>
      <c r="L383" s="669"/>
      <c r="M383" s="669"/>
      <c r="N383" s="670"/>
      <c r="O383" s="671"/>
      <c r="P383" s="672"/>
      <c r="Q383" s="673"/>
      <c r="R383" s="669"/>
      <c r="S383" s="669"/>
      <c r="T383" s="669"/>
      <c r="U383" s="669"/>
      <c r="V383" s="669"/>
      <c r="W383" s="669"/>
      <c r="X383" s="669"/>
      <c r="Y383" s="669"/>
      <c r="Z383" s="669"/>
      <c r="AA383" s="669"/>
      <c r="AB383" s="669"/>
      <c r="AC383" s="670"/>
      <c r="AD383" s="671"/>
      <c r="AE383" s="672"/>
      <c r="AF383" s="674"/>
      <c r="AG383" s="674"/>
      <c r="AH383" s="675"/>
      <c r="AI383" s="674"/>
    </row>
    <row r="384" spans="1:35" ht="12">
      <c r="A384" s="690" t="s">
        <v>732</v>
      </c>
      <c r="B384" s="657">
        <v>2</v>
      </c>
      <c r="C384" s="689">
        <v>7079.24</v>
      </c>
      <c r="D384" s="669"/>
      <c r="E384" s="669"/>
      <c r="F384" s="669"/>
      <c r="G384" s="669"/>
      <c r="H384" s="669"/>
      <c r="I384" s="669"/>
      <c r="J384" s="669">
        <v>1852.8</v>
      </c>
      <c r="K384" s="669"/>
      <c r="L384" s="669"/>
      <c r="M384" s="669">
        <v>1000</v>
      </c>
      <c r="N384" s="670"/>
      <c r="O384" s="671">
        <f>SUM(C384:J384)*12+M384</f>
        <v>108184.47999999998</v>
      </c>
      <c r="P384" s="672">
        <f>SUM(C384:J384)*12+M384</f>
        <v>108184.47999999998</v>
      </c>
      <c r="Q384" s="657">
        <v>2</v>
      </c>
      <c r="R384" s="689">
        <v>7079.24</v>
      </c>
      <c r="S384" s="669"/>
      <c r="T384" s="669"/>
      <c r="U384" s="669"/>
      <c r="V384" s="669"/>
      <c r="W384" s="669"/>
      <c r="X384" s="669"/>
      <c r="Y384" s="669">
        <v>1852.8</v>
      </c>
      <c r="Z384" s="669"/>
      <c r="AA384" s="669"/>
      <c r="AB384" s="669">
        <v>1000</v>
      </c>
      <c r="AC384" s="670"/>
      <c r="AD384" s="671">
        <f>SUM(R384:Y384)*12+AB384</f>
        <v>108184.47999999998</v>
      </c>
      <c r="AE384" s="672">
        <f>SUM(R384:Y384)*12+AB384</f>
        <v>108184.47999999998</v>
      </c>
      <c r="AF384" s="674"/>
      <c r="AG384" s="674"/>
      <c r="AH384" s="675">
        <v>2</v>
      </c>
      <c r="AI384" s="672">
        <v>108184.47999999998</v>
      </c>
    </row>
    <row r="385" spans="1:35" ht="12">
      <c r="A385" s="686" t="s">
        <v>736</v>
      </c>
      <c r="B385" s="665">
        <f>SUM(B386:B393)</f>
        <v>7</v>
      </c>
      <c r="C385" s="700">
        <f aca="true" t="shared" si="85" ref="C385:AI385">SUM(C386:C393)</f>
        <v>21548.93</v>
      </c>
      <c r="D385" s="700">
        <f t="shared" si="85"/>
        <v>0</v>
      </c>
      <c r="E385" s="700">
        <f t="shared" si="85"/>
        <v>0</v>
      </c>
      <c r="F385" s="700">
        <f t="shared" si="85"/>
        <v>0</v>
      </c>
      <c r="G385" s="700">
        <f t="shared" si="85"/>
        <v>0</v>
      </c>
      <c r="H385" s="700">
        <f t="shared" si="85"/>
        <v>0</v>
      </c>
      <c r="I385" s="700">
        <f t="shared" si="85"/>
        <v>0</v>
      </c>
      <c r="J385" s="700">
        <f t="shared" si="85"/>
        <v>6491.870000000001</v>
      </c>
      <c r="K385" s="700">
        <f t="shared" si="85"/>
        <v>0</v>
      </c>
      <c r="L385" s="700">
        <f t="shared" si="85"/>
        <v>0</v>
      </c>
      <c r="M385" s="700">
        <f t="shared" si="85"/>
        <v>7000</v>
      </c>
      <c r="N385" s="702">
        <f t="shared" si="85"/>
        <v>0</v>
      </c>
      <c r="O385" s="703">
        <f t="shared" si="85"/>
        <v>343489.6</v>
      </c>
      <c r="P385" s="704">
        <f t="shared" si="85"/>
        <v>343489.6</v>
      </c>
      <c r="Q385" s="705">
        <f t="shared" si="85"/>
        <v>7</v>
      </c>
      <c r="R385" s="706">
        <f t="shared" si="85"/>
        <v>21548.93</v>
      </c>
      <c r="S385" s="706">
        <f t="shared" si="85"/>
        <v>0</v>
      </c>
      <c r="T385" s="706">
        <f t="shared" si="85"/>
        <v>0</v>
      </c>
      <c r="U385" s="706">
        <f t="shared" si="85"/>
        <v>0</v>
      </c>
      <c r="V385" s="706">
        <f t="shared" si="85"/>
        <v>0</v>
      </c>
      <c r="W385" s="706">
        <f t="shared" si="85"/>
        <v>0</v>
      </c>
      <c r="X385" s="706">
        <f t="shared" si="85"/>
        <v>0</v>
      </c>
      <c r="Y385" s="706">
        <f t="shared" si="85"/>
        <v>6491.870000000001</v>
      </c>
      <c r="Z385" s="706">
        <f t="shared" si="85"/>
        <v>0</v>
      </c>
      <c r="AA385" s="706">
        <f t="shared" si="85"/>
        <v>0</v>
      </c>
      <c r="AB385" s="706">
        <f t="shared" si="85"/>
        <v>7000</v>
      </c>
      <c r="AC385" s="723">
        <f t="shared" si="85"/>
        <v>0</v>
      </c>
      <c r="AD385" s="723">
        <f t="shared" si="85"/>
        <v>343489.6</v>
      </c>
      <c r="AE385" s="724">
        <f t="shared" si="85"/>
        <v>343489.6</v>
      </c>
      <c r="AF385" s="681">
        <f t="shared" si="85"/>
        <v>0</v>
      </c>
      <c r="AG385" s="681">
        <f t="shared" si="85"/>
        <v>0</v>
      </c>
      <c r="AH385" s="687">
        <f t="shared" si="85"/>
        <v>7</v>
      </c>
      <c r="AI385" s="681">
        <f t="shared" si="85"/>
        <v>343489.6</v>
      </c>
    </row>
    <row r="386" spans="1:35" ht="12">
      <c r="A386" s="690" t="s">
        <v>737</v>
      </c>
      <c r="B386" s="657">
        <v>1</v>
      </c>
      <c r="C386" s="669">
        <v>4732.55</v>
      </c>
      <c r="D386" s="669"/>
      <c r="E386" s="669"/>
      <c r="F386" s="669"/>
      <c r="G386" s="669"/>
      <c r="H386" s="669"/>
      <c r="I386" s="669"/>
      <c r="J386" s="669">
        <v>1049</v>
      </c>
      <c r="K386" s="669"/>
      <c r="L386" s="669"/>
      <c r="M386" s="669">
        <v>1000</v>
      </c>
      <c r="N386" s="670"/>
      <c r="O386" s="671">
        <f aca="true" t="shared" si="86" ref="O386:O393">SUM(C386:J386)*12+M386</f>
        <v>70378.6</v>
      </c>
      <c r="P386" s="672">
        <f aca="true" t="shared" si="87" ref="P386:P393">SUM(C386:J386)*12+M386</f>
        <v>70378.6</v>
      </c>
      <c r="Q386" s="657">
        <v>1</v>
      </c>
      <c r="R386" s="669">
        <v>4732.55</v>
      </c>
      <c r="S386" s="669"/>
      <c r="T386" s="669"/>
      <c r="U386" s="669"/>
      <c r="V386" s="669"/>
      <c r="W386" s="669"/>
      <c r="X386" s="669"/>
      <c r="Y386" s="669">
        <v>1049</v>
      </c>
      <c r="Z386" s="669"/>
      <c r="AA386" s="669"/>
      <c r="AB386" s="669">
        <v>1000</v>
      </c>
      <c r="AC386" s="670"/>
      <c r="AD386" s="671">
        <f>SUM(R386:Y386)*12+AB386</f>
        <v>70378.6</v>
      </c>
      <c r="AE386" s="672">
        <f>SUM(R386:Y386)*12+AB386</f>
        <v>70378.6</v>
      </c>
      <c r="AF386" s="674"/>
      <c r="AG386" s="674"/>
      <c r="AH386" s="657">
        <v>1</v>
      </c>
      <c r="AI386" s="674">
        <v>70378.6</v>
      </c>
    </row>
    <row r="387" spans="1:35" ht="12">
      <c r="A387" s="690" t="s">
        <v>738</v>
      </c>
      <c r="B387" s="657"/>
      <c r="C387" s="685"/>
      <c r="D387" s="669"/>
      <c r="E387" s="669"/>
      <c r="F387" s="669"/>
      <c r="G387" s="669"/>
      <c r="H387" s="669"/>
      <c r="I387" s="669"/>
      <c r="J387" s="669"/>
      <c r="K387" s="669"/>
      <c r="L387" s="669"/>
      <c r="M387" s="669"/>
      <c r="N387" s="670"/>
      <c r="O387" s="671"/>
      <c r="P387" s="672"/>
      <c r="Q387" s="657"/>
      <c r="R387" s="685"/>
      <c r="S387" s="669"/>
      <c r="T387" s="669"/>
      <c r="U387" s="669"/>
      <c r="V387" s="669"/>
      <c r="W387" s="669"/>
      <c r="X387" s="669"/>
      <c r="Y387" s="669"/>
      <c r="Z387" s="669"/>
      <c r="AA387" s="669"/>
      <c r="AB387" s="669"/>
      <c r="AC387" s="670"/>
      <c r="AD387" s="671"/>
      <c r="AE387" s="672"/>
      <c r="AF387" s="674"/>
      <c r="AG387" s="674"/>
      <c r="AH387" s="657"/>
      <c r="AI387" s="674"/>
    </row>
    <row r="388" spans="1:35" ht="12">
      <c r="A388" s="690" t="s">
        <v>739</v>
      </c>
      <c r="B388" s="657"/>
      <c r="C388" s="669"/>
      <c r="D388" s="669"/>
      <c r="E388" s="669"/>
      <c r="F388" s="669"/>
      <c r="G388" s="669"/>
      <c r="H388" s="669"/>
      <c r="I388" s="669"/>
      <c r="J388" s="669"/>
      <c r="K388" s="669"/>
      <c r="L388" s="669"/>
      <c r="M388" s="669"/>
      <c r="N388" s="670"/>
      <c r="O388" s="671"/>
      <c r="P388" s="672"/>
      <c r="Q388" s="657"/>
      <c r="R388" s="669"/>
      <c r="S388" s="669"/>
      <c r="T388" s="669"/>
      <c r="U388" s="669"/>
      <c r="V388" s="669"/>
      <c r="W388" s="669"/>
      <c r="X388" s="669"/>
      <c r="Y388" s="669"/>
      <c r="Z388" s="669"/>
      <c r="AA388" s="669"/>
      <c r="AB388" s="669"/>
      <c r="AC388" s="670"/>
      <c r="AD388" s="671"/>
      <c r="AE388" s="672"/>
      <c r="AF388" s="674"/>
      <c r="AG388" s="674"/>
      <c r="AH388" s="657"/>
      <c r="AI388" s="674"/>
    </row>
    <row r="389" spans="1:35" ht="12">
      <c r="A389" s="690" t="s">
        <v>740</v>
      </c>
      <c r="B389" s="657">
        <v>2</v>
      </c>
      <c r="C389" s="669">
        <v>4856.4</v>
      </c>
      <c r="D389" s="669"/>
      <c r="E389" s="669"/>
      <c r="F389" s="669"/>
      <c r="G389" s="669"/>
      <c r="H389" s="669"/>
      <c r="I389" s="669"/>
      <c r="J389" s="669">
        <v>1990</v>
      </c>
      <c r="K389" s="669"/>
      <c r="L389" s="669"/>
      <c r="M389" s="669">
        <v>2000</v>
      </c>
      <c r="N389" s="670"/>
      <c r="O389" s="671">
        <f t="shared" si="86"/>
        <v>84156.79999999999</v>
      </c>
      <c r="P389" s="672">
        <f t="shared" si="87"/>
        <v>84156.79999999999</v>
      </c>
      <c r="Q389" s="657">
        <v>2</v>
      </c>
      <c r="R389" s="669">
        <v>4856.4</v>
      </c>
      <c r="S389" s="669"/>
      <c r="T389" s="669"/>
      <c r="U389" s="669"/>
      <c r="V389" s="669"/>
      <c r="W389" s="669"/>
      <c r="X389" s="669"/>
      <c r="Y389" s="669">
        <v>1990</v>
      </c>
      <c r="Z389" s="669"/>
      <c r="AA389" s="669"/>
      <c r="AB389" s="669">
        <v>2000</v>
      </c>
      <c r="AC389" s="670"/>
      <c r="AD389" s="671">
        <f>SUM(R389:Y389)*12+AB389</f>
        <v>84156.79999999999</v>
      </c>
      <c r="AE389" s="672">
        <f>SUM(R389:Y389)*12+AB389</f>
        <v>84156.79999999999</v>
      </c>
      <c r="AF389" s="674"/>
      <c r="AG389" s="674"/>
      <c r="AH389" s="657">
        <v>2</v>
      </c>
      <c r="AI389" s="674">
        <v>84156.79999999999</v>
      </c>
    </row>
    <row r="390" spans="1:35" ht="12">
      <c r="A390" s="690" t="s">
        <v>741</v>
      </c>
      <c r="B390" s="657">
        <v>2</v>
      </c>
      <c r="C390" s="689">
        <v>7079.24</v>
      </c>
      <c r="D390" s="669"/>
      <c r="E390" s="669"/>
      <c r="F390" s="669"/>
      <c r="G390" s="669"/>
      <c r="H390" s="669"/>
      <c r="I390" s="669"/>
      <c r="J390" s="669">
        <v>1681.77</v>
      </c>
      <c r="K390" s="669"/>
      <c r="L390" s="669"/>
      <c r="M390" s="669">
        <v>2000</v>
      </c>
      <c r="N390" s="670"/>
      <c r="O390" s="671">
        <f t="shared" si="86"/>
        <v>107132.12</v>
      </c>
      <c r="P390" s="672">
        <f t="shared" si="87"/>
        <v>107132.12</v>
      </c>
      <c r="Q390" s="657">
        <v>2</v>
      </c>
      <c r="R390" s="689">
        <v>7079.24</v>
      </c>
      <c r="S390" s="669"/>
      <c r="T390" s="669"/>
      <c r="U390" s="669"/>
      <c r="V390" s="669"/>
      <c r="W390" s="669"/>
      <c r="X390" s="669"/>
      <c r="Y390" s="669">
        <v>1681.77</v>
      </c>
      <c r="Z390" s="669"/>
      <c r="AA390" s="669"/>
      <c r="AB390" s="669">
        <v>2000</v>
      </c>
      <c r="AC390" s="670"/>
      <c r="AD390" s="671">
        <f>SUM(R390:Y390)*12+AB390</f>
        <v>107132.12</v>
      </c>
      <c r="AE390" s="672">
        <f>SUM(R390:Y390)*12+AB390</f>
        <v>107132.12</v>
      </c>
      <c r="AF390" s="674"/>
      <c r="AG390" s="674"/>
      <c r="AH390" s="657">
        <v>2</v>
      </c>
      <c r="AI390" s="674">
        <v>107132.12</v>
      </c>
    </row>
    <row r="391" spans="1:35" ht="12">
      <c r="A391" s="690" t="s">
        <v>742</v>
      </c>
      <c r="B391" s="657">
        <v>1</v>
      </c>
      <c r="C391" s="685">
        <v>2491.71</v>
      </c>
      <c r="D391" s="669"/>
      <c r="E391" s="669"/>
      <c r="F391" s="669"/>
      <c r="G391" s="669"/>
      <c r="H391" s="669"/>
      <c r="I391" s="669"/>
      <c r="J391" s="669">
        <v>776.1</v>
      </c>
      <c r="K391" s="669"/>
      <c r="L391" s="669"/>
      <c r="M391" s="669">
        <v>1000</v>
      </c>
      <c r="N391" s="670"/>
      <c r="O391" s="671">
        <f t="shared" si="86"/>
        <v>40213.72</v>
      </c>
      <c r="P391" s="672">
        <f t="shared" si="87"/>
        <v>40213.72</v>
      </c>
      <c r="Q391" s="657">
        <v>1</v>
      </c>
      <c r="R391" s="685">
        <v>2491.71</v>
      </c>
      <c r="S391" s="669"/>
      <c r="T391" s="669"/>
      <c r="U391" s="669"/>
      <c r="V391" s="669"/>
      <c r="W391" s="669"/>
      <c r="X391" s="669"/>
      <c r="Y391" s="669">
        <v>776.1</v>
      </c>
      <c r="Z391" s="669"/>
      <c r="AA391" s="669"/>
      <c r="AB391" s="669">
        <v>1000</v>
      </c>
      <c r="AC391" s="670"/>
      <c r="AD391" s="671">
        <f>SUM(R391:Y391)*12+AB391</f>
        <v>40213.72</v>
      </c>
      <c r="AE391" s="672">
        <f>SUM(R391:Y391)*12+AB391</f>
        <v>40213.72</v>
      </c>
      <c r="AF391" s="674"/>
      <c r="AG391" s="674"/>
      <c r="AH391" s="657">
        <v>1</v>
      </c>
      <c r="AI391" s="674">
        <v>40213.72</v>
      </c>
    </row>
    <row r="392" spans="1:35" ht="12">
      <c r="A392" s="690" t="s">
        <v>743</v>
      </c>
      <c r="B392" s="657"/>
      <c r="C392" s="669"/>
      <c r="D392" s="669"/>
      <c r="E392" s="669"/>
      <c r="F392" s="669"/>
      <c r="G392" s="669"/>
      <c r="H392" s="669"/>
      <c r="I392" s="669"/>
      <c r="J392" s="669"/>
      <c r="K392" s="669"/>
      <c r="L392" s="669"/>
      <c r="M392" s="669"/>
      <c r="N392" s="670"/>
      <c r="O392" s="671"/>
      <c r="P392" s="672"/>
      <c r="Q392" s="657"/>
      <c r="R392" s="669"/>
      <c r="S392" s="669"/>
      <c r="T392" s="669"/>
      <c r="U392" s="669"/>
      <c r="V392" s="669"/>
      <c r="W392" s="669"/>
      <c r="X392" s="669"/>
      <c r="Y392" s="669"/>
      <c r="Z392" s="669"/>
      <c r="AA392" s="669"/>
      <c r="AB392" s="669"/>
      <c r="AC392" s="670"/>
      <c r="AD392" s="671"/>
      <c r="AE392" s="672"/>
      <c r="AF392" s="674"/>
      <c r="AG392" s="674"/>
      <c r="AH392" s="657"/>
      <c r="AI392" s="674"/>
    </row>
    <row r="393" spans="1:35" ht="12">
      <c r="A393" s="690" t="s">
        <v>744</v>
      </c>
      <c r="B393" s="657">
        <v>1</v>
      </c>
      <c r="C393" s="685">
        <v>2389.03</v>
      </c>
      <c r="D393" s="669"/>
      <c r="E393" s="669"/>
      <c r="F393" s="669"/>
      <c r="G393" s="669"/>
      <c r="H393" s="669"/>
      <c r="I393" s="669"/>
      <c r="J393" s="669">
        <v>995</v>
      </c>
      <c r="K393" s="669"/>
      <c r="L393" s="685"/>
      <c r="M393" s="669">
        <v>1000</v>
      </c>
      <c r="N393" s="670"/>
      <c r="O393" s="671">
        <f t="shared" si="86"/>
        <v>41608.36</v>
      </c>
      <c r="P393" s="672">
        <f t="shared" si="87"/>
        <v>41608.36</v>
      </c>
      <c r="Q393" s="657">
        <v>1</v>
      </c>
      <c r="R393" s="685">
        <v>2389.03</v>
      </c>
      <c r="S393" s="669"/>
      <c r="T393" s="669"/>
      <c r="U393" s="669"/>
      <c r="V393" s="669"/>
      <c r="W393" s="669"/>
      <c r="X393" s="669"/>
      <c r="Y393" s="669">
        <v>995</v>
      </c>
      <c r="Z393" s="669"/>
      <c r="AA393" s="685"/>
      <c r="AB393" s="669">
        <v>1000</v>
      </c>
      <c r="AC393" s="670"/>
      <c r="AD393" s="671">
        <f>SUM(R393:Y393)*12+AB393</f>
        <v>41608.36</v>
      </c>
      <c r="AE393" s="672">
        <f>SUM(R393:Y393)*12+AB393</f>
        <v>41608.36</v>
      </c>
      <c r="AF393" s="674"/>
      <c r="AG393" s="674"/>
      <c r="AH393" s="657">
        <v>1</v>
      </c>
      <c r="AI393" s="674">
        <v>41608.36</v>
      </c>
    </row>
    <row r="394" spans="1:35" ht="12">
      <c r="A394" s="690"/>
      <c r="B394" s="657"/>
      <c r="C394" s="685"/>
      <c r="D394" s="685"/>
      <c r="E394" s="685"/>
      <c r="F394" s="685"/>
      <c r="G394" s="685"/>
      <c r="H394" s="685"/>
      <c r="I394" s="685"/>
      <c r="J394" s="685"/>
      <c r="K394" s="685"/>
      <c r="L394" s="685"/>
      <c r="M394" s="685"/>
      <c r="N394" s="473"/>
      <c r="O394" s="718"/>
      <c r="P394" s="675"/>
      <c r="Q394" s="673"/>
      <c r="R394" s="685"/>
      <c r="S394" s="685"/>
      <c r="T394" s="685"/>
      <c r="U394" s="685"/>
      <c r="V394" s="685"/>
      <c r="W394" s="685"/>
      <c r="X394" s="685"/>
      <c r="Y394" s="685"/>
      <c r="Z394" s="685"/>
      <c r="AA394" s="685"/>
      <c r="AB394" s="685"/>
      <c r="AC394" s="473"/>
      <c r="AD394" s="718"/>
      <c r="AE394" s="675"/>
      <c r="AF394" s="675"/>
      <c r="AG394" s="725"/>
      <c r="AH394" s="675"/>
      <c r="AI394" s="725"/>
    </row>
    <row r="395" spans="1:35" ht="12.75" thickBot="1">
      <c r="A395" s="691" t="s">
        <v>0</v>
      </c>
      <c r="B395" s="692">
        <f>SUM(B385,B379,B377,B371,B365,B359,B352,B344,B336,B329,B300,B293,B287)</f>
        <v>226</v>
      </c>
      <c r="C395" s="726">
        <f aca="true" t="shared" si="88" ref="C395:P395">SUM(C385,C379,C377,C371,C365,C359,C352,C344,C336,C329,C300,C293,C287,C390)</f>
        <v>818136.8500000001</v>
      </c>
      <c r="D395" s="726">
        <f t="shared" si="88"/>
        <v>30080</v>
      </c>
      <c r="E395" s="726">
        <f t="shared" si="88"/>
        <v>0</v>
      </c>
      <c r="F395" s="726">
        <f t="shared" si="88"/>
        <v>0</v>
      </c>
      <c r="G395" s="726">
        <f t="shared" si="88"/>
        <v>0</v>
      </c>
      <c r="H395" s="726">
        <f t="shared" si="88"/>
        <v>0</v>
      </c>
      <c r="I395" s="726">
        <f t="shared" si="88"/>
        <v>0</v>
      </c>
      <c r="J395" s="726">
        <f t="shared" si="88"/>
        <v>181609.64999999997</v>
      </c>
      <c r="K395" s="726">
        <f t="shared" si="88"/>
        <v>0</v>
      </c>
      <c r="L395" s="726">
        <f t="shared" si="88"/>
        <v>216000</v>
      </c>
      <c r="M395" s="726">
        <f t="shared" si="88"/>
        <v>10000</v>
      </c>
      <c r="N395" s="726">
        <f t="shared" si="88"/>
        <v>0</v>
      </c>
      <c r="O395" s="726">
        <f t="shared" si="88"/>
        <v>12583918</v>
      </c>
      <c r="P395" s="726">
        <f t="shared" si="88"/>
        <v>12319137.68</v>
      </c>
      <c r="Q395" s="727">
        <f>SUM(Q385,Q379,Q377,Q371,Q365,Q359,Q352,Q344,Q336,Q329,Q300,Q293,Q287)</f>
        <v>225</v>
      </c>
      <c r="R395" s="726">
        <f aca="true" t="shared" si="89" ref="R395:AI395">SUM(R385,R379,R377,R371,R365,R359,R352,R344,R336,R329,R300,R293,R287,R390)</f>
        <v>818136.8500000001</v>
      </c>
      <c r="S395" s="726">
        <f t="shared" si="89"/>
        <v>30080</v>
      </c>
      <c r="T395" s="726">
        <f t="shared" si="89"/>
        <v>0</v>
      </c>
      <c r="U395" s="726">
        <f t="shared" si="89"/>
        <v>0</v>
      </c>
      <c r="V395" s="726">
        <f t="shared" si="89"/>
        <v>0</v>
      </c>
      <c r="W395" s="726">
        <f t="shared" si="89"/>
        <v>0</v>
      </c>
      <c r="X395" s="726">
        <f t="shared" si="89"/>
        <v>0</v>
      </c>
      <c r="Y395" s="726">
        <f t="shared" si="89"/>
        <v>181609.64999999997</v>
      </c>
      <c r="Z395" s="726">
        <f t="shared" si="89"/>
        <v>0</v>
      </c>
      <c r="AA395" s="726">
        <f t="shared" si="89"/>
        <v>216000</v>
      </c>
      <c r="AB395" s="726">
        <f t="shared" si="89"/>
        <v>10000</v>
      </c>
      <c r="AC395" s="726">
        <f t="shared" si="89"/>
        <v>0</v>
      </c>
      <c r="AD395" s="726">
        <f t="shared" si="89"/>
        <v>12319137.68</v>
      </c>
      <c r="AE395" s="726">
        <f t="shared" si="89"/>
        <v>12305811.44</v>
      </c>
      <c r="AF395" s="726">
        <f t="shared" si="89"/>
        <v>0</v>
      </c>
      <c r="AG395" s="726">
        <f t="shared" si="89"/>
        <v>0</v>
      </c>
      <c r="AH395" s="728">
        <f t="shared" si="89"/>
        <v>228</v>
      </c>
      <c r="AI395" s="726">
        <f t="shared" si="89"/>
        <v>12375948.479999999</v>
      </c>
    </row>
    <row r="397" ht="12.75" thickBot="1">
      <c r="A397" s="15" t="s">
        <v>1145</v>
      </c>
    </row>
    <row r="398" spans="1:36" ht="12.75" thickBot="1">
      <c r="A398" s="1543" t="s">
        <v>47</v>
      </c>
      <c r="B398" s="1554" t="s">
        <v>339</v>
      </c>
      <c r="C398" s="1554"/>
      <c r="D398" s="1554"/>
      <c r="E398" s="1554"/>
      <c r="F398" s="1554"/>
      <c r="G398" s="1554"/>
      <c r="H398" s="1554"/>
      <c r="I398" s="1554"/>
      <c r="J398" s="1554"/>
      <c r="K398" s="1554"/>
      <c r="L398" s="1554"/>
      <c r="M398" s="1554"/>
      <c r="N398" s="1554"/>
      <c r="O398" s="1554"/>
      <c r="P398" s="1554"/>
      <c r="Q398" s="402"/>
      <c r="R398" s="1555" t="s">
        <v>434</v>
      </c>
      <c r="S398" s="1554"/>
      <c r="T398" s="1554"/>
      <c r="U398" s="1554"/>
      <c r="V398" s="1554"/>
      <c r="W398" s="1554"/>
      <c r="X398" s="1554"/>
      <c r="Y398" s="1554"/>
      <c r="Z398" s="1554"/>
      <c r="AA398" s="1554"/>
      <c r="AB398" s="1554"/>
      <c r="AC398" s="1554"/>
      <c r="AD398" s="1554"/>
      <c r="AE398" s="1554"/>
      <c r="AF398" s="1556"/>
      <c r="AG398" s="1557" t="s">
        <v>436</v>
      </c>
      <c r="AH398" s="1558"/>
      <c r="AI398" s="1557" t="s">
        <v>435</v>
      </c>
      <c r="AJ398" s="1558"/>
    </row>
    <row r="399" spans="1:36" ht="140.25">
      <c r="A399" s="1552"/>
      <c r="B399" s="171" t="s">
        <v>11</v>
      </c>
      <c r="C399" s="172" t="s">
        <v>146</v>
      </c>
      <c r="D399" s="173" t="s">
        <v>270</v>
      </c>
      <c r="E399" s="173" t="s">
        <v>148</v>
      </c>
      <c r="F399" s="173" t="s">
        <v>182</v>
      </c>
      <c r="G399" s="173" t="s">
        <v>183</v>
      </c>
      <c r="H399" s="173" t="s">
        <v>184</v>
      </c>
      <c r="I399" s="173" t="s">
        <v>185</v>
      </c>
      <c r="J399" s="173" t="s">
        <v>149</v>
      </c>
      <c r="K399" s="173" t="s">
        <v>150</v>
      </c>
      <c r="L399" s="173" t="s">
        <v>151</v>
      </c>
      <c r="M399" s="173" t="s">
        <v>181</v>
      </c>
      <c r="N399" s="174" t="s">
        <v>119</v>
      </c>
      <c r="O399" s="175" t="s">
        <v>156</v>
      </c>
      <c r="P399" s="176" t="s">
        <v>155</v>
      </c>
      <c r="Q399" s="176"/>
      <c r="R399" s="171" t="s">
        <v>11</v>
      </c>
      <c r="S399" s="172" t="s">
        <v>146</v>
      </c>
      <c r="T399" s="173" t="s">
        <v>147</v>
      </c>
      <c r="U399" s="173" t="s">
        <v>148</v>
      </c>
      <c r="V399" s="173" t="s">
        <v>182</v>
      </c>
      <c r="W399" s="173" t="s">
        <v>183</v>
      </c>
      <c r="X399" s="173" t="s">
        <v>184</v>
      </c>
      <c r="Y399" s="173" t="s">
        <v>185</v>
      </c>
      <c r="Z399" s="173" t="s">
        <v>149</v>
      </c>
      <c r="AA399" s="173" t="s">
        <v>150</v>
      </c>
      <c r="AB399" s="173" t="s">
        <v>151</v>
      </c>
      <c r="AC399" s="173" t="s">
        <v>181</v>
      </c>
      <c r="AD399" s="174" t="s">
        <v>119</v>
      </c>
      <c r="AE399" s="175" t="s">
        <v>156</v>
      </c>
      <c r="AF399" s="176" t="s">
        <v>340</v>
      </c>
      <c r="AG399" s="177" t="s">
        <v>160</v>
      </c>
      <c r="AH399" s="177" t="s">
        <v>159</v>
      </c>
      <c r="AI399" s="177" t="s">
        <v>11</v>
      </c>
      <c r="AJ399" s="176" t="s">
        <v>341</v>
      </c>
    </row>
    <row r="400" spans="1:36" ht="12.75" thickBot="1">
      <c r="A400" s="1553"/>
      <c r="B400" s="971" t="s">
        <v>48</v>
      </c>
      <c r="C400" s="179" t="s">
        <v>49</v>
      </c>
      <c r="D400" s="180" t="s">
        <v>50</v>
      </c>
      <c r="E400" s="180" t="s">
        <v>51</v>
      </c>
      <c r="F400" s="181" t="s">
        <v>52</v>
      </c>
      <c r="G400" s="181" t="s">
        <v>53</v>
      </c>
      <c r="H400" s="181" t="s">
        <v>79</v>
      </c>
      <c r="I400" s="181" t="s">
        <v>118</v>
      </c>
      <c r="J400" s="181" t="s">
        <v>154</v>
      </c>
      <c r="K400" s="181" t="s">
        <v>158</v>
      </c>
      <c r="L400" s="972" t="s">
        <v>190</v>
      </c>
      <c r="M400" s="972" t="s">
        <v>191</v>
      </c>
      <c r="N400" s="182" t="s">
        <v>193</v>
      </c>
      <c r="O400" s="183" t="s">
        <v>194</v>
      </c>
      <c r="P400" s="184" t="s">
        <v>195</v>
      </c>
      <c r="Q400" s="184"/>
      <c r="R400" s="178" t="s">
        <v>48</v>
      </c>
      <c r="S400" s="179" t="s">
        <v>49</v>
      </c>
      <c r="T400" s="180" t="s">
        <v>50</v>
      </c>
      <c r="U400" s="180" t="s">
        <v>51</v>
      </c>
      <c r="V400" s="181" t="s">
        <v>52</v>
      </c>
      <c r="W400" s="181" t="s">
        <v>53</v>
      </c>
      <c r="X400" s="181" t="s">
        <v>79</v>
      </c>
      <c r="Y400" s="181" t="s">
        <v>118</v>
      </c>
      <c r="Z400" s="181" t="s">
        <v>154</v>
      </c>
      <c r="AA400" s="181" t="s">
        <v>158</v>
      </c>
      <c r="AB400" s="181" t="s">
        <v>190</v>
      </c>
      <c r="AC400" s="181" t="s">
        <v>191</v>
      </c>
      <c r="AD400" s="182" t="s">
        <v>193</v>
      </c>
      <c r="AE400" s="183" t="s">
        <v>194</v>
      </c>
      <c r="AF400" s="184" t="s">
        <v>195</v>
      </c>
      <c r="AG400" s="185"/>
      <c r="AH400" s="178"/>
      <c r="AI400" s="185"/>
      <c r="AJ400" s="178"/>
    </row>
    <row r="401" spans="1:36" ht="12">
      <c r="A401" s="973"/>
      <c r="B401" s="974"/>
      <c r="C401" s="12"/>
      <c r="D401" s="12"/>
      <c r="E401" s="12"/>
      <c r="F401" s="12"/>
      <c r="G401" s="12"/>
      <c r="H401" s="12"/>
      <c r="I401" s="12"/>
      <c r="J401" s="12"/>
      <c r="K401" s="9"/>
      <c r="L401" s="973"/>
      <c r="M401" s="973"/>
      <c r="O401" s="44"/>
      <c r="P401" s="17"/>
      <c r="Q401" s="9"/>
      <c r="R401" s="974"/>
      <c r="S401" s="12"/>
      <c r="T401" s="12"/>
      <c r="U401" s="12"/>
      <c r="V401" s="12"/>
      <c r="W401" s="12"/>
      <c r="X401" s="12"/>
      <c r="Y401" s="12"/>
      <c r="Z401" s="12"/>
      <c r="AA401" s="9"/>
      <c r="AB401" s="973"/>
      <c r="AC401" s="12"/>
      <c r="AE401" s="44"/>
      <c r="AF401" s="17"/>
      <c r="AG401" s="17"/>
      <c r="AH401" s="16"/>
      <c r="AI401" s="17"/>
      <c r="AJ401" s="16"/>
    </row>
    <row r="402" spans="1:36" ht="15.75">
      <c r="A402" s="975" t="s">
        <v>54</v>
      </c>
      <c r="B402" s="976"/>
      <c r="C402" s="12"/>
      <c r="D402" s="12"/>
      <c r="E402" s="12"/>
      <c r="F402" s="12"/>
      <c r="G402" s="12"/>
      <c r="H402" s="12"/>
      <c r="I402" s="12"/>
      <c r="J402" s="12"/>
      <c r="K402" s="9"/>
      <c r="L402" s="25"/>
      <c r="M402" s="25"/>
      <c r="O402" s="44"/>
      <c r="P402" s="17"/>
      <c r="Q402" s="975" t="s">
        <v>54</v>
      </c>
      <c r="R402" s="976"/>
      <c r="S402" s="12"/>
      <c r="T402" s="12"/>
      <c r="U402" s="12"/>
      <c r="V402" s="12"/>
      <c r="W402" s="12"/>
      <c r="X402" s="12"/>
      <c r="Y402" s="12"/>
      <c r="Z402" s="12"/>
      <c r="AA402" s="9"/>
      <c r="AB402" s="25"/>
      <c r="AC402" s="12"/>
      <c r="AE402" s="44"/>
      <c r="AF402" s="17"/>
      <c r="AG402" s="17"/>
      <c r="AH402" s="16"/>
      <c r="AI402" s="17"/>
      <c r="AJ402" s="16"/>
    </row>
    <row r="403" spans="1:36" ht="12">
      <c r="A403" s="943" t="s">
        <v>7</v>
      </c>
      <c r="B403" s="976"/>
      <c r="C403" s="12"/>
      <c r="D403" s="12"/>
      <c r="E403" s="12"/>
      <c r="F403" s="12"/>
      <c r="G403" s="12"/>
      <c r="H403" s="12"/>
      <c r="I403" s="12"/>
      <c r="J403" s="12"/>
      <c r="K403" s="9"/>
      <c r="L403" s="25"/>
      <c r="M403" s="25"/>
      <c r="O403" s="44"/>
      <c r="P403" s="17"/>
      <c r="Q403" s="943" t="s">
        <v>7</v>
      </c>
      <c r="R403" s="976"/>
      <c r="S403" s="12"/>
      <c r="T403" s="12"/>
      <c r="U403" s="12"/>
      <c r="V403" s="12"/>
      <c r="W403" s="12"/>
      <c r="X403" s="12"/>
      <c r="Y403" s="12"/>
      <c r="Z403" s="12"/>
      <c r="AA403" s="9"/>
      <c r="AB403" s="25"/>
      <c r="AC403" s="12"/>
      <c r="AE403" s="44"/>
      <c r="AF403" s="17"/>
      <c r="AG403" s="17"/>
      <c r="AH403" s="16"/>
      <c r="AI403" s="17"/>
      <c r="AJ403" s="16"/>
    </row>
    <row r="404" spans="1:36" ht="12">
      <c r="A404" s="977" t="s">
        <v>3</v>
      </c>
      <c r="B404" s="976"/>
      <c r="C404" s="12"/>
      <c r="D404" s="12"/>
      <c r="E404" s="12"/>
      <c r="F404" s="12"/>
      <c r="G404" s="12"/>
      <c r="H404" s="12"/>
      <c r="I404" s="12"/>
      <c r="J404" s="12"/>
      <c r="K404" s="9"/>
      <c r="L404" s="25"/>
      <c r="M404" s="25"/>
      <c r="O404" s="44"/>
      <c r="P404" s="17"/>
      <c r="Q404" s="977" t="s">
        <v>3</v>
      </c>
      <c r="R404" s="976"/>
      <c r="S404" s="12"/>
      <c r="T404" s="12"/>
      <c r="U404" s="12"/>
      <c r="V404" s="12"/>
      <c r="W404" s="12"/>
      <c r="X404" s="12"/>
      <c r="Y404" s="12"/>
      <c r="Z404" s="12"/>
      <c r="AA404" s="9"/>
      <c r="AB404" s="25"/>
      <c r="AC404" s="12"/>
      <c r="AE404" s="44"/>
      <c r="AF404" s="17"/>
      <c r="AG404" s="17"/>
      <c r="AH404" s="16"/>
      <c r="AI404" s="976"/>
      <c r="AJ404" s="16"/>
    </row>
    <row r="405" spans="1:36" ht="12.75">
      <c r="A405" s="977" t="s">
        <v>563</v>
      </c>
      <c r="B405" s="978">
        <v>1</v>
      </c>
      <c r="C405" s="640">
        <v>1574.85</v>
      </c>
      <c r="D405" s="640">
        <v>4260</v>
      </c>
      <c r="E405" s="12"/>
      <c r="F405" s="12"/>
      <c r="G405" s="12"/>
      <c r="H405" s="12"/>
      <c r="I405" s="12"/>
      <c r="J405" s="12"/>
      <c r="K405" s="641">
        <f aca="true" t="shared" si="90" ref="K405:K410">C405+D405</f>
        <v>5834.85</v>
      </c>
      <c r="L405" s="979">
        <v>1000</v>
      </c>
      <c r="M405" s="25"/>
      <c r="O405" s="642">
        <f aca="true" t="shared" si="91" ref="O405:O410">K405*12+L405</f>
        <v>71018.20000000001</v>
      </c>
      <c r="P405" s="643">
        <f aca="true" t="shared" si="92" ref="P405:P410">O405*B405</f>
        <v>71018.20000000001</v>
      </c>
      <c r="Q405" s="977" t="s">
        <v>563</v>
      </c>
      <c r="R405" s="978">
        <v>1</v>
      </c>
      <c r="S405" s="640">
        <v>1574.85</v>
      </c>
      <c r="T405" s="640">
        <v>4260</v>
      </c>
      <c r="U405" s="12"/>
      <c r="V405" s="12"/>
      <c r="W405" s="12"/>
      <c r="X405" s="12"/>
      <c r="Y405" s="12"/>
      <c r="Z405" s="12"/>
      <c r="AA405" s="641">
        <f aca="true" t="shared" si="93" ref="AA405:AA410">S405+T405</f>
        <v>5834.85</v>
      </c>
      <c r="AB405" s="979">
        <v>1000</v>
      </c>
      <c r="AC405" s="12"/>
      <c r="AE405" s="642">
        <f aca="true" t="shared" si="94" ref="AE405:AE410">AA405*12+AB405</f>
        <v>71018.20000000001</v>
      </c>
      <c r="AF405" s="643">
        <f aca="true" t="shared" si="95" ref="AF405:AF410">AE405*R405</f>
        <v>71018.20000000001</v>
      </c>
      <c r="AG405" s="17"/>
      <c r="AH405" s="16"/>
      <c r="AI405" s="978">
        <v>1</v>
      </c>
      <c r="AJ405" s="643">
        <v>6834.85</v>
      </c>
    </row>
    <row r="406" spans="1:36" ht="12.75">
      <c r="A406" s="977" t="s">
        <v>562</v>
      </c>
      <c r="B406" s="978">
        <v>5</v>
      </c>
      <c r="C406" s="640">
        <v>1518.37</v>
      </c>
      <c r="D406" s="640">
        <v>2450</v>
      </c>
      <c r="E406" s="12"/>
      <c r="F406" s="12"/>
      <c r="G406" s="12"/>
      <c r="H406" s="12"/>
      <c r="I406" s="12"/>
      <c r="J406" s="12"/>
      <c r="K406" s="641">
        <f t="shared" si="90"/>
        <v>3968.37</v>
      </c>
      <c r="L406" s="979">
        <v>1000</v>
      </c>
      <c r="M406" s="25"/>
      <c r="O406" s="642">
        <f t="shared" si="91"/>
        <v>48620.44</v>
      </c>
      <c r="P406" s="643">
        <f t="shared" si="92"/>
        <v>243102.2</v>
      </c>
      <c r="Q406" s="977" t="s">
        <v>562</v>
      </c>
      <c r="R406" s="978">
        <v>5</v>
      </c>
      <c r="S406" s="640">
        <v>1518.37</v>
      </c>
      <c r="T406" s="640">
        <v>2450</v>
      </c>
      <c r="U406" s="12"/>
      <c r="V406" s="12"/>
      <c r="W406" s="12"/>
      <c r="X406" s="12"/>
      <c r="Y406" s="12"/>
      <c r="Z406" s="12"/>
      <c r="AA406" s="641">
        <f t="shared" si="93"/>
        <v>3968.37</v>
      </c>
      <c r="AB406" s="979">
        <v>1000</v>
      </c>
      <c r="AC406" s="12"/>
      <c r="AE406" s="642">
        <f t="shared" si="94"/>
        <v>48620.44</v>
      </c>
      <c r="AF406" s="643">
        <f t="shared" si="95"/>
        <v>243102.2</v>
      </c>
      <c r="AG406" s="17"/>
      <c r="AH406" s="16"/>
      <c r="AI406" s="978">
        <v>5</v>
      </c>
      <c r="AJ406" s="643">
        <v>24841.85</v>
      </c>
    </row>
    <row r="407" spans="1:36" ht="12.75">
      <c r="A407" s="977" t="s">
        <v>561</v>
      </c>
      <c r="B407" s="978">
        <v>10</v>
      </c>
      <c r="C407" s="12">
        <v>1444.97</v>
      </c>
      <c r="D407" s="640">
        <v>2400</v>
      </c>
      <c r="E407" s="12"/>
      <c r="F407" s="12"/>
      <c r="G407" s="12"/>
      <c r="H407" s="12"/>
      <c r="I407" s="12"/>
      <c r="J407" s="12"/>
      <c r="K407" s="641">
        <f t="shared" si="90"/>
        <v>3844.9700000000003</v>
      </c>
      <c r="L407" s="979">
        <v>1000</v>
      </c>
      <c r="M407" s="25"/>
      <c r="O407" s="642">
        <f t="shared" si="91"/>
        <v>47139.64</v>
      </c>
      <c r="P407" s="643">
        <f t="shared" si="92"/>
        <v>471396.4</v>
      </c>
      <c r="Q407" s="977" t="s">
        <v>561</v>
      </c>
      <c r="R407" s="978">
        <v>10</v>
      </c>
      <c r="S407" s="12">
        <v>1444.97</v>
      </c>
      <c r="T407" s="640">
        <v>2400</v>
      </c>
      <c r="U407" s="12"/>
      <c r="V407" s="12"/>
      <c r="W407" s="12"/>
      <c r="X407" s="12"/>
      <c r="Y407" s="12"/>
      <c r="Z407" s="12"/>
      <c r="AA407" s="641">
        <f t="shared" si="93"/>
        <v>3844.9700000000003</v>
      </c>
      <c r="AB407" s="979">
        <v>1000</v>
      </c>
      <c r="AC407" s="12"/>
      <c r="AE407" s="642">
        <f t="shared" si="94"/>
        <v>47139.64</v>
      </c>
      <c r="AF407" s="643">
        <f t="shared" si="95"/>
        <v>471396.4</v>
      </c>
      <c r="AG407" s="17"/>
      <c r="AH407" s="16"/>
      <c r="AI407" s="978">
        <v>10</v>
      </c>
      <c r="AJ407" s="643">
        <v>48449.700000000004</v>
      </c>
    </row>
    <row r="408" spans="1:36" ht="12.75">
      <c r="A408" s="977" t="s">
        <v>560</v>
      </c>
      <c r="B408" s="978">
        <v>2</v>
      </c>
      <c r="C408" s="640">
        <v>1761.43</v>
      </c>
      <c r="D408" s="640">
        <v>2050</v>
      </c>
      <c r="E408" s="12"/>
      <c r="F408" s="12"/>
      <c r="G408" s="12"/>
      <c r="H408" s="12"/>
      <c r="I408" s="12"/>
      <c r="J408" s="12"/>
      <c r="K408" s="641">
        <f t="shared" si="90"/>
        <v>3811.4300000000003</v>
      </c>
      <c r="L408" s="979">
        <v>1000</v>
      </c>
      <c r="M408" s="25"/>
      <c r="O408" s="642">
        <f t="shared" si="91"/>
        <v>46737.16</v>
      </c>
      <c r="P408" s="643">
        <f t="shared" si="92"/>
        <v>93474.32</v>
      </c>
      <c r="Q408" s="977" t="s">
        <v>560</v>
      </c>
      <c r="R408" s="978">
        <v>2</v>
      </c>
      <c r="S408" s="640">
        <v>1761.43</v>
      </c>
      <c r="T408" s="640">
        <v>2050</v>
      </c>
      <c r="U408" s="12"/>
      <c r="V408" s="12"/>
      <c r="W408" s="12"/>
      <c r="X408" s="12"/>
      <c r="Y408" s="12"/>
      <c r="Z408" s="12"/>
      <c r="AA408" s="641">
        <f t="shared" si="93"/>
        <v>3811.4300000000003</v>
      </c>
      <c r="AB408" s="979">
        <v>1000</v>
      </c>
      <c r="AC408" s="12"/>
      <c r="AE408" s="642">
        <f t="shared" si="94"/>
        <v>46737.16</v>
      </c>
      <c r="AF408" s="643">
        <f t="shared" si="95"/>
        <v>93474.32</v>
      </c>
      <c r="AG408" s="17"/>
      <c r="AH408" s="16"/>
      <c r="AI408" s="978">
        <v>2</v>
      </c>
      <c r="AJ408" s="643">
        <v>9622.86</v>
      </c>
    </row>
    <row r="409" spans="1:36" ht="12.75">
      <c r="A409" s="977" t="s">
        <v>560</v>
      </c>
      <c r="B409" s="978">
        <v>2</v>
      </c>
      <c r="C409" s="640">
        <v>855</v>
      </c>
      <c r="D409" s="640">
        <v>2000</v>
      </c>
      <c r="E409" s="12"/>
      <c r="F409" s="12"/>
      <c r="G409" s="12"/>
      <c r="H409" s="12"/>
      <c r="I409" s="12"/>
      <c r="J409" s="12"/>
      <c r="K409" s="641">
        <f t="shared" si="90"/>
        <v>2855</v>
      </c>
      <c r="L409" s="979">
        <v>1000</v>
      </c>
      <c r="M409" s="25"/>
      <c r="O409" s="642">
        <f t="shared" si="91"/>
        <v>35260</v>
      </c>
      <c r="P409" s="643">
        <f t="shared" si="92"/>
        <v>70520</v>
      </c>
      <c r="Q409" s="977" t="s">
        <v>560</v>
      </c>
      <c r="R409" s="978">
        <v>2</v>
      </c>
      <c r="S409" s="640">
        <v>855</v>
      </c>
      <c r="T409" s="640">
        <v>2000</v>
      </c>
      <c r="U409" s="12"/>
      <c r="V409" s="12"/>
      <c r="W409" s="12"/>
      <c r="X409" s="12"/>
      <c r="Y409" s="12"/>
      <c r="Z409" s="12"/>
      <c r="AA409" s="641">
        <f t="shared" si="93"/>
        <v>2855</v>
      </c>
      <c r="AB409" s="979">
        <v>1000</v>
      </c>
      <c r="AC409" s="12"/>
      <c r="AE409" s="642">
        <f t="shared" si="94"/>
        <v>35260</v>
      </c>
      <c r="AF409" s="643">
        <f t="shared" si="95"/>
        <v>70520</v>
      </c>
      <c r="AG409" s="17"/>
      <c r="AH409" s="16"/>
      <c r="AI409" s="978">
        <v>2</v>
      </c>
      <c r="AJ409" s="643">
        <v>7710</v>
      </c>
    </row>
    <row r="410" spans="1:36" ht="12.75">
      <c r="A410" s="977" t="s">
        <v>12</v>
      </c>
      <c r="B410" s="978">
        <v>1</v>
      </c>
      <c r="C410" s="12">
        <v>1827.01</v>
      </c>
      <c r="D410" s="640">
        <v>2350</v>
      </c>
      <c r="E410" s="12"/>
      <c r="F410" s="12"/>
      <c r="G410" s="12"/>
      <c r="H410" s="12"/>
      <c r="I410" s="12"/>
      <c r="J410" s="12"/>
      <c r="K410" s="641">
        <f t="shared" si="90"/>
        <v>4177.01</v>
      </c>
      <c r="L410" s="979">
        <v>1000</v>
      </c>
      <c r="M410" s="25"/>
      <c r="O410" s="642">
        <f t="shared" si="91"/>
        <v>51124.12</v>
      </c>
      <c r="P410" s="643">
        <f t="shared" si="92"/>
        <v>51124.12</v>
      </c>
      <c r="Q410" s="977" t="s">
        <v>12</v>
      </c>
      <c r="R410" s="978">
        <v>1</v>
      </c>
      <c r="S410" s="12">
        <v>1827.01</v>
      </c>
      <c r="T410" s="640">
        <v>2350</v>
      </c>
      <c r="U410" s="12"/>
      <c r="V410" s="12"/>
      <c r="W410" s="12"/>
      <c r="X410" s="12"/>
      <c r="Y410" s="12"/>
      <c r="Z410" s="12"/>
      <c r="AA410" s="641">
        <f t="shared" si="93"/>
        <v>4177.01</v>
      </c>
      <c r="AB410" s="979">
        <v>1000</v>
      </c>
      <c r="AC410" s="12"/>
      <c r="AE410" s="642">
        <f t="shared" si="94"/>
        <v>51124.12</v>
      </c>
      <c r="AF410" s="643">
        <f t="shared" si="95"/>
        <v>51124.12</v>
      </c>
      <c r="AG410" s="17"/>
      <c r="AH410" s="16"/>
      <c r="AI410" s="978">
        <v>1</v>
      </c>
      <c r="AJ410" s="643">
        <v>5177.01</v>
      </c>
    </row>
    <row r="411" spans="1:36" ht="12.75">
      <c r="A411" s="977"/>
      <c r="B411" s="978"/>
      <c r="C411" s="12"/>
      <c r="D411" s="640"/>
      <c r="E411" s="12"/>
      <c r="F411" s="12"/>
      <c r="G411" s="12"/>
      <c r="H411" s="12"/>
      <c r="I411" s="12"/>
      <c r="J411" s="12"/>
      <c r="K411" s="9"/>
      <c r="L411" s="25"/>
      <c r="M411" s="25"/>
      <c r="O411" s="44"/>
      <c r="P411" s="17"/>
      <c r="Q411" s="977"/>
      <c r="R411" s="978"/>
      <c r="S411" s="12"/>
      <c r="T411" s="640"/>
      <c r="U411" s="12"/>
      <c r="V411" s="12"/>
      <c r="W411" s="12"/>
      <c r="X411" s="12"/>
      <c r="Y411" s="12"/>
      <c r="Z411" s="12"/>
      <c r="AA411" s="9"/>
      <c r="AB411" s="25"/>
      <c r="AC411" s="12"/>
      <c r="AE411" s="44"/>
      <c r="AF411" s="17"/>
      <c r="AG411" s="17"/>
      <c r="AH411" s="16"/>
      <c r="AI411" s="978"/>
      <c r="AJ411" s="17"/>
    </row>
    <row r="412" spans="1:36" ht="12.75">
      <c r="A412" s="943" t="s">
        <v>4</v>
      </c>
      <c r="B412" s="980"/>
      <c r="C412" s="12"/>
      <c r="D412" s="640"/>
      <c r="E412" s="12"/>
      <c r="F412" s="12"/>
      <c r="G412" s="12"/>
      <c r="H412" s="12"/>
      <c r="I412" s="12"/>
      <c r="J412" s="12"/>
      <c r="K412" s="9"/>
      <c r="L412" s="25"/>
      <c r="M412" s="25"/>
      <c r="O412" s="44"/>
      <c r="P412" s="17"/>
      <c r="Q412" s="943" t="s">
        <v>4</v>
      </c>
      <c r="R412" s="980"/>
      <c r="S412" s="12"/>
      <c r="T412" s="640"/>
      <c r="U412" s="12"/>
      <c r="V412" s="12"/>
      <c r="W412" s="12"/>
      <c r="X412" s="12"/>
      <c r="Y412" s="12"/>
      <c r="Z412" s="12"/>
      <c r="AA412" s="9"/>
      <c r="AB412" s="25"/>
      <c r="AC412" s="12"/>
      <c r="AE412" s="44"/>
      <c r="AF412" s="17"/>
      <c r="AG412" s="17"/>
      <c r="AH412" s="16"/>
      <c r="AI412" s="980"/>
      <c r="AJ412" s="17"/>
    </row>
    <row r="413" spans="1:36" ht="12.75">
      <c r="A413" s="981" t="s">
        <v>13</v>
      </c>
      <c r="B413" s="978"/>
      <c r="C413" s="12"/>
      <c r="D413" s="640"/>
      <c r="E413" s="12"/>
      <c r="F413" s="12"/>
      <c r="G413" s="12"/>
      <c r="H413" s="12"/>
      <c r="I413" s="12"/>
      <c r="J413" s="12"/>
      <c r="K413" s="9"/>
      <c r="L413" s="25"/>
      <c r="M413" s="25"/>
      <c r="O413" s="44"/>
      <c r="P413" s="17"/>
      <c r="Q413" s="981" t="s">
        <v>13</v>
      </c>
      <c r="R413" s="978"/>
      <c r="S413" s="12"/>
      <c r="T413" s="640"/>
      <c r="U413" s="12"/>
      <c r="V413" s="12"/>
      <c r="W413" s="12"/>
      <c r="X413" s="12"/>
      <c r="Y413" s="12"/>
      <c r="Z413" s="12"/>
      <c r="AA413" s="9"/>
      <c r="AB413" s="25"/>
      <c r="AC413" s="12"/>
      <c r="AE413" s="44"/>
      <c r="AF413" s="17"/>
      <c r="AG413" s="17"/>
      <c r="AH413" s="16"/>
      <c r="AI413" s="978"/>
      <c r="AJ413" s="17"/>
    </row>
    <row r="414" spans="1:36" ht="12.75">
      <c r="A414" s="981" t="s">
        <v>566</v>
      </c>
      <c r="B414" s="978"/>
      <c r="C414" s="12"/>
      <c r="D414" s="640"/>
      <c r="E414" s="12"/>
      <c r="F414" s="12"/>
      <c r="G414" s="12"/>
      <c r="H414" s="12"/>
      <c r="I414" s="12"/>
      <c r="J414" s="12"/>
      <c r="K414" s="9"/>
      <c r="L414" s="25"/>
      <c r="M414" s="25"/>
      <c r="O414" s="44"/>
      <c r="P414" s="17"/>
      <c r="Q414" s="981" t="s">
        <v>566</v>
      </c>
      <c r="R414" s="978"/>
      <c r="S414" s="12"/>
      <c r="T414" s="640"/>
      <c r="U414" s="12"/>
      <c r="V414" s="12"/>
      <c r="W414" s="12"/>
      <c r="X414" s="12"/>
      <c r="Y414" s="12"/>
      <c r="Z414" s="12"/>
      <c r="AA414" s="9"/>
      <c r="AB414" s="25"/>
      <c r="AC414" s="12"/>
      <c r="AE414" s="44"/>
      <c r="AF414" s="17"/>
      <c r="AG414" s="17"/>
      <c r="AH414" s="16"/>
      <c r="AI414" s="978"/>
      <c r="AJ414" s="17"/>
    </row>
    <row r="415" spans="1:36" ht="12.75">
      <c r="A415" s="981" t="s">
        <v>567</v>
      </c>
      <c r="B415" s="978"/>
      <c r="C415" s="12"/>
      <c r="D415" s="640"/>
      <c r="E415" s="12"/>
      <c r="F415" s="12"/>
      <c r="G415" s="12"/>
      <c r="H415" s="12"/>
      <c r="I415" s="12"/>
      <c r="J415" s="12"/>
      <c r="K415" s="9"/>
      <c r="L415" s="25"/>
      <c r="M415" s="25"/>
      <c r="O415" s="44"/>
      <c r="P415" s="17"/>
      <c r="Q415" s="981" t="s">
        <v>567</v>
      </c>
      <c r="R415" s="978"/>
      <c r="S415" s="12"/>
      <c r="T415" s="640"/>
      <c r="U415" s="12"/>
      <c r="V415" s="12"/>
      <c r="W415" s="12"/>
      <c r="X415" s="12"/>
      <c r="Y415" s="12"/>
      <c r="Z415" s="12"/>
      <c r="AA415" s="9"/>
      <c r="AB415" s="25"/>
      <c r="AC415" s="12"/>
      <c r="AE415" s="44"/>
      <c r="AF415" s="17"/>
      <c r="AG415" s="17"/>
      <c r="AH415" s="16"/>
      <c r="AI415" s="978"/>
      <c r="AJ415" s="17"/>
    </row>
    <row r="416" spans="1:36" ht="12.75">
      <c r="A416" s="981" t="s">
        <v>568</v>
      </c>
      <c r="B416" s="982">
        <v>8</v>
      </c>
      <c r="C416" s="640">
        <v>1154.92</v>
      </c>
      <c r="D416" s="640">
        <v>2350</v>
      </c>
      <c r="E416" s="12"/>
      <c r="F416" s="12"/>
      <c r="G416" s="12"/>
      <c r="H416" s="12"/>
      <c r="I416" s="12"/>
      <c r="J416" s="12"/>
      <c r="K416" s="641">
        <f aca="true" t="shared" si="96" ref="K416:K421">C416+D416</f>
        <v>3504.92</v>
      </c>
      <c r="L416" s="979">
        <v>1000</v>
      </c>
      <c r="M416" s="25"/>
      <c r="O416" s="642">
        <f aca="true" t="shared" si="97" ref="O416:O421">K416*12+L416</f>
        <v>43059.04</v>
      </c>
      <c r="P416" s="643">
        <f aca="true" t="shared" si="98" ref="P416:P421">O416*B416</f>
        <v>344472.32</v>
      </c>
      <c r="Q416" s="981" t="s">
        <v>568</v>
      </c>
      <c r="R416" s="982">
        <v>8</v>
      </c>
      <c r="S416" s="640">
        <v>1154.92</v>
      </c>
      <c r="T416" s="640">
        <v>2350</v>
      </c>
      <c r="U416" s="12"/>
      <c r="V416" s="12"/>
      <c r="W416" s="12"/>
      <c r="X416" s="12"/>
      <c r="Y416" s="12"/>
      <c r="Z416" s="12"/>
      <c r="AA416" s="641">
        <f aca="true" t="shared" si="99" ref="AA416:AA421">S416+T416</f>
        <v>3504.92</v>
      </c>
      <c r="AB416" s="979">
        <v>1000</v>
      </c>
      <c r="AC416" s="12"/>
      <c r="AE416" s="642">
        <f aca="true" t="shared" si="100" ref="AE416:AE421">AA416*12+AB416</f>
        <v>43059.04</v>
      </c>
      <c r="AF416" s="643">
        <f aca="true" t="shared" si="101" ref="AF416:AF421">AE416*R416</f>
        <v>344472.32</v>
      </c>
      <c r="AG416" s="17"/>
      <c r="AH416" s="16"/>
      <c r="AI416" s="982">
        <v>8</v>
      </c>
      <c r="AJ416" s="643">
        <v>36039.36</v>
      </c>
    </row>
    <row r="417" spans="1:36" ht="12.75">
      <c r="A417" s="981" t="s">
        <v>15</v>
      </c>
      <c r="B417" s="982">
        <v>1</v>
      </c>
      <c r="C417" s="640">
        <v>1134.71</v>
      </c>
      <c r="D417" s="640">
        <v>2350</v>
      </c>
      <c r="E417" s="12"/>
      <c r="F417" s="12"/>
      <c r="G417" s="12"/>
      <c r="H417" s="12"/>
      <c r="I417" s="12"/>
      <c r="J417" s="12"/>
      <c r="K417" s="641">
        <f t="shared" si="96"/>
        <v>3484.71</v>
      </c>
      <c r="L417" s="979">
        <v>1000</v>
      </c>
      <c r="M417" s="25"/>
      <c r="O417" s="642">
        <f t="shared" si="97"/>
        <v>42816.520000000004</v>
      </c>
      <c r="P417" s="643">
        <f t="shared" si="98"/>
        <v>42816.520000000004</v>
      </c>
      <c r="Q417" s="981" t="s">
        <v>15</v>
      </c>
      <c r="R417" s="982">
        <v>1</v>
      </c>
      <c r="S417" s="640">
        <v>1134.71</v>
      </c>
      <c r="T417" s="640">
        <v>2350</v>
      </c>
      <c r="U417" s="12"/>
      <c r="V417" s="12"/>
      <c r="W417" s="12"/>
      <c r="X417" s="12"/>
      <c r="Y417" s="12"/>
      <c r="Z417" s="12"/>
      <c r="AA417" s="641">
        <f t="shared" si="99"/>
        <v>3484.71</v>
      </c>
      <c r="AB417" s="979">
        <v>1000</v>
      </c>
      <c r="AC417" s="12"/>
      <c r="AE417" s="642">
        <f t="shared" si="100"/>
        <v>42816.520000000004</v>
      </c>
      <c r="AF417" s="643">
        <f t="shared" si="101"/>
        <v>42816.520000000004</v>
      </c>
      <c r="AG417" s="17"/>
      <c r="AH417" s="16"/>
      <c r="AI417" s="982">
        <v>1</v>
      </c>
      <c r="AJ417" s="643">
        <v>4484.71</v>
      </c>
    </row>
    <row r="418" spans="1:36" ht="12.75">
      <c r="A418" s="981" t="s">
        <v>15</v>
      </c>
      <c r="B418" s="982">
        <v>1</v>
      </c>
      <c r="C418" s="640">
        <v>834.94</v>
      </c>
      <c r="D418" s="640">
        <v>2050</v>
      </c>
      <c r="E418" s="12"/>
      <c r="F418" s="12"/>
      <c r="G418" s="12"/>
      <c r="H418" s="12"/>
      <c r="I418" s="12"/>
      <c r="J418" s="12"/>
      <c r="K418" s="641">
        <f t="shared" si="96"/>
        <v>2884.94</v>
      </c>
      <c r="L418" s="979">
        <v>1000</v>
      </c>
      <c r="M418" s="25"/>
      <c r="O418" s="642">
        <f t="shared" si="97"/>
        <v>35619.28</v>
      </c>
      <c r="P418" s="643">
        <f t="shared" si="98"/>
        <v>35619.28</v>
      </c>
      <c r="Q418" s="981" t="s">
        <v>15</v>
      </c>
      <c r="R418" s="982">
        <v>1</v>
      </c>
      <c r="S418" s="640">
        <v>834.94</v>
      </c>
      <c r="T418" s="640">
        <v>2050</v>
      </c>
      <c r="U418" s="12"/>
      <c r="V418" s="12"/>
      <c r="W418" s="12"/>
      <c r="X418" s="12"/>
      <c r="Y418" s="12"/>
      <c r="Z418" s="12"/>
      <c r="AA418" s="641">
        <f t="shared" si="99"/>
        <v>2884.94</v>
      </c>
      <c r="AB418" s="979">
        <v>1000</v>
      </c>
      <c r="AC418" s="12"/>
      <c r="AE418" s="642">
        <f t="shared" si="100"/>
        <v>35619.28</v>
      </c>
      <c r="AF418" s="643">
        <f t="shared" si="101"/>
        <v>35619.28</v>
      </c>
      <c r="AG418" s="17"/>
      <c r="AH418" s="16"/>
      <c r="AI418" s="982">
        <v>1</v>
      </c>
      <c r="AJ418" s="643">
        <v>3884.94</v>
      </c>
    </row>
    <row r="419" spans="1:36" ht="12.75">
      <c r="A419" s="981" t="s">
        <v>580</v>
      </c>
      <c r="B419" s="982">
        <v>3</v>
      </c>
      <c r="C419" s="640">
        <v>1251.7</v>
      </c>
      <c r="D419" s="640">
        <v>2350</v>
      </c>
      <c r="E419" s="12"/>
      <c r="F419" s="12"/>
      <c r="G419" s="12"/>
      <c r="H419" s="12"/>
      <c r="I419" s="12"/>
      <c r="J419" s="12"/>
      <c r="K419" s="641">
        <f t="shared" si="96"/>
        <v>3601.7</v>
      </c>
      <c r="L419" s="979">
        <v>1000</v>
      </c>
      <c r="M419" s="25"/>
      <c r="O419" s="642">
        <f t="shared" si="97"/>
        <v>44220.399999999994</v>
      </c>
      <c r="P419" s="643">
        <f t="shared" si="98"/>
        <v>132661.19999999998</v>
      </c>
      <c r="Q419" s="981" t="s">
        <v>580</v>
      </c>
      <c r="R419" s="982">
        <v>3</v>
      </c>
      <c r="S419" s="640">
        <v>1251.7</v>
      </c>
      <c r="T419" s="640">
        <v>2350</v>
      </c>
      <c r="U419" s="12"/>
      <c r="V419" s="12"/>
      <c r="W419" s="12"/>
      <c r="X419" s="12"/>
      <c r="Y419" s="12"/>
      <c r="Z419" s="12"/>
      <c r="AA419" s="641">
        <f t="shared" si="99"/>
        <v>3601.7</v>
      </c>
      <c r="AB419" s="979">
        <v>1000</v>
      </c>
      <c r="AC419" s="12"/>
      <c r="AE419" s="642">
        <f t="shared" si="100"/>
        <v>44220.399999999994</v>
      </c>
      <c r="AF419" s="643">
        <f t="shared" si="101"/>
        <v>132661.19999999998</v>
      </c>
      <c r="AG419" s="17"/>
      <c r="AH419" s="16"/>
      <c r="AI419" s="982">
        <v>3</v>
      </c>
      <c r="AJ419" s="643">
        <v>13805.099999999999</v>
      </c>
    </row>
    <row r="420" spans="1:36" ht="12.75">
      <c r="A420" s="981" t="s">
        <v>580</v>
      </c>
      <c r="B420" s="983">
        <v>1</v>
      </c>
      <c r="C420" s="640">
        <v>1096.54</v>
      </c>
      <c r="D420" s="640">
        <v>2200</v>
      </c>
      <c r="E420" s="12"/>
      <c r="F420" s="12"/>
      <c r="G420" s="12"/>
      <c r="H420" s="12"/>
      <c r="I420" s="12"/>
      <c r="J420" s="12"/>
      <c r="K420" s="641">
        <f t="shared" si="96"/>
        <v>3296.54</v>
      </c>
      <c r="L420" s="979">
        <v>1000</v>
      </c>
      <c r="M420" s="25"/>
      <c r="O420" s="642">
        <f t="shared" si="97"/>
        <v>40558.479999999996</v>
      </c>
      <c r="P420" s="643">
        <f t="shared" si="98"/>
        <v>40558.479999999996</v>
      </c>
      <c r="Q420" s="981" t="s">
        <v>580</v>
      </c>
      <c r="R420" s="983">
        <v>1</v>
      </c>
      <c r="S420" s="640">
        <v>1096.54</v>
      </c>
      <c r="T420" s="640">
        <v>2200</v>
      </c>
      <c r="U420" s="12"/>
      <c r="V420" s="12"/>
      <c r="W420" s="12"/>
      <c r="X420" s="12"/>
      <c r="Y420" s="12"/>
      <c r="Z420" s="12"/>
      <c r="AA420" s="641">
        <f t="shared" si="99"/>
        <v>3296.54</v>
      </c>
      <c r="AB420" s="979">
        <v>1000</v>
      </c>
      <c r="AC420" s="12"/>
      <c r="AE420" s="642">
        <f t="shared" si="100"/>
        <v>40558.479999999996</v>
      </c>
      <c r="AF420" s="643">
        <f t="shared" si="101"/>
        <v>40558.479999999996</v>
      </c>
      <c r="AG420" s="17"/>
      <c r="AH420" s="16"/>
      <c r="AI420" s="983">
        <v>1</v>
      </c>
      <c r="AJ420" s="643">
        <v>4296.54</v>
      </c>
    </row>
    <row r="421" spans="1:36" ht="12.75">
      <c r="A421" s="981" t="s">
        <v>580</v>
      </c>
      <c r="B421" s="983">
        <v>1</v>
      </c>
      <c r="C421" s="984">
        <v>855</v>
      </c>
      <c r="D421" s="640">
        <v>2050</v>
      </c>
      <c r="E421" s="12"/>
      <c r="F421" s="12"/>
      <c r="G421" s="12"/>
      <c r="H421" s="12"/>
      <c r="I421" s="12"/>
      <c r="J421" s="12"/>
      <c r="K421" s="641">
        <f t="shared" si="96"/>
        <v>2905</v>
      </c>
      <c r="L421" s="979">
        <v>1000</v>
      </c>
      <c r="M421" s="25"/>
      <c r="O421" s="642">
        <f t="shared" si="97"/>
        <v>35860</v>
      </c>
      <c r="P421" s="643">
        <f t="shared" si="98"/>
        <v>35860</v>
      </c>
      <c r="Q421" s="981" t="s">
        <v>580</v>
      </c>
      <c r="R421" s="983">
        <v>1</v>
      </c>
      <c r="S421" s="984">
        <v>855</v>
      </c>
      <c r="T421" s="640">
        <v>2050</v>
      </c>
      <c r="U421" s="12"/>
      <c r="V421" s="12"/>
      <c r="W421" s="12"/>
      <c r="X421" s="12"/>
      <c r="Y421" s="12"/>
      <c r="Z421" s="12"/>
      <c r="AA421" s="641">
        <f t="shared" si="99"/>
        <v>2905</v>
      </c>
      <c r="AB421" s="979">
        <v>1000</v>
      </c>
      <c r="AC421" s="12"/>
      <c r="AE421" s="642">
        <f t="shared" si="100"/>
        <v>35860</v>
      </c>
      <c r="AF421" s="643">
        <f t="shared" si="101"/>
        <v>35860</v>
      </c>
      <c r="AG421" s="17"/>
      <c r="AH421" s="16"/>
      <c r="AI421" s="983">
        <v>1</v>
      </c>
      <c r="AJ421" s="643">
        <v>4146.54</v>
      </c>
    </row>
    <row r="422" spans="1:36" ht="12.75">
      <c r="A422" s="977"/>
      <c r="B422" s="978"/>
      <c r="C422" s="640"/>
      <c r="D422" s="640"/>
      <c r="E422" s="12"/>
      <c r="F422" s="12"/>
      <c r="G422" s="12"/>
      <c r="H422" s="12"/>
      <c r="I422" s="12"/>
      <c r="J422" s="12"/>
      <c r="K422" s="9"/>
      <c r="L422" s="25"/>
      <c r="M422" s="25"/>
      <c r="O422" s="44"/>
      <c r="P422" s="17"/>
      <c r="Q422" s="977"/>
      <c r="R422" s="978"/>
      <c r="S422" s="640"/>
      <c r="T422" s="640"/>
      <c r="U422" s="12"/>
      <c r="V422" s="12"/>
      <c r="W422" s="12"/>
      <c r="X422" s="12"/>
      <c r="Y422" s="12"/>
      <c r="Z422" s="12"/>
      <c r="AA422" s="9"/>
      <c r="AB422" s="25"/>
      <c r="AC422" s="12"/>
      <c r="AE422" s="44"/>
      <c r="AF422" s="17"/>
      <c r="AG422" s="17"/>
      <c r="AH422" s="16"/>
      <c r="AI422" s="978"/>
      <c r="AJ422" s="17"/>
    </row>
    <row r="423" spans="1:36" ht="12">
      <c r="A423" s="943" t="s">
        <v>5</v>
      </c>
      <c r="B423" s="943"/>
      <c r="C423" s="640"/>
      <c r="D423" s="640"/>
      <c r="E423" s="12"/>
      <c r="F423" s="12"/>
      <c r="G423" s="12"/>
      <c r="H423" s="12"/>
      <c r="I423" s="12"/>
      <c r="J423" s="12"/>
      <c r="K423" s="9"/>
      <c r="L423" s="25"/>
      <c r="M423" s="25"/>
      <c r="O423" s="44"/>
      <c r="P423" s="17"/>
      <c r="Q423" s="943" t="s">
        <v>5</v>
      </c>
      <c r="R423" s="943"/>
      <c r="S423" s="640"/>
      <c r="T423" s="640"/>
      <c r="U423" s="12"/>
      <c r="V423" s="12"/>
      <c r="W423" s="12"/>
      <c r="X423" s="12"/>
      <c r="Y423" s="12"/>
      <c r="Z423" s="12"/>
      <c r="AA423" s="9"/>
      <c r="AB423" s="25"/>
      <c r="AC423" s="12"/>
      <c r="AE423" s="44"/>
      <c r="AF423" s="17"/>
      <c r="AG423" s="17"/>
      <c r="AH423" s="16"/>
      <c r="AI423" s="943"/>
      <c r="AJ423" s="17"/>
    </row>
    <row r="424" spans="1:36" ht="12">
      <c r="A424" s="981" t="s">
        <v>16</v>
      </c>
      <c r="B424" s="985"/>
      <c r="C424" s="640"/>
      <c r="D424" s="640"/>
      <c r="E424" s="12"/>
      <c r="F424" s="12"/>
      <c r="G424" s="12"/>
      <c r="H424" s="12"/>
      <c r="I424" s="12"/>
      <c r="J424" s="12"/>
      <c r="K424" s="9"/>
      <c r="L424" s="25"/>
      <c r="M424" s="25"/>
      <c r="O424" s="44"/>
      <c r="P424" s="17"/>
      <c r="Q424" s="981" t="s">
        <v>16</v>
      </c>
      <c r="R424" s="985"/>
      <c r="S424" s="640"/>
      <c r="T424" s="640"/>
      <c r="U424" s="12"/>
      <c r="V424" s="12"/>
      <c r="W424" s="12"/>
      <c r="X424" s="12"/>
      <c r="Y424" s="12"/>
      <c r="Z424" s="12"/>
      <c r="AA424" s="9"/>
      <c r="AB424" s="25"/>
      <c r="AC424" s="12"/>
      <c r="AE424" s="44"/>
      <c r="AF424" s="17"/>
      <c r="AG424" s="17"/>
      <c r="AH424" s="16"/>
      <c r="AI424" s="985"/>
      <c r="AJ424" s="17"/>
    </row>
    <row r="425" spans="1:36" ht="12.75">
      <c r="A425" s="981" t="s">
        <v>569</v>
      </c>
      <c r="B425" s="983">
        <v>4</v>
      </c>
      <c r="C425" s="640">
        <v>855</v>
      </c>
      <c r="D425" s="640">
        <v>2000</v>
      </c>
      <c r="E425" s="12"/>
      <c r="F425" s="12"/>
      <c r="G425" s="12"/>
      <c r="H425" s="12"/>
      <c r="I425" s="12"/>
      <c r="J425" s="12"/>
      <c r="K425" s="641">
        <f aca="true" t="shared" si="102" ref="K425:K435">C425+D425</f>
        <v>2855</v>
      </c>
      <c r="L425" s="979">
        <v>1000</v>
      </c>
      <c r="M425" s="25"/>
      <c r="O425" s="642">
        <f aca="true" t="shared" si="103" ref="O425:O435">K425*12+L425</f>
        <v>35260</v>
      </c>
      <c r="P425" s="643">
        <f aca="true" t="shared" si="104" ref="P425:P435">O425*B425</f>
        <v>141040</v>
      </c>
      <c r="Q425" s="981" t="s">
        <v>569</v>
      </c>
      <c r="R425" s="983">
        <v>4</v>
      </c>
      <c r="S425" s="640">
        <v>855</v>
      </c>
      <c r="T425" s="640">
        <v>2000</v>
      </c>
      <c r="U425" s="12"/>
      <c r="V425" s="12"/>
      <c r="W425" s="12"/>
      <c r="X425" s="12"/>
      <c r="Y425" s="12"/>
      <c r="Z425" s="12"/>
      <c r="AA425" s="641">
        <f aca="true" t="shared" si="105" ref="AA425:AA435">S425+T425</f>
        <v>2855</v>
      </c>
      <c r="AB425" s="979">
        <v>1000</v>
      </c>
      <c r="AC425" s="12"/>
      <c r="AE425" s="642">
        <f aca="true" t="shared" si="106" ref="AE425:AE435">AA425*12+AB425</f>
        <v>35260</v>
      </c>
      <c r="AF425" s="643">
        <f aca="true" t="shared" si="107" ref="AF425:AF435">AE425*R425</f>
        <v>141040</v>
      </c>
      <c r="AG425" s="17"/>
      <c r="AH425" s="16"/>
      <c r="AI425" s="983">
        <v>4</v>
      </c>
      <c r="AJ425" s="643">
        <v>15420</v>
      </c>
    </row>
    <row r="426" spans="1:36" ht="12.75">
      <c r="A426" s="981" t="s">
        <v>569</v>
      </c>
      <c r="B426" s="983">
        <v>2</v>
      </c>
      <c r="C426" s="640">
        <v>855</v>
      </c>
      <c r="D426" s="640">
        <v>1770</v>
      </c>
      <c r="E426" s="12"/>
      <c r="F426" s="12"/>
      <c r="G426" s="12"/>
      <c r="H426" s="12"/>
      <c r="I426" s="12"/>
      <c r="J426" s="12"/>
      <c r="K426" s="641">
        <f t="shared" si="102"/>
        <v>2625</v>
      </c>
      <c r="L426" s="979">
        <v>1000</v>
      </c>
      <c r="M426" s="25"/>
      <c r="O426" s="642">
        <f t="shared" si="103"/>
        <v>32500</v>
      </c>
      <c r="P426" s="643">
        <f t="shared" si="104"/>
        <v>65000</v>
      </c>
      <c r="Q426" s="981" t="s">
        <v>569</v>
      </c>
      <c r="R426" s="983">
        <v>2</v>
      </c>
      <c r="S426" s="640">
        <v>855</v>
      </c>
      <c r="T426" s="640">
        <v>1770</v>
      </c>
      <c r="U426" s="12"/>
      <c r="V426" s="12"/>
      <c r="W426" s="12"/>
      <c r="X426" s="12"/>
      <c r="Y426" s="12"/>
      <c r="Z426" s="12"/>
      <c r="AA426" s="641">
        <f t="shared" si="105"/>
        <v>2625</v>
      </c>
      <c r="AB426" s="979">
        <v>1000</v>
      </c>
      <c r="AC426" s="12"/>
      <c r="AE426" s="642">
        <f t="shared" si="106"/>
        <v>32500</v>
      </c>
      <c r="AF426" s="643">
        <f t="shared" si="107"/>
        <v>65000</v>
      </c>
      <c r="AG426" s="17"/>
      <c r="AH426" s="16"/>
      <c r="AI426" s="983">
        <v>2</v>
      </c>
      <c r="AJ426" s="643">
        <v>7250</v>
      </c>
    </row>
    <row r="427" spans="1:36" ht="12.75">
      <c r="A427" s="981" t="s">
        <v>569</v>
      </c>
      <c r="B427" s="983">
        <v>2</v>
      </c>
      <c r="C427" s="640">
        <v>855</v>
      </c>
      <c r="D427" s="640">
        <v>1760</v>
      </c>
      <c r="E427" s="12"/>
      <c r="F427" s="12"/>
      <c r="G427" s="12"/>
      <c r="H427" s="12"/>
      <c r="I427" s="12"/>
      <c r="J427" s="12"/>
      <c r="K427" s="641">
        <f t="shared" si="102"/>
        <v>2615</v>
      </c>
      <c r="L427" s="979">
        <v>1000</v>
      </c>
      <c r="M427" s="25"/>
      <c r="O427" s="642">
        <f t="shared" si="103"/>
        <v>32380</v>
      </c>
      <c r="P427" s="643">
        <f t="shared" si="104"/>
        <v>64760</v>
      </c>
      <c r="Q427" s="981" t="s">
        <v>569</v>
      </c>
      <c r="R427" s="983">
        <v>2</v>
      </c>
      <c r="S427" s="640">
        <v>855</v>
      </c>
      <c r="T427" s="640">
        <v>1760</v>
      </c>
      <c r="U427" s="12"/>
      <c r="V427" s="12"/>
      <c r="W427" s="12"/>
      <c r="X427" s="12"/>
      <c r="Y427" s="12"/>
      <c r="Z427" s="12"/>
      <c r="AA427" s="641">
        <f t="shared" si="105"/>
        <v>2615</v>
      </c>
      <c r="AB427" s="979">
        <v>1000</v>
      </c>
      <c r="AC427" s="12"/>
      <c r="AE427" s="642">
        <f t="shared" si="106"/>
        <v>32380</v>
      </c>
      <c r="AF427" s="643">
        <f t="shared" si="107"/>
        <v>64760</v>
      </c>
      <c r="AG427" s="17"/>
      <c r="AH427" s="16"/>
      <c r="AI427" s="983">
        <v>2</v>
      </c>
      <c r="AJ427" s="643">
        <v>7230</v>
      </c>
    </row>
    <row r="428" spans="1:36" ht="12.75">
      <c r="A428" s="981" t="s">
        <v>570</v>
      </c>
      <c r="B428" s="983">
        <v>6</v>
      </c>
      <c r="C428" s="640">
        <v>1067.73</v>
      </c>
      <c r="D428" s="640">
        <v>2000</v>
      </c>
      <c r="E428" s="12"/>
      <c r="F428" s="12"/>
      <c r="G428" s="12"/>
      <c r="H428" s="12"/>
      <c r="I428" s="12"/>
      <c r="J428" s="12"/>
      <c r="K428" s="641">
        <f t="shared" si="102"/>
        <v>3067.73</v>
      </c>
      <c r="L428" s="979">
        <v>1000</v>
      </c>
      <c r="M428" s="25"/>
      <c r="O428" s="642">
        <f t="shared" si="103"/>
        <v>37812.76</v>
      </c>
      <c r="P428" s="643">
        <f t="shared" si="104"/>
        <v>226876.56</v>
      </c>
      <c r="Q428" s="981" t="s">
        <v>570</v>
      </c>
      <c r="R428" s="983">
        <v>6</v>
      </c>
      <c r="S428" s="640">
        <v>1067.73</v>
      </c>
      <c r="T428" s="640">
        <v>2000</v>
      </c>
      <c r="U428" s="12"/>
      <c r="V428" s="12"/>
      <c r="W428" s="12"/>
      <c r="X428" s="12"/>
      <c r="Y428" s="12"/>
      <c r="Z428" s="12"/>
      <c r="AA428" s="641">
        <f t="shared" si="105"/>
        <v>3067.73</v>
      </c>
      <c r="AB428" s="979">
        <v>1000</v>
      </c>
      <c r="AC428" s="12"/>
      <c r="AE428" s="642">
        <f t="shared" si="106"/>
        <v>37812.76</v>
      </c>
      <c r="AF428" s="643">
        <f t="shared" si="107"/>
        <v>226876.56</v>
      </c>
      <c r="AG428" s="17"/>
      <c r="AH428" s="16"/>
      <c r="AI428" s="983">
        <v>6</v>
      </c>
      <c r="AJ428" s="643">
        <v>24406.38</v>
      </c>
    </row>
    <row r="429" spans="1:36" ht="12.75">
      <c r="A429" s="981" t="s">
        <v>570</v>
      </c>
      <c r="B429" s="982">
        <v>2</v>
      </c>
      <c r="C429" s="640">
        <v>1001.03</v>
      </c>
      <c r="D429" s="640">
        <v>1760</v>
      </c>
      <c r="E429" s="12"/>
      <c r="F429" s="12"/>
      <c r="G429" s="12"/>
      <c r="H429" s="12"/>
      <c r="I429" s="12"/>
      <c r="J429" s="12"/>
      <c r="K429" s="641">
        <f t="shared" si="102"/>
        <v>2761.0299999999997</v>
      </c>
      <c r="L429" s="979">
        <v>1000</v>
      </c>
      <c r="M429" s="25"/>
      <c r="O429" s="642">
        <f t="shared" si="103"/>
        <v>34132.36</v>
      </c>
      <c r="P429" s="643">
        <f t="shared" si="104"/>
        <v>68264.72</v>
      </c>
      <c r="Q429" s="981" t="s">
        <v>570</v>
      </c>
      <c r="R429" s="982">
        <v>2</v>
      </c>
      <c r="S429" s="640">
        <v>1001.03</v>
      </c>
      <c r="T429" s="640">
        <v>1760</v>
      </c>
      <c r="U429" s="12"/>
      <c r="V429" s="12"/>
      <c r="W429" s="12"/>
      <c r="X429" s="12"/>
      <c r="Y429" s="12"/>
      <c r="Z429" s="12"/>
      <c r="AA429" s="641">
        <f t="shared" si="105"/>
        <v>2761.0299999999997</v>
      </c>
      <c r="AB429" s="979">
        <v>1000</v>
      </c>
      <c r="AC429" s="12"/>
      <c r="AE429" s="642">
        <f t="shared" si="106"/>
        <v>34132.36</v>
      </c>
      <c r="AF429" s="643">
        <f t="shared" si="107"/>
        <v>68264.72</v>
      </c>
      <c r="AG429" s="17"/>
      <c r="AH429" s="16"/>
      <c r="AI429" s="982">
        <v>2</v>
      </c>
      <c r="AJ429" s="643">
        <v>7522.0599999999995</v>
      </c>
    </row>
    <row r="430" spans="1:36" ht="12.75">
      <c r="A430" s="981" t="s">
        <v>570</v>
      </c>
      <c r="B430" s="982">
        <v>2</v>
      </c>
      <c r="C430" s="640">
        <v>859.71</v>
      </c>
      <c r="D430" s="640">
        <v>1770</v>
      </c>
      <c r="E430" s="12"/>
      <c r="F430" s="12"/>
      <c r="G430" s="12"/>
      <c r="H430" s="12"/>
      <c r="I430" s="12"/>
      <c r="J430" s="12"/>
      <c r="K430" s="641">
        <f t="shared" si="102"/>
        <v>2629.71</v>
      </c>
      <c r="L430" s="979">
        <v>1000</v>
      </c>
      <c r="M430" s="25"/>
      <c r="O430" s="642">
        <f t="shared" si="103"/>
        <v>32556.52</v>
      </c>
      <c r="P430" s="643">
        <f t="shared" si="104"/>
        <v>65113.04</v>
      </c>
      <c r="Q430" s="981" t="s">
        <v>570</v>
      </c>
      <c r="R430" s="982">
        <v>2</v>
      </c>
      <c r="S430" s="640">
        <v>859.71</v>
      </c>
      <c r="T430" s="640">
        <v>1770</v>
      </c>
      <c r="U430" s="12"/>
      <c r="V430" s="12"/>
      <c r="W430" s="12"/>
      <c r="X430" s="12"/>
      <c r="Y430" s="12"/>
      <c r="Z430" s="12"/>
      <c r="AA430" s="641">
        <f t="shared" si="105"/>
        <v>2629.71</v>
      </c>
      <c r="AB430" s="979">
        <v>1000</v>
      </c>
      <c r="AC430" s="12"/>
      <c r="AE430" s="642">
        <f t="shared" si="106"/>
        <v>32556.52</v>
      </c>
      <c r="AF430" s="643">
        <f t="shared" si="107"/>
        <v>65113.04</v>
      </c>
      <c r="AG430" s="17"/>
      <c r="AH430" s="16"/>
      <c r="AI430" s="982">
        <v>2</v>
      </c>
      <c r="AJ430" s="643">
        <v>7259.42</v>
      </c>
    </row>
    <row r="431" spans="1:36" ht="12.75">
      <c r="A431" s="981" t="s">
        <v>571</v>
      </c>
      <c r="B431" s="982">
        <v>16</v>
      </c>
      <c r="C431" s="640">
        <v>1046.54</v>
      </c>
      <c r="D431" s="640">
        <v>2000</v>
      </c>
      <c r="E431" s="12"/>
      <c r="F431" s="12"/>
      <c r="G431" s="12"/>
      <c r="H431" s="12"/>
      <c r="I431" s="12"/>
      <c r="J431" s="12"/>
      <c r="K431" s="641">
        <f t="shared" si="102"/>
        <v>3046.54</v>
      </c>
      <c r="L431" s="979">
        <v>1000</v>
      </c>
      <c r="M431" s="25"/>
      <c r="O431" s="642">
        <f t="shared" si="103"/>
        <v>37558.479999999996</v>
      </c>
      <c r="P431" s="643">
        <f t="shared" si="104"/>
        <v>600935.6799999999</v>
      </c>
      <c r="Q431" s="981" t="s">
        <v>571</v>
      </c>
      <c r="R431" s="982">
        <v>16</v>
      </c>
      <c r="S431" s="640">
        <v>1046.54</v>
      </c>
      <c r="T431" s="640">
        <v>2000</v>
      </c>
      <c r="U431" s="12"/>
      <c r="V431" s="12"/>
      <c r="W431" s="12"/>
      <c r="X431" s="12"/>
      <c r="Y431" s="12"/>
      <c r="Z431" s="12"/>
      <c r="AA431" s="641">
        <f t="shared" si="105"/>
        <v>3046.54</v>
      </c>
      <c r="AB431" s="979">
        <v>1000</v>
      </c>
      <c r="AC431" s="12"/>
      <c r="AE431" s="642">
        <f t="shared" si="106"/>
        <v>37558.479999999996</v>
      </c>
      <c r="AF431" s="643">
        <f t="shared" si="107"/>
        <v>600935.6799999999</v>
      </c>
      <c r="AG431" s="17"/>
      <c r="AH431" s="16"/>
      <c r="AI431" s="982">
        <v>16</v>
      </c>
      <c r="AJ431" s="643">
        <v>64744.64</v>
      </c>
    </row>
    <row r="432" spans="1:36" ht="12.75">
      <c r="A432" s="981" t="s">
        <v>571</v>
      </c>
      <c r="B432" s="982">
        <v>4</v>
      </c>
      <c r="C432" s="640">
        <v>855</v>
      </c>
      <c r="D432" s="640">
        <v>1760</v>
      </c>
      <c r="E432" s="12"/>
      <c r="F432" s="12"/>
      <c r="G432" s="12"/>
      <c r="H432" s="12"/>
      <c r="I432" s="12"/>
      <c r="J432" s="12"/>
      <c r="K432" s="641">
        <f t="shared" si="102"/>
        <v>2615</v>
      </c>
      <c r="L432" s="979">
        <v>1000</v>
      </c>
      <c r="M432" s="25"/>
      <c r="O432" s="642">
        <f t="shared" si="103"/>
        <v>32380</v>
      </c>
      <c r="P432" s="643">
        <f t="shared" si="104"/>
        <v>129520</v>
      </c>
      <c r="Q432" s="981" t="s">
        <v>571</v>
      </c>
      <c r="R432" s="982">
        <v>4</v>
      </c>
      <c r="S432" s="640">
        <v>855</v>
      </c>
      <c r="T432" s="640">
        <v>1760</v>
      </c>
      <c r="U432" s="12"/>
      <c r="V432" s="12"/>
      <c r="W432" s="12"/>
      <c r="X432" s="12"/>
      <c r="Y432" s="12"/>
      <c r="Z432" s="12"/>
      <c r="AA432" s="641">
        <f t="shared" si="105"/>
        <v>2615</v>
      </c>
      <c r="AB432" s="979">
        <v>1000</v>
      </c>
      <c r="AC432" s="12"/>
      <c r="AE432" s="642">
        <f t="shared" si="106"/>
        <v>32380</v>
      </c>
      <c r="AF432" s="643">
        <f t="shared" si="107"/>
        <v>129520</v>
      </c>
      <c r="AG432" s="17"/>
      <c r="AH432" s="16"/>
      <c r="AI432" s="982">
        <v>4</v>
      </c>
      <c r="AJ432" s="643">
        <v>14460</v>
      </c>
    </row>
    <row r="433" spans="1:36" ht="12.75">
      <c r="A433" s="981" t="s">
        <v>17</v>
      </c>
      <c r="B433" s="982">
        <v>8</v>
      </c>
      <c r="C433" s="640">
        <v>980.62</v>
      </c>
      <c r="D433" s="640">
        <v>2000</v>
      </c>
      <c r="E433" s="12"/>
      <c r="F433" s="12"/>
      <c r="G433" s="12"/>
      <c r="H433" s="12"/>
      <c r="I433" s="12"/>
      <c r="J433" s="12"/>
      <c r="K433" s="641">
        <f t="shared" si="102"/>
        <v>2980.62</v>
      </c>
      <c r="L433" s="979">
        <v>1000</v>
      </c>
      <c r="M433" s="25"/>
      <c r="O433" s="642">
        <f t="shared" si="103"/>
        <v>36767.44</v>
      </c>
      <c r="P433" s="643">
        <f t="shared" si="104"/>
        <v>294139.52</v>
      </c>
      <c r="Q433" s="981" t="s">
        <v>17</v>
      </c>
      <c r="R433" s="982">
        <v>8</v>
      </c>
      <c r="S433" s="640">
        <v>980.62</v>
      </c>
      <c r="T433" s="640">
        <v>2000</v>
      </c>
      <c r="U433" s="12"/>
      <c r="V433" s="12"/>
      <c r="W433" s="12"/>
      <c r="X433" s="12"/>
      <c r="Y433" s="12"/>
      <c r="Z433" s="12"/>
      <c r="AA433" s="641">
        <f t="shared" si="105"/>
        <v>2980.62</v>
      </c>
      <c r="AB433" s="979">
        <v>1000</v>
      </c>
      <c r="AC433" s="12"/>
      <c r="AE433" s="642">
        <f t="shared" si="106"/>
        <v>36767.44</v>
      </c>
      <c r="AF433" s="643">
        <f t="shared" si="107"/>
        <v>294139.52</v>
      </c>
      <c r="AG433" s="17"/>
      <c r="AH433" s="16"/>
      <c r="AI433" s="982">
        <v>8</v>
      </c>
      <c r="AJ433" s="643">
        <v>31844.96</v>
      </c>
    </row>
    <row r="434" spans="1:36" ht="12.75">
      <c r="A434" s="981" t="s">
        <v>581</v>
      </c>
      <c r="B434" s="982">
        <v>1</v>
      </c>
      <c r="C434" s="640">
        <v>820.2</v>
      </c>
      <c r="D434" s="640">
        <v>2000</v>
      </c>
      <c r="E434" s="12"/>
      <c r="F434" s="12"/>
      <c r="G434" s="12"/>
      <c r="H434" s="12"/>
      <c r="I434" s="12"/>
      <c r="J434" s="12"/>
      <c r="K434" s="641">
        <f t="shared" si="102"/>
        <v>2820.2</v>
      </c>
      <c r="L434" s="979">
        <v>1000</v>
      </c>
      <c r="M434" s="25"/>
      <c r="O434" s="642">
        <f t="shared" si="103"/>
        <v>34842.399999999994</v>
      </c>
      <c r="P434" s="643">
        <f t="shared" si="104"/>
        <v>34842.399999999994</v>
      </c>
      <c r="Q434" s="981" t="s">
        <v>581</v>
      </c>
      <c r="R434" s="982">
        <v>1</v>
      </c>
      <c r="S434" s="640">
        <v>820.2</v>
      </c>
      <c r="T434" s="640">
        <v>2000</v>
      </c>
      <c r="U434" s="12"/>
      <c r="V434" s="12"/>
      <c r="W434" s="12"/>
      <c r="X434" s="12"/>
      <c r="Y434" s="12"/>
      <c r="Z434" s="12"/>
      <c r="AA434" s="641">
        <f t="shared" si="105"/>
        <v>2820.2</v>
      </c>
      <c r="AB434" s="979">
        <v>1000</v>
      </c>
      <c r="AC434" s="12"/>
      <c r="AE434" s="642">
        <f t="shared" si="106"/>
        <v>34842.399999999994</v>
      </c>
      <c r="AF434" s="643">
        <f t="shared" si="107"/>
        <v>34842.399999999994</v>
      </c>
      <c r="AG434" s="17"/>
      <c r="AH434" s="16"/>
      <c r="AI434" s="982">
        <v>1</v>
      </c>
      <c r="AJ434" s="643">
        <v>3820.2</v>
      </c>
    </row>
    <row r="435" spans="1:36" ht="12.75">
      <c r="A435" s="981" t="s">
        <v>581</v>
      </c>
      <c r="B435" s="982">
        <v>1</v>
      </c>
      <c r="C435" s="640">
        <v>853</v>
      </c>
      <c r="D435" s="640">
        <v>1770</v>
      </c>
      <c r="E435" s="12"/>
      <c r="F435" s="12"/>
      <c r="G435" s="12"/>
      <c r="H435" s="12"/>
      <c r="I435" s="12"/>
      <c r="J435" s="12"/>
      <c r="K435" s="641">
        <f t="shared" si="102"/>
        <v>2623</v>
      </c>
      <c r="L435" s="979">
        <v>1000</v>
      </c>
      <c r="M435" s="25"/>
      <c r="O435" s="642">
        <f t="shared" si="103"/>
        <v>32476</v>
      </c>
      <c r="P435" s="643">
        <f t="shared" si="104"/>
        <v>32476</v>
      </c>
      <c r="Q435" s="981" t="s">
        <v>581</v>
      </c>
      <c r="R435" s="982">
        <v>1</v>
      </c>
      <c r="S435" s="640">
        <v>853</v>
      </c>
      <c r="T435" s="640">
        <v>1770</v>
      </c>
      <c r="U435" s="12"/>
      <c r="V435" s="12"/>
      <c r="W435" s="12"/>
      <c r="X435" s="12"/>
      <c r="Y435" s="12"/>
      <c r="Z435" s="12"/>
      <c r="AA435" s="641">
        <f t="shared" si="105"/>
        <v>2623</v>
      </c>
      <c r="AB435" s="979">
        <v>1000</v>
      </c>
      <c r="AC435" s="12"/>
      <c r="AE435" s="642">
        <f t="shared" si="106"/>
        <v>32476</v>
      </c>
      <c r="AF435" s="643">
        <f t="shared" si="107"/>
        <v>32476</v>
      </c>
      <c r="AG435" s="17"/>
      <c r="AH435" s="16"/>
      <c r="AI435" s="982">
        <v>1</v>
      </c>
      <c r="AJ435" s="643">
        <v>3623</v>
      </c>
    </row>
    <row r="436" spans="1:36" ht="12">
      <c r="A436" s="977"/>
      <c r="B436" s="976"/>
      <c r="C436" s="12"/>
      <c r="D436" s="640"/>
      <c r="E436" s="12"/>
      <c r="F436" s="12"/>
      <c r="G436" s="12"/>
      <c r="H436" s="12"/>
      <c r="I436" s="12"/>
      <c r="J436" s="12"/>
      <c r="K436" s="9"/>
      <c r="L436" s="25"/>
      <c r="M436" s="25"/>
      <c r="O436" s="44"/>
      <c r="P436" s="17"/>
      <c r="Q436" s="977"/>
      <c r="R436" s="976"/>
      <c r="S436" s="12"/>
      <c r="T436" s="640"/>
      <c r="U436" s="12"/>
      <c r="V436" s="12"/>
      <c r="W436" s="12"/>
      <c r="X436" s="12"/>
      <c r="Y436" s="12"/>
      <c r="Z436" s="12"/>
      <c r="AA436" s="9"/>
      <c r="AB436" s="25"/>
      <c r="AC436" s="12"/>
      <c r="AE436" s="44"/>
      <c r="AF436" s="17"/>
      <c r="AG436" s="17"/>
      <c r="AH436" s="16"/>
      <c r="AI436" s="976"/>
      <c r="AJ436" s="17"/>
    </row>
    <row r="437" spans="1:36" ht="12">
      <c r="A437" s="986" t="s">
        <v>2551</v>
      </c>
      <c r="B437" s="987">
        <v>84</v>
      </c>
      <c r="C437" s="988"/>
      <c r="D437" s="989"/>
      <c r="E437" s="988"/>
      <c r="F437" s="988"/>
      <c r="G437" s="988"/>
      <c r="H437" s="988"/>
      <c r="I437" s="988"/>
      <c r="J437" s="988"/>
      <c r="K437" s="990"/>
      <c r="L437" s="991"/>
      <c r="M437" s="991"/>
      <c r="N437" s="992"/>
      <c r="O437" s="993"/>
      <c r="P437" s="994"/>
      <c r="Q437" s="986" t="s">
        <v>2551</v>
      </c>
      <c r="R437" s="987">
        <v>84</v>
      </c>
      <c r="S437" s="988"/>
      <c r="T437" s="989"/>
      <c r="U437" s="988"/>
      <c r="V437" s="988"/>
      <c r="W437" s="988"/>
      <c r="X437" s="988"/>
      <c r="Y437" s="988"/>
      <c r="Z437" s="988"/>
      <c r="AA437" s="990"/>
      <c r="AB437" s="991"/>
      <c r="AC437" s="988"/>
      <c r="AD437" s="992"/>
      <c r="AE437" s="993"/>
      <c r="AF437" s="994"/>
      <c r="AG437" s="994"/>
      <c r="AH437" s="995"/>
      <c r="AI437" s="996"/>
      <c r="AJ437" s="994"/>
    </row>
    <row r="438" spans="1:36" ht="12">
      <c r="A438" s="997" t="s">
        <v>56</v>
      </c>
      <c r="B438" s="998"/>
      <c r="C438" s="999"/>
      <c r="D438" s="999"/>
      <c r="E438" s="999"/>
      <c r="F438" s="999"/>
      <c r="G438" s="999"/>
      <c r="H438" s="999"/>
      <c r="I438" s="999"/>
      <c r="J438" s="999"/>
      <c r="K438" s="1000"/>
      <c r="L438" s="1001"/>
      <c r="M438" s="1001"/>
      <c r="N438" s="1002"/>
      <c r="O438" s="1003"/>
      <c r="P438" s="1004"/>
      <c r="Q438" s="997" t="s">
        <v>56</v>
      </c>
      <c r="R438" s="998"/>
      <c r="S438" s="999"/>
      <c r="T438" s="999"/>
      <c r="U438" s="999"/>
      <c r="V438" s="999"/>
      <c r="W438" s="999"/>
      <c r="X438" s="999"/>
      <c r="Y438" s="999"/>
      <c r="Z438" s="999"/>
      <c r="AA438" s="999"/>
      <c r="AB438" s="1001"/>
      <c r="AC438" s="999"/>
      <c r="AD438" s="1002"/>
      <c r="AE438" s="1003"/>
      <c r="AF438" s="1004"/>
      <c r="AG438" s="1004"/>
      <c r="AH438" s="1005"/>
      <c r="AI438" s="1004"/>
      <c r="AJ438" s="1005"/>
    </row>
    <row r="439" spans="1:36" ht="12">
      <c r="A439" s="1006" t="s">
        <v>1987</v>
      </c>
      <c r="B439" s="976"/>
      <c r="C439" s="640"/>
      <c r="D439" s="640"/>
      <c r="E439" s="640"/>
      <c r="F439" s="640"/>
      <c r="G439" s="640"/>
      <c r="H439" s="640"/>
      <c r="I439" s="640"/>
      <c r="J439" s="12"/>
      <c r="K439" s="641"/>
      <c r="L439" s="1007"/>
      <c r="M439" s="25"/>
      <c r="O439" s="642"/>
      <c r="P439" s="643"/>
      <c r="Q439" s="1006" t="s">
        <v>1987</v>
      </c>
      <c r="R439" s="976"/>
      <c r="S439" s="12"/>
      <c r="T439" s="12"/>
      <c r="U439" s="12"/>
      <c r="V439" s="12"/>
      <c r="W439" s="12"/>
      <c r="X439" s="12"/>
      <c r="Y439" s="12"/>
      <c r="Z439" s="12"/>
      <c r="AA439" s="12"/>
      <c r="AB439" s="25"/>
      <c r="AC439" s="12"/>
      <c r="AE439" s="44"/>
      <c r="AF439" s="17"/>
      <c r="AG439" s="17"/>
      <c r="AH439" s="16"/>
      <c r="AI439" s="17"/>
      <c r="AJ439" s="16"/>
    </row>
    <row r="440" spans="1:36" ht="14.25">
      <c r="A440" s="1008" t="s">
        <v>2552</v>
      </c>
      <c r="B440" s="1009" t="s">
        <v>2553</v>
      </c>
      <c r="C440" s="640">
        <v>6336</v>
      </c>
      <c r="D440" s="640"/>
      <c r="E440" s="640"/>
      <c r="F440" s="640"/>
      <c r="G440" s="640"/>
      <c r="H440" s="640"/>
      <c r="I440" s="640">
        <v>0</v>
      </c>
      <c r="J440" s="12"/>
      <c r="K440" s="641">
        <f aca="true" t="shared" si="108" ref="K440:K451">C440+I440</f>
        <v>6336</v>
      </c>
      <c r="L440" s="1007">
        <v>1000</v>
      </c>
      <c r="M440" s="25"/>
      <c r="O440" s="642">
        <f aca="true" t="shared" si="109" ref="O440:O467">K440+L440</f>
        <v>7336</v>
      </c>
      <c r="P440" s="643">
        <f aca="true" t="shared" si="110" ref="P440:P451">O440*B440</f>
        <v>14672</v>
      </c>
      <c r="Q440" s="1008" t="s">
        <v>2552</v>
      </c>
      <c r="R440" s="1009" t="s">
        <v>2553</v>
      </c>
      <c r="S440" s="640">
        <v>6336</v>
      </c>
      <c r="T440" s="640"/>
      <c r="U440" s="640"/>
      <c r="V440" s="640"/>
      <c r="W440" s="640"/>
      <c r="X440" s="640"/>
      <c r="Y440" s="640">
        <v>0</v>
      </c>
      <c r="Z440" s="12"/>
      <c r="AA440" s="641">
        <f>S440+Y440</f>
        <v>6336</v>
      </c>
      <c r="AB440" s="1007">
        <v>1000</v>
      </c>
      <c r="AC440" s="25"/>
      <c r="AE440" s="642">
        <f>AA440+AB440</f>
        <v>7336</v>
      </c>
      <c r="AF440" s="643">
        <f>AE440*R440</f>
        <v>14672</v>
      </c>
      <c r="AG440" s="17"/>
      <c r="AH440" s="16"/>
      <c r="AI440" s="17"/>
      <c r="AJ440" s="16"/>
    </row>
    <row r="441" spans="1:36" ht="14.25">
      <c r="A441" s="1008" t="s">
        <v>2554</v>
      </c>
      <c r="B441" s="1010">
        <v>12</v>
      </c>
      <c r="C441" s="640">
        <v>5932</v>
      </c>
      <c r="D441" s="640"/>
      <c r="E441" s="640"/>
      <c r="F441" s="640"/>
      <c r="G441" s="640"/>
      <c r="H441" s="640"/>
      <c r="I441" s="640">
        <v>1731.05</v>
      </c>
      <c r="J441" s="12"/>
      <c r="K441" s="641">
        <f t="shared" si="108"/>
        <v>7663.05</v>
      </c>
      <c r="L441" s="1007">
        <v>1001</v>
      </c>
      <c r="M441" s="25"/>
      <c r="O441" s="642">
        <f t="shared" si="109"/>
        <v>8664.05</v>
      </c>
      <c r="P441" s="643">
        <f t="shared" si="110"/>
        <v>103968.59999999999</v>
      </c>
      <c r="Q441" s="1008" t="s">
        <v>2554</v>
      </c>
      <c r="R441" s="1010">
        <v>12</v>
      </c>
      <c r="S441" s="640">
        <v>5932</v>
      </c>
      <c r="T441" s="640"/>
      <c r="U441" s="640"/>
      <c r="V441" s="640"/>
      <c r="W441" s="640"/>
      <c r="X441" s="640"/>
      <c r="Y441" s="640">
        <v>1731.05</v>
      </c>
      <c r="Z441" s="12"/>
      <c r="AA441" s="641">
        <f>S441+Y441</f>
        <v>7663.05</v>
      </c>
      <c r="AB441" s="1007">
        <v>1001</v>
      </c>
      <c r="AC441" s="25"/>
      <c r="AE441" s="642">
        <f>AA441+AB441</f>
        <v>8664.05</v>
      </c>
      <c r="AF441" s="643">
        <f>AE441*R441</f>
        <v>103968.59999999999</v>
      </c>
      <c r="AG441" s="17"/>
      <c r="AH441" s="16"/>
      <c r="AI441" s="17"/>
      <c r="AJ441" s="16"/>
    </row>
    <row r="442" spans="1:36" ht="14.25">
      <c r="A442" s="1008" t="s">
        <v>2555</v>
      </c>
      <c r="B442" s="1010">
        <v>18</v>
      </c>
      <c r="C442" s="640">
        <v>5532</v>
      </c>
      <c r="D442" s="640"/>
      <c r="E442" s="640"/>
      <c r="F442" s="640"/>
      <c r="G442" s="640"/>
      <c r="H442" s="640"/>
      <c r="I442" s="640">
        <v>1709.9</v>
      </c>
      <c r="J442" s="12"/>
      <c r="K442" s="641">
        <f t="shared" si="108"/>
        <v>7241.9</v>
      </c>
      <c r="L442" s="1007">
        <v>1000</v>
      </c>
      <c r="M442" s="25"/>
      <c r="O442" s="642">
        <f t="shared" si="109"/>
        <v>8241.9</v>
      </c>
      <c r="P442" s="643">
        <f t="shared" si="110"/>
        <v>148354.19999999998</v>
      </c>
      <c r="Q442" s="1008" t="s">
        <v>2555</v>
      </c>
      <c r="R442" s="1010">
        <v>18</v>
      </c>
      <c r="S442" s="640">
        <v>5532</v>
      </c>
      <c r="T442" s="640"/>
      <c r="U442" s="640"/>
      <c r="V442" s="640"/>
      <c r="W442" s="640"/>
      <c r="X442" s="640"/>
      <c r="Y442" s="640">
        <v>1709.9</v>
      </c>
      <c r="Z442" s="12"/>
      <c r="AA442" s="641">
        <f>S442+Y442</f>
        <v>7241.9</v>
      </c>
      <c r="AB442" s="1007">
        <v>1000</v>
      </c>
      <c r="AC442" s="25"/>
      <c r="AE442" s="642">
        <f>AA442+AB442</f>
        <v>8241.9</v>
      </c>
      <c r="AF442" s="643">
        <f>AE442*R442</f>
        <v>148354.19999999998</v>
      </c>
      <c r="AG442" s="17"/>
      <c r="AH442" s="16"/>
      <c r="AI442" s="17"/>
      <c r="AJ442" s="16"/>
    </row>
    <row r="443" spans="1:36" ht="12">
      <c r="A443" s="1006" t="s">
        <v>2008</v>
      </c>
      <c r="B443" s="976"/>
      <c r="C443" s="640"/>
      <c r="D443" s="640"/>
      <c r="E443" s="640"/>
      <c r="F443" s="640"/>
      <c r="G443" s="640"/>
      <c r="H443" s="640"/>
      <c r="I443" s="640"/>
      <c r="J443" s="12"/>
      <c r="K443" s="641"/>
      <c r="L443" s="1007"/>
      <c r="M443" s="25"/>
      <c r="O443" s="642"/>
      <c r="P443" s="643"/>
      <c r="Q443" s="1006" t="s">
        <v>2008</v>
      </c>
      <c r="R443" s="976"/>
      <c r="S443" s="640"/>
      <c r="T443" s="640"/>
      <c r="U443" s="640"/>
      <c r="V443" s="640"/>
      <c r="W443" s="640"/>
      <c r="X443" s="640"/>
      <c r="Y443" s="640"/>
      <c r="Z443" s="12"/>
      <c r="AA443" s="641"/>
      <c r="AB443" s="1007"/>
      <c r="AC443" s="25"/>
      <c r="AE443" s="642"/>
      <c r="AF443" s="643"/>
      <c r="AG443" s="17"/>
      <c r="AH443" s="16"/>
      <c r="AI443" s="17"/>
      <c r="AJ443" s="16"/>
    </row>
    <row r="444" spans="1:36" ht="14.25">
      <c r="A444" s="1011">
        <v>14</v>
      </c>
      <c r="B444" s="1009" t="s">
        <v>2556</v>
      </c>
      <c r="C444" s="640">
        <v>4471</v>
      </c>
      <c r="D444" s="640"/>
      <c r="E444" s="640"/>
      <c r="F444" s="640"/>
      <c r="G444" s="640"/>
      <c r="H444" s="640"/>
      <c r="I444" s="640">
        <f>K444-C444</f>
        <v>2229.16</v>
      </c>
      <c r="J444" s="12"/>
      <c r="K444" s="641">
        <v>6700.16</v>
      </c>
      <c r="L444" s="1007">
        <v>1000</v>
      </c>
      <c r="M444" s="25"/>
      <c r="O444" s="642">
        <f t="shared" si="109"/>
        <v>7700.16</v>
      </c>
      <c r="P444" s="643">
        <f t="shared" si="110"/>
        <v>23100.48</v>
      </c>
      <c r="Q444" s="1011">
        <v>14</v>
      </c>
      <c r="R444" s="1009" t="s">
        <v>2556</v>
      </c>
      <c r="S444" s="640">
        <v>4471</v>
      </c>
      <c r="T444" s="640"/>
      <c r="U444" s="640"/>
      <c r="V444" s="640"/>
      <c r="W444" s="640"/>
      <c r="X444" s="640"/>
      <c r="Y444" s="640">
        <f>AA444-S444</f>
        <v>2229.16</v>
      </c>
      <c r="Z444" s="12"/>
      <c r="AA444" s="641">
        <v>6700.16</v>
      </c>
      <c r="AB444" s="1007">
        <v>1000</v>
      </c>
      <c r="AC444" s="25"/>
      <c r="AE444" s="642">
        <f>AA444+AB444</f>
        <v>7700.16</v>
      </c>
      <c r="AF444" s="643">
        <f>AE444*R444</f>
        <v>23100.48</v>
      </c>
      <c r="AG444" s="17"/>
      <c r="AH444" s="16"/>
      <c r="AI444" s="17"/>
      <c r="AJ444" s="16"/>
    </row>
    <row r="445" spans="1:36" ht="14.25">
      <c r="A445" s="1011">
        <v>12</v>
      </c>
      <c r="B445" s="1009" t="s">
        <v>2557</v>
      </c>
      <c r="C445" s="640">
        <v>3344</v>
      </c>
      <c r="D445" s="640"/>
      <c r="E445" s="640"/>
      <c r="F445" s="640"/>
      <c r="G445" s="640"/>
      <c r="H445" s="640"/>
      <c r="I445" s="640">
        <f>K445-C445</f>
        <v>1385.83</v>
      </c>
      <c r="J445" s="12"/>
      <c r="K445" s="641">
        <v>4729.83</v>
      </c>
      <c r="L445" s="1007">
        <v>1000</v>
      </c>
      <c r="M445" s="25"/>
      <c r="O445" s="642">
        <f t="shared" si="109"/>
        <v>5729.83</v>
      </c>
      <c r="P445" s="643">
        <f t="shared" si="110"/>
        <v>5729.83</v>
      </c>
      <c r="Q445" s="1011">
        <v>12</v>
      </c>
      <c r="R445" s="1009" t="s">
        <v>2557</v>
      </c>
      <c r="S445" s="640">
        <v>3344</v>
      </c>
      <c r="T445" s="640"/>
      <c r="U445" s="640"/>
      <c r="V445" s="640"/>
      <c r="W445" s="640"/>
      <c r="X445" s="640"/>
      <c r="Y445" s="640">
        <f>AA445-S445</f>
        <v>1385.83</v>
      </c>
      <c r="Z445" s="12"/>
      <c r="AA445" s="641">
        <v>4729.83</v>
      </c>
      <c r="AB445" s="1007">
        <v>1000</v>
      </c>
      <c r="AC445" s="25"/>
      <c r="AE445" s="642">
        <f>AA445+AB445</f>
        <v>5729.83</v>
      </c>
      <c r="AF445" s="643">
        <f>AE445*R445</f>
        <v>5729.83</v>
      </c>
      <c r="AG445" s="17"/>
      <c r="AH445" s="16"/>
      <c r="AI445" s="17"/>
      <c r="AJ445" s="16"/>
    </row>
    <row r="446" spans="1:36" ht="14.25">
      <c r="A446" s="1011">
        <v>11</v>
      </c>
      <c r="B446" s="1010">
        <v>39</v>
      </c>
      <c r="C446" s="640">
        <v>3660</v>
      </c>
      <c r="D446" s="640"/>
      <c r="E446" s="640"/>
      <c r="F446" s="640"/>
      <c r="G446" s="640"/>
      <c r="H446" s="640"/>
      <c r="I446" s="640">
        <f>K446-C446</f>
        <v>2218.3900000000003</v>
      </c>
      <c r="J446" s="12"/>
      <c r="K446" s="641">
        <v>5878.39</v>
      </c>
      <c r="L446" s="1007">
        <v>1000</v>
      </c>
      <c r="M446" s="25"/>
      <c r="O446" s="642">
        <f t="shared" si="109"/>
        <v>6878.39</v>
      </c>
      <c r="P446" s="643">
        <f t="shared" si="110"/>
        <v>268257.21</v>
      </c>
      <c r="Q446" s="1011">
        <v>11</v>
      </c>
      <c r="R446" s="1010">
        <v>39</v>
      </c>
      <c r="S446" s="640">
        <v>3660</v>
      </c>
      <c r="T446" s="640"/>
      <c r="U446" s="640"/>
      <c r="V446" s="640"/>
      <c r="W446" s="640"/>
      <c r="X446" s="640"/>
      <c r="Y446" s="640">
        <f>AA446-S446</f>
        <v>2218.3900000000003</v>
      </c>
      <c r="Z446" s="12"/>
      <c r="AA446" s="641">
        <v>5878.39</v>
      </c>
      <c r="AB446" s="1007">
        <v>1000</v>
      </c>
      <c r="AC446" s="25"/>
      <c r="AE446" s="642">
        <f>AA446+AB446</f>
        <v>6878.39</v>
      </c>
      <c r="AF446" s="643">
        <f>AE446*R446</f>
        <v>268257.21</v>
      </c>
      <c r="AG446" s="17"/>
      <c r="AH446" s="16"/>
      <c r="AI446" s="17"/>
      <c r="AJ446" s="16"/>
    </row>
    <row r="447" spans="1:36" ht="14.25">
      <c r="A447" s="1011">
        <v>10</v>
      </c>
      <c r="B447" s="1010">
        <v>76</v>
      </c>
      <c r="C447" s="640">
        <v>3344</v>
      </c>
      <c r="D447" s="640"/>
      <c r="E447" s="640"/>
      <c r="F447" s="640"/>
      <c r="G447" s="640"/>
      <c r="H447" s="640"/>
      <c r="I447" s="640">
        <f>K447-C447</f>
        <v>2005.83</v>
      </c>
      <c r="J447" s="12"/>
      <c r="K447" s="641">
        <v>5349.83</v>
      </c>
      <c r="L447" s="1007">
        <v>1000</v>
      </c>
      <c r="M447" s="25"/>
      <c r="O447" s="642">
        <f t="shared" si="109"/>
        <v>6349.83</v>
      </c>
      <c r="P447" s="643">
        <f t="shared" si="110"/>
        <v>482587.08</v>
      </c>
      <c r="Q447" s="1011">
        <v>10</v>
      </c>
      <c r="R447" s="1010">
        <v>76</v>
      </c>
      <c r="S447" s="640">
        <v>3344</v>
      </c>
      <c r="T447" s="640"/>
      <c r="U447" s="640"/>
      <c r="V447" s="640"/>
      <c r="W447" s="640"/>
      <c r="X447" s="640"/>
      <c r="Y447" s="640">
        <f>AA447-S447</f>
        <v>2005.83</v>
      </c>
      <c r="Z447" s="12"/>
      <c r="AA447" s="641">
        <v>5349.83</v>
      </c>
      <c r="AB447" s="1007">
        <v>1000</v>
      </c>
      <c r="AC447" s="25"/>
      <c r="AE447" s="642">
        <f>AA447+AB447</f>
        <v>6349.83</v>
      </c>
      <c r="AF447" s="643">
        <f>AE447*R447</f>
        <v>482587.08</v>
      </c>
      <c r="AG447" s="17"/>
      <c r="AH447" s="16"/>
      <c r="AI447" s="17"/>
      <c r="AJ447" s="16"/>
    </row>
    <row r="448" spans="1:36" ht="12">
      <c r="A448" s="1006" t="s">
        <v>2558</v>
      </c>
      <c r="B448" s="976"/>
      <c r="C448" s="640"/>
      <c r="D448" s="640"/>
      <c r="E448" s="640"/>
      <c r="F448" s="640"/>
      <c r="G448" s="640"/>
      <c r="H448" s="640"/>
      <c r="I448" s="640"/>
      <c r="J448" s="12"/>
      <c r="K448" s="641"/>
      <c r="L448" s="1007"/>
      <c r="M448" s="25"/>
      <c r="O448" s="642"/>
      <c r="P448" s="643"/>
      <c r="Q448" s="1006" t="s">
        <v>2558</v>
      </c>
      <c r="R448" s="976"/>
      <c r="S448" s="640"/>
      <c r="T448" s="640"/>
      <c r="U448" s="640"/>
      <c r="V448" s="640"/>
      <c r="W448" s="640"/>
      <c r="X448" s="640"/>
      <c r="Y448" s="640"/>
      <c r="Z448" s="12"/>
      <c r="AA448" s="641"/>
      <c r="AB448" s="1007"/>
      <c r="AC448" s="25"/>
      <c r="AE448" s="642"/>
      <c r="AF448" s="643"/>
      <c r="AG448" s="17"/>
      <c r="AH448" s="16"/>
      <c r="AI448" s="17"/>
      <c r="AJ448" s="16"/>
    </row>
    <row r="449" spans="1:36" ht="12">
      <c r="A449" s="1008">
        <v>3</v>
      </c>
      <c r="B449" s="1012" t="s">
        <v>2557</v>
      </c>
      <c r="C449" s="640">
        <v>3900</v>
      </c>
      <c r="D449" s="640"/>
      <c r="E449" s="640"/>
      <c r="F449" s="640"/>
      <c r="G449" s="640"/>
      <c r="H449" s="640"/>
      <c r="I449" s="640">
        <v>0</v>
      </c>
      <c r="J449" s="12"/>
      <c r="K449" s="641">
        <f t="shared" si="108"/>
        <v>3900</v>
      </c>
      <c r="L449" s="1007">
        <v>1000</v>
      </c>
      <c r="M449" s="25"/>
      <c r="O449" s="642">
        <f t="shared" si="109"/>
        <v>4900</v>
      </c>
      <c r="P449" s="643">
        <f t="shared" si="110"/>
        <v>4900</v>
      </c>
      <c r="Q449" s="1008">
        <v>3</v>
      </c>
      <c r="R449" s="1012" t="s">
        <v>2557</v>
      </c>
      <c r="S449" s="640">
        <v>3900</v>
      </c>
      <c r="T449" s="640"/>
      <c r="U449" s="640"/>
      <c r="V449" s="640"/>
      <c r="W449" s="640"/>
      <c r="X449" s="640"/>
      <c r="Y449" s="640">
        <v>0</v>
      </c>
      <c r="Z449" s="12"/>
      <c r="AA449" s="641">
        <f>S449+Y449</f>
        <v>3900</v>
      </c>
      <c r="AB449" s="1007">
        <v>1000</v>
      </c>
      <c r="AC449" s="25"/>
      <c r="AE449" s="642">
        <f>AA449+AB449</f>
        <v>4900</v>
      </c>
      <c r="AF449" s="643">
        <f>AE449*R449</f>
        <v>4900</v>
      </c>
      <c r="AG449" s="17"/>
      <c r="AH449" s="16"/>
      <c r="AI449" s="17"/>
      <c r="AJ449" s="16"/>
    </row>
    <row r="450" spans="1:36" ht="12">
      <c r="A450" s="1008">
        <v>2</v>
      </c>
      <c r="B450" s="1012" t="s">
        <v>2559</v>
      </c>
      <c r="C450" s="640">
        <v>3660</v>
      </c>
      <c r="D450" s="640"/>
      <c r="E450" s="640"/>
      <c r="F450" s="640"/>
      <c r="G450" s="640"/>
      <c r="H450" s="640"/>
      <c r="I450" s="640">
        <v>1180.3</v>
      </c>
      <c r="J450" s="12"/>
      <c r="K450" s="641">
        <f t="shared" si="108"/>
        <v>4840.3</v>
      </c>
      <c r="L450" s="1007">
        <v>1000</v>
      </c>
      <c r="M450" s="25"/>
      <c r="O450" s="642">
        <f t="shared" si="109"/>
        <v>5840.3</v>
      </c>
      <c r="P450" s="643">
        <f t="shared" si="110"/>
        <v>46722.4</v>
      </c>
      <c r="Q450" s="1008">
        <v>2</v>
      </c>
      <c r="R450" s="1012" t="s">
        <v>2559</v>
      </c>
      <c r="S450" s="640">
        <v>3660</v>
      </c>
      <c r="T450" s="640"/>
      <c r="U450" s="640"/>
      <c r="V450" s="640"/>
      <c r="W450" s="640"/>
      <c r="X450" s="640"/>
      <c r="Y450" s="640">
        <v>1180.3</v>
      </c>
      <c r="Z450" s="12"/>
      <c r="AA450" s="641">
        <f>S450+Y450</f>
        <v>4840.3</v>
      </c>
      <c r="AB450" s="1007">
        <v>1000</v>
      </c>
      <c r="AC450" s="25"/>
      <c r="AE450" s="642">
        <f>AA450+AB450</f>
        <v>5840.3</v>
      </c>
      <c r="AF450" s="643">
        <f>AE450*R450</f>
        <v>46722.4</v>
      </c>
      <c r="AG450" s="17"/>
      <c r="AH450" s="16"/>
      <c r="AI450" s="17"/>
      <c r="AJ450" s="16"/>
    </row>
    <row r="451" spans="1:36" ht="12">
      <c r="A451" s="1008">
        <v>1</v>
      </c>
      <c r="B451" s="976">
        <v>66</v>
      </c>
      <c r="C451" s="640">
        <v>3344</v>
      </c>
      <c r="D451" s="640"/>
      <c r="E451" s="640"/>
      <c r="F451" s="640"/>
      <c r="G451" s="640"/>
      <c r="H451" s="640"/>
      <c r="I451" s="640">
        <v>1168.25</v>
      </c>
      <c r="J451" s="12"/>
      <c r="K451" s="641">
        <f t="shared" si="108"/>
        <v>4512.25</v>
      </c>
      <c r="L451" s="1007">
        <v>1000</v>
      </c>
      <c r="M451" s="25"/>
      <c r="O451" s="642">
        <f t="shared" si="109"/>
        <v>5512.25</v>
      </c>
      <c r="P451" s="643">
        <f t="shared" si="110"/>
        <v>363808.5</v>
      </c>
      <c r="Q451" s="1008">
        <v>1</v>
      </c>
      <c r="R451" s="976">
        <v>66</v>
      </c>
      <c r="S451" s="640">
        <v>3344</v>
      </c>
      <c r="T451" s="640"/>
      <c r="U451" s="640"/>
      <c r="V451" s="640"/>
      <c r="W451" s="640"/>
      <c r="X451" s="640"/>
      <c r="Y451" s="640">
        <v>1168.25</v>
      </c>
      <c r="Z451" s="12"/>
      <c r="AA451" s="641">
        <f>S451+Y451</f>
        <v>4512.25</v>
      </c>
      <c r="AB451" s="1007">
        <v>1000</v>
      </c>
      <c r="AC451" s="25"/>
      <c r="AE451" s="642">
        <f>AA451+AB451</f>
        <v>5512.25</v>
      </c>
      <c r="AF451" s="643">
        <f>AE451*R451</f>
        <v>363808.5</v>
      </c>
      <c r="AG451" s="17"/>
      <c r="AH451" s="16"/>
      <c r="AI451" s="17"/>
      <c r="AJ451" s="16"/>
    </row>
    <row r="452" spans="1:36" ht="12">
      <c r="A452" s="1013" t="s">
        <v>2560</v>
      </c>
      <c r="B452" s="976"/>
      <c r="C452" s="640"/>
      <c r="D452" s="640"/>
      <c r="E452" s="640"/>
      <c r="F452" s="640"/>
      <c r="G452" s="640"/>
      <c r="H452" s="640"/>
      <c r="I452" s="640"/>
      <c r="J452" s="12"/>
      <c r="K452" s="641"/>
      <c r="L452" s="1007"/>
      <c r="M452" s="25"/>
      <c r="O452" s="642"/>
      <c r="P452" s="643"/>
      <c r="Q452" s="1013" t="s">
        <v>2560</v>
      </c>
      <c r="R452" s="976"/>
      <c r="S452" s="640"/>
      <c r="T452" s="640"/>
      <c r="U452" s="640"/>
      <c r="V452" s="640"/>
      <c r="W452" s="640"/>
      <c r="X452" s="640"/>
      <c r="Y452" s="640"/>
      <c r="Z452" s="12"/>
      <c r="AA452" s="641"/>
      <c r="AB452" s="1007"/>
      <c r="AC452" s="25"/>
      <c r="AE452" s="642"/>
      <c r="AF452" s="643"/>
      <c r="AG452" s="17"/>
      <c r="AH452" s="16"/>
      <c r="AI452" s="17"/>
      <c r="AJ452" s="16"/>
    </row>
    <row r="453" spans="1:36" ht="12">
      <c r="A453" s="1014" t="s">
        <v>569</v>
      </c>
      <c r="B453" s="976">
        <v>3</v>
      </c>
      <c r="C453" s="640">
        <v>2127</v>
      </c>
      <c r="D453" s="640"/>
      <c r="E453" s="640"/>
      <c r="F453" s="640"/>
      <c r="G453" s="640"/>
      <c r="H453" s="640"/>
      <c r="I453" s="640">
        <v>593.35</v>
      </c>
      <c r="J453" s="12"/>
      <c r="K453" s="641">
        <f>C453+I453</f>
        <v>2720.35</v>
      </c>
      <c r="L453" s="1007">
        <v>1000</v>
      </c>
      <c r="M453" s="25"/>
      <c r="O453" s="642">
        <f>K453+L453</f>
        <v>3720.35</v>
      </c>
      <c r="P453" s="643">
        <f>O453*B453</f>
        <v>11161.05</v>
      </c>
      <c r="Q453" s="1014" t="s">
        <v>569</v>
      </c>
      <c r="R453" s="976">
        <v>3</v>
      </c>
      <c r="S453" s="640">
        <v>2127</v>
      </c>
      <c r="T453" s="640"/>
      <c r="U453" s="640"/>
      <c r="V453" s="640"/>
      <c r="W453" s="640"/>
      <c r="X453" s="640"/>
      <c r="Y453" s="640">
        <v>593.35</v>
      </c>
      <c r="Z453" s="12"/>
      <c r="AA453" s="641">
        <f>S453+Y453</f>
        <v>2720.35</v>
      </c>
      <c r="AB453" s="1007">
        <v>1000</v>
      </c>
      <c r="AC453" s="25"/>
      <c r="AE453" s="642">
        <f>AA453+AB453</f>
        <v>3720.35</v>
      </c>
      <c r="AF453" s="643">
        <f>AE453*R453</f>
        <v>11161.05</v>
      </c>
      <c r="AG453" s="17"/>
      <c r="AH453" s="16"/>
      <c r="AI453" s="17"/>
      <c r="AJ453" s="16"/>
    </row>
    <row r="454" spans="1:36" ht="12">
      <c r="A454" s="1014" t="s">
        <v>570</v>
      </c>
      <c r="B454" s="976">
        <v>136</v>
      </c>
      <c r="C454" s="640">
        <v>2109</v>
      </c>
      <c r="D454" s="640"/>
      <c r="E454" s="640"/>
      <c r="F454" s="640"/>
      <c r="G454" s="640"/>
      <c r="H454" s="640"/>
      <c r="I454" s="640">
        <v>1721.35</v>
      </c>
      <c r="J454" s="12"/>
      <c r="K454" s="641">
        <f>C454+I454</f>
        <v>3830.35</v>
      </c>
      <c r="L454" s="1007">
        <v>1000</v>
      </c>
      <c r="M454" s="25"/>
      <c r="O454" s="642">
        <f>K454+L454</f>
        <v>4830.35</v>
      </c>
      <c r="P454" s="643">
        <f>O454*B454</f>
        <v>656927.6000000001</v>
      </c>
      <c r="Q454" s="1014" t="s">
        <v>570</v>
      </c>
      <c r="R454" s="976">
        <v>136</v>
      </c>
      <c r="S454" s="640">
        <v>2109</v>
      </c>
      <c r="T454" s="640"/>
      <c r="U454" s="640"/>
      <c r="V454" s="640"/>
      <c r="W454" s="640"/>
      <c r="X454" s="640"/>
      <c r="Y454" s="640">
        <v>1721.35</v>
      </c>
      <c r="Z454" s="12"/>
      <c r="AA454" s="641">
        <f>S454+Y454</f>
        <v>3830.35</v>
      </c>
      <c r="AB454" s="1007">
        <v>1000</v>
      </c>
      <c r="AC454" s="25"/>
      <c r="AE454" s="642">
        <f>AA454+AB454</f>
        <v>4830.35</v>
      </c>
      <c r="AF454" s="643">
        <f>AE454*R454</f>
        <v>656927.6000000001</v>
      </c>
      <c r="AG454" s="17"/>
      <c r="AH454" s="16"/>
      <c r="AI454" s="17"/>
      <c r="AJ454" s="16"/>
    </row>
    <row r="455" spans="1:36" ht="12">
      <c r="A455" s="1014" t="s">
        <v>571</v>
      </c>
      <c r="B455" s="976">
        <v>2</v>
      </c>
      <c r="C455" s="640">
        <v>2091</v>
      </c>
      <c r="D455" s="640"/>
      <c r="E455" s="640"/>
      <c r="F455" s="640"/>
      <c r="G455" s="640"/>
      <c r="H455" s="640"/>
      <c r="I455" s="640">
        <v>751.35</v>
      </c>
      <c r="J455" s="12"/>
      <c r="K455" s="641">
        <f>C455+I455</f>
        <v>2842.35</v>
      </c>
      <c r="L455" s="1007">
        <v>1000</v>
      </c>
      <c r="M455" s="25"/>
      <c r="O455" s="642">
        <f>K455+L455</f>
        <v>3842.35</v>
      </c>
      <c r="P455" s="643">
        <f>O455*B455</f>
        <v>7684.7</v>
      </c>
      <c r="Q455" s="1014" t="s">
        <v>571</v>
      </c>
      <c r="R455" s="976">
        <v>2</v>
      </c>
      <c r="S455" s="640">
        <v>2091</v>
      </c>
      <c r="T455" s="640"/>
      <c r="U455" s="640"/>
      <c r="V455" s="640"/>
      <c r="W455" s="640"/>
      <c r="X455" s="640"/>
      <c r="Y455" s="640">
        <v>751.35</v>
      </c>
      <c r="Z455" s="12"/>
      <c r="AA455" s="641">
        <f>S455+Y455</f>
        <v>2842.35</v>
      </c>
      <c r="AB455" s="1007">
        <v>1000</v>
      </c>
      <c r="AC455" s="25"/>
      <c r="AE455" s="642">
        <f>AA455+AB455</f>
        <v>3842.35</v>
      </c>
      <c r="AF455" s="643">
        <f>AE455*R455</f>
        <v>7684.7</v>
      </c>
      <c r="AG455" s="17"/>
      <c r="AH455" s="16"/>
      <c r="AI455" s="17"/>
      <c r="AJ455" s="16"/>
    </row>
    <row r="456" spans="1:36" ht="12">
      <c r="A456" s="1014" t="s">
        <v>581</v>
      </c>
      <c r="B456" s="976">
        <v>52</v>
      </c>
      <c r="C456" s="640">
        <v>2068</v>
      </c>
      <c r="D456" s="640"/>
      <c r="E456" s="640"/>
      <c r="F456" s="640"/>
      <c r="G456" s="640"/>
      <c r="H456" s="640"/>
      <c r="I456" s="640">
        <v>1721.35</v>
      </c>
      <c r="J456" s="12"/>
      <c r="K456" s="641">
        <f>C456+I456</f>
        <v>3789.35</v>
      </c>
      <c r="L456" s="1007">
        <v>1000</v>
      </c>
      <c r="M456" s="25"/>
      <c r="O456" s="642">
        <f>K456+L456</f>
        <v>4789.35</v>
      </c>
      <c r="P456" s="643">
        <f>O456*B456</f>
        <v>249046.2</v>
      </c>
      <c r="Q456" s="1014" t="s">
        <v>581</v>
      </c>
      <c r="R456" s="976">
        <v>52</v>
      </c>
      <c r="S456" s="640">
        <v>2068</v>
      </c>
      <c r="T456" s="640"/>
      <c r="U456" s="640"/>
      <c r="V456" s="640"/>
      <c r="W456" s="640"/>
      <c r="X456" s="640"/>
      <c r="Y456" s="640">
        <v>1721.35</v>
      </c>
      <c r="Z456" s="12"/>
      <c r="AA456" s="641">
        <f>S456+Y456</f>
        <v>3789.35</v>
      </c>
      <c r="AB456" s="1007">
        <v>1000</v>
      </c>
      <c r="AC456" s="25"/>
      <c r="AE456" s="642">
        <f>AA456+AB456</f>
        <v>4789.35</v>
      </c>
      <c r="AF456" s="643">
        <f>AE456*R456</f>
        <v>249046.2</v>
      </c>
      <c r="AG456" s="17"/>
      <c r="AH456" s="16"/>
      <c r="AI456" s="17"/>
      <c r="AJ456" s="16"/>
    </row>
    <row r="457" spans="1:36" ht="12">
      <c r="A457" s="1006" t="s">
        <v>2561</v>
      </c>
      <c r="B457" s="976"/>
      <c r="C457" s="640"/>
      <c r="D457" s="640"/>
      <c r="E457" s="640"/>
      <c r="F457" s="640"/>
      <c r="G457" s="640"/>
      <c r="H457" s="640"/>
      <c r="I457" s="640"/>
      <c r="J457" s="12"/>
      <c r="K457" s="641"/>
      <c r="L457" s="1007"/>
      <c r="M457" s="25"/>
      <c r="O457" s="642"/>
      <c r="P457" s="643"/>
      <c r="Q457" s="1006" t="s">
        <v>2561</v>
      </c>
      <c r="R457" s="976"/>
      <c r="S457" s="640"/>
      <c r="T457" s="640"/>
      <c r="U457" s="640"/>
      <c r="V457" s="640"/>
      <c r="W457" s="640"/>
      <c r="X457" s="640"/>
      <c r="Y457" s="640"/>
      <c r="Z457" s="12"/>
      <c r="AA457" s="641"/>
      <c r="AB457" s="1007"/>
      <c r="AC457" s="25"/>
      <c r="AE457" s="642"/>
      <c r="AF457" s="643"/>
      <c r="AG457" s="17"/>
      <c r="AH457" s="16"/>
      <c r="AI457" s="17"/>
      <c r="AJ457" s="16"/>
    </row>
    <row r="458" spans="1:36" ht="14.25">
      <c r="A458" s="1011" t="s">
        <v>1992</v>
      </c>
      <c r="B458" s="1010">
        <v>11</v>
      </c>
      <c r="C458" s="640">
        <v>3344</v>
      </c>
      <c r="D458" s="640"/>
      <c r="E458" s="640"/>
      <c r="F458" s="640"/>
      <c r="G458" s="640"/>
      <c r="H458" s="640"/>
      <c r="I458" s="640">
        <v>1812.7</v>
      </c>
      <c r="J458" s="12"/>
      <c r="K458" s="641">
        <f aca="true" t="shared" si="111" ref="K458:K467">C458+I458</f>
        <v>5156.7</v>
      </c>
      <c r="L458" s="1007">
        <v>1000</v>
      </c>
      <c r="M458" s="25"/>
      <c r="O458" s="642">
        <f t="shared" si="109"/>
        <v>6156.7</v>
      </c>
      <c r="P458" s="643">
        <f aca="true" t="shared" si="112" ref="P458:P467">O458*B458</f>
        <v>67723.7</v>
      </c>
      <c r="Q458" s="1011" t="s">
        <v>1992</v>
      </c>
      <c r="R458" s="1010">
        <v>11</v>
      </c>
      <c r="S458" s="640">
        <v>3344</v>
      </c>
      <c r="T458" s="640"/>
      <c r="U458" s="640"/>
      <c r="V458" s="640"/>
      <c r="W458" s="640"/>
      <c r="X458" s="640"/>
      <c r="Y458" s="640">
        <v>1812.7</v>
      </c>
      <c r="Z458" s="12"/>
      <c r="AA458" s="641">
        <f aca="true" t="shared" si="113" ref="AA458:AA467">S458+Y458</f>
        <v>5156.7</v>
      </c>
      <c r="AB458" s="1007">
        <v>1000</v>
      </c>
      <c r="AC458" s="25"/>
      <c r="AE458" s="642">
        <f>AA458+AB458</f>
        <v>6156.7</v>
      </c>
      <c r="AF458" s="643">
        <f aca="true" t="shared" si="114" ref="AF458:AF467">AE458*R458</f>
        <v>67723.7</v>
      </c>
      <c r="AG458" s="17"/>
      <c r="AH458" s="16"/>
      <c r="AI458" s="17"/>
      <c r="AJ458" s="16"/>
    </row>
    <row r="459" spans="1:36" ht="14.25">
      <c r="A459" s="1011" t="s">
        <v>1980</v>
      </c>
      <c r="B459" s="1009" t="s">
        <v>2556</v>
      </c>
      <c r="C459" s="640">
        <v>3344</v>
      </c>
      <c r="D459" s="640"/>
      <c r="E459" s="640"/>
      <c r="F459" s="640"/>
      <c r="G459" s="640"/>
      <c r="H459" s="640"/>
      <c r="I459" s="640">
        <v>1192.7</v>
      </c>
      <c r="J459" s="12"/>
      <c r="K459" s="641">
        <f t="shared" si="111"/>
        <v>4536.7</v>
      </c>
      <c r="L459" s="1007">
        <v>1000</v>
      </c>
      <c r="M459" s="25"/>
      <c r="O459" s="642">
        <f t="shared" si="109"/>
        <v>5536.7</v>
      </c>
      <c r="P459" s="643">
        <f t="shared" si="112"/>
        <v>16610.1</v>
      </c>
      <c r="Q459" s="1011" t="s">
        <v>1980</v>
      </c>
      <c r="R459" s="1009" t="s">
        <v>2556</v>
      </c>
      <c r="S459" s="640">
        <v>3344</v>
      </c>
      <c r="T459" s="640"/>
      <c r="U459" s="640"/>
      <c r="V459" s="640"/>
      <c r="W459" s="640"/>
      <c r="X459" s="640"/>
      <c r="Y459" s="640">
        <v>1192.7</v>
      </c>
      <c r="Z459" s="12"/>
      <c r="AA459" s="641">
        <f t="shared" si="113"/>
        <v>4536.7</v>
      </c>
      <c r="AB459" s="1007">
        <v>1000</v>
      </c>
      <c r="AC459" s="25"/>
      <c r="AE459" s="642">
        <f>AA459+AB459</f>
        <v>5536.7</v>
      </c>
      <c r="AF459" s="643">
        <f t="shared" si="114"/>
        <v>16610.1</v>
      </c>
      <c r="AG459" s="17"/>
      <c r="AH459" s="16"/>
      <c r="AI459" s="17"/>
      <c r="AJ459" s="16"/>
    </row>
    <row r="460" spans="1:36" ht="14.25">
      <c r="A460" s="1011" t="s">
        <v>2297</v>
      </c>
      <c r="B460" s="1009" t="s">
        <v>2557</v>
      </c>
      <c r="C460" s="640">
        <v>3344</v>
      </c>
      <c r="D460" s="640"/>
      <c r="E460" s="640"/>
      <c r="F460" s="640"/>
      <c r="G460" s="640"/>
      <c r="H460" s="640"/>
      <c r="I460" s="640">
        <v>1192.7</v>
      </c>
      <c r="J460" s="12"/>
      <c r="K460" s="641">
        <f t="shared" si="111"/>
        <v>4536.7</v>
      </c>
      <c r="L460" s="1007">
        <v>1000</v>
      </c>
      <c r="M460" s="25"/>
      <c r="O460" s="642">
        <f t="shared" si="109"/>
        <v>5536.7</v>
      </c>
      <c r="P460" s="643">
        <f t="shared" si="112"/>
        <v>5536.7</v>
      </c>
      <c r="Q460" s="1011" t="s">
        <v>2297</v>
      </c>
      <c r="R460" s="1009" t="s">
        <v>2557</v>
      </c>
      <c r="S460" s="640">
        <v>3344</v>
      </c>
      <c r="T460" s="640"/>
      <c r="U460" s="640"/>
      <c r="V460" s="640"/>
      <c r="W460" s="640"/>
      <c r="X460" s="640"/>
      <c r="Y460" s="640">
        <v>1192.7</v>
      </c>
      <c r="Z460" s="12"/>
      <c r="AA460" s="641">
        <f t="shared" si="113"/>
        <v>4536.7</v>
      </c>
      <c r="AB460" s="1007">
        <v>1000</v>
      </c>
      <c r="AC460" s="25"/>
      <c r="AE460" s="642">
        <f>AA460+AB460</f>
        <v>5536.7</v>
      </c>
      <c r="AF460" s="643">
        <f t="shared" si="114"/>
        <v>5536.7</v>
      </c>
      <c r="AG460" s="17"/>
      <c r="AH460" s="16"/>
      <c r="AI460" s="17"/>
      <c r="AJ460" s="16"/>
    </row>
    <row r="461" spans="1:36" ht="14.25">
      <c r="A461" s="1011" t="s">
        <v>2288</v>
      </c>
      <c r="B461" s="1009" t="s">
        <v>2557</v>
      </c>
      <c r="C461" s="640">
        <v>3344</v>
      </c>
      <c r="D461" s="640"/>
      <c r="E461" s="640"/>
      <c r="F461" s="640"/>
      <c r="G461" s="640"/>
      <c r="H461" s="640"/>
      <c r="I461" s="640">
        <v>438.25</v>
      </c>
      <c r="J461" s="12"/>
      <c r="K461" s="641">
        <f t="shared" si="111"/>
        <v>3782.25</v>
      </c>
      <c r="L461" s="1007">
        <v>1000</v>
      </c>
      <c r="M461" s="25"/>
      <c r="O461" s="642">
        <f t="shared" si="109"/>
        <v>4782.25</v>
      </c>
      <c r="P461" s="643">
        <f t="shared" si="112"/>
        <v>4782.25</v>
      </c>
      <c r="Q461" s="1011" t="s">
        <v>2288</v>
      </c>
      <c r="R461" s="1009" t="s">
        <v>2557</v>
      </c>
      <c r="S461" s="640">
        <v>3344</v>
      </c>
      <c r="T461" s="640"/>
      <c r="U461" s="640"/>
      <c r="V461" s="640"/>
      <c r="W461" s="640"/>
      <c r="X461" s="640"/>
      <c r="Y461" s="640">
        <v>438.25</v>
      </c>
      <c r="Z461" s="12"/>
      <c r="AA461" s="641">
        <f t="shared" si="113"/>
        <v>3782.25</v>
      </c>
      <c r="AB461" s="1007">
        <v>1000</v>
      </c>
      <c r="AC461" s="25"/>
      <c r="AE461" s="642">
        <f>AA461+AB461</f>
        <v>4782.25</v>
      </c>
      <c r="AF461" s="643">
        <f t="shared" si="114"/>
        <v>4782.25</v>
      </c>
      <c r="AG461" s="17"/>
      <c r="AH461" s="16"/>
      <c r="AI461" s="17"/>
      <c r="AJ461" s="16"/>
    </row>
    <row r="462" spans="1:36" ht="14.25">
      <c r="A462" s="1015" t="s">
        <v>2562</v>
      </c>
      <c r="B462" s="1009" t="s">
        <v>2553</v>
      </c>
      <c r="C462" s="640">
        <v>3344</v>
      </c>
      <c r="D462" s="12"/>
      <c r="E462" s="12"/>
      <c r="F462" s="12"/>
      <c r="G462" s="12"/>
      <c r="H462" s="12"/>
      <c r="I462" s="640">
        <v>462.7</v>
      </c>
      <c r="J462" s="12"/>
      <c r="K462" s="641">
        <f t="shared" si="111"/>
        <v>3806.7</v>
      </c>
      <c r="L462" s="1007">
        <v>1000</v>
      </c>
      <c r="M462" s="25"/>
      <c r="O462" s="642">
        <f>K462*12+L462</f>
        <v>46680.399999999994</v>
      </c>
      <c r="P462" s="643">
        <f t="shared" si="112"/>
        <v>93360.79999999999</v>
      </c>
      <c r="Q462" s="1015" t="s">
        <v>2562</v>
      </c>
      <c r="R462" s="1009" t="s">
        <v>2553</v>
      </c>
      <c r="S462" s="640">
        <v>3344</v>
      </c>
      <c r="T462" s="12"/>
      <c r="U462" s="12"/>
      <c r="V462" s="12"/>
      <c r="W462" s="12"/>
      <c r="X462" s="12"/>
      <c r="Y462" s="640">
        <v>462.7</v>
      </c>
      <c r="Z462" s="12"/>
      <c r="AA462" s="641">
        <f t="shared" si="113"/>
        <v>3806.7</v>
      </c>
      <c r="AB462" s="1007">
        <v>1000</v>
      </c>
      <c r="AC462" s="25"/>
      <c r="AE462" s="642">
        <f>AA462*12+AB462</f>
        <v>46680.399999999994</v>
      </c>
      <c r="AF462" s="643">
        <f t="shared" si="114"/>
        <v>93360.79999999999</v>
      </c>
      <c r="AG462" s="17"/>
      <c r="AH462" s="16"/>
      <c r="AI462" s="17"/>
      <c r="AJ462" s="16"/>
    </row>
    <row r="463" spans="1:36" ht="14.25">
      <c r="A463" s="1011" t="s">
        <v>1976</v>
      </c>
      <c r="B463" s="1009" t="s">
        <v>2557</v>
      </c>
      <c r="C463" s="640">
        <v>2173.6</v>
      </c>
      <c r="D463" s="640"/>
      <c r="E463" s="640"/>
      <c r="F463" s="640"/>
      <c r="G463" s="640"/>
      <c r="H463" s="640"/>
      <c r="I463" s="640">
        <v>1500</v>
      </c>
      <c r="J463" s="12"/>
      <c r="K463" s="641">
        <f>C463+I463</f>
        <v>3673.6</v>
      </c>
      <c r="L463" s="1007">
        <v>1001</v>
      </c>
      <c r="M463" s="25"/>
      <c r="O463" s="642">
        <f>K463+L463</f>
        <v>4674.6</v>
      </c>
      <c r="P463" s="643">
        <f>O463*B463</f>
        <v>4674.6</v>
      </c>
      <c r="Q463" s="1011" t="s">
        <v>1976</v>
      </c>
      <c r="R463" s="1009" t="s">
        <v>2557</v>
      </c>
      <c r="S463" s="640">
        <v>2173.6</v>
      </c>
      <c r="T463" s="640"/>
      <c r="U463" s="640"/>
      <c r="V463" s="640"/>
      <c r="W463" s="640"/>
      <c r="X463" s="640"/>
      <c r="Y463" s="640">
        <v>1500</v>
      </c>
      <c r="Z463" s="12"/>
      <c r="AA463" s="641">
        <f t="shared" si="113"/>
        <v>3673.6</v>
      </c>
      <c r="AB463" s="1007">
        <v>1001</v>
      </c>
      <c r="AC463" s="25"/>
      <c r="AE463" s="642">
        <f>AA463+AB463</f>
        <v>4674.6</v>
      </c>
      <c r="AF463" s="643">
        <f t="shared" si="114"/>
        <v>4674.6</v>
      </c>
      <c r="AG463" s="17"/>
      <c r="AH463" s="16"/>
      <c r="AI463" s="17"/>
      <c r="AJ463" s="16"/>
    </row>
    <row r="464" spans="1:36" ht="14.25">
      <c r="A464" s="1011" t="s">
        <v>2168</v>
      </c>
      <c r="B464" s="1009" t="s">
        <v>2557</v>
      </c>
      <c r="C464" s="640">
        <v>3344</v>
      </c>
      <c r="D464" s="640"/>
      <c r="E464" s="640"/>
      <c r="F464" s="640"/>
      <c r="G464" s="640"/>
      <c r="H464" s="640"/>
      <c r="I464" s="640">
        <v>462.7</v>
      </c>
      <c r="J464" s="12"/>
      <c r="K464" s="641">
        <f>C464+I464</f>
        <v>3806.7</v>
      </c>
      <c r="L464" s="1007">
        <v>1000</v>
      </c>
      <c r="M464" s="25"/>
      <c r="O464" s="642">
        <f>K464+L464</f>
        <v>4806.7</v>
      </c>
      <c r="P464" s="643">
        <f>O464*B464</f>
        <v>4806.7</v>
      </c>
      <c r="Q464" s="1011" t="s">
        <v>2168</v>
      </c>
      <c r="R464" s="1009" t="s">
        <v>2557</v>
      </c>
      <c r="S464" s="640">
        <v>3344</v>
      </c>
      <c r="T464" s="640"/>
      <c r="U464" s="640"/>
      <c r="V464" s="640"/>
      <c r="W464" s="640"/>
      <c r="X464" s="640"/>
      <c r="Y464" s="640">
        <v>462.7</v>
      </c>
      <c r="Z464" s="12"/>
      <c r="AA464" s="641">
        <f t="shared" si="113"/>
        <v>3806.7</v>
      </c>
      <c r="AB464" s="1007">
        <v>1000</v>
      </c>
      <c r="AC464" s="25"/>
      <c r="AE464" s="642">
        <f>AA464+AB464</f>
        <v>4806.7</v>
      </c>
      <c r="AF464" s="643">
        <f t="shared" si="114"/>
        <v>4806.7</v>
      </c>
      <c r="AG464" s="17"/>
      <c r="AH464" s="16"/>
      <c r="AI464" s="17"/>
      <c r="AJ464" s="16"/>
    </row>
    <row r="465" spans="1:36" ht="14.25">
      <c r="A465" s="1008" t="s">
        <v>2563</v>
      </c>
      <c r="B465" s="1009" t="s">
        <v>2556</v>
      </c>
      <c r="C465" s="640">
        <v>3344</v>
      </c>
      <c r="D465" s="12"/>
      <c r="E465" s="12"/>
      <c r="F465" s="12"/>
      <c r="G465" s="12"/>
      <c r="H465" s="12"/>
      <c r="I465" s="584">
        <v>1192.7</v>
      </c>
      <c r="J465" s="12"/>
      <c r="K465" s="641">
        <f t="shared" si="111"/>
        <v>4536.7</v>
      </c>
      <c r="L465" s="1007">
        <v>1000</v>
      </c>
      <c r="M465" s="25"/>
      <c r="O465" s="642">
        <f t="shared" si="109"/>
        <v>5536.7</v>
      </c>
      <c r="P465" s="643">
        <f t="shared" si="112"/>
        <v>16610.1</v>
      </c>
      <c r="Q465" s="1008"/>
      <c r="R465" s="1009" t="s">
        <v>2556</v>
      </c>
      <c r="S465" s="640">
        <v>3344</v>
      </c>
      <c r="T465" s="12"/>
      <c r="U465" s="12"/>
      <c r="V465" s="12"/>
      <c r="W465" s="12"/>
      <c r="X465" s="12"/>
      <c r="Y465" s="584">
        <v>1192.7</v>
      </c>
      <c r="Z465" s="12"/>
      <c r="AA465" s="641">
        <f t="shared" si="113"/>
        <v>4536.7</v>
      </c>
      <c r="AB465" s="1007">
        <v>1000</v>
      </c>
      <c r="AC465" s="25"/>
      <c r="AE465" s="642">
        <f>AA465+AB465</f>
        <v>5536.7</v>
      </c>
      <c r="AF465" s="643">
        <f t="shared" si="114"/>
        <v>16610.1</v>
      </c>
      <c r="AG465" s="17"/>
      <c r="AH465" s="16"/>
      <c r="AI465" s="17"/>
      <c r="AJ465" s="16"/>
    </row>
    <row r="466" spans="1:36" ht="14.25">
      <c r="A466" s="1008" t="s">
        <v>2564</v>
      </c>
      <c r="B466" s="1009" t="s">
        <v>2557</v>
      </c>
      <c r="C466" s="640">
        <v>2383</v>
      </c>
      <c r="D466" s="12"/>
      <c r="E466" s="12"/>
      <c r="F466" s="12"/>
      <c r="G466" s="12"/>
      <c r="H466" s="12"/>
      <c r="I466" s="584">
        <v>0</v>
      </c>
      <c r="J466" s="12"/>
      <c r="K466" s="641">
        <f t="shared" si="111"/>
        <v>2383</v>
      </c>
      <c r="L466" s="1007">
        <v>1000</v>
      </c>
      <c r="M466" s="25"/>
      <c r="O466" s="642">
        <f t="shared" si="109"/>
        <v>3383</v>
      </c>
      <c r="P466" s="643">
        <f t="shared" si="112"/>
        <v>3383</v>
      </c>
      <c r="Q466" s="1008" t="s">
        <v>741</v>
      </c>
      <c r="R466" s="1009" t="s">
        <v>2557</v>
      </c>
      <c r="S466" s="640">
        <v>2383</v>
      </c>
      <c r="T466" s="12"/>
      <c r="U466" s="12"/>
      <c r="V466" s="12"/>
      <c r="W466" s="12"/>
      <c r="X466" s="12"/>
      <c r="Y466" s="584">
        <v>0</v>
      </c>
      <c r="Z466" s="12"/>
      <c r="AA466" s="641">
        <f t="shared" si="113"/>
        <v>2383</v>
      </c>
      <c r="AB466" s="1007">
        <v>1000</v>
      </c>
      <c r="AC466" s="25"/>
      <c r="AE466" s="642">
        <f>AA466+AB466</f>
        <v>3383</v>
      </c>
      <c r="AF466" s="643">
        <f t="shared" si="114"/>
        <v>3383</v>
      </c>
      <c r="AG466" s="17"/>
      <c r="AH466" s="16"/>
      <c r="AI466" s="17"/>
      <c r="AJ466" s="16"/>
    </row>
    <row r="467" spans="1:36" ht="14.25">
      <c r="A467" s="474" t="s">
        <v>2565</v>
      </c>
      <c r="B467" s="1009" t="s">
        <v>2566</v>
      </c>
      <c r="C467" s="640">
        <v>2109</v>
      </c>
      <c r="D467" s="12"/>
      <c r="E467" s="12"/>
      <c r="F467" s="12"/>
      <c r="G467" s="12"/>
      <c r="H467" s="12"/>
      <c r="I467" s="640">
        <v>341.35</v>
      </c>
      <c r="J467" s="12"/>
      <c r="K467" s="641">
        <f t="shared" si="111"/>
        <v>2450.35</v>
      </c>
      <c r="L467" s="1007">
        <v>1000</v>
      </c>
      <c r="M467" s="25"/>
      <c r="O467" s="642">
        <f t="shared" si="109"/>
        <v>3450.35</v>
      </c>
      <c r="P467" s="643">
        <f t="shared" si="112"/>
        <v>17251.75</v>
      </c>
      <c r="Q467" s="474" t="s">
        <v>2567</v>
      </c>
      <c r="R467" s="1009" t="s">
        <v>2566</v>
      </c>
      <c r="S467" s="640">
        <v>2109</v>
      </c>
      <c r="T467" s="12"/>
      <c r="U467" s="12"/>
      <c r="V467" s="12"/>
      <c r="W467" s="12"/>
      <c r="X467" s="12"/>
      <c r="Y467" s="640">
        <v>341.35</v>
      </c>
      <c r="Z467" s="12"/>
      <c r="AA467" s="641">
        <f t="shared" si="113"/>
        <v>2450.35</v>
      </c>
      <c r="AB467" s="1007">
        <v>1000</v>
      </c>
      <c r="AC467" s="25"/>
      <c r="AE467" s="642">
        <f>AA467+AB467</f>
        <v>3450.35</v>
      </c>
      <c r="AF467" s="643">
        <f t="shared" si="114"/>
        <v>17251.75</v>
      </c>
      <c r="AG467" s="17"/>
      <c r="AH467" s="16"/>
      <c r="AI467" s="17"/>
      <c r="AJ467" s="16"/>
    </row>
    <row r="468" spans="1:36" ht="12">
      <c r="A468" s="986" t="s">
        <v>2568</v>
      </c>
      <c r="B468" s="987">
        <v>448</v>
      </c>
      <c r="C468" s="988"/>
      <c r="D468" s="989"/>
      <c r="E468" s="988"/>
      <c r="F468" s="988"/>
      <c r="G468" s="988"/>
      <c r="H468" s="988"/>
      <c r="I468" s="988"/>
      <c r="J468" s="988"/>
      <c r="K468" s="990"/>
      <c r="L468" s="991"/>
      <c r="M468" s="991"/>
      <c r="N468" s="992"/>
      <c r="O468" s="993"/>
      <c r="P468" s="994"/>
      <c r="Q468" s="986" t="s">
        <v>2568</v>
      </c>
      <c r="R468" s="987">
        <v>448</v>
      </c>
      <c r="S468" s="988"/>
      <c r="T468" s="989"/>
      <c r="U468" s="988"/>
      <c r="V468" s="988"/>
      <c r="W468" s="988"/>
      <c r="X468" s="988"/>
      <c r="Y468" s="988"/>
      <c r="Z468" s="988"/>
      <c r="AA468" s="990"/>
      <c r="AB468" s="991"/>
      <c r="AC468" s="988"/>
      <c r="AD468" s="992"/>
      <c r="AE468" s="993"/>
      <c r="AF468" s="994"/>
      <c r="AG468" s="994"/>
      <c r="AH468" s="995"/>
      <c r="AI468" s="996"/>
      <c r="AJ468" s="994"/>
    </row>
    <row r="469" spans="1:36" ht="15.75">
      <c r="A469" s="975" t="s">
        <v>60</v>
      </c>
      <c r="B469" s="1010"/>
      <c r="C469" s="12"/>
      <c r="D469" s="12"/>
      <c r="E469" s="12"/>
      <c r="F469" s="12"/>
      <c r="G469" s="12"/>
      <c r="H469" s="12"/>
      <c r="I469" s="12"/>
      <c r="J469" s="12"/>
      <c r="K469" s="9"/>
      <c r="L469" s="1007"/>
      <c r="M469" s="25"/>
      <c r="O469" s="44"/>
      <c r="P469" s="17"/>
      <c r="Q469" s="975" t="s">
        <v>60</v>
      </c>
      <c r="R469" s="1010"/>
      <c r="S469" s="12"/>
      <c r="T469" s="12"/>
      <c r="U469" s="12"/>
      <c r="V469" s="12"/>
      <c r="W469" s="12"/>
      <c r="X469" s="12"/>
      <c r="Y469" s="12"/>
      <c r="Z469" s="12"/>
      <c r="AA469" s="12"/>
      <c r="AB469" s="1007"/>
      <c r="AC469" s="12"/>
      <c r="AE469" s="44"/>
      <c r="AF469" s="17"/>
      <c r="AG469" s="17"/>
      <c r="AH469" s="16"/>
      <c r="AI469" s="17"/>
      <c r="AJ469" s="16"/>
    </row>
    <row r="470" spans="1:36" ht="14.25">
      <c r="A470" s="1014"/>
      <c r="B470" s="1010"/>
      <c r="C470" s="12"/>
      <c r="D470" s="12"/>
      <c r="E470" s="12"/>
      <c r="F470" s="12"/>
      <c r="G470" s="12"/>
      <c r="H470" s="12"/>
      <c r="I470" s="12"/>
      <c r="J470" s="12"/>
      <c r="K470" s="9"/>
      <c r="L470" s="1007"/>
      <c r="M470" s="25"/>
      <c r="O470" s="44"/>
      <c r="P470" s="17"/>
      <c r="Q470" s="1014"/>
      <c r="R470" s="1010"/>
      <c r="S470" s="12"/>
      <c r="T470" s="12"/>
      <c r="U470" s="12"/>
      <c r="V470" s="12"/>
      <c r="W470" s="12"/>
      <c r="X470" s="12"/>
      <c r="Y470" s="12"/>
      <c r="Z470" s="12"/>
      <c r="AA470" s="12"/>
      <c r="AB470" s="1007"/>
      <c r="AC470" s="12"/>
      <c r="AE470" s="44"/>
      <c r="AF470" s="17"/>
      <c r="AG470" s="17"/>
      <c r="AH470" s="16"/>
      <c r="AI470" s="17"/>
      <c r="AJ470" s="16"/>
    </row>
    <row r="471" spans="1:36" ht="14.25">
      <c r="A471" s="1008" t="s">
        <v>2569</v>
      </c>
      <c r="B471" s="1010">
        <v>21</v>
      </c>
      <c r="C471" s="640">
        <v>5532</v>
      </c>
      <c r="D471" s="640"/>
      <c r="E471" s="640"/>
      <c r="F471" s="640"/>
      <c r="G471" s="640"/>
      <c r="H471" s="640"/>
      <c r="I471" s="640">
        <v>3489.9</v>
      </c>
      <c r="J471" s="12"/>
      <c r="K471" s="641">
        <f aca="true" t="shared" si="115" ref="K471:K478">C471+I471</f>
        <v>9021.9</v>
      </c>
      <c r="L471" s="1007">
        <v>1000</v>
      </c>
      <c r="M471" s="25"/>
      <c r="O471" s="642">
        <f>K471*12+L471</f>
        <v>109262.79999999999</v>
      </c>
      <c r="P471" s="643">
        <f>O471*B471</f>
        <v>2294518.8</v>
      </c>
      <c r="Q471" s="1008" t="s">
        <v>2569</v>
      </c>
      <c r="R471" s="1010">
        <v>21</v>
      </c>
      <c r="S471" s="640">
        <v>5532</v>
      </c>
      <c r="T471" s="640"/>
      <c r="U471" s="640"/>
      <c r="V471" s="640"/>
      <c r="W471" s="640"/>
      <c r="X471" s="640"/>
      <c r="Y471" s="640">
        <v>3489.9</v>
      </c>
      <c r="Z471" s="12"/>
      <c r="AA471" s="641">
        <f aca="true" t="shared" si="116" ref="AA471:AA483">S471+Y471</f>
        <v>9021.9</v>
      </c>
      <c r="AB471" s="1007">
        <v>1000</v>
      </c>
      <c r="AC471" s="12"/>
      <c r="AE471" s="642">
        <f>AA471*12+AB471</f>
        <v>109262.79999999999</v>
      </c>
      <c r="AF471" s="643">
        <f>AE471*R471</f>
        <v>2294518.8</v>
      </c>
      <c r="AG471" s="17"/>
      <c r="AH471" s="16"/>
      <c r="AI471" s="17"/>
      <c r="AJ471" s="16"/>
    </row>
    <row r="472" spans="1:36" ht="14.25">
      <c r="A472" s="1015" t="s">
        <v>2562</v>
      </c>
      <c r="B472" s="1009" t="s">
        <v>2553</v>
      </c>
      <c r="C472" s="640">
        <v>3344</v>
      </c>
      <c r="D472" s="12"/>
      <c r="E472" s="12"/>
      <c r="F472" s="12"/>
      <c r="G472" s="12"/>
      <c r="H472" s="12"/>
      <c r="I472" s="640">
        <v>462.7</v>
      </c>
      <c r="J472" s="12"/>
      <c r="K472" s="641">
        <f t="shared" si="115"/>
        <v>3806.7</v>
      </c>
      <c r="L472" s="1007">
        <v>1000</v>
      </c>
      <c r="M472" s="25"/>
      <c r="O472" s="642">
        <f>K472*12+L472</f>
        <v>46680.399999999994</v>
      </c>
      <c r="P472" s="643">
        <f>O472*B472</f>
        <v>93360.79999999999</v>
      </c>
      <c r="Q472" s="1015" t="s">
        <v>2562</v>
      </c>
      <c r="R472" s="1009" t="s">
        <v>2553</v>
      </c>
      <c r="S472" s="640">
        <v>3344</v>
      </c>
      <c r="T472" s="12"/>
      <c r="U472" s="12"/>
      <c r="V472" s="12"/>
      <c r="W472" s="12"/>
      <c r="X472" s="12"/>
      <c r="Y472" s="640">
        <v>462.7</v>
      </c>
      <c r="Z472" s="12"/>
      <c r="AA472" s="641">
        <f t="shared" si="116"/>
        <v>3806.7</v>
      </c>
      <c r="AB472" s="1007">
        <v>1000</v>
      </c>
      <c r="AC472" s="12"/>
      <c r="AE472" s="642">
        <f>AA472*12+AB472</f>
        <v>46680.399999999994</v>
      </c>
      <c r="AF472" s="643">
        <f aca="true" t="shared" si="117" ref="AF472:AF483">AE472*R472</f>
        <v>93360.79999999999</v>
      </c>
      <c r="AG472" s="17"/>
      <c r="AH472" s="16"/>
      <c r="AI472" s="17"/>
      <c r="AJ472" s="16"/>
    </row>
    <row r="473" spans="1:36" ht="14.25">
      <c r="A473" s="1015" t="s">
        <v>2570</v>
      </c>
      <c r="B473" s="1009" t="s">
        <v>2566</v>
      </c>
      <c r="C473" s="640">
        <v>3344</v>
      </c>
      <c r="D473" s="640"/>
      <c r="E473" s="640"/>
      <c r="F473" s="640"/>
      <c r="G473" s="640"/>
      <c r="H473" s="640"/>
      <c r="I473" s="640">
        <v>2518.25</v>
      </c>
      <c r="J473" s="12"/>
      <c r="K473" s="641">
        <f t="shared" si="115"/>
        <v>5862.25</v>
      </c>
      <c r="L473" s="1007">
        <v>1000</v>
      </c>
      <c r="M473" s="25"/>
      <c r="O473" s="642">
        <f>K473*12+L473</f>
        <v>71347</v>
      </c>
      <c r="P473" s="643">
        <f>O473*B473</f>
        <v>356735</v>
      </c>
      <c r="Q473" s="1015" t="s">
        <v>2570</v>
      </c>
      <c r="R473" s="1009" t="s">
        <v>2566</v>
      </c>
      <c r="S473" s="640">
        <v>3344</v>
      </c>
      <c r="T473" s="640"/>
      <c r="U473" s="640"/>
      <c r="V473" s="640"/>
      <c r="W473" s="640"/>
      <c r="X473" s="640"/>
      <c r="Y473" s="640">
        <v>2518.25</v>
      </c>
      <c r="Z473" s="12"/>
      <c r="AA473" s="641">
        <f t="shared" si="116"/>
        <v>5862.25</v>
      </c>
      <c r="AB473" s="1007">
        <v>1000</v>
      </c>
      <c r="AC473" s="12"/>
      <c r="AE473" s="642">
        <f>AA473+AB473</f>
        <v>6862.25</v>
      </c>
      <c r="AF473" s="643">
        <f t="shared" si="117"/>
        <v>34311.25</v>
      </c>
      <c r="AG473" s="17"/>
      <c r="AH473" s="16"/>
      <c r="AI473" s="17"/>
      <c r="AJ473" s="16"/>
    </row>
    <row r="474" spans="1:36" ht="14.25">
      <c r="A474" s="1015" t="s">
        <v>2571</v>
      </c>
      <c r="B474" s="1009" t="s">
        <v>2572</v>
      </c>
      <c r="C474" s="640">
        <v>3344</v>
      </c>
      <c r="D474" s="640"/>
      <c r="E474" s="640"/>
      <c r="F474" s="640"/>
      <c r="G474" s="640"/>
      <c r="H474" s="640"/>
      <c r="I474" s="640">
        <v>462.7</v>
      </c>
      <c r="J474" s="12"/>
      <c r="K474" s="641">
        <f t="shared" si="115"/>
        <v>3806.7</v>
      </c>
      <c r="L474" s="1007">
        <v>1000</v>
      </c>
      <c r="M474" s="25"/>
      <c r="O474" s="642">
        <f>K474*12+L474</f>
        <v>46680.399999999994</v>
      </c>
      <c r="P474" s="643">
        <f>O474*B474</f>
        <v>186721.59999999998</v>
      </c>
      <c r="Q474" s="1015" t="s">
        <v>2571</v>
      </c>
      <c r="R474" s="1009" t="s">
        <v>2572</v>
      </c>
      <c r="S474" s="640">
        <v>3344</v>
      </c>
      <c r="T474" s="640"/>
      <c r="U474" s="640"/>
      <c r="V474" s="640"/>
      <c r="W474" s="640"/>
      <c r="X474" s="640"/>
      <c r="Y474" s="640">
        <v>462.7</v>
      </c>
      <c r="Z474" s="12"/>
      <c r="AA474" s="641">
        <f t="shared" si="116"/>
        <v>3806.7</v>
      </c>
      <c r="AB474" s="1007">
        <v>1001</v>
      </c>
      <c r="AC474" s="12"/>
      <c r="AE474" s="642">
        <f>AA474+AB474</f>
        <v>4807.7</v>
      </c>
      <c r="AF474" s="643">
        <f t="shared" si="117"/>
        <v>19230.8</v>
      </c>
      <c r="AG474" s="17"/>
      <c r="AH474" s="16"/>
      <c r="AI474" s="17"/>
      <c r="AJ474" s="16"/>
    </row>
    <row r="475" spans="1:36" ht="14.25">
      <c r="A475" s="1015" t="s">
        <v>2571</v>
      </c>
      <c r="B475" s="1009" t="s">
        <v>2557</v>
      </c>
      <c r="C475" s="640">
        <v>3344</v>
      </c>
      <c r="D475" s="640"/>
      <c r="E475" s="640"/>
      <c r="F475" s="640"/>
      <c r="G475" s="640"/>
      <c r="H475" s="640"/>
      <c r="I475" s="640">
        <v>1812.7</v>
      </c>
      <c r="J475" s="12"/>
      <c r="K475" s="641">
        <f t="shared" si="115"/>
        <v>5156.7</v>
      </c>
      <c r="L475" s="1007">
        <v>1000</v>
      </c>
      <c r="M475" s="25"/>
      <c r="O475" s="642">
        <f>K475*12+L475</f>
        <v>62880.399999999994</v>
      </c>
      <c r="P475" s="643">
        <f>O475*B475</f>
        <v>62880.399999999994</v>
      </c>
      <c r="Q475" s="1015" t="s">
        <v>2571</v>
      </c>
      <c r="R475" s="1009" t="s">
        <v>2557</v>
      </c>
      <c r="S475" s="640">
        <v>3344</v>
      </c>
      <c r="T475" s="12"/>
      <c r="U475" s="12"/>
      <c r="V475" s="12"/>
      <c r="W475" s="12"/>
      <c r="X475" s="12"/>
      <c r="Y475" s="640">
        <v>1812.7</v>
      </c>
      <c r="Z475" s="12"/>
      <c r="AA475" s="641">
        <f t="shared" si="116"/>
        <v>5156.7</v>
      </c>
      <c r="AB475" s="1007">
        <v>1002</v>
      </c>
      <c r="AC475" s="12"/>
      <c r="AE475" s="642">
        <f>AA475+AB475</f>
        <v>6158.7</v>
      </c>
      <c r="AF475" s="643">
        <f t="shared" si="117"/>
        <v>6158.7</v>
      </c>
      <c r="AG475" s="17"/>
      <c r="AH475" s="16"/>
      <c r="AI475" s="17"/>
      <c r="AJ475" s="16"/>
    </row>
    <row r="476" spans="1:36" ht="14.25">
      <c r="A476" s="1015" t="s">
        <v>2571</v>
      </c>
      <c r="B476" s="1009"/>
      <c r="C476" s="640"/>
      <c r="D476" s="640"/>
      <c r="E476" s="640"/>
      <c r="F476" s="640"/>
      <c r="G476" s="640"/>
      <c r="H476" s="640"/>
      <c r="I476" s="640"/>
      <c r="J476" s="12"/>
      <c r="K476" s="641"/>
      <c r="L476" s="1007"/>
      <c r="M476" s="25"/>
      <c r="O476" s="642"/>
      <c r="P476" s="643"/>
      <c r="Q476" s="1015" t="s">
        <v>2571</v>
      </c>
      <c r="R476" s="1009"/>
      <c r="S476" s="640">
        <v>3344</v>
      </c>
      <c r="T476" s="12"/>
      <c r="U476" s="12"/>
      <c r="V476" s="12"/>
      <c r="W476" s="12"/>
      <c r="X476" s="12"/>
      <c r="Y476" s="640">
        <v>1662.7</v>
      </c>
      <c r="Z476" s="12"/>
      <c r="AA476" s="641">
        <f t="shared" si="116"/>
        <v>5006.7</v>
      </c>
      <c r="AB476" s="1007">
        <v>1003</v>
      </c>
      <c r="AC476" s="12"/>
      <c r="AE476" s="642">
        <f>AA476+AB476</f>
        <v>6009.7</v>
      </c>
      <c r="AF476" s="643">
        <f t="shared" si="117"/>
        <v>0</v>
      </c>
      <c r="AG476" s="17"/>
      <c r="AH476" s="16"/>
      <c r="AI476" s="17"/>
      <c r="AJ476" s="16"/>
    </row>
    <row r="477" spans="1:36" ht="14.25">
      <c r="A477" s="1011" t="s">
        <v>1980</v>
      </c>
      <c r="B477" s="1009" t="s">
        <v>2566</v>
      </c>
      <c r="C477" s="640">
        <v>3344</v>
      </c>
      <c r="D477" s="12"/>
      <c r="E477" s="12"/>
      <c r="F477" s="12"/>
      <c r="G477" s="12"/>
      <c r="H477" s="12"/>
      <c r="I477" s="640">
        <v>462.7</v>
      </c>
      <c r="J477" s="12"/>
      <c r="K477" s="641">
        <f t="shared" si="115"/>
        <v>3806.7</v>
      </c>
      <c r="L477" s="1007">
        <v>1000</v>
      </c>
      <c r="M477" s="25"/>
      <c r="O477" s="642">
        <f>K477*12+L477</f>
        <v>46680.399999999994</v>
      </c>
      <c r="P477" s="643">
        <f>O477*B477</f>
        <v>233401.99999999997</v>
      </c>
      <c r="Q477" s="1011" t="s">
        <v>1980</v>
      </c>
      <c r="R477" s="1009" t="s">
        <v>2566</v>
      </c>
      <c r="S477" s="640">
        <v>3344</v>
      </c>
      <c r="T477" s="12"/>
      <c r="U477" s="12"/>
      <c r="V477" s="12"/>
      <c r="W477" s="12"/>
      <c r="X477" s="12"/>
      <c r="Y477" s="640">
        <v>462.7</v>
      </c>
      <c r="Z477" s="12"/>
      <c r="AA477" s="641">
        <f t="shared" si="116"/>
        <v>3806.7</v>
      </c>
      <c r="AB477" s="1007">
        <v>1004</v>
      </c>
      <c r="AC477" s="12"/>
      <c r="AE477" s="642">
        <f>AA477+AB477</f>
        <v>4810.7</v>
      </c>
      <c r="AF477" s="643">
        <f t="shared" si="117"/>
        <v>24053.5</v>
      </c>
      <c r="AG477" s="17"/>
      <c r="AH477" s="16"/>
      <c r="AI477" s="17"/>
      <c r="AJ477" s="16"/>
    </row>
    <row r="478" spans="1:36" ht="14.25">
      <c r="A478" s="1011" t="s">
        <v>1980</v>
      </c>
      <c r="B478" s="1009" t="s">
        <v>2553</v>
      </c>
      <c r="C478" s="640">
        <v>3344</v>
      </c>
      <c r="D478" s="12"/>
      <c r="E478" s="12"/>
      <c r="F478" s="12"/>
      <c r="G478" s="12"/>
      <c r="H478" s="12"/>
      <c r="I478" s="640">
        <v>1812.7</v>
      </c>
      <c r="J478" s="12"/>
      <c r="K478" s="641">
        <f t="shared" si="115"/>
        <v>5156.7</v>
      </c>
      <c r="L478" s="1007">
        <v>1000</v>
      </c>
      <c r="M478" s="25"/>
      <c r="O478" s="642">
        <f>K478*12+L478</f>
        <v>62880.399999999994</v>
      </c>
      <c r="P478" s="643">
        <f>O478*B478</f>
        <v>125760.79999999999</v>
      </c>
      <c r="Q478" s="1011" t="s">
        <v>1980</v>
      </c>
      <c r="R478" s="1009" t="s">
        <v>2553</v>
      </c>
      <c r="S478" s="640">
        <v>3344</v>
      </c>
      <c r="T478" s="12"/>
      <c r="U478" s="12"/>
      <c r="V478" s="12"/>
      <c r="W478" s="12"/>
      <c r="X478" s="12"/>
      <c r="Y478" s="640">
        <v>1350</v>
      </c>
      <c r="Z478" s="12"/>
      <c r="AA478" s="641">
        <f t="shared" si="116"/>
        <v>4694</v>
      </c>
      <c r="AB478" s="1007">
        <v>1000</v>
      </c>
      <c r="AC478" s="12"/>
      <c r="AE478" s="642">
        <f aca="true" t="shared" si="118" ref="AE478:AE483">AA478*12+AB478</f>
        <v>57328</v>
      </c>
      <c r="AF478" s="643">
        <f t="shared" si="117"/>
        <v>114656</v>
      </c>
      <c r="AG478" s="17"/>
      <c r="AH478" s="16"/>
      <c r="AI478" s="17"/>
      <c r="AJ478" s="16"/>
    </row>
    <row r="479" spans="1:36" ht="14.25">
      <c r="A479" s="1011" t="s">
        <v>1980</v>
      </c>
      <c r="B479" s="1009"/>
      <c r="C479" s="640"/>
      <c r="D479" s="12"/>
      <c r="E479" s="12"/>
      <c r="F479" s="12"/>
      <c r="G479" s="12"/>
      <c r="H479" s="12"/>
      <c r="I479" s="12"/>
      <c r="J479" s="12"/>
      <c r="K479" s="641"/>
      <c r="L479" s="1007"/>
      <c r="M479" s="25"/>
      <c r="O479" s="642"/>
      <c r="P479" s="643"/>
      <c r="Q479" s="1011" t="s">
        <v>1980</v>
      </c>
      <c r="R479" s="1009"/>
      <c r="S479" s="640">
        <v>3344</v>
      </c>
      <c r="T479" s="12"/>
      <c r="U479" s="12"/>
      <c r="V479" s="12"/>
      <c r="W479" s="12"/>
      <c r="X479" s="12"/>
      <c r="Y479" s="640">
        <v>1662.7</v>
      </c>
      <c r="Z479" s="12"/>
      <c r="AA479" s="12">
        <f t="shared" si="116"/>
        <v>5006.7</v>
      </c>
      <c r="AB479" s="1007">
        <v>1000</v>
      </c>
      <c r="AC479" s="12"/>
      <c r="AE479" s="642">
        <f t="shared" si="118"/>
        <v>61080.399999999994</v>
      </c>
      <c r="AF479" s="643">
        <f t="shared" si="117"/>
        <v>0</v>
      </c>
      <c r="AG479" s="17"/>
      <c r="AH479" s="16"/>
      <c r="AI479" s="17"/>
      <c r="AJ479" s="16"/>
    </row>
    <row r="480" spans="1:36" ht="14.25">
      <c r="A480" s="1011" t="s">
        <v>2297</v>
      </c>
      <c r="B480" s="1009" t="s">
        <v>2557</v>
      </c>
      <c r="C480" s="640">
        <v>3344</v>
      </c>
      <c r="D480" s="12"/>
      <c r="E480" s="12"/>
      <c r="F480" s="12"/>
      <c r="G480" s="12"/>
      <c r="H480" s="12"/>
      <c r="I480" s="640">
        <v>462.7</v>
      </c>
      <c r="J480" s="12"/>
      <c r="K480" s="641">
        <f>C480+I480</f>
        <v>3806.7</v>
      </c>
      <c r="L480" s="1007">
        <v>1000</v>
      </c>
      <c r="M480" s="25"/>
      <c r="O480" s="642">
        <f>K480*12+L480</f>
        <v>46680.399999999994</v>
      </c>
      <c r="P480" s="643">
        <f>O480*B480</f>
        <v>46680.399999999994</v>
      </c>
      <c r="Q480" s="1011" t="s">
        <v>2297</v>
      </c>
      <c r="R480" s="1009" t="s">
        <v>2557</v>
      </c>
      <c r="S480" s="640">
        <v>3344</v>
      </c>
      <c r="T480" s="12"/>
      <c r="U480" s="12"/>
      <c r="V480" s="12"/>
      <c r="W480" s="12"/>
      <c r="X480" s="12"/>
      <c r="Y480" s="640">
        <v>462.7</v>
      </c>
      <c r="Z480" s="12"/>
      <c r="AA480" s="641">
        <f t="shared" si="116"/>
        <v>3806.7</v>
      </c>
      <c r="AB480" s="1007">
        <v>1000</v>
      </c>
      <c r="AC480" s="12"/>
      <c r="AE480" s="642">
        <f t="shared" si="118"/>
        <v>46680.399999999994</v>
      </c>
      <c r="AF480" s="643">
        <f t="shared" si="117"/>
        <v>46680.399999999994</v>
      </c>
      <c r="AG480" s="17"/>
      <c r="AH480" s="16"/>
      <c r="AI480" s="17"/>
      <c r="AJ480" s="16"/>
    </row>
    <row r="481" spans="1:36" ht="14.25">
      <c r="A481" s="1011" t="s">
        <v>2573</v>
      </c>
      <c r="B481" s="1009" t="s">
        <v>2557</v>
      </c>
      <c r="C481" s="640">
        <v>3344</v>
      </c>
      <c r="D481" s="12"/>
      <c r="E481" s="12"/>
      <c r="F481" s="12"/>
      <c r="G481" s="12"/>
      <c r="H481" s="12"/>
      <c r="I481" s="640">
        <v>462.7</v>
      </c>
      <c r="J481" s="12"/>
      <c r="K481" s="641">
        <f>C481+I481</f>
        <v>3806.7</v>
      </c>
      <c r="L481" s="1007">
        <v>1000</v>
      </c>
      <c r="M481" s="25"/>
      <c r="O481" s="642">
        <f>K481*12+L481</f>
        <v>46680.399999999994</v>
      </c>
      <c r="P481" s="643">
        <f>O481*B481</f>
        <v>46680.399999999994</v>
      </c>
      <c r="Q481" s="1011" t="s">
        <v>2573</v>
      </c>
      <c r="R481" s="1009" t="s">
        <v>2557</v>
      </c>
      <c r="S481" s="640">
        <v>3344</v>
      </c>
      <c r="T481" s="12"/>
      <c r="U481" s="12"/>
      <c r="V481" s="12"/>
      <c r="W481" s="12"/>
      <c r="X481" s="12"/>
      <c r="Y481" s="640">
        <v>462.7</v>
      </c>
      <c r="Z481" s="12"/>
      <c r="AA481" s="641">
        <f t="shared" si="116"/>
        <v>3806.7</v>
      </c>
      <c r="AB481" s="1007">
        <v>1001</v>
      </c>
      <c r="AC481" s="12"/>
      <c r="AE481" s="642">
        <f t="shared" si="118"/>
        <v>46681.399999999994</v>
      </c>
      <c r="AF481" s="643">
        <f t="shared" si="117"/>
        <v>46681.399999999994</v>
      </c>
      <c r="AG481" s="17"/>
      <c r="AH481" s="16"/>
      <c r="AI481" s="17"/>
      <c r="AJ481" s="16"/>
    </row>
    <row r="482" spans="1:36" ht="14.25">
      <c r="A482" s="1011" t="s">
        <v>1976</v>
      </c>
      <c r="B482" s="1009" t="s">
        <v>2557</v>
      </c>
      <c r="C482" s="640">
        <v>3344</v>
      </c>
      <c r="D482" s="12"/>
      <c r="E482" s="12"/>
      <c r="F482" s="12"/>
      <c r="G482" s="12"/>
      <c r="H482" s="12"/>
      <c r="I482" s="640">
        <v>462.7</v>
      </c>
      <c r="J482" s="12"/>
      <c r="K482" s="641">
        <f>C482+I482</f>
        <v>3806.7</v>
      </c>
      <c r="L482" s="1007">
        <v>1000</v>
      </c>
      <c r="M482" s="25"/>
      <c r="O482" s="642">
        <f>K482*12+L482</f>
        <v>46680.399999999994</v>
      </c>
      <c r="P482" s="643">
        <f>O482*B482</f>
        <v>46680.399999999994</v>
      </c>
      <c r="Q482" s="1011" t="s">
        <v>1976</v>
      </c>
      <c r="R482" s="1009" t="s">
        <v>2557</v>
      </c>
      <c r="S482" s="640">
        <v>3344</v>
      </c>
      <c r="T482" s="12"/>
      <c r="U482" s="12"/>
      <c r="V482" s="12"/>
      <c r="W482" s="12"/>
      <c r="X482" s="12"/>
      <c r="Y482" s="640">
        <v>462.7</v>
      </c>
      <c r="Z482" s="12"/>
      <c r="AA482" s="641">
        <f t="shared" si="116"/>
        <v>3806.7</v>
      </c>
      <c r="AB482" s="1007">
        <v>1002</v>
      </c>
      <c r="AC482" s="12"/>
      <c r="AE482" s="642">
        <f t="shared" si="118"/>
        <v>46682.399999999994</v>
      </c>
      <c r="AF482" s="643">
        <f t="shared" si="117"/>
        <v>46682.399999999994</v>
      </c>
      <c r="AG482" s="17"/>
      <c r="AH482" s="16"/>
      <c r="AI482" s="17"/>
      <c r="AJ482" s="16"/>
    </row>
    <row r="483" spans="1:36" ht="14.25">
      <c r="A483" s="1011" t="s">
        <v>1930</v>
      </c>
      <c r="B483" s="1009" t="s">
        <v>2572</v>
      </c>
      <c r="C483" s="640">
        <v>3344</v>
      </c>
      <c r="D483" s="12"/>
      <c r="E483" s="12"/>
      <c r="F483" s="12"/>
      <c r="G483" s="12"/>
      <c r="H483" s="12"/>
      <c r="I483" s="12">
        <v>438.25</v>
      </c>
      <c r="J483" s="12"/>
      <c r="K483" s="641">
        <f>C483+I483</f>
        <v>3782.25</v>
      </c>
      <c r="L483" s="1007">
        <v>1000</v>
      </c>
      <c r="M483" s="25"/>
      <c r="O483" s="642">
        <f>K483*12+L483</f>
        <v>46387</v>
      </c>
      <c r="P483" s="643">
        <f>O483*B483</f>
        <v>185548</v>
      </c>
      <c r="Q483" s="1011" t="s">
        <v>1930</v>
      </c>
      <c r="R483" s="1009" t="s">
        <v>2572</v>
      </c>
      <c r="S483" s="640">
        <v>3344</v>
      </c>
      <c r="T483" s="12"/>
      <c r="U483" s="12"/>
      <c r="V483" s="12"/>
      <c r="W483" s="12"/>
      <c r="X483" s="12"/>
      <c r="Y483" s="12">
        <v>438.25</v>
      </c>
      <c r="Z483" s="12"/>
      <c r="AA483" s="641">
        <f t="shared" si="116"/>
        <v>3782.25</v>
      </c>
      <c r="AB483" s="1007">
        <v>1000</v>
      </c>
      <c r="AC483" s="12"/>
      <c r="AE483" s="642">
        <f t="shared" si="118"/>
        <v>46387</v>
      </c>
      <c r="AF483" s="643">
        <f t="shared" si="117"/>
        <v>185548</v>
      </c>
      <c r="AG483" s="17"/>
      <c r="AH483" s="16"/>
      <c r="AI483" s="17"/>
      <c r="AJ483" s="16"/>
    </row>
    <row r="484" spans="1:36" ht="12">
      <c r="A484" s="986" t="s">
        <v>2574</v>
      </c>
      <c r="B484" s="1016">
        <v>47</v>
      </c>
      <c r="C484" s="988"/>
      <c r="D484" s="989"/>
      <c r="E484" s="988"/>
      <c r="F484" s="988"/>
      <c r="G484" s="988"/>
      <c r="H484" s="988"/>
      <c r="I484" s="988"/>
      <c r="J484" s="988"/>
      <c r="K484" s="990"/>
      <c r="L484" s="991"/>
      <c r="M484" s="991"/>
      <c r="N484" s="992"/>
      <c r="O484" s="993"/>
      <c r="P484" s="994"/>
      <c r="Q484" s="986" t="s">
        <v>2574</v>
      </c>
      <c r="R484" s="1016">
        <v>47</v>
      </c>
      <c r="S484" s="988"/>
      <c r="T484" s="989"/>
      <c r="U484" s="988"/>
      <c r="V484" s="988"/>
      <c r="W484" s="988"/>
      <c r="X484" s="988"/>
      <c r="Y484" s="988"/>
      <c r="Z484" s="988"/>
      <c r="AA484" s="990"/>
      <c r="AB484" s="991"/>
      <c r="AC484" s="988"/>
      <c r="AD484" s="992"/>
      <c r="AE484" s="993"/>
      <c r="AF484" s="994"/>
      <c r="AG484" s="994"/>
      <c r="AH484" s="995"/>
      <c r="AI484" s="996"/>
      <c r="AJ484" s="994"/>
    </row>
    <row r="485" spans="1:36" ht="12">
      <c r="A485" s="997" t="s">
        <v>2575</v>
      </c>
      <c r="B485" s="976"/>
      <c r="C485" s="12"/>
      <c r="D485" s="12"/>
      <c r="E485" s="12"/>
      <c r="F485" s="12"/>
      <c r="G485" s="12"/>
      <c r="H485" s="12"/>
      <c r="I485" s="12"/>
      <c r="J485" s="12"/>
      <c r="K485" s="973"/>
      <c r="L485" s="12"/>
      <c r="M485" s="25"/>
      <c r="O485" s="44"/>
      <c r="P485" s="9"/>
      <c r="Q485" s="1017" t="s">
        <v>2575</v>
      </c>
      <c r="R485" s="919"/>
      <c r="S485" s="12"/>
      <c r="T485" s="12"/>
      <c r="U485" s="12"/>
      <c r="V485" s="12"/>
      <c r="W485" s="12"/>
      <c r="X485" s="12"/>
      <c r="Y485" s="12"/>
      <c r="Z485" s="12"/>
      <c r="AA485" s="12"/>
      <c r="AB485" s="25"/>
      <c r="AC485" s="9"/>
      <c r="AD485" s="52"/>
      <c r="AE485" s="44"/>
      <c r="AF485" s="17"/>
      <c r="AG485" s="17"/>
      <c r="AH485" s="16"/>
      <c r="AI485" s="17"/>
      <c r="AJ485" s="16"/>
    </row>
    <row r="486" spans="1:36" ht="12.75" thickBot="1">
      <c r="A486" s="952" t="s">
        <v>4</v>
      </c>
      <c r="B486" s="1018"/>
      <c r="C486" s="12"/>
      <c r="D486" s="12"/>
      <c r="E486" s="12"/>
      <c r="F486" s="12"/>
      <c r="G486" s="12"/>
      <c r="H486" s="12"/>
      <c r="I486" s="12"/>
      <c r="J486" s="12"/>
      <c r="K486" s="25"/>
      <c r="L486" s="12"/>
      <c r="M486" s="25"/>
      <c r="O486" s="44"/>
      <c r="P486" s="9"/>
      <c r="Q486" s="952" t="s">
        <v>4</v>
      </c>
      <c r="R486" s="1018"/>
      <c r="S486" s="12"/>
      <c r="T486" s="12"/>
      <c r="U486" s="12"/>
      <c r="V486" s="12"/>
      <c r="W486" s="12"/>
      <c r="X486" s="12"/>
      <c r="Y486" s="12"/>
      <c r="Z486" s="12"/>
      <c r="AA486" s="12"/>
      <c r="AB486" s="25"/>
      <c r="AC486" s="9"/>
      <c r="AD486" s="52"/>
      <c r="AE486" s="44"/>
      <c r="AF486" s="17"/>
      <c r="AG486" s="17"/>
      <c r="AH486" s="16"/>
      <c r="AI486" s="17"/>
      <c r="AJ486" s="16"/>
    </row>
    <row r="487" spans="1:36" ht="14.25">
      <c r="A487" s="41" t="s">
        <v>1976</v>
      </c>
      <c r="B487" s="1019" t="s">
        <v>2557</v>
      </c>
      <c r="C487" s="640">
        <v>2500</v>
      </c>
      <c r="D487" s="640"/>
      <c r="E487" s="640"/>
      <c r="F487" s="640"/>
      <c r="G487" s="640"/>
      <c r="H487" s="640"/>
      <c r="I487" s="640"/>
      <c r="J487" s="640"/>
      <c r="K487" s="1007">
        <f>C487</f>
        <v>2500</v>
      </c>
      <c r="L487" s="640">
        <v>600</v>
      </c>
      <c r="M487" s="1020"/>
      <c r="N487" s="878"/>
      <c r="O487" s="642">
        <v>30600</v>
      </c>
      <c r="P487" s="641">
        <v>30600</v>
      </c>
      <c r="Q487" s="25" t="s">
        <v>1976</v>
      </c>
      <c r="R487" s="573">
        <v>1</v>
      </c>
      <c r="S487" s="640">
        <v>2500</v>
      </c>
      <c r="T487" s="640"/>
      <c r="U487" s="640"/>
      <c r="V487" s="640"/>
      <c r="W487" s="640"/>
      <c r="X487" s="640"/>
      <c r="Y487" s="640"/>
      <c r="Z487" s="640"/>
      <c r="AA487" s="640">
        <v>2500</v>
      </c>
      <c r="AB487" s="640">
        <v>600</v>
      </c>
      <c r="AC487" s="262"/>
      <c r="AD487" s="879"/>
      <c r="AE487" s="642">
        <v>30600</v>
      </c>
      <c r="AF487" s="643">
        <v>30600</v>
      </c>
      <c r="AG487" s="643"/>
      <c r="AH487" s="16"/>
      <c r="AI487" s="17"/>
      <c r="AJ487" s="16"/>
    </row>
    <row r="488" spans="1:36" ht="14.25">
      <c r="A488" s="16" t="s">
        <v>1984</v>
      </c>
      <c r="B488" s="1019" t="s">
        <v>2553</v>
      </c>
      <c r="C488" s="640">
        <v>1100</v>
      </c>
      <c r="D488" s="640"/>
      <c r="E488" s="640"/>
      <c r="F488" s="640"/>
      <c r="G488" s="640"/>
      <c r="H488" s="640"/>
      <c r="I488" s="640"/>
      <c r="J488" s="640"/>
      <c r="K488" s="1007">
        <f aca="true" t="shared" si="119" ref="K488:K538">C488</f>
        <v>1100</v>
      </c>
      <c r="L488" s="640">
        <v>600</v>
      </c>
      <c r="M488" s="1020"/>
      <c r="N488" s="878"/>
      <c r="O488" s="642">
        <v>13800</v>
      </c>
      <c r="P488" s="641">
        <v>27600</v>
      </c>
      <c r="Q488" s="25" t="s">
        <v>1984</v>
      </c>
      <c r="R488" s="573">
        <v>2</v>
      </c>
      <c r="S488" s="640">
        <v>1100</v>
      </c>
      <c r="T488" s="640"/>
      <c r="U488" s="640"/>
      <c r="V488" s="640"/>
      <c r="W488" s="640"/>
      <c r="X488" s="640"/>
      <c r="Y488" s="640"/>
      <c r="Z488" s="640"/>
      <c r="AA488" s="640">
        <v>1100</v>
      </c>
      <c r="AB488" s="640">
        <v>600</v>
      </c>
      <c r="AC488" s="262"/>
      <c r="AD488" s="879"/>
      <c r="AE488" s="642">
        <v>13800</v>
      </c>
      <c r="AF488" s="643">
        <v>27600</v>
      </c>
      <c r="AG488" s="643"/>
      <c r="AH488" s="16"/>
      <c r="AI488" s="17"/>
      <c r="AJ488" s="16"/>
    </row>
    <row r="489" spans="1:36" ht="14.25">
      <c r="A489" s="16" t="s">
        <v>1809</v>
      </c>
      <c r="B489" s="1019" t="s">
        <v>2557</v>
      </c>
      <c r="C489" s="640">
        <v>1000</v>
      </c>
      <c r="D489" s="640"/>
      <c r="E489" s="640"/>
      <c r="F489" s="640"/>
      <c r="G489" s="640"/>
      <c r="H489" s="640"/>
      <c r="I489" s="640"/>
      <c r="J489" s="640"/>
      <c r="K489" s="1007">
        <f t="shared" si="119"/>
        <v>1000</v>
      </c>
      <c r="L489" s="640">
        <v>600</v>
      </c>
      <c r="M489" s="1020"/>
      <c r="N489" s="878"/>
      <c r="O489" s="642">
        <v>12600</v>
      </c>
      <c r="P489" s="641">
        <v>12600</v>
      </c>
      <c r="Q489" s="25" t="s">
        <v>1809</v>
      </c>
      <c r="R489" s="573">
        <v>1</v>
      </c>
      <c r="S489" s="640">
        <v>1000</v>
      </c>
      <c r="T489" s="640"/>
      <c r="U489" s="640"/>
      <c r="V489" s="640"/>
      <c r="W489" s="640"/>
      <c r="X489" s="640"/>
      <c r="Y489" s="640"/>
      <c r="Z489" s="640"/>
      <c r="AA489" s="640">
        <v>1000</v>
      </c>
      <c r="AB489" s="640">
        <v>600</v>
      </c>
      <c r="AC489" s="262"/>
      <c r="AD489" s="879"/>
      <c r="AE489" s="642">
        <v>12600</v>
      </c>
      <c r="AF489" s="643">
        <v>12600</v>
      </c>
      <c r="AG489" s="643"/>
      <c r="AH489" s="16"/>
      <c r="AI489" s="17"/>
      <c r="AJ489" s="16"/>
    </row>
    <row r="490" spans="1:36" ht="14.25">
      <c r="A490" s="16" t="s">
        <v>2000</v>
      </c>
      <c r="B490" s="1019" t="s">
        <v>2557</v>
      </c>
      <c r="C490" s="640">
        <v>1050</v>
      </c>
      <c r="D490" s="640"/>
      <c r="E490" s="640"/>
      <c r="F490" s="640"/>
      <c r="G490" s="640"/>
      <c r="H490" s="640"/>
      <c r="I490" s="640"/>
      <c r="J490" s="640"/>
      <c r="K490" s="1007">
        <f t="shared" si="119"/>
        <v>1050</v>
      </c>
      <c r="L490" s="640">
        <v>600</v>
      </c>
      <c r="M490" s="1020"/>
      <c r="N490" s="878"/>
      <c r="O490" s="642">
        <v>13200</v>
      </c>
      <c r="P490" s="641">
        <v>13200</v>
      </c>
      <c r="Q490" s="25" t="s">
        <v>2000</v>
      </c>
      <c r="R490" s="573">
        <v>1</v>
      </c>
      <c r="S490" s="640">
        <v>1050</v>
      </c>
      <c r="T490" s="640"/>
      <c r="U490" s="640"/>
      <c r="V490" s="640"/>
      <c r="W490" s="640"/>
      <c r="X490" s="640"/>
      <c r="Y490" s="640"/>
      <c r="Z490" s="640"/>
      <c r="AA490" s="640">
        <v>1050</v>
      </c>
      <c r="AB490" s="640">
        <v>600</v>
      </c>
      <c r="AC490" s="262"/>
      <c r="AD490" s="879"/>
      <c r="AE490" s="642">
        <v>13200</v>
      </c>
      <c r="AF490" s="643">
        <v>13200</v>
      </c>
      <c r="AG490" s="643"/>
      <c r="AH490" s="16"/>
      <c r="AI490" s="17"/>
      <c r="AJ490" s="16"/>
    </row>
    <row r="491" spans="1:36" ht="14.25">
      <c r="A491" s="16" t="s">
        <v>2008</v>
      </c>
      <c r="B491" s="1019" t="s">
        <v>2576</v>
      </c>
      <c r="C491" s="640">
        <v>1050</v>
      </c>
      <c r="D491" s="640"/>
      <c r="E491" s="640"/>
      <c r="F491" s="640"/>
      <c r="G491" s="640"/>
      <c r="H491" s="640"/>
      <c r="I491" s="640"/>
      <c r="J491" s="640"/>
      <c r="K491" s="1007">
        <f t="shared" si="119"/>
        <v>1050</v>
      </c>
      <c r="L491" s="640">
        <v>600</v>
      </c>
      <c r="M491" s="1020"/>
      <c r="N491" s="878"/>
      <c r="O491" s="642">
        <v>13200</v>
      </c>
      <c r="P491" s="641">
        <v>79200</v>
      </c>
      <c r="Q491" s="25" t="s">
        <v>2005</v>
      </c>
      <c r="R491" s="573">
        <v>1</v>
      </c>
      <c r="S491" s="640">
        <v>7000</v>
      </c>
      <c r="T491" s="640"/>
      <c r="U491" s="640"/>
      <c r="V491" s="640"/>
      <c r="W491" s="640"/>
      <c r="X491" s="640"/>
      <c r="Y491" s="640"/>
      <c r="Z491" s="640"/>
      <c r="AA491" s="640">
        <v>7000</v>
      </c>
      <c r="AB491" s="640">
        <v>600</v>
      </c>
      <c r="AC491" s="262"/>
      <c r="AD491" s="879"/>
      <c r="AE491" s="642">
        <v>84600</v>
      </c>
      <c r="AF491" s="643">
        <v>84600</v>
      </c>
      <c r="AG491" s="643"/>
      <c r="AH491" s="16"/>
      <c r="AI491" s="17"/>
      <c r="AJ491" s="16"/>
    </row>
    <row r="492" spans="1:36" ht="14.25">
      <c r="A492" s="16" t="s">
        <v>2008</v>
      </c>
      <c r="B492" s="1019" t="s">
        <v>2553</v>
      </c>
      <c r="C492" s="640">
        <v>1100</v>
      </c>
      <c r="D492" s="640"/>
      <c r="E492" s="640"/>
      <c r="F492" s="640"/>
      <c r="G492" s="640"/>
      <c r="H492" s="640"/>
      <c r="I492" s="640"/>
      <c r="J492" s="640"/>
      <c r="K492" s="1007">
        <f t="shared" si="119"/>
        <v>1100</v>
      </c>
      <c r="L492" s="640">
        <v>600</v>
      </c>
      <c r="M492" s="1020"/>
      <c r="N492" s="878"/>
      <c r="O492" s="642">
        <v>13800</v>
      </c>
      <c r="P492" s="641">
        <v>27600</v>
      </c>
      <c r="Q492" s="25" t="s">
        <v>2011</v>
      </c>
      <c r="R492" s="573">
        <v>1</v>
      </c>
      <c r="S492" s="640">
        <v>12000</v>
      </c>
      <c r="T492" s="640"/>
      <c r="U492" s="640"/>
      <c r="V492" s="640"/>
      <c r="W492" s="640"/>
      <c r="X492" s="640"/>
      <c r="Y492" s="640"/>
      <c r="Z492" s="640"/>
      <c r="AA492" s="640">
        <v>12000</v>
      </c>
      <c r="AB492" s="640">
        <v>600</v>
      </c>
      <c r="AC492" s="262"/>
      <c r="AD492" s="879"/>
      <c r="AE492" s="642">
        <v>144600</v>
      </c>
      <c r="AF492" s="643">
        <v>144600</v>
      </c>
      <c r="AG492" s="643"/>
      <c r="AH492" s="16"/>
      <c r="AI492" s="17"/>
      <c r="AJ492" s="16"/>
    </row>
    <row r="493" spans="1:36" ht="14.25">
      <c r="A493" s="16" t="s">
        <v>2008</v>
      </c>
      <c r="B493" s="1019" t="s">
        <v>2556</v>
      </c>
      <c r="C493" s="640">
        <v>1200</v>
      </c>
      <c r="D493" s="640"/>
      <c r="E493" s="640"/>
      <c r="F493" s="640"/>
      <c r="G493" s="640"/>
      <c r="H493" s="640"/>
      <c r="I493" s="640"/>
      <c r="J493" s="640"/>
      <c r="K493" s="1007">
        <f t="shared" si="119"/>
        <v>1200</v>
      </c>
      <c r="L493" s="640">
        <v>600</v>
      </c>
      <c r="M493" s="1020"/>
      <c r="N493" s="878"/>
      <c r="O493" s="642">
        <v>15000</v>
      </c>
      <c r="P493" s="641">
        <v>45000</v>
      </c>
      <c r="Q493" s="25" t="s">
        <v>2008</v>
      </c>
      <c r="R493" s="573">
        <v>5</v>
      </c>
      <c r="S493" s="640">
        <v>1050</v>
      </c>
      <c r="T493" s="640"/>
      <c r="U493" s="640"/>
      <c r="V493" s="640"/>
      <c r="W493" s="640"/>
      <c r="X493" s="640"/>
      <c r="Y493" s="640"/>
      <c r="Z493" s="640"/>
      <c r="AA493" s="640">
        <v>1050</v>
      </c>
      <c r="AB493" s="640">
        <v>600</v>
      </c>
      <c r="AC493" s="262"/>
      <c r="AD493" s="879"/>
      <c r="AE493" s="642">
        <v>13200</v>
      </c>
      <c r="AF493" s="643">
        <v>66000</v>
      </c>
      <c r="AG493" s="643"/>
      <c r="AH493" s="16"/>
      <c r="AI493" s="17"/>
      <c r="AJ493" s="16"/>
    </row>
    <row r="494" spans="1:36" ht="14.25">
      <c r="A494" s="16" t="s">
        <v>2008</v>
      </c>
      <c r="B494" s="1019">
        <v>14</v>
      </c>
      <c r="C494" s="640">
        <v>1600</v>
      </c>
      <c r="D494" s="640"/>
      <c r="E494" s="640"/>
      <c r="F494" s="640"/>
      <c r="G494" s="640"/>
      <c r="H494" s="640"/>
      <c r="I494" s="640"/>
      <c r="J494" s="640"/>
      <c r="K494" s="1007">
        <f t="shared" si="119"/>
        <v>1600</v>
      </c>
      <c r="L494" s="640">
        <v>600</v>
      </c>
      <c r="M494" s="1020"/>
      <c r="N494" s="878"/>
      <c r="O494" s="642">
        <v>19800</v>
      </c>
      <c r="P494" s="641">
        <v>277200</v>
      </c>
      <c r="Q494" s="25" t="s">
        <v>2008</v>
      </c>
      <c r="R494" s="573">
        <v>2</v>
      </c>
      <c r="S494" s="640">
        <v>1100</v>
      </c>
      <c r="T494" s="640"/>
      <c r="U494" s="640"/>
      <c r="V494" s="640"/>
      <c r="W494" s="640"/>
      <c r="X494" s="640"/>
      <c r="Y494" s="640"/>
      <c r="Z494" s="640"/>
      <c r="AA494" s="640">
        <v>1100</v>
      </c>
      <c r="AB494" s="640">
        <v>600</v>
      </c>
      <c r="AC494" s="262"/>
      <c r="AD494" s="879"/>
      <c r="AE494" s="642">
        <v>13800</v>
      </c>
      <c r="AF494" s="643">
        <v>27600</v>
      </c>
      <c r="AG494" s="643"/>
      <c r="AH494" s="16"/>
      <c r="AI494" s="17"/>
      <c r="AJ494" s="16"/>
    </row>
    <row r="495" spans="1:36" ht="14.25">
      <c r="A495" s="16" t="s">
        <v>2008</v>
      </c>
      <c r="B495" s="1019" t="s">
        <v>2553</v>
      </c>
      <c r="C495" s="640">
        <v>2300</v>
      </c>
      <c r="D495" s="640"/>
      <c r="E495" s="640"/>
      <c r="F495" s="640"/>
      <c r="G495" s="640"/>
      <c r="H495" s="640"/>
      <c r="I495" s="640"/>
      <c r="J495" s="640"/>
      <c r="K495" s="1007">
        <f t="shared" si="119"/>
        <v>2300</v>
      </c>
      <c r="L495" s="640">
        <v>600</v>
      </c>
      <c r="M495" s="1020"/>
      <c r="N495" s="878"/>
      <c r="O495" s="642">
        <v>28200</v>
      </c>
      <c r="P495" s="641">
        <v>56400</v>
      </c>
      <c r="Q495" s="25" t="s">
        <v>2008</v>
      </c>
      <c r="R495" s="573">
        <v>1</v>
      </c>
      <c r="S495" s="640">
        <v>1200</v>
      </c>
      <c r="T495" s="640"/>
      <c r="U495" s="640"/>
      <c r="V495" s="640"/>
      <c r="W495" s="640"/>
      <c r="X495" s="640"/>
      <c r="Y495" s="640"/>
      <c r="Z495" s="640"/>
      <c r="AA495" s="640">
        <v>1200</v>
      </c>
      <c r="AB495" s="640">
        <v>600</v>
      </c>
      <c r="AC495" s="262"/>
      <c r="AD495" s="879"/>
      <c r="AE495" s="642">
        <v>15000</v>
      </c>
      <c r="AF495" s="643">
        <v>15000</v>
      </c>
      <c r="AG495" s="643"/>
      <c r="AH495" s="16"/>
      <c r="AI495" s="17"/>
      <c r="AJ495" s="16"/>
    </row>
    <row r="496" spans="1:36" ht="14.25">
      <c r="A496" s="16" t="s">
        <v>2008</v>
      </c>
      <c r="B496" s="1019" t="s">
        <v>2572</v>
      </c>
      <c r="C496" s="640">
        <v>2500</v>
      </c>
      <c r="D496" s="640"/>
      <c r="E496" s="640"/>
      <c r="F496" s="640"/>
      <c r="G496" s="640"/>
      <c r="H496" s="640"/>
      <c r="I496" s="640"/>
      <c r="J496" s="640"/>
      <c r="K496" s="1007">
        <f t="shared" si="119"/>
        <v>2500</v>
      </c>
      <c r="L496" s="640">
        <v>600</v>
      </c>
      <c r="M496" s="1020"/>
      <c r="N496" s="878"/>
      <c r="O496" s="642">
        <v>30600</v>
      </c>
      <c r="P496" s="641">
        <v>122400</v>
      </c>
      <c r="Q496" s="25" t="s">
        <v>2008</v>
      </c>
      <c r="R496" s="573">
        <v>10</v>
      </c>
      <c r="S496" s="640">
        <v>1600</v>
      </c>
      <c r="T496" s="640"/>
      <c r="U496" s="640"/>
      <c r="V496" s="640"/>
      <c r="W496" s="640"/>
      <c r="X496" s="640"/>
      <c r="Y496" s="640"/>
      <c r="Z496" s="640"/>
      <c r="AA496" s="640">
        <v>1600</v>
      </c>
      <c r="AB496" s="640">
        <v>600</v>
      </c>
      <c r="AC496" s="262"/>
      <c r="AD496" s="879"/>
      <c r="AE496" s="642">
        <v>19800</v>
      </c>
      <c r="AF496" s="643">
        <v>198000</v>
      </c>
      <c r="AG496" s="643"/>
      <c r="AH496" s="16"/>
      <c r="AI496" s="17"/>
      <c r="AJ496" s="16"/>
    </row>
    <row r="497" spans="1:36" ht="14.25">
      <c r="A497" s="16" t="s">
        <v>2153</v>
      </c>
      <c r="B497" s="1019" t="s">
        <v>2556</v>
      </c>
      <c r="C497" s="640">
        <v>1500</v>
      </c>
      <c r="D497" s="640"/>
      <c r="E497" s="640"/>
      <c r="F497" s="640"/>
      <c r="G497" s="640"/>
      <c r="H497" s="640"/>
      <c r="I497" s="640"/>
      <c r="J497" s="640"/>
      <c r="K497" s="1007">
        <f t="shared" si="119"/>
        <v>1500</v>
      </c>
      <c r="L497" s="640">
        <v>600</v>
      </c>
      <c r="M497" s="1020"/>
      <c r="N497" s="878"/>
      <c r="O497" s="642">
        <v>18600</v>
      </c>
      <c r="P497" s="641">
        <v>55800</v>
      </c>
      <c r="Q497" s="25" t="s">
        <v>2008</v>
      </c>
      <c r="R497" s="573">
        <v>8</v>
      </c>
      <c r="S497" s="640">
        <v>2000</v>
      </c>
      <c r="T497" s="640"/>
      <c r="U497" s="640"/>
      <c r="V497" s="640"/>
      <c r="W497" s="640"/>
      <c r="X497" s="640"/>
      <c r="Y497" s="640"/>
      <c r="Z497" s="640"/>
      <c r="AA497" s="640">
        <v>2000</v>
      </c>
      <c r="AB497" s="640">
        <v>600</v>
      </c>
      <c r="AC497" s="262"/>
      <c r="AD497" s="879"/>
      <c r="AE497" s="642">
        <v>24600</v>
      </c>
      <c r="AF497" s="643">
        <v>196800</v>
      </c>
      <c r="AG497" s="643"/>
      <c r="AH497" s="16"/>
      <c r="AI497" s="17"/>
      <c r="AJ497" s="16"/>
    </row>
    <row r="498" spans="1:36" ht="14.25">
      <c r="A498" s="16" t="s">
        <v>2153</v>
      </c>
      <c r="B498" s="1019" t="s">
        <v>2557</v>
      </c>
      <c r="C498" s="640">
        <v>1300</v>
      </c>
      <c r="D498" s="640"/>
      <c r="E498" s="640"/>
      <c r="F498" s="640"/>
      <c r="G498" s="640"/>
      <c r="H498" s="640"/>
      <c r="I498" s="640"/>
      <c r="J498" s="640"/>
      <c r="K498" s="1007">
        <f t="shared" si="119"/>
        <v>1300</v>
      </c>
      <c r="L498" s="640">
        <v>600</v>
      </c>
      <c r="M498" s="1020"/>
      <c r="N498" s="878"/>
      <c r="O498" s="642">
        <v>16200</v>
      </c>
      <c r="P498" s="641">
        <v>16200</v>
      </c>
      <c r="Q498" s="25" t="s">
        <v>2008</v>
      </c>
      <c r="R498" s="573">
        <v>1</v>
      </c>
      <c r="S498" s="640">
        <v>2100</v>
      </c>
      <c r="T498" s="640"/>
      <c r="U498" s="640"/>
      <c r="V498" s="640"/>
      <c r="W498" s="640"/>
      <c r="X498" s="640"/>
      <c r="Y498" s="640"/>
      <c r="Z498" s="640"/>
      <c r="AA498" s="640">
        <v>2100</v>
      </c>
      <c r="AB498" s="640">
        <v>600</v>
      </c>
      <c r="AC498" s="262"/>
      <c r="AD498" s="879"/>
      <c r="AE498" s="642">
        <v>25800</v>
      </c>
      <c r="AF498" s="643">
        <v>25800</v>
      </c>
      <c r="AG498" s="643"/>
      <c r="AH498" s="16"/>
      <c r="AI498" s="17"/>
      <c r="AJ498" s="16"/>
    </row>
    <row r="499" spans="1:36" ht="14.25">
      <c r="A499" s="16" t="s">
        <v>1987</v>
      </c>
      <c r="B499" s="1019" t="s">
        <v>2557</v>
      </c>
      <c r="C499" s="640">
        <v>6000</v>
      </c>
      <c r="D499" s="640"/>
      <c r="E499" s="640"/>
      <c r="F499" s="640"/>
      <c r="G499" s="640"/>
      <c r="H499" s="640"/>
      <c r="I499" s="640"/>
      <c r="J499" s="640"/>
      <c r="K499" s="1007">
        <f t="shared" si="119"/>
        <v>6000</v>
      </c>
      <c r="L499" s="640">
        <v>600</v>
      </c>
      <c r="M499" s="1020"/>
      <c r="N499" s="878"/>
      <c r="O499" s="642">
        <v>72600</v>
      </c>
      <c r="P499" s="641">
        <v>72600</v>
      </c>
      <c r="Q499" s="25" t="s">
        <v>2008</v>
      </c>
      <c r="R499" s="573">
        <v>1</v>
      </c>
      <c r="S499" s="640">
        <v>2300</v>
      </c>
      <c r="T499" s="640"/>
      <c r="U499" s="640"/>
      <c r="V499" s="640"/>
      <c r="W499" s="640"/>
      <c r="X499" s="640"/>
      <c r="Y499" s="640"/>
      <c r="Z499" s="640"/>
      <c r="AA499" s="640">
        <v>2300</v>
      </c>
      <c r="AB499" s="640">
        <v>600</v>
      </c>
      <c r="AC499" s="262"/>
      <c r="AD499" s="879"/>
      <c r="AE499" s="642">
        <v>28200</v>
      </c>
      <c r="AF499" s="643">
        <v>28200</v>
      </c>
      <c r="AG499" s="643"/>
      <c r="AH499" s="16"/>
      <c r="AI499" s="17"/>
      <c r="AJ499" s="16"/>
    </row>
    <row r="500" spans="1:36" ht="14.25">
      <c r="A500" s="16" t="s">
        <v>1987</v>
      </c>
      <c r="B500" s="1019">
        <v>10</v>
      </c>
      <c r="C500" s="640">
        <v>4500</v>
      </c>
      <c r="D500" s="640"/>
      <c r="E500" s="640"/>
      <c r="F500" s="640"/>
      <c r="G500" s="640"/>
      <c r="H500" s="640"/>
      <c r="I500" s="640"/>
      <c r="J500" s="640"/>
      <c r="K500" s="1007">
        <f t="shared" si="119"/>
        <v>4500</v>
      </c>
      <c r="L500" s="640">
        <v>600</v>
      </c>
      <c r="M500" s="1020"/>
      <c r="N500" s="878"/>
      <c r="O500" s="642">
        <v>54600</v>
      </c>
      <c r="P500" s="641">
        <v>546000</v>
      </c>
      <c r="Q500" s="25" t="s">
        <v>2008</v>
      </c>
      <c r="R500" s="573">
        <v>4</v>
      </c>
      <c r="S500" s="640">
        <v>2500</v>
      </c>
      <c r="T500" s="640"/>
      <c r="U500" s="640"/>
      <c r="V500" s="640"/>
      <c r="W500" s="640"/>
      <c r="X500" s="640"/>
      <c r="Y500" s="640"/>
      <c r="Z500" s="640"/>
      <c r="AA500" s="640">
        <v>2500</v>
      </c>
      <c r="AB500" s="640">
        <v>600</v>
      </c>
      <c r="AC500" s="262"/>
      <c r="AD500" s="879"/>
      <c r="AE500" s="642">
        <v>30600</v>
      </c>
      <c r="AF500" s="643">
        <v>122400</v>
      </c>
      <c r="AG500" s="643"/>
      <c r="AH500" s="16"/>
      <c r="AI500" s="17"/>
      <c r="AJ500" s="16"/>
    </row>
    <row r="501" spans="1:36" ht="14.25">
      <c r="A501" s="16" t="s">
        <v>1987</v>
      </c>
      <c r="B501" s="1019" t="s">
        <v>2557</v>
      </c>
      <c r="C501" s="640">
        <v>5500</v>
      </c>
      <c r="D501" s="640"/>
      <c r="E501" s="640"/>
      <c r="F501" s="640"/>
      <c r="G501" s="640"/>
      <c r="H501" s="640"/>
      <c r="I501" s="640"/>
      <c r="J501" s="640"/>
      <c r="K501" s="1007">
        <f t="shared" si="119"/>
        <v>5500</v>
      </c>
      <c r="L501" s="640">
        <v>600</v>
      </c>
      <c r="M501" s="1020"/>
      <c r="N501" s="878"/>
      <c r="O501" s="642">
        <v>66600</v>
      </c>
      <c r="P501" s="641">
        <v>66600</v>
      </c>
      <c r="Q501" s="25" t="s">
        <v>2008</v>
      </c>
      <c r="R501" s="573">
        <v>1</v>
      </c>
      <c r="S501" s="640">
        <v>3200</v>
      </c>
      <c r="T501" s="640"/>
      <c r="U501" s="640"/>
      <c r="V501" s="640"/>
      <c r="W501" s="640"/>
      <c r="X501" s="640"/>
      <c r="Y501" s="640"/>
      <c r="Z501" s="640"/>
      <c r="AA501" s="640">
        <v>3200</v>
      </c>
      <c r="AB501" s="640">
        <v>600</v>
      </c>
      <c r="AC501" s="262"/>
      <c r="AD501" s="879"/>
      <c r="AE501" s="642">
        <v>39000</v>
      </c>
      <c r="AF501" s="643">
        <v>39000</v>
      </c>
      <c r="AG501" s="643"/>
      <c r="AH501" s="16"/>
      <c r="AI501" s="17"/>
      <c r="AJ501" s="16"/>
    </row>
    <row r="502" spans="1:36" ht="14.25">
      <c r="A502" s="16" t="s">
        <v>1987</v>
      </c>
      <c r="B502" s="1019" t="s">
        <v>2557</v>
      </c>
      <c r="C502" s="640">
        <v>6500</v>
      </c>
      <c r="D502" s="640"/>
      <c r="E502" s="640"/>
      <c r="F502" s="640"/>
      <c r="G502" s="640"/>
      <c r="H502" s="640"/>
      <c r="I502" s="640"/>
      <c r="J502" s="640"/>
      <c r="K502" s="1007">
        <f t="shared" si="119"/>
        <v>6500</v>
      </c>
      <c r="L502" s="640">
        <v>600</v>
      </c>
      <c r="M502" s="1020"/>
      <c r="N502" s="878"/>
      <c r="O502" s="642">
        <v>78600</v>
      </c>
      <c r="P502" s="641">
        <v>78600</v>
      </c>
      <c r="Q502" s="25" t="s">
        <v>2153</v>
      </c>
      <c r="R502" s="573">
        <v>1</v>
      </c>
      <c r="S502" s="640">
        <v>1300</v>
      </c>
      <c r="T502" s="640"/>
      <c r="U502" s="640"/>
      <c r="V502" s="640"/>
      <c r="W502" s="640"/>
      <c r="X502" s="640"/>
      <c r="Y502" s="640"/>
      <c r="Z502" s="640"/>
      <c r="AA502" s="640">
        <v>1300</v>
      </c>
      <c r="AB502" s="640">
        <v>600</v>
      </c>
      <c r="AC502" s="262"/>
      <c r="AD502" s="879"/>
      <c r="AE502" s="642">
        <v>16200</v>
      </c>
      <c r="AF502" s="643">
        <v>16200</v>
      </c>
      <c r="AG502" s="643"/>
      <c r="AH502" s="16"/>
      <c r="AI502" s="17"/>
      <c r="AJ502" s="16"/>
    </row>
    <row r="503" spans="1:36" ht="14.25">
      <c r="A503" s="16" t="s">
        <v>2023</v>
      </c>
      <c r="B503" s="1019" t="s">
        <v>2572</v>
      </c>
      <c r="C503" s="640">
        <v>1050</v>
      </c>
      <c r="D503" s="640"/>
      <c r="E503" s="640"/>
      <c r="F503" s="640"/>
      <c r="G503" s="640"/>
      <c r="H503" s="640"/>
      <c r="I503" s="640"/>
      <c r="J503" s="640"/>
      <c r="K503" s="1007">
        <f t="shared" si="119"/>
        <v>1050</v>
      </c>
      <c r="L503" s="640">
        <v>600</v>
      </c>
      <c r="M503" s="1020"/>
      <c r="N503" s="878"/>
      <c r="O503" s="642">
        <v>13200</v>
      </c>
      <c r="P503" s="641">
        <v>52800</v>
      </c>
      <c r="Q503" s="25" t="s">
        <v>2153</v>
      </c>
      <c r="R503" s="573">
        <v>1</v>
      </c>
      <c r="S503" s="640">
        <v>1500</v>
      </c>
      <c r="T503" s="640"/>
      <c r="U503" s="640"/>
      <c r="V503" s="640"/>
      <c r="W503" s="640"/>
      <c r="X503" s="640"/>
      <c r="Y503" s="640"/>
      <c r="Z503" s="640"/>
      <c r="AA503" s="640">
        <v>1500</v>
      </c>
      <c r="AB503" s="640">
        <v>600</v>
      </c>
      <c r="AC503" s="262"/>
      <c r="AD503" s="879"/>
      <c r="AE503" s="642">
        <v>18600</v>
      </c>
      <c r="AF503" s="643">
        <v>18600</v>
      </c>
      <c r="AG503" s="643"/>
      <c r="AH503" s="16"/>
      <c r="AI503" s="17"/>
      <c r="AJ503" s="16"/>
    </row>
    <row r="504" spans="1:36" ht="14.25">
      <c r="A504" s="16" t="s">
        <v>2103</v>
      </c>
      <c r="B504" s="1019">
        <v>12</v>
      </c>
      <c r="C504" s="640">
        <v>1600</v>
      </c>
      <c r="D504" s="640"/>
      <c r="E504" s="640"/>
      <c r="F504" s="640"/>
      <c r="G504" s="640"/>
      <c r="H504" s="640"/>
      <c r="I504" s="640"/>
      <c r="J504" s="640"/>
      <c r="K504" s="1007">
        <f t="shared" si="119"/>
        <v>1600</v>
      </c>
      <c r="L504" s="640">
        <v>600</v>
      </c>
      <c r="M504" s="1020"/>
      <c r="N504" s="878"/>
      <c r="O504" s="642">
        <v>19800</v>
      </c>
      <c r="P504" s="641">
        <v>237600</v>
      </c>
      <c r="Q504" s="25" t="s">
        <v>1987</v>
      </c>
      <c r="R504" s="573">
        <v>4</v>
      </c>
      <c r="S504" s="640">
        <v>4500</v>
      </c>
      <c r="T504" s="640"/>
      <c r="U504" s="640"/>
      <c r="V504" s="640"/>
      <c r="W504" s="640"/>
      <c r="X504" s="640"/>
      <c r="Y504" s="640"/>
      <c r="Z504" s="640"/>
      <c r="AA504" s="640">
        <v>4500</v>
      </c>
      <c r="AB504" s="640">
        <v>600</v>
      </c>
      <c r="AC504" s="262"/>
      <c r="AD504" s="879"/>
      <c r="AE504" s="642">
        <v>54600</v>
      </c>
      <c r="AF504" s="643">
        <v>218400</v>
      </c>
      <c r="AG504" s="643"/>
      <c r="AH504" s="16"/>
      <c r="AI504" s="17"/>
      <c r="AJ504" s="16"/>
    </row>
    <row r="505" spans="1:36" ht="14.25">
      <c r="A505" s="16" t="s">
        <v>2103</v>
      </c>
      <c r="B505" s="1019" t="s">
        <v>2557</v>
      </c>
      <c r="C505" s="640">
        <v>2300</v>
      </c>
      <c r="D505" s="640"/>
      <c r="E505" s="640"/>
      <c r="F505" s="640"/>
      <c r="G505" s="640"/>
      <c r="H505" s="640"/>
      <c r="I505" s="640"/>
      <c r="J505" s="640"/>
      <c r="K505" s="1007">
        <f t="shared" si="119"/>
        <v>2300</v>
      </c>
      <c r="L505" s="640">
        <v>600</v>
      </c>
      <c r="M505" s="1020"/>
      <c r="N505" s="878"/>
      <c r="O505" s="642">
        <v>28200</v>
      </c>
      <c r="P505" s="641">
        <v>28200</v>
      </c>
      <c r="Q505" s="25" t="s">
        <v>1987</v>
      </c>
      <c r="R505" s="573">
        <v>1</v>
      </c>
      <c r="S505" s="640">
        <v>5000</v>
      </c>
      <c r="T505" s="640"/>
      <c r="U505" s="640"/>
      <c r="V505" s="640"/>
      <c r="W505" s="640"/>
      <c r="X505" s="640"/>
      <c r="Y505" s="640"/>
      <c r="Z505" s="640"/>
      <c r="AA505" s="640">
        <v>5000</v>
      </c>
      <c r="AB505" s="640">
        <v>600</v>
      </c>
      <c r="AC505" s="262"/>
      <c r="AD505" s="879"/>
      <c r="AE505" s="642">
        <v>60600</v>
      </c>
      <c r="AF505" s="643">
        <v>60600</v>
      </c>
      <c r="AG505" s="643"/>
      <c r="AH505" s="16"/>
      <c r="AI505" s="17"/>
      <c r="AJ505" s="16"/>
    </row>
    <row r="506" spans="1:36" ht="14.25">
      <c r="A506" s="16" t="s">
        <v>1992</v>
      </c>
      <c r="B506" s="1019" t="s">
        <v>2553</v>
      </c>
      <c r="C506" s="640">
        <v>1050</v>
      </c>
      <c r="D506" s="640"/>
      <c r="E506" s="640"/>
      <c r="F506" s="640"/>
      <c r="G506" s="640"/>
      <c r="H506" s="640"/>
      <c r="I506" s="640"/>
      <c r="J506" s="640"/>
      <c r="K506" s="1007">
        <f t="shared" si="119"/>
        <v>1050</v>
      </c>
      <c r="L506" s="640">
        <v>600</v>
      </c>
      <c r="M506" s="1020"/>
      <c r="N506" s="878"/>
      <c r="O506" s="642">
        <v>13200</v>
      </c>
      <c r="P506" s="641">
        <v>26400</v>
      </c>
      <c r="Q506" s="25" t="s">
        <v>1987</v>
      </c>
      <c r="R506" s="573">
        <v>6</v>
      </c>
      <c r="S506" s="640">
        <v>5500</v>
      </c>
      <c r="T506" s="640"/>
      <c r="U506" s="640"/>
      <c r="V506" s="640"/>
      <c r="W506" s="640"/>
      <c r="X506" s="640"/>
      <c r="Y506" s="640"/>
      <c r="Z506" s="640"/>
      <c r="AA506" s="640">
        <v>5500</v>
      </c>
      <c r="AB506" s="640">
        <v>600</v>
      </c>
      <c r="AC506" s="262"/>
      <c r="AD506" s="879"/>
      <c r="AE506" s="642">
        <v>66600</v>
      </c>
      <c r="AF506" s="643">
        <v>399600</v>
      </c>
      <c r="AG506" s="643"/>
      <c r="AH506" s="16"/>
      <c r="AI506" s="17"/>
      <c r="AJ506" s="16"/>
    </row>
    <row r="507" spans="1:36" ht="14.25">
      <c r="A507" s="16" t="s">
        <v>1992</v>
      </c>
      <c r="B507" s="1019" t="s">
        <v>2557</v>
      </c>
      <c r="C507" s="640">
        <v>1100</v>
      </c>
      <c r="D507" s="640"/>
      <c r="E507" s="640"/>
      <c r="F507" s="640"/>
      <c r="G507" s="640"/>
      <c r="H507" s="640"/>
      <c r="I507" s="640"/>
      <c r="J507" s="640"/>
      <c r="K507" s="1007">
        <f t="shared" si="119"/>
        <v>1100</v>
      </c>
      <c r="L507" s="640">
        <v>600</v>
      </c>
      <c r="M507" s="1020"/>
      <c r="N507" s="878"/>
      <c r="O507" s="642">
        <v>13800</v>
      </c>
      <c r="P507" s="641">
        <v>13800</v>
      </c>
      <c r="Q507" s="25" t="s">
        <v>1987</v>
      </c>
      <c r="R507" s="573">
        <v>1</v>
      </c>
      <c r="S507" s="640">
        <v>6500</v>
      </c>
      <c r="T507" s="640"/>
      <c r="U507" s="640"/>
      <c r="V507" s="640"/>
      <c r="W507" s="640"/>
      <c r="X507" s="640"/>
      <c r="Y507" s="640"/>
      <c r="Z507" s="640"/>
      <c r="AA507" s="640">
        <v>6500</v>
      </c>
      <c r="AB507" s="640">
        <v>600</v>
      </c>
      <c r="AC507" s="262"/>
      <c r="AD507" s="879"/>
      <c r="AE507" s="642">
        <v>78600</v>
      </c>
      <c r="AF507" s="643">
        <v>78600</v>
      </c>
      <c r="AG507" s="643"/>
      <c r="AH507" s="16"/>
      <c r="AI507" s="17"/>
      <c r="AJ507" s="16"/>
    </row>
    <row r="508" spans="1:36" ht="14.25">
      <c r="A508" s="16" t="s">
        <v>1992</v>
      </c>
      <c r="B508" s="1019" t="s">
        <v>2553</v>
      </c>
      <c r="C508" s="640">
        <v>1600</v>
      </c>
      <c r="D508" s="640"/>
      <c r="E508" s="640"/>
      <c r="F508" s="640"/>
      <c r="G508" s="640"/>
      <c r="H508" s="640"/>
      <c r="I508" s="640"/>
      <c r="J508" s="640"/>
      <c r="K508" s="1007">
        <f t="shared" si="119"/>
        <v>1600</v>
      </c>
      <c r="L508" s="640">
        <v>600</v>
      </c>
      <c r="M508" s="1020"/>
      <c r="N508" s="878"/>
      <c r="O508" s="642">
        <v>19800</v>
      </c>
      <c r="P508" s="641">
        <v>39600</v>
      </c>
      <c r="Q508" s="25" t="s">
        <v>2023</v>
      </c>
      <c r="R508" s="573">
        <v>2</v>
      </c>
      <c r="S508" s="640">
        <v>1050</v>
      </c>
      <c r="T508" s="640"/>
      <c r="U508" s="640"/>
      <c r="V508" s="640"/>
      <c r="W508" s="640"/>
      <c r="X508" s="640"/>
      <c r="Y508" s="640"/>
      <c r="Z508" s="640"/>
      <c r="AA508" s="640">
        <v>1050</v>
      </c>
      <c r="AB508" s="640">
        <v>600</v>
      </c>
      <c r="AC508" s="262"/>
      <c r="AD508" s="879"/>
      <c r="AE508" s="642">
        <v>13200</v>
      </c>
      <c r="AF508" s="643">
        <v>26400</v>
      </c>
      <c r="AG508" s="643"/>
      <c r="AH508" s="16"/>
      <c r="AI508" s="17"/>
      <c r="AJ508" s="16"/>
    </row>
    <row r="509" spans="1:36" ht="14.25">
      <c r="A509" s="16" t="s">
        <v>1992</v>
      </c>
      <c r="B509" s="1019" t="s">
        <v>2557</v>
      </c>
      <c r="C509" s="640">
        <v>2300</v>
      </c>
      <c r="D509" s="640"/>
      <c r="E509" s="640"/>
      <c r="F509" s="640"/>
      <c r="G509" s="640"/>
      <c r="H509" s="640"/>
      <c r="I509" s="640"/>
      <c r="J509" s="640"/>
      <c r="K509" s="1007">
        <f t="shared" si="119"/>
        <v>2300</v>
      </c>
      <c r="L509" s="640">
        <v>600</v>
      </c>
      <c r="M509" s="1020"/>
      <c r="N509" s="878"/>
      <c r="O509" s="642">
        <v>28200</v>
      </c>
      <c r="P509" s="641">
        <v>28200</v>
      </c>
      <c r="Q509" s="25" t="s">
        <v>2023</v>
      </c>
      <c r="R509" s="573">
        <v>10</v>
      </c>
      <c r="S509" s="640">
        <v>1600</v>
      </c>
      <c r="T509" s="640"/>
      <c r="U509" s="640"/>
      <c r="V509" s="640"/>
      <c r="W509" s="640"/>
      <c r="X509" s="640"/>
      <c r="Y509" s="640"/>
      <c r="Z509" s="640"/>
      <c r="AA509" s="640">
        <v>1600</v>
      </c>
      <c r="AB509" s="640">
        <v>600</v>
      </c>
      <c r="AC509" s="262"/>
      <c r="AD509" s="879"/>
      <c r="AE509" s="642">
        <v>19800</v>
      </c>
      <c r="AF509" s="643">
        <v>198000</v>
      </c>
      <c r="AG509" s="643"/>
      <c r="AH509" s="16"/>
      <c r="AI509" s="17"/>
      <c r="AJ509" s="16"/>
    </row>
    <row r="510" spans="1:36" ht="14.25">
      <c r="A510" s="16" t="s">
        <v>1980</v>
      </c>
      <c r="B510" s="1019" t="s">
        <v>2557</v>
      </c>
      <c r="C510" s="640">
        <v>1200</v>
      </c>
      <c r="D510" s="640"/>
      <c r="E510" s="640"/>
      <c r="F510" s="640"/>
      <c r="G510" s="640"/>
      <c r="H510" s="640"/>
      <c r="I510" s="640"/>
      <c r="J510" s="640"/>
      <c r="K510" s="1007">
        <f t="shared" si="119"/>
        <v>1200</v>
      </c>
      <c r="L510" s="640">
        <v>600</v>
      </c>
      <c r="M510" s="1020"/>
      <c r="N510" s="878"/>
      <c r="O510" s="642">
        <v>15000</v>
      </c>
      <c r="P510" s="641">
        <v>15000</v>
      </c>
      <c r="Q510" s="25" t="s">
        <v>2023</v>
      </c>
      <c r="R510" s="573">
        <v>2</v>
      </c>
      <c r="S510" s="640">
        <v>2000</v>
      </c>
      <c r="T510" s="640"/>
      <c r="U510" s="640"/>
      <c r="V510" s="640"/>
      <c r="W510" s="640"/>
      <c r="X510" s="640"/>
      <c r="Y510" s="640"/>
      <c r="Z510" s="640"/>
      <c r="AA510" s="640">
        <v>2000</v>
      </c>
      <c r="AB510" s="640">
        <v>600</v>
      </c>
      <c r="AC510" s="262"/>
      <c r="AD510" s="879"/>
      <c r="AE510" s="642">
        <v>24600</v>
      </c>
      <c r="AF510" s="643">
        <v>49200</v>
      </c>
      <c r="AG510" s="643"/>
      <c r="AH510" s="16"/>
      <c r="AI510" s="17"/>
      <c r="AJ510" s="16"/>
    </row>
    <row r="511" spans="1:36" ht="14.25">
      <c r="A511" s="16" t="s">
        <v>1980</v>
      </c>
      <c r="B511" s="1019" t="s">
        <v>2557</v>
      </c>
      <c r="C511" s="640">
        <v>2100</v>
      </c>
      <c r="D511" s="640"/>
      <c r="E511" s="640"/>
      <c r="F511" s="640"/>
      <c r="G511" s="640"/>
      <c r="H511" s="640"/>
      <c r="I511" s="640"/>
      <c r="J511" s="640"/>
      <c r="K511" s="1007">
        <f t="shared" si="119"/>
        <v>2100</v>
      </c>
      <c r="L511" s="640">
        <v>600</v>
      </c>
      <c r="M511" s="1020"/>
      <c r="N511" s="878"/>
      <c r="O511" s="642">
        <v>25800</v>
      </c>
      <c r="P511" s="641">
        <v>25800</v>
      </c>
      <c r="Q511" s="25" t="s">
        <v>1992</v>
      </c>
      <c r="R511" s="573">
        <v>2</v>
      </c>
      <c r="S511" s="640">
        <v>1050</v>
      </c>
      <c r="T511" s="640"/>
      <c r="U511" s="640"/>
      <c r="V511" s="640"/>
      <c r="W511" s="640"/>
      <c r="X511" s="640"/>
      <c r="Y511" s="640"/>
      <c r="Z511" s="640"/>
      <c r="AA511" s="640">
        <v>1050</v>
      </c>
      <c r="AB511" s="640">
        <v>600</v>
      </c>
      <c r="AC511" s="262"/>
      <c r="AD511" s="879"/>
      <c r="AE511" s="642">
        <v>13200</v>
      </c>
      <c r="AF511" s="643">
        <v>26400</v>
      </c>
      <c r="AG511" s="643"/>
      <c r="AH511" s="16"/>
      <c r="AI511" s="17"/>
      <c r="AJ511" s="16"/>
    </row>
    <row r="512" spans="1:36" ht="14.25">
      <c r="A512" s="16" t="s">
        <v>1980</v>
      </c>
      <c r="B512" s="1019" t="s">
        <v>2557</v>
      </c>
      <c r="C512" s="640">
        <v>2200</v>
      </c>
      <c r="D512" s="640"/>
      <c r="E512" s="640"/>
      <c r="F512" s="640"/>
      <c r="G512" s="640"/>
      <c r="H512" s="640"/>
      <c r="I512" s="640"/>
      <c r="J512" s="640"/>
      <c r="K512" s="1007">
        <f t="shared" si="119"/>
        <v>2200</v>
      </c>
      <c r="L512" s="640">
        <v>600</v>
      </c>
      <c r="M512" s="1020"/>
      <c r="N512" s="878"/>
      <c r="O512" s="642">
        <v>27000</v>
      </c>
      <c r="P512" s="641">
        <v>27000</v>
      </c>
      <c r="Q512" s="25" t="s">
        <v>1992</v>
      </c>
      <c r="R512" s="573">
        <v>1</v>
      </c>
      <c r="S512" s="640">
        <v>1100</v>
      </c>
      <c r="T512" s="640"/>
      <c r="U512" s="640"/>
      <c r="V512" s="640"/>
      <c r="W512" s="640"/>
      <c r="X512" s="640"/>
      <c r="Y512" s="640"/>
      <c r="Z512" s="640"/>
      <c r="AA512" s="640">
        <v>1100</v>
      </c>
      <c r="AB512" s="640">
        <v>600</v>
      </c>
      <c r="AC512" s="262"/>
      <c r="AD512" s="879"/>
      <c r="AE512" s="642">
        <v>13800</v>
      </c>
      <c r="AF512" s="643">
        <v>13800</v>
      </c>
      <c r="AG512" s="643"/>
      <c r="AH512" s="16"/>
      <c r="AI512" s="17"/>
      <c r="AJ512" s="16"/>
    </row>
    <row r="513" spans="1:36" ht="14.25">
      <c r="A513" s="16" t="s">
        <v>1980</v>
      </c>
      <c r="B513" s="1019" t="s">
        <v>2556</v>
      </c>
      <c r="C513" s="640">
        <v>2500</v>
      </c>
      <c r="D513" s="640"/>
      <c r="E513" s="640"/>
      <c r="F513" s="640"/>
      <c r="G513" s="640"/>
      <c r="H513" s="640"/>
      <c r="I513" s="640"/>
      <c r="J513" s="640"/>
      <c r="K513" s="1007">
        <f t="shared" si="119"/>
        <v>2500</v>
      </c>
      <c r="L513" s="640">
        <v>600</v>
      </c>
      <c r="M513" s="1020"/>
      <c r="N513" s="878"/>
      <c r="O513" s="642">
        <v>30600</v>
      </c>
      <c r="P513" s="641">
        <v>91800</v>
      </c>
      <c r="Q513" s="25" t="s">
        <v>1992</v>
      </c>
      <c r="R513" s="573">
        <v>2</v>
      </c>
      <c r="S513" s="640">
        <v>1600</v>
      </c>
      <c r="T513" s="640"/>
      <c r="U513" s="640"/>
      <c r="V513" s="640"/>
      <c r="W513" s="640"/>
      <c r="X513" s="640"/>
      <c r="Y513" s="640"/>
      <c r="Z513" s="640"/>
      <c r="AA513" s="640">
        <v>1600</v>
      </c>
      <c r="AB513" s="641">
        <v>600</v>
      </c>
      <c r="AC513" s="1020"/>
      <c r="AD513" s="878"/>
      <c r="AE513" s="1007">
        <v>19800</v>
      </c>
      <c r="AF513" s="643">
        <v>39600</v>
      </c>
      <c r="AG513" s="643"/>
      <c r="AH513" s="16"/>
      <c r="AI513" s="17"/>
      <c r="AJ513" s="16"/>
    </row>
    <row r="514" spans="1:36" ht="14.25">
      <c r="A514" s="16" t="s">
        <v>2297</v>
      </c>
      <c r="B514" s="1019" t="s">
        <v>2557</v>
      </c>
      <c r="C514" s="640">
        <v>2500</v>
      </c>
      <c r="D514" s="640"/>
      <c r="E514" s="640"/>
      <c r="F514" s="640"/>
      <c r="G514" s="640"/>
      <c r="H514" s="640"/>
      <c r="I514" s="640"/>
      <c r="J514" s="640"/>
      <c r="K514" s="1007">
        <f t="shared" si="119"/>
        <v>2500</v>
      </c>
      <c r="L514" s="640">
        <v>600</v>
      </c>
      <c r="M514" s="1020"/>
      <c r="N514" s="878"/>
      <c r="O514" s="642">
        <v>30600</v>
      </c>
      <c r="P514" s="641">
        <v>30600</v>
      </c>
      <c r="Q514" s="25" t="s">
        <v>1992</v>
      </c>
      <c r="R514" s="573">
        <v>1</v>
      </c>
      <c r="S514" s="640">
        <v>2300</v>
      </c>
      <c r="T514" s="640"/>
      <c r="U514" s="640"/>
      <c r="V514" s="640"/>
      <c r="W514" s="640"/>
      <c r="X514" s="640"/>
      <c r="Y514" s="640"/>
      <c r="Z514" s="640"/>
      <c r="AA514" s="640">
        <v>2300</v>
      </c>
      <c r="AB514" s="641">
        <v>600</v>
      </c>
      <c r="AC514" s="1020"/>
      <c r="AD514" s="878"/>
      <c r="AE514" s="1007">
        <v>28200</v>
      </c>
      <c r="AF514" s="641">
        <v>28200</v>
      </c>
      <c r="AG514" s="1007"/>
      <c r="AH514" s="16"/>
      <c r="AI514" s="17"/>
      <c r="AJ514" s="16"/>
    </row>
    <row r="515" spans="1:36" ht="14.25">
      <c r="A515" s="952" t="s">
        <v>5</v>
      </c>
      <c r="B515" s="1019"/>
      <c r="C515" s="640"/>
      <c r="D515" s="640"/>
      <c r="E515" s="640"/>
      <c r="F515" s="640"/>
      <c r="G515" s="640"/>
      <c r="H515" s="640"/>
      <c r="I515" s="640"/>
      <c r="J515" s="640"/>
      <c r="K515" s="1007"/>
      <c r="L515" s="640"/>
      <c r="M515" s="1020"/>
      <c r="N515" s="878"/>
      <c r="O515" s="642"/>
      <c r="P515" s="641"/>
      <c r="Q515" s="25" t="s">
        <v>1980</v>
      </c>
      <c r="R515" s="573">
        <v>1</v>
      </c>
      <c r="S515" s="640">
        <v>2200</v>
      </c>
      <c r="T515" s="640"/>
      <c r="U515" s="640"/>
      <c r="V515" s="640"/>
      <c r="W515" s="640"/>
      <c r="X515" s="640"/>
      <c r="Y515" s="640"/>
      <c r="Z515" s="640"/>
      <c r="AA515" s="640">
        <v>2200</v>
      </c>
      <c r="AB515" s="641">
        <v>600</v>
      </c>
      <c r="AC515" s="1020"/>
      <c r="AD515" s="878"/>
      <c r="AE515" s="1007">
        <v>27000</v>
      </c>
      <c r="AF515" s="641">
        <v>27000</v>
      </c>
      <c r="AG515" s="1007"/>
      <c r="AH515" s="4"/>
      <c r="AI515" s="25"/>
      <c r="AJ515" s="25"/>
    </row>
    <row r="516" spans="1:36" ht="14.25">
      <c r="A516" s="16" t="s">
        <v>2300</v>
      </c>
      <c r="B516" s="1019" t="s">
        <v>2553</v>
      </c>
      <c r="C516" s="640">
        <v>2000</v>
      </c>
      <c r="D516" s="640"/>
      <c r="E516" s="640"/>
      <c r="F516" s="640"/>
      <c r="G516" s="640"/>
      <c r="H516" s="640"/>
      <c r="I516" s="640"/>
      <c r="J516" s="640"/>
      <c r="K516" s="1007">
        <f t="shared" si="119"/>
        <v>2000</v>
      </c>
      <c r="L516" s="640">
        <v>600</v>
      </c>
      <c r="M516" s="1020"/>
      <c r="N516" s="878"/>
      <c r="O516" s="642">
        <v>24600</v>
      </c>
      <c r="P516" s="641">
        <v>49200</v>
      </c>
      <c r="Q516" s="25" t="s">
        <v>1980</v>
      </c>
      <c r="R516" s="27">
        <v>3</v>
      </c>
      <c r="S516" s="1007">
        <v>2500</v>
      </c>
      <c r="T516" s="640"/>
      <c r="U516" s="640"/>
      <c r="V516" s="640"/>
      <c r="W516" s="640"/>
      <c r="X516" s="640"/>
      <c r="Y516" s="640"/>
      <c r="Z516" s="640"/>
      <c r="AA516" s="640">
        <v>2500</v>
      </c>
      <c r="AB516" s="641">
        <v>600</v>
      </c>
      <c r="AC516" s="1020"/>
      <c r="AD516" s="878"/>
      <c r="AE516" s="1007">
        <v>30600</v>
      </c>
      <c r="AF516" s="641">
        <v>91800</v>
      </c>
      <c r="AG516" s="1007"/>
      <c r="AH516" s="4"/>
      <c r="AI516" s="25"/>
      <c r="AJ516" s="25"/>
    </row>
    <row r="517" spans="1:36" ht="14.25">
      <c r="A517" s="16" t="s">
        <v>1997</v>
      </c>
      <c r="B517" s="1019" t="s">
        <v>2577</v>
      </c>
      <c r="C517" s="640">
        <v>1050</v>
      </c>
      <c r="D517" s="640"/>
      <c r="E517" s="640"/>
      <c r="F517" s="640"/>
      <c r="G517" s="640"/>
      <c r="H517" s="640"/>
      <c r="I517" s="640"/>
      <c r="J517" s="640"/>
      <c r="K517" s="1007">
        <f t="shared" si="119"/>
        <v>1050</v>
      </c>
      <c r="L517" s="640">
        <v>600</v>
      </c>
      <c r="M517" s="1020"/>
      <c r="N517" s="878"/>
      <c r="O517" s="642">
        <v>13200</v>
      </c>
      <c r="P517" s="641">
        <v>92400</v>
      </c>
      <c r="Q517" s="25" t="s">
        <v>1980</v>
      </c>
      <c r="R517" s="27">
        <v>2</v>
      </c>
      <c r="S517" s="1007">
        <v>2850</v>
      </c>
      <c r="T517" s="641"/>
      <c r="U517" s="1007"/>
      <c r="V517" s="640"/>
      <c r="W517" s="640"/>
      <c r="X517" s="641"/>
      <c r="Y517" s="1007"/>
      <c r="Z517" s="641"/>
      <c r="AA517" s="1007">
        <v>2850</v>
      </c>
      <c r="AB517" s="641">
        <v>600</v>
      </c>
      <c r="AC517" s="1020"/>
      <c r="AD517" s="878"/>
      <c r="AE517" s="1007">
        <v>34800</v>
      </c>
      <c r="AF517" s="641">
        <v>69600</v>
      </c>
      <c r="AG517" s="1007"/>
      <c r="AH517" s="4"/>
      <c r="AI517" s="25"/>
      <c r="AJ517" s="25"/>
    </row>
    <row r="518" spans="1:36" ht="14.25">
      <c r="A518" s="16" t="s">
        <v>1997</v>
      </c>
      <c r="B518" s="1019">
        <v>10</v>
      </c>
      <c r="C518" s="640">
        <v>1100</v>
      </c>
      <c r="D518" s="640"/>
      <c r="E518" s="640"/>
      <c r="F518" s="640"/>
      <c r="G518" s="640"/>
      <c r="H518" s="640"/>
      <c r="I518" s="640"/>
      <c r="J518" s="640"/>
      <c r="K518" s="1007">
        <f t="shared" si="119"/>
        <v>1100</v>
      </c>
      <c r="L518" s="640">
        <v>600</v>
      </c>
      <c r="M518" s="1020"/>
      <c r="N518" s="878"/>
      <c r="O518" s="642">
        <v>13800</v>
      </c>
      <c r="P518" s="641">
        <v>138000</v>
      </c>
      <c r="Q518" s="25" t="s">
        <v>2297</v>
      </c>
      <c r="R518" s="27"/>
      <c r="S518" s="1007">
        <v>2500</v>
      </c>
      <c r="T518" s="641"/>
      <c r="U518" s="1007"/>
      <c r="V518" s="641"/>
      <c r="W518" s="1007"/>
      <c r="X518" s="641"/>
      <c r="Y518" s="1007"/>
      <c r="Z518" s="641"/>
      <c r="AA518" s="1007">
        <v>2500</v>
      </c>
      <c r="AB518" s="641">
        <v>600</v>
      </c>
      <c r="AC518" s="1020"/>
      <c r="AD518" s="878"/>
      <c r="AE518" s="1007">
        <v>30600</v>
      </c>
      <c r="AF518" s="641">
        <v>0</v>
      </c>
      <c r="AG518" s="1007"/>
      <c r="AH518" s="4"/>
      <c r="AI518" s="25"/>
      <c r="AJ518" s="25"/>
    </row>
    <row r="519" spans="1:36" ht="14.25">
      <c r="A519" s="16" t="s">
        <v>1997</v>
      </c>
      <c r="B519" s="1019" t="s">
        <v>2557</v>
      </c>
      <c r="C519" s="640">
        <v>1200</v>
      </c>
      <c r="D519" s="640"/>
      <c r="E519" s="640"/>
      <c r="F519" s="640"/>
      <c r="G519" s="640"/>
      <c r="H519" s="640"/>
      <c r="I519" s="640"/>
      <c r="J519" s="640"/>
      <c r="K519" s="1007">
        <f t="shared" si="119"/>
        <v>1200</v>
      </c>
      <c r="L519" s="640">
        <v>600</v>
      </c>
      <c r="M519" s="1020"/>
      <c r="N519" s="878"/>
      <c r="O519" s="642">
        <v>15000</v>
      </c>
      <c r="P519" s="641">
        <v>15000</v>
      </c>
      <c r="Q519" s="25" t="s">
        <v>2297</v>
      </c>
      <c r="R519" s="27">
        <v>1</v>
      </c>
      <c r="S519" s="1007">
        <v>2700</v>
      </c>
      <c r="T519" s="641"/>
      <c r="U519" s="1007"/>
      <c r="V519" s="641"/>
      <c r="W519" s="1007"/>
      <c r="X519" s="641"/>
      <c r="Y519" s="1007"/>
      <c r="Z519" s="641"/>
      <c r="AA519" s="1007">
        <v>2700</v>
      </c>
      <c r="AB519" s="641">
        <v>600</v>
      </c>
      <c r="AC519" s="1020"/>
      <c r="AD519" s="878"/>
      <c r="AE519" s="1007">
        <v>33000</v>
      </c>
      <c r="AF519" s="641">
        <v>33000</v>
      </c>
      <c r="AG519" s="1007"/>
      <c r="AH519" s="4"/>
      <c r="AI519" s="25"/>
      <c r="AJ519" s="25"/>
    </row>
    <row r="520" spans="1:36" ht="14.25">
      <c r="A520" s="16" t="s">
        <v>1997</v>
      </c>
      <c r="B520" s="1019" t="s">
        <v>2557</v>
      </c>
      <c r="C520" s="640">
        <v>1250</v>
      </c>
      <c r="D520" s="640"/>
      <c r="E520" s="640"/>
      <c r="F520" s="640"/>
      <c r="G520" s="640"/>
      <c r="H520" s="640"/>
      <c r="I520" s="640"/>
      <c r="J520" s="640"/>
      <c r="K520" s="1007">
        <f t="shared" si="119"/>
        <v>1250</v>
      </c>
      <c r="L520" s="640">
        <v>600</v>
      </c>
      <c r="M520" s="1020"/>
      <c r="N520" s="878"/>
      <c r="O520" s="642">
        <v>15600</v>
      </c>
      <c r="P520" s="641">
        <v>15600</v>
      </c>
      <c r="Q520" s="952" t="s">
        <v>5</v>
      </c>
      <c r="R520" s="736"/>
      <c r="S520" s="1021"/>
      <c r="T520"/>
      <c r="U520" s="1021"/>
      <c r="V520"/>
      <c r="W520" s="1021"/>
      <c r="X520"/>
      <c r="Y520" s="1021"/>
      <c r="Z520"/>
      <c r="AA520" s="1021"/>
      <c r="AB520"/>
      <c r="AC520" s="1021"/>
      <c r="AD520"/>
      <c r="AE520" s="1021"/>
      <c r="AF520"/>
      <c r="AG520" s="1021"/>
      <c r="AH520"/>
      <c r="AI520" s="1021"/>
      <c r="AJ520" s="1021"/>
    </row>
    <row r="521" spans="1:36" ht="14.25">
      <c r="A521" s="16" t="s">
        <v>1997</v>
      </c>
      <c r="B521" s="1019" t="s">
        <v>2557</v>
      </c>
      <c r="C521" s="640">
        <v>1500</v>
      </c>
      <c r="D521" s="640"/>
      <c r="E521" s="640"/>
      <c r="F521" s="640"/>
      <c r="G521" s="640"/>
      <c r="H521" s="640"/>
      <c r="I521" s="640"/>
      <c r="J521" s="640"/>
      <c r="K521" s="1007">
        <f t="shared" si="119"/>
        <v>1500</v>
      </c>
      <c r="L521" s="640">
        <v>600</v>
      </c>
      <c r="M521" s="1020"/>
      <c r="N521" s="878"/>
      <c r="O521" s="642">
        <v>18600</v>
      </c>
      <c r="P521" s="641">
        <v>18600</v>
      </c>
      <c r="Q521" s="25" t="s">
        <v>2300</v>
      </c>
      <c r="R521" s="27">
        <v>2</v>
      </c>
      <c r="S521" s="1007">
        <v>2000</v>
      </c>
      <c r="T521" s="641"/>
      <c r="U521" s="1007"/>
      <c r="V521" s="641"/>
      <c r="W521" s="1007"/>
      <c r="X521" s="641"/>
      <c r="Y521" s="1007"/>
      <c r="Z521" s="641"/>
      <c r="AA521" s="1007">
        <v>2000</v>
      </c>
      <c r="AB521" s="641">
        <v>600</v>
      </c>
      <c r="AC521" s="1020"/>
      <c r="AD521" s="878"/>
      <c r="AE521" s="1007">
        <v>24600</v>
      </c>
      <c r="AF521" s="641">
        <v>49200</v>
      </c>
      <c r="AG521" s="1007"/>
      <c r="AH521" s="4"/>
      <c r="AI521" s="25"/>
      <c r="AJ521" s="25"/>
    </row>
    <row r="522" spans="1:36" ht="14.25">
      <c r="A522" s="16" t="s">
        <v>2014</v>
      </c>
      <c r="B522" s="1019" t="s">
        <v>2556</v>
      </c>
      <c r="C522" s="640">
        <v>950</v>
      </c>
      <c r="D522" s="640"/>
      <c r="E522" s="640"/>
      <c r="F522" s="640"/>
      <c r="G522" s="640"/>
      <c r="H522" s="640"/>
      <c r="I522" s="640"/>
      <c r="J522" s="640"/>
      <c r="K522" s="1007">
        <f t="shared" si="119"/>
        <v>950</v>
      </c>
      <c r="L522" s="640">
        <v>600</v>
      </c>
      <c r="M522" s="1020"/>
      <c r="N522" s="878"/>
      <c r="O522" s="642">
        <v>12000</v>
      </c>
      <c r="P522" s="641">
        <v>36000</v>
      </c>
      <c r="Q522" s="25" t="s">
        <v>2345</v>
      </c>
      <c r="R522" s="27">
        <v>6</v>
      </c>
      <c r="S522" s="1007">
        <v>1050</v>
      </c>
      <c r="T522" s="641"/>
      <c r="U522" s="1007"/>
      <c r="V522" s="640"/>
      <c r="W522" s="640"/>
      <c r="X522" s="641"/>
      <c r="Y522" s="1007"/>
      <c r="Z522" s="640"/>
      <c r="AA522" s="640">
        <v>1050</v>
      </c>
      <c r="AB522" s="641">
        <v>600</v>
      </c>
      <c r="AC522" s="1020"/>
      <c r="AD522" s="878"/>
      <c r="AE522" s="1007">
        <v>13200</v>
      </c>
      <c r="AF522" s="641">
        <v>79200</v>
      </c>
      <c r="AG522" s="1007"/>
      <c r="AH522" s="4"/>
      <c r="AI522" s="25"/>
      <c r="AJ522" s="25"/>
    </row>
    <row r="523" spans="1:36" ht="14.25">
      <c r="A523" s="16" t="s">
        <v>2014</v>
      </c>
      <c r="B523" s="1019" t="s">
        <v>2557</v>
      </c>
      <c r="C523" s="640">
        <v>1100</v>
      </c>
      <c r="D523" s="640"/>
      <c r="E523" s="640"/>
      <c r="F523" s="640"/>
      <c r="G523" s="640"/>
      <c r="H523" s="640"/>
      <c r="I523" s="640"/>
      <c r="J523" s="640"/>
      <c r="K523" s="1007">
        <f t="shared" si="119"/>
        <v>1100</v>
      </c>
      <c r="L523" s="640">
        <v>600</v>
      </c>
      <c r="M523" s="1020"/>
      <c r="N523" s="878"/>
      <c r="O523" s="642">
        <v>13800</v>
      </c>
      <c r="P523" s="641">
        <v>13800</v>
      </c>
      <c r="Q523" s="25" t="s">
        <v>2345</v>
      </c>
      <c r="R523" s="573">
        <v>7</v>
      </c>
      <c r="S523" s="640">
        <v>1100</v>
      </c>
      <c r="T523" s="640"/>
      <c r="U523" s="640"/>
      <c r="V523" s="640"/>
      <c r="W523" s="640"/>
      <c r="X523" s="640"/>
      <c r="Y523" s="640"/>
      <c r="Z523" s="640"/>
      <c r="AA523" s="640">
        <v>1100</v>
      </c>
      <c r="AB523" s="641">
        <v>600</v>
      </c>
      <c r="AC523" s="1020"/>
      <c r="AD523" s="878"/>
      <c r="AE523" s="1007">
        <v>13800</v>
      </c>
      <c r="AF523" s="641">
        <v>96600</v>
      </c>
      <c r="AG523" s="1007"/>
      <c r="AH523" s="4"/>
      <c r="AI523" s="25"/>
      <c r="AJ523" s="25"/>
    </row>
    <row r="524" spans="1:36" ht="14.25">
      <c r="A524" s="16" t="s">
        <v>2014</v>
      </c>
      <c r="B524" s="1019">
        <v>13</v>
      </c>
      <c r="C524" s="640">
        <v>1200</v>
      </c>
      <c r="D524" s="640"/>
      <c r="E524" s="640"/>
      <c r="F524" s="640"/>
      <c r="G524" s="640"/>
      <c r="H524" s="640"/>
      <c r="I524" s="640"/>
      <c r="J524" s="640"/>
      <c r="K524" s="1007">
        <f t="shared" si="119"/>
        <v>1200</v>
      </c>
      <c r="L524" s="640">
        <v>600</v>
      </c>
      <c r="M524" s="1020"/>
      <c r="N524" s="878"/>
      <c r="O524" s="642">
        <v>15000</v>
      </c>
      <c r="P524" s="641">
        <v>195000</v>
      </c>
      <c r="Q524" s="25" t="s">
        <v>2345</v>
      </c>
      <c r="R524" s="573">
        <v>4</v>
      </c>
      <c r="S524" s="640">
        <v>1200</v>
      </c>
      <c r="T524" s="640"/>
      <c r="U524" s="640"/>
      <c r="V524" s="640"/>
      <c r="W524" s="640"/>
      <c r="X524" s="640"/>
      <c r="Y524" s="640"/>
      <c r="Z524" s="640"/>
      <c r="AA524" s="640">
        <v>1200</v>
      </c>
      <c r="AB524" s="641">
        <v>600</v>
      </c>
      <c r="AC524" s="1020"/>
      <c r="AD524" s="878"/>
      <c r="AE524" s="1007">
        <v>15000</v>
      </c>
      <c r="AF524" s="641">
        <v>60000</v>
      </c>
      <c r="AG524" s="1007"/>
      <c r="AH524" s="4"/>
      <c r="AI524" s="25"/>
      <c r="AJ524" s="16"/>
    </row>
    <row r="525" spans="1:36" ht="14.25">
      <c r="A525" s="16" t="s">
        <v>2014</v>
      </c>
      <c r="B525" s="1019" t="s">
        <v>2557</v>
      </c>
      <c r="C525" s="640">
        <v>1600</v>
      </c>
      <c r="D525" s="640"/>
      <c r="E525" s="640"/>
      <c r="F525" s="640"/>
      <c r="G525" s="640"/>
      <c r="H525" s="640"/>
      <c r="I525" s="640"/>
      <c r="J525" s="640"/>
      <c r="K525" s="1007">
        <f t="shared" si="119"/>
        <v>1600</v>
      </c>
      <c r="L525" s="640">
        <v>600</v>
      </c>
      <c r="M525" s="1020"/>
      <c r="N525" s="878"/>
      <c r="O525" s="642">
        <v>19800</v>
      </c>
      <c r="P525" s="641">
        <v>19800</v>
      </c>
      <c r="Q525" s="25" t="s">
        <v>2014</v>
      </c>
      <c r="R525" s="573">
        <v>3</v>
      </c>
      <c r="S525" s="640">
        <v>950</v>
      </c>
      <c r="T525" s="640"/>
      <c r="U525" s="640"/>
      <c r="V525" s="640"/>
      <c r="W525" s="640"/>
      <c r="X525" s="640"/>
      <c r="Y525" s="640"/>
      <c r="Z525" s="640"/>
      <c r="AA525" s="640">
        <v>950</v>
      </c>
      <c r="AB525" s="641">
        <v>600</v>
      </c>
      <c r="AC525" s="1020"/>
      <c r="AD525" s="878"/>
      <c r="AE525" s="1007">
        <v>12000</v>
      </c>
      <c r="AF525" s="643">
        <v>36000</v>
      </c>
      <c r="AG525" s="643"/>
      <c r="AH525" s="16"/>
      <c r="AI525" s="17"/>
      <c r="AJ525" s="16"/>
    </row>
    <row r="526" spans="1:36" ht="14.25">
      <c r="A526" s="16" t="s">
        <v>2014</v>
      </c>
      <c r="B526" s="1019" t="s">
        <v>2572</v>
      </c>
      <c r="C526" s="640">
        <v>1800</v>
      </c>
      <c r="D526" s="640"/>
      <c r="E526" s="640"/>
      <c r="F526" s="640"/>
      <c r="G526" s="640"/>
      <c r="H526" s="640"/>
      <c r="I526" s="640"/>
      <c r="J526" s="640"/>
      <c r="K526" s="1007">
        <f t="shared" si="119"/>
        <v>1800</v>
      </c>
      <c r="L526" s="640">
        <v>600</v>
      </c>
      <c r="M526" s="1020"/>
      <c r="N526" s="878"/>
      <c r="O526" s="642">
        <v>22200</v>
      </c>
      <c r="P526" s="641">
        <v>88800</v>
      </c>
      <c r="Q526" s="25" t="s">
        <v>2014</v>
      </c>
      <c r="R526" s="573">
        <v>15</v>
      </c>
      <c r="S526" s="640">
        <v>1200</v>
      </c>
      <c r="T526" s="640"/>
      <c r="U526" s="640"/>
      <c r="V526" s="640"/>
      <c r="W526" s="640"/>
      <c r="X526" s="640"/>
      <c r="Y526" s="640"/>
      <c r="Z526" s="640"/>
      <c r="AA526" s="640">
        <v>1200</v>
      </c>
      <c r="AB526" s="641">
        <v>600</v>
      </c>
      <c r="AC526" s="1020"/>
      <c r="AD526" s="878"/>
      <c r="AE526" s="642">
        <v>15000</v>
      </c>
      <c r="AF526" s="643">
        <v>225000</v>
      </c>
      <c r="AG526" s="643"/>
      <c r="AH526" s="16"/>
      <c r="AI526" s="17"/>
      <c r="AJ526" s="16"/>
    </row>
    <row r="527" spans="1:36" ht="14.25">
      <c r="A527" s="16" t="s">
        <v>2116</v>
      </c>
      <c r="B527" s="1019" t="s">
        <v>2557</v>
      </c>
      <c r="C527" s="640">
        <v>1200</v>
      </c>
      <c r="D527" s="640"/>
      <c r="E527" s="640"/>
      <c r="F527" s="640"/>
      <c r="G527" s="640"/>
      <c r="H527" s="640"/>
      <c r="I527" s="640"/>
      <c r="J527" s="640"/>
      <c r="K527" s="1007">
        <f t="shared" si="119"/>
        <v>1200</v>
      </c>
      <c r="L527" s="640">
        <v>600</v>
      </c>
      <c r="M527" s="1020"/>
      <c r="N527" s="878"/>
      <c r="O527" s="642">
        <v>15000</v>
      </c>
      <c r="P527" s="641">
        <v>15000</v>
      </c>
      <c r="Q527" s="25" t="s">
        <v>2014</v>
      </c>
      <c r="R527" s="573">
        <v>1</v>
      </c>
      <c r="S527" s="640">
        <v>1300</v>
      </c>
      <c r="T527" s="640"/>
      <c r="U527" s="640"/>
      <c r="V527" s="640"/>
      <c r="W527" s="640"/>
      <c r="X527" s="640"/>
      <c r="Y527" s="640"/>
      <c r="Z527" s="640"/>
      <c r="AA527" s="640">
        <v>1300</v>
      </c>
      <c r="AB527" s="641">
        <v>600</v>
      </c>
      <c r="AC527" s="1020"/>
      <c r="AD527" s="878"/>
      <c r="AE527" s="642">
        <v>16200</v>
      </c>
      <c r="AF527" s="643">
        <v>16200</v>
      </c>
      <c r="AG527" s="643"/>
      <c r="AH527" s="16"/>
      <c r="AI527" s="17"/>
      <c r="AJ527" s="16"/>
    </row>
    <row r="528" spans="1:36" ht="14.25">
      <c r="A528" s="16" t="s">
        <v>2116</v>
      </c>
      <c r="B528" s="1019" t="s">
        <v>2557</v>
      </c>
      <c r="C528" s="640">
        <v>1800</v>
      </c>
      <c r="D528" s="640"/>
      <c r="E528" s="640"/>
      <c r="F528" s="640"/>
      <c r="G528" s="640"/>
      <c r="H528" s="640"/>
      <c r="I528" s="640"/>
      <c r="J528" s="640"/>
      <c r="K528" s="1007">
        <f t="shared" si="119"/>
        <v>1800</v>
      </c>
      <c r="L528" s="640">
        <v>600</v>
      </c>
      <c r="M528" s="1020"/>
      <c r="N528" s="878"/>
      <c r="O528" s="642">
        <v>22200</v>
      </c>
      <c r="P528" s="641">
        <v>22200</v>
      </c>
      <c r="Q528" s="25" t="s">
        <v>2014</v>
      </c>
      <c r="R528" s="573">
        <v>1</v>
      </c>
      <c r="S528" s="640">
        <v>1600</v>
      </c>
      <c r="T528" s="640"/>
      <c r="U528" s="640"/>
      <c r="V528" s="640"/>
      <c r="W528" s="640"/>
      <c r="X528" s="640"/>
      <c r="Y528" s="640"/>
      <c r="Z528" s="640"/>
      <c r="AA528" s="640">
        <v>1600</v>
      </c>
      <c r="AB528" s="641">
        <v>600</v>
      </c>
      <c r="AC528" s="1020"/>
      <c r="AD528" s="878"/>
      <c r="AE528" s="642">
        <v>19800</v>
      </c>
      <c r="AF528" s="643">
        <v>19800</v>
      </c>
      <c r="AG528" s="643"/>
      <c r="AH528" s="16"/>
      <c r="AI528" s="17"/>
      <c r="AJ528" s="16"/>
    </row>
    <row r="529" spans="1:36" ht="14.25">
      <c r="A529" s="16" t="s">
        <v>2056</v>
      </c>
      <c r="B529" s="1019" t="s">
        <v>2553</v>
      </c>
      <c r="C529" s="640">
        <v>1050</v>
      </c>
      <c r="D529" s="640"/>
      <c r="E529" s="640"/>
      <c r="F529" s="640"/>
      <c r="G529" s="640"/>
      <c r="H529" s="640"/>
      <c r="I529" s="640"/>
      <c r="J529" s="640"/>
      <c r="K529" s="1007">
        <f t="shared" si="119"/>
        <v>1050</v>
      </c>
      <c r="L529" s="640">
        <v>600</v>
      </c>
      <c r="M529" s="1020"/>
      <c r="N529" s="878"/>
      <c r="O529" s="642">
        <v>13200</v>
      </c>
      <c r="P529" s="641">
        <v>26400</v>
      </c>
      <c r="Q529" s="25" t="s">
        <v>2014</v>
      </c>
      <c r="R529" s="573">
        <v>4</v>
      </c>
      <c r="S529" s="640">
        <v>1800</v>
      </c>
      <c r="T529" s="640"/>
      <c r="U529" s="640"/>
      <c r="V529" s="640"/>
      <c r="W529" s="640"/>
      <c r="X529" s="640"/>
      <c r="Y529" s="640"/>
      <c r="Z529" s="640"/>
      <c r="AA529" s="640">
        <v>1800</v>
      </c>
      <c r="AB529" s="641">
        <v>600</v>
      </c>
      <c r="AC529" s="1020"/>
      <c r="AD529" s="878"/>
      <c r="AE529" s="642">
        <v>22200</v>
      </c>
      <c r="AF529" s="643">
        <v>88800</v>
      </c>
      <c r="AG529" s="643"/>
      <c r="AH529" s="16"/>
      <c r="AI529" s="17"/>
      <c r="AJ529" s="16"/>
    </row>
    <row r="530" spans="1:36" ht="14.25">
      <c r="A530" s="16" t="s">
        <v>2056</v>
      </c>
      <c r="B530" s="1019" t="s">
        <v>2553</v>
      </c>
      <c r="C530" s="640">
        <v>1200</v>
      </c>
      <c r="D530" s="640"/>
      <c r="E530" s="640"/>
      <c r="F530" s="640"/>
      <c r="G530" s="640"/>
      <c r="H530" s="640"/>
      <c r="I530" s="640"/>
      <c r="J530" s="640"/>
      <c r="K530" s="1007">
        <f t="shared" si="119"/>
        <v>1200</v>
      </c>
      <c r="L530" s="640">
        <v>600</v>
      </c>
      <c r="M530" s="1020"/>
      <c r="N530" s="878"/>
      <c r="O530" s="642">
        <v>15000</v>
      </c>
      <c r="P530" s="641">
        <v>30000</v>
      </c>
      <c r="Q530" s="25" t="s">
        <v>2116</v>
      </c>
      <c r="R530" s="573">
        <v>1</v>
      </c>
      <c r="S530" s="640">
        <v>1200</v>
      </c>
      <c r="T530" s="640"/>
      <c r="U530" s="640"/>
      <c r="V530" s="640"/>
      <c r="W530" s="640"/>
      <c r="X530" s="640"/>
      <c r="Y530" s="640"/>
      <c r="Z530" s="640"/>
      <c r="AA530" s="640">
        <v>1200</v>
      </c>
      <c r="AB530" s="641">
        <v>600</v>
      </c>
      <c r="AC530" s="1020"/>
      <c r="AD530" s="878"/>
      <c r="AE530" s="642">
        <v>15000</v>
      </c>
      <c r="AF530" s="643">
        <v>15000</v>
      </c>
      <c r="AG530" s="643"/>
      <c r="AH530" s="16"/>
      <c r="AI530" s="17"/>
      <c r="AJ530" s="16"/>
    </row>
    <row r="531" spans="1:36" ht="14.25">
      <c r="A531" s="16" t="s">
        <v>2426</v>
      </c>
      <c r="B531" s="1019" t="s">
        <v>2557</v>
      </c>
      <c r="C531" s="640">
        <v>1200</v>
      </c>
      <c r="D531" s="640"/>
      <c r="E531" s="640"/>
      <c r="F531" s="640"/>
      <c r="G531" s="640"/>
      <c r="H531" s="640"/>
      <c r="I531" s="640"/>
      <c r="J531" s="640"/>
      <c r="K531" s="1007">
        <f t="shared" si="119"/>
        <v>1200</v>
      </c>
      <c r="L531" s="640">
        <v>600</v>
      </c>
      <c r="M531" s="1020"/>
      <c r="N531" s="878"/>
      <c r="O531" s="642">
        <v>15000</v>
      </c>
      <c r="P531" s="641">
        <v>15000</v>
      </c>
      <c r="Q531" s="25" t="s">
        <v>2116</v>
      </c>
      <c r="R531" s="573">
        <v>1</v>
      </c>
      <c r="S531" s="640">
        <v>1100</v>
      </c>
      <c r="T531" s="640"/>
      <c r="U531" s="640"/>
      <c r="V531" s="640"/>
      <c r="W531" s="640"/>
      <c r="X531" s="640"/>
      <c r="Y531" s="640"/>
      <c r="Z531" s="640"/>
      <c r="AA531" s="640">
        <v>1100</v>
      </c>
      <c r="AB531" s="641">
        <v>600</v>
      </c>
      <c r="AC531" s="1020"/>
      <c r="AD531" s="878"/>
      <c r="AE531" s="642">
        <v>13800</v>
      </c>
      <c r="AF531" s="643">
        <v>13800</v>
      </c>
      <c r="AG531" s="643"/>
      <c r="AH531" s="16"/>
      <c r="AI531" s="17"/>
      <c r="AJ531" s="16"/>
    </row>
    <row r="532" spans="1:36" ht="14.25">
      <c r="A532" s="16" t="s">
        <v>2288</v>
      </c>
      <c r="B532" s="1019" t="s">
        <v>2557</v>
      </c>
      <c r="C532" s="640">
        <v>2500</v>
      </c>
      <c r="D532" s="640"/>
      <c r="E532" s="640"/>
      <c r="F532" s="640"/>
      <c r="G532" s="640"/>
      <c r="H532" s="640"/>
      <c r="I532" s="640"/>
      <c r="J532" s="640"/>
      <c r="K532" s="1007">
        <f t="shared" si="119"/>
        <v>2500</v>
      </c>
      <c r="L532" s="640">
        <v>600</v>
      </c>
      <c r="M532" s="1020"/>
      <c r="N532" s="878"/>
      <c r="O532" s="642">
        <v>30600</v>
      </c>
      <c r="P532" s="641">
        <v>30600</v>
      </c>
      <c r="Q532" s="25" t="s">
        <v>2116</v>
      </c>
      <c r="R532" s="573">
        <v>1</v>
      </c>
      <c r="S532" s="640">
        <v>1800</v>
      </c>
      <c r="T532" s="641"/>
      <c r="U532" s="1007"/>
      <c r="V532" s="640"/>
      <c r="W532" s="640"/>
      <c r="X532" s="640"/>
      <c r="Y532" s="640"/>
      <c r="Z532" s="640"/>
      <c r="AA532" s="640">
        <v>1800</v>
      </c>
      <c r="AB532" s="641">
        <v>600</v>
      </c>
      <c r="AC532" s="1020"/>
      <c r="AD532" s="878"/>
      <c r="AE532" s="642">
        <v>22200</v>
      </c>
      <c r="AF532" s="643">
        <v>22200</v>
      </c>
      <c r="AG532" s="643"/>
      <c r="AH532" s="16"/>
      <c r="AI532" s="17"/>
      <c r="AJ532" s="16"/>
    </row>
    <row r="533" spans="1:36" ht="14.25">
      <c r="A533" s="952" t="s">
        <v>6</v>
      </c>
      <c r="B533" s="1019"/>
      <c r="C533" s="640"/>
      <c r="D533" s="640"/>
      <c r="E533" s="640"/>
      <c r="F533" s="640"/>
      <c r="G533" s="640"/>
      <c r="H533" s="640"/>
      <c r="I533" s="640"/>
      <c r="J533" s="640"/>
      <c r="K533" s="1007"/>
      <c r="L533" s="640"/>
      <c r="M533" s="1020"/>
      <c r="N533" s="878"/>
      <c r="O533" s="642"/>
      <c r="P533" s="641"/>
      <c r="Q533" s="25" t="s">
        <v>2056</v>
      </c>
      <c r="R533" s="573">
        <v>1</v>
      </c>
      <c r="S533" s="640">
        <v>1050</v>
      </c>
      <c r="T533" s="641"/>
      <c r="U533" s="1007"/>
      <c r="V533" s="640"/>
      <c r="W533" s="640"/>
      <c r="X533" s="640"/>
      <c r="Y533" s="640"/>
      <c r="Z533" s="640"/>
      <c r="AA533" s="640">
        <v>1050</v>
      </c>
      <c r="AB533" s="641">
        <v>600</v>
      </c>
      <c r="AC533" s="1020"/>
      <c r="AD533" s="878"/>
      <c r="AE533" s="1007">
        <v>13200</v>
      </c>
      <c r="AF533" s="641">
        <v>13200</v>
      </c>
      <c r="AG533" s="1007"/>
      <c r="AH533" s="9"/>
      <c r="AI533" s="139"/>
      <c r="AJ533" s="25"/>
    </row>
    <row r="534" spans="1:36" ht="14.25">
      <c r="A534" s="16" t="s">
        <v>2086</v>
      </c>
      <c r="B534" s="1019" t="s">
        <v>2557</v>
      </c>
      <c r="C534" s="640">
        <v>950</v>
      </c>
      <c r="D534" s="640"/>
      <c r="E534" s="640"/>
      <c r="F534" s="640"/>
      <c r="G534" s="640"/>
      <c r="H534" s="640"/>
      <c r="I534" s="640"/>
      <c r="J534" s="640"/>
      <c r="K534" s="1007">
        <f t="shared" si="119"/>
        <v>950</v>
      </c>
      <c r="L534" s="640">
        <v>600</v>
      </c>
      <c r="M534" s="1020"/>
      <c r="N534" s="878"/>
      <c r="O534" s="642">
        <v>12000</v>
      </c>
      <c r="P534" s="641">
        <v>12000</v>
      </c>
      <c r="Q534" s="25" t="s">
        <v>2056</v>
      </c>
      <c r="R534" s="573">
        <v>4</v>
      </c>
      <c r="S534" s="640">
        <v>1200</v>
      </c>
      <c r="T534" s="641"/>
      <c r="U534" s="1007"/>
      <c r="V534" s="640"/>
      <c r="W534" s="640"/>
      <c r="X534" s="640"/>
      <c r="Y534" s="640"/>
      <c r="Z534" s="640"/>
      <c r="AA534" s="640">
        <v>1200</v>
      </c>
      <c r="AB534" s="641">
        <v>600</v>
      </c>
      <c r="AC534" s="1020"/>
      <c r="AD534" s="878"/>
      <c r="AE534" s="1007">
        <v>15000</v>
      </c>
      <c r="AF534" s="641">
        <v>60000</v>
      </c>
      <c r="AG534" s="1007"/>
      <c r="AH534" s="9"/>
      <c r="AI534" s="139"/>
      <c r="AJ534" s="25"/>
    </row>
    <row r="535" spans="1:36" ht="14.25">
      <c r="A535" s="16" t="s">
        <v>2086</v>
      </c>
      <c r="B535" s="1019" t="s">
        <v>2557</v>
      </c>
      <c r="C535" s="640">
        <v>1000</v>
      </c>
      <c r="D535" s="640"/>
      <c r="E535" s="640"/>
      <c r="F535" s="640"/>
      <c r="G535" s="640"/>
      <c r="H535" s="640"/>
      <c r="I535" s="640"/>
      <c r="J535" s="640"/>
      <c r="K535" s="1007">
        <f t="shared" si="119"/>
        <v>1000</v>
      </c>
      <c r="L535" s="640">
        <v>600</v>
      </c>
      <c r="M535" s="1020"/>
      <c r="N535" s="878"/>
      <c r="O535" s="642">
        <v>12600</v>
      </c>
      <c r="P535" s="641">
        <v>12600</v>
      </c>
      <c r="Q535" s="25" t="s">
        <v>2426</v>
      </c>
      <c r="R535" s="976">
        <v>1</v>
      </c>
      <c r="S535" s="640">
        <v>1200</v>
      </c>
      <c r="T535" s="1007"/>
      <c r="U535" s="1007"/>
      <c r="V535" s="640"/>
      <c r="W535" s="1007"/>
      <c r="X535" s="640"/>
      <c r="Y535" s="640"/>
      <c r="Z535" s="641"/>
      <c r="AA535" s="1007">
        <v>1200</v>
      </c>
      <c r="AB535" s="641">
        <v>600</v>
      </c>
      <c r="AC535" s="1020"/>
      <c r="AD535" s="878"/>
      <c r="AE535" s="1007">
        <v>15000</v>
      </c>
      <c r="AF535" s="641">
        <v>15000</v>
      </c>
      <c r="AG535" s="1007"/>
      <c r="AH535" s="9"/>
      <c r="AI535" s="139"/>
      <c r="AJ535" s="25"/>
    </row>
    <row r="536" spans="1:36" ht="14.25">
      <c r="A536" s="16" t="s">
        <v>2086</v>
      </c>
      <c r="B536" s="1019" t="s">
        <v>2557</v>
      </c>
      <c r="C536" s="640">
        <v>1500</v>
      </c>
      <c r="D536" s="640"/>
      <c r="E536" s="640"/>
      <c r="F536" s="640"/>
      <c r="G536" s="640"/>
      <c r="H536" s="640"/>
      <c r="I536" s="640"/>
      <c r="J536" s="640"/>
      <c r="K536" s="1007">
        <f t="shared" si="119"/>
        <v>1500</v>
      </c>
      <c r="L536" s="640">
        <v>600</v>
      </c>
      <c r="M536" s="1020"/>
      <c r="N536" s="878"/>
      <c r="O536" s="642">
        <v>18600</v>
      </c>
      <c r="P536" s="641">
        <v>18600</v>
      </c>
      <c r="Q536" s="25" t="s">
        <v>2288</v>
      </c>
      <c r="R536" s="976">
        <v>1</v>
      </c>
      <c r="S536" s="640">
        <v>2500</v>
      </c>
      <c r="T536" s="1007"/>
      <c r="U536" s="1007"/>
      <c r="V536" s="640"/>
      <c r="W536" s="1007"/>
      <c r="X536" s="641"/>
      <c r="Y536" s="1007"/>
      <c r="Z536" s="641"/>
      <c r="AA536" s="1007">
        <v>2500</v>
      </c>
      <c r="AB536" s="641">
        <v>600</v>
      </c>
      <c r="AC536" s="1020"/>
      <c r="AD536" s="878"/>
      <c r="AE536" s="1007">
        <v>30600</v>
      </c>
      <c r="AF536" s="641">
        <v>30600</v>
      </c>
      <c r="AG536" s="1007"/>
      <c r="AH536" s="9"/>
      <c r="AI536" s="139"/>
      <c r="AJ536" s="25"/>
    </row>
    <row r="537" spans="1:36" ht="14.25">
      <c r="A537" s="16" t="s">
        <v>2065</v>
      </c>
      <c r="B537" s="1019" t="s">
        <v>2566</v>
      </c>
      <c r="C537" s="640">
        <v>1000</v>
      </c>
      <c r="D537" s="640"/>
      <c r="E537" s="640"/>
      <c r="F537" s="640"/>
      <c r="G537" s="640"/>
      <c r="H537" s="640"/>
      <c r="I537" s="640"/>
      <c r="J537" s="640"/>
      <c r="K537" s="1007">
        <f t="shared" si="119"/>
        <v>1000</v>
      </c>
      <c r="L537" s="640">
        <v>600</v>
      </c>
      <c r="M537" s="1020"/>
      <c r="N537" s="878"/>
      <c r="O537" s="642">
        <v>12600</v>
      </c>
      <c r="P537" s="641">
        <v>63000</v>
      </c>
      <c r="Q537" s="952" t="s">
        <v>6</v>
      </c>
      <c r="R537" s="1022"/>
      <c r="S537"/>
      <c r="T537" s="1021"/>
      <c r="U537" s="1021"/>
      <c r="V537"/>
      <c r="W537" s="1021"/>
      <c r="X537"/>
      <c r="Y537" s="1021"/>
      <c r="Z537"/>
      <c r="AA537" s="1021"/>
      <c r="AB537"/>
      <c r="AC537" s="1021"/>
      <c r="AD537"/>
      <c r="AE537" s="1021"/>
      <c r="AF537"/>
      <c r="AG537" s="1021"/>
      <c r="AH537"/>
      <c r="AI537" s="1023"/>
      <c r="AJ537" s="1021"/>
    </row>
    <row r="538" spans="1:36" ht="14.25">
      <c r="A538" s="16" t="s">
        <v>2065</v>
      </c>
      <c r="B538" s="1019" t="s">
        <v>2556</v>
      </c>
      <c r="C538" s="640">
        <v>1500</v>
      </c>
      <c r="D538" s="640"/>
      <c r="E538" s="640"/>
      <c r="F538" s="640"/>
      <c r="G538" s="641"/>
      <c r="H538" s="1007"/>
      <c r="I538" s="640"/>
      <c r="J538" s="641"/>
      <c r="K538" s="1007">
        <f t="shared" si="119"/>
        <v>1500</v>
      </c>
      <c r="L538" s="640">
        <v>600</v>
      </c>
      <c r="M538" s="1020"/>
      <c r="N538" s="878"/>
      <c r="O538" s="642">
        <v>18600</v>
      </c>
      <c r="P538" s="641">
        <v>55800</v>
      </c>
      <c r="Q538" s="25" t="s">
        <v>2086</v>
      </c>
      <c r="R538" s="573">
        <v>2</v>
      </c>
      <c r="S538" s="640">
        <v>950</v>
      </c>
      <c r="T538" s="1007"/>
      <c r="U538" s="1007"/>
      <c r="V538" s="640"/>
      <c r="W538" s="1007"/>
      <c r="X538" s="641"/>
      <c r="Y538" s="1007"/>
      <c r="Z538" s="641"/>
      <c r="AA538" s="1007">
        <v>950</v>
      </c>
      <c r="AB538" s="641">
        <v>600</v>
      </c>
      <c r="AC538" s="1020"/>
      <c r="AD538" s="878"/>
      <c r="AE538" s="1007">
        <v>12000</v>
      </c>
      <c r="AF538" s="641">
        <v>24000</v>
      </c>
      <c r="AG538" s="1021"/>
      <c r="AH538"/>
      <c r="AI538" s="139"/>
      <c r="AJ538" s="25"/>
    </row>
    <row r="539" spans="1:36" ht="12.75">
      <c r="A539" s="1021"/>
      <c r="B539" s="1024"/>
      <c r="C539" s="1021"/>
      <c r="D539"/>
      <c r="E539" s="1021"/>
      <c r="F539" s="1021"/>
      <c r="G539"/>
      <c r="H539" s="1021"/>
      <c r="I539"/>
      <c r="J539" s="1021"/>
      <c r="K539"/>
      <c r="L539" s="1021"/>
      <c r="M539"/>
      <c r="N539" s="1021"/>
      <c r="O539"/>
      <c r="P539" s="1021"/>
      <c r="Q539" s="25" t="s">
        <v>2086</v>
      </c>
      <c r="R539" s="573">
        <v>1</v>
      </c>
      <c r="S539" s="640">
        <v>1000</v>
      </c>
      <c r="T539" s="641"/>
      <c r="U539" s="1007"/>
      <c r="V539" s="640"/>
      <c r="W539" s="640"/>
      <c r="X539" s="641"/>
      <c r="Y539" s="1007"/>
      <c r="Z539" s="641"/>
      <c r="AA539" s="1007">
        <v>1000</v>
      </c>
      <c r="AB539" s="641">
        <v>600</v>
      </c>
      <c r="AC539" s="1020"/>
      <c r="AD539" s="878"/>
      <c r="AE539" s="1007">
        <v>12600</v>
      </c>
      <c r="AF539" s="641">
        <v>12600</v>
      </c>
      <c r="AG539" s="1021"/>
      <c r="AH539"/>
      <c r="AI539" s="139"/>
      <c r="AJ539" s="25"/>
    </row>
    <row r="540" spans="1:36" ht="12.75">
      <c r="A540" s="1021"/>
      <c r="B540" s="1025"/>
      <c r="C540" s="1021"/>
      <c r="D540"/>
      <c r="E540" s="1021"/>
      <c r="F540" s="1021"/>
      <c r="G540"/>
      <c r="H540" s="1021"/>
      <c r="I540"/>
      <c r="J540" s="1021"/>
      <c r="K540"/>
      <c r="L540" s="1021"/>
      <c r="M540"/>
      <c r="N540" s="1021"/>
      <c r="O540"/>
      <c r="P540" s="1021"/>
      <c r="Q540" s="25" t="s">
        <v>2086</v>
      </c>
      <c r="R540" s="573">
        <v>2</v>
      </c>
      <c r="S540" s="640">
        <v>1500</v>
      </c>
      <c r="T540" s="641"/>
      <c r="U540" s="1007"/>
      <c r="V540" s="641"/>
      <c r="W540" s="1007"/>
      <c r="X540" s="641"/>
      <c r="Y540" s="1007"/>
      <c r="Z540" s="641"/>
      <c r="AA540" s="1007">
        <v>1500</v>
      </c>
      <c r="AB540" s="641">
        <v>600</v>
      </c>
      <c r="AC540" s="1020"/>
      <c r="AD540" s="878"/>
      <c r="AE540" s="1007">
        <v>18600</v>
      </c>
      <c r="AF540" s="641">
        <v>37200</v>
      </c>
      <c r="AG540" s="1021"/>
      <c r="AH540"/>
      <c r="AI540" s="139"/>
      <c r="AJ540" s="25"/>
    </row>
    <row r="541" spans="1:36" ht="12.75">
      <c r="A541" s="1021"/>
      <c r="B541" s="1026"/>
      <c r="C541" s="1021"/>
      <c r="D541"/>
      <c r="E541" s="1021"/>
      <c r="F541" s="1021"/>
      <c r="G541"/>
      <c r="H541" s="1021"/>
      <c r="I541"/>
      <c r="J541" s="1021"/>
      <c r="K541"/>
      <c r="L541" s="1021"/>
      <c r="M541"/>
      <c r="N541" s="1021"/>
      <c r="O541"/>
      <c r="P541" s="1021"/>
      <c r="Q541" s="12" t="s">
        <v>2065</v>
      </c>
      <c r="R541" s="573">
        <v>4</v>
      </c>
      <c r="S541" s="640">
        <v>1000</v>
      </c>
      <c r="T541" s="262"/>
      <c r="U541" s="1020"/>
      <c r="V541" s="262"/>
      <c r="W541" s="1020"/>
      <c r="X541" s="262"/>
      <c r="Y541" s="1020"/>
      <c r="Z541" s="1027"/>
      <c r="AA541" s="1020">
        <v>1000</v>
      </c>
      <c r="AB541" s="262">
        <v>600</v>
      </c>
      <c r="AC541" s="1020"/>
      <c r="AD541" s="1027"/>
      <c r="AE541" s="1020">
        <v>12600</v>
      </c>
      <c r="AF541" s="262">
        <v>50400</v>
      </c>
      <c r="AG541" s="1021"/>
      <c r="AH541"/>
      <c r="AI541" s="1023"/>
      <c r="AJ541" s="1021"/>
    </row>
    <row r="542" spans="1:36" ht="12.75">
      <c r="A542" s="1021"/>
      <c r="B542" s="1028"/>
      <c r="C542" s="1021"/>
      <c r="D542"/>
      <c r="E542" s="1021"/>
      <c r="F542" s="1021"/>
      <c r="G542"/>
      <c r="H542" s="1021"/>
      <c r="I542"/>
      <c r="J542" s="1021"/>
      <c r="K542"/>
      <c r="L542" s="1021"/>
      <c r="M542"/>
      <c r="N542" s="1021"/>
      <c r="O542"/>
      <c r="P542" s="1021"/>
      <c r="Q542" s="12" t="s">
        <v>2065</v>
      </c>
      <c r="R542" s="573">
        <v>2</v>
      </c>
      <c r="S542" s="640">
        <v>1100</v>
      </c>
      <c r="T542" s="262"/>
      <c r="U542" s="1020"/>
      <c r="V542" s="262"/>
      <c r="W542" s="1020"/>
      <c r="X542" s="262"/>
      <c r="Y542" s="1020"/>
      <c r="Z542" s="1029"/>
      <c r="AA542" s="1020">
        <v>1100</v>
      </c>
      <c r="AB542" s="262">
        <v>600</v>
      </c>
      <c r="AC542" s="1020"/>
      <c r="AD542" s="1020"/>
      <c r="AE542" s="262">
        <v>13800</v>
      </c>
      <c r="AF542" s="262">
        <v>27600</v>
      </c>
      <c r="AG542" s="1020"/>
      <c r="AH542" s="953"/>
      <c r="AI542" s="1023"/>
      <c r="AJ542" s="1021"/>
    </row>
    <row r="543" spans="1:36" ht="12.75">
      <c r="A543" s="1021"/>
      <c r="B543" s="1028"/>
      <c r="C543" s="1021"/>
      <c r="D543"/>
      <c r="E543" s="1021"/>
      <c r="F543" s="1021"/>
      <c r="G543"/>
      <c r="H543" s="1021"/>
      <c r="I543"/>
      <c r="J543" s="1021"/>
      <c r="K543"/>
      <c r="L543" s="1021"/>
      <c r="M543"/>
      <c r="N543" s="1021"/>
      <c r="O543"/>
      <c r="P543" s="1021"/>
      <c r="Q543" s="12" t="s">
        <v>2065</v>
      </c>
      <c r="R543" s="573">
        <v>2</v>
      </c>
      <c r="S543" s="640">
        <v>1500</v>
      </c>
      <c r="T543" s="262"/>
      <c r="U543" s="1030"/>
      <c r="V543" s="262"/>
      <c r="W543" s="1030"/>
      <c r="X543" s="262"/>
      <c r="Y543" s="1030"/>
      <c r="Z543" s="1031"/>
      <c r="AA543" s="1020">
        <v>1500</v>
      </c>
      <c r="AB543" s="262">
        <v>600</v>
      </c>
      <c r="AC543" s="1030"/>
      <c r="AD543" s="1030"/>
      <c r="AE543" s="262">
        <v>18600</v>
      </c>
      <c r="AF543" s="262">
        <v>37200</v>
      </c>
      <c r="AG543" s="1030"/>
      <c r="AH543" s="920"/>
      <c r="AI543"/>
      <c r="AJ543" s="1021"/>
    </row>
    <row r="544" spans="1:36" ht="13.5" thickBot="1">
      <c r="A544" s="1032" t="s">
        <v>0</v>
      </c>
      <c r="B544" s="1033">
        <v>146</v>
      </c>
      <c r="C544" s="1034"/>
      <c r="D544" s="1035"/>
      <c r="E544" s="1035"/>
      <c r="F544" s="1035"/>
      <c r="G544" s="1035"/>
      <c r="H544" s="1035"/>
      <c r="I544" s="1036"/>
      <c r="J544" s="1035"/>
      <c r="K544" s="1037"/>
      <c r="L544" s="1038"/>
      <c r="M544" s="1038"/>
      <c r="N544" s="1037"/>
      <c r="O544" s="1039"/>
      <c r="P544" s="1040"/>
      <c r="Q544" s="1041"/>
      <c r="R544" s="1042">
        <v>147</v>
      </c>
      <c r="S544" s="1034"/>
      <c r="T544" s="1035"/>
      <c r="U544" s="1035"/>
      <c r="V544" s="1035"/>
      <c r="W544" s="1035"/>
      <c r="X544" s="1035"/>
      <c r="Y544" s="1043"/>
      <c r="Z544" s="1043"/>
      <c r="AA544" s="1035"/>
      <c r="AB544" s="1038"/>
      <c r="AC544" s="1043"/>
      <c r="AD544" s="1044"/>
      <c r="AE544" s="1039"/>
      <c r="AF544" s="1045"/>
      <c r="AG544" s="1045"/>
      <c r="AH544" s="1046"/>
      <c r="AI544" s="1045"/>
      <c r="AJ544" s="1046"/>
    </row>
    <row r="546" ht="12.75" thickBot="1">
      <c r="A546" s="440" t="s">
        <v>2599</v>
      </c>
    </row>
    <row r="547" spans="1:35" ht="12.75" thickBot="1">
      <c r="A547" s="1543" t="s">
        <v>47</v>
      </c>
      <c r="B547" s="1554" t="s">
        <v>339</v>
      </c>
      <c r="C547" s="1554"/>
      <c r="D547" s="1554"/>
      <c r="E547" s="1554"/>
      <c r="F547" s="1554"/>
      <c r="G547" s="1554"/>
      <c r="H547" s="1554"/>
      <c r="I547" s="1554"/>
      <c r="J547" s="1554"/>
      <c r="K547" s="1554"/>
      <c r="L547" s="1554"/>
      <c r="M547" s="1554"/>
      <c r="N547" s="1554"/>
      <c r="O547" s="1554"/>
      <c r="P547" s="1554"/>
      <c r="Q547" s="1555" t="s">
        <v>434</v>
      </c>
      <c r="R547" s="1554"/>
      <c r="S547" s="1554"/>
      <c r="T547" s="1554"/>
      <c r="U547" s="1554"/>
      <c r="V547" s="1554"/>
      <c r="W547" s="1554"/>
      <c r="X547" s="1554"/>
      <c r="Y547" s="1554"/>
      <c r="Z547" s="1554"/>
      <c r="AA547" s="1554"/>
      <c r="AB547" s="1554"/>
      <c r="AC547" s="1554"/>
      <c r="AD547" s="1554"/>
      <c r="AE547" s="1556"/>
      <c r="AF547" s="1557" t="s">
        <v>436</v>
      </c>
      <c r="AG547" s="1558"/>
      <c r="AH547" s="1557" t="s">
        <v>435</v>
      </c>
      <c r="AI547" s="1558"/>
    </row>
    <row r="548" spans="1:35" ht="140.25">
      <c r="A548" s="1552"/>
      <c r="B548" s="171" t="s">
        <v>11</v>
      </c>
      <c r="C548" s="172" t="s">
        <v>146</v>
      </c>
      <c r="D548" s="173" t="s">
        <v>270</v>
      </c>
      <c r="E548" s="173" t="s">
        <v>148</v>
      </c>
      <c r="F548" s="173" t="s">
        <v>182</v>
      </c>
      <c r="G548" s="173" t="s">
        <v>183</v>
      </c>
      <c r="H548" s="173" t="s">
        <v>184</v>
      </c>
      <c r="I548" s="173" t="s">
        <v>185</v>
      </c>
      <c r="J548" s="173" t="s">
        <v>149</v>
      </c>
      <c r="K548" s="173" t="s">
        <v>150</v>
      </c>
      <c r="L548" s="173" t="s">
        <v>151</v>
      </c>
      <c r="M548" s="173" t="s">
        <v>181</v>
      </c>
      <c r="N548" s="174" t="s">
        <v>119</v>
      </c>
      <c r="O548" s="175" t="s">
        <v>156</v>
      </c>
      <c r="P548" s="176" t="s">
        <v>155</v>
      </c>
      <c r="Q548" s="171" t="s">
        <v>11</v>
      </c>
      <c r="R548" s="172" t="s">
        <v>146</v>
      </c>
      <c r="S548" s="173" t="s">
        <v>147</v>
      </c>
      <c r="T548" s="173" t="s">
        <v>148</v>
      </c>
      <c r="U548" s="173" t="s">
        <v>182</v>
      </c>
      <c r="V548" s="173" t="s">
        <v>183</v>
      </c>
      <c r="W548" s="173" t="s">
        <v>184</v>
      </c>
      <c r="X548" s="173" t="s">
        <v>185</v>
      </c>
      <c r="Y548" s="173" t="s">
        <v>149</v>
      </c>
      <c r="Z548" s="173" t="s">
        <v>150</v>
      </c>
      <c r="AA548" s="173" t="s">
        <v>151</v>
      </c>
      <c r="AB548" s="173" t="s">
        <v>181</v>
      </c>
      <c r="AC548" s="174" t="s">
        <v>119</v>
      </c>
      <c r="AD548" s="175" t="s">
        <v>156</v>
      </c>
      <c r="AE548" s="176" t="s">
        <v>340</v>
      </c>
      <c r="AF548" s="177" t="s">
        <v>160</v>
      </c>
      <c r="AG548" s="177" t="s">
        <v>159</v>
      </c>
      <c r="AH548" s="177" t="s">
        <v>11</v>
      </c>
      <c r="AI548" s="176" t="s">
        <v>341</v>
      </c>
    </row>
    <row r="549" spans="1:35" ht="12.75" thickBot="1">
      <c r="A549" s="1567"/>
      <c r="B549" s="178" t="s">
        <v>48</v>
      </c>
      <c r="C549" s="179" t="s">
        <v>49</v>
      </c>
      <c r="D549" s="180" t="s">
        <v>50</v>
      </c>
      <c r="E549" s="180" t="s">
        <v>51</v>
      </c>
      <c r="F549" s="181" t="s">
        <v>52</v>
      </c>
      <c r="G549" s="181" t="s">
        <v>53</v>
      </c>
      <c r="H549" s="181" t="s">
        <v>79</v>
      </c>
      <c r="I549" s="181" t="s">
        <v>118</v>
      </c>
      <c r="J549" s="181" t="s">
        <v>154</v>
      </c>
      <c r="K549" s="181" t="s">
        <v>158</v>
      </c>
      <c r="L549" s="181" t="s">
        <v>190</v>
      </c>
      <c r="M549" s="181" t="s">
        <v>191</v>
      </c>
      <c r="N549" s="182" t="s">
        <v>193</v>
      </c>
      <c r="O549" s="183" t="s">
        <v>194</v>
      </c>
      <c r="P549" s="184" t="s">
        <v>195</v>
      </c>
      <c r="Q549" s="178" t="s">
        <v>48</v>
      </c>
      <c r="R549" s="179" t="s">
        <v>49</v>
      </c>
      <c r="S549" s="180" t="s">
        <v>50</v>
      </c>
      <c r="T549" s="180" t="s">
        <v>51</v>
      </c>
      <c r="U549" s="181" t="s">
        <v>52</v>
      </c>
      <c r="V549" s="181" t="s">
        <v>53</v>
      </c>
      <c r="W549" s="181" t="s">
        <v>79</v>
      </c>
      <c r="X549" s="181" t="s">
        <v>118</v>
      </c>
      <c r="Y549" s="181" t="s">
        <v>154</v>
      </c>
      <c r="Z549" s="181" t="s">
        <v>158</v>
      </c>
      <c r="AA549" s="181" t="s">
        <v>190</v>
      </c>
      <c r="AB549" s="181" t="s">
        <v>191</v>
      </c>
      <c r="AC549" s="182" t="s">
        <v>193</v>
      </c>
      <c r="AD549" s="183" t="s">
        <v>194</v>
      </c>
      <c r="AE549" s="184" t="s">
        <v>195</v>
      </c>
      <c r="AF549" s="1103"/>
      <c r="AG549" s="178"/>
      <c r="AH549" s="1103"/>
      <c r="AI549" s="178"/>
    </row>
    <row r="550" spans="1:35" ht="12">
      <c r="A550" s="22"/>
      <c r="B550" s="41"/>
      <c r="C550" s="62"/>
      <c r="D550" s="1104"/>
      <c r="E550" s="1104"/>
      <c r="F550" s="1104"/>
      <c r="G550" s="1104"/>
      <c r="H550" s="1104"/>
      <c r="I550" s="1104"/>
      <c r="J550" s="1104"/>
      <c r="K550" s="1104"/>
      <c r="L550" s="1104"/>
      <c r="M550" s="1104"/>
      <c r="N550" s="1105"/>
      <c r="O550" s="44"/>
      <c r="P550" s="17"/>
      <c r="Q550" s="41"/>
      <c r="R550" s="62"/>
      <c r="S550" s="28"/>
      <c r="T550" s="28"/>
      <c r="U550" s="28"/>
      <c r="V550" s="28"/>
      <c r="W550" s="28"/>
      <c r="X550" s="28"/>
      <c r="Y550" s="28"/>
      <c r="Z550" s="28"/>
      <c r="AA550" s="28"/>
      <c r="AB550" s="28"/>
      <c r="AC550" s="23"/>
      <c r="AD550" s="62"/>
      <c r="AE550" s="646"/>
      <c r="AF550" s="41"/>
      <c r="AG550" s="22"/>
      <c r="AH550" s="41"/>
      <c r="AI550" s="41"/>
    </row>
    <row r="551" spans="1:35" ht="12">
      <c r="A551" s="1106" t="s">
        <v>54</v>
      </c>
      <c r="B551" s="1107"/>
      <c r="C551" s="1108"/>
      <c r="D551" s="1109"/>
      <c r="E551" s="1109"/>
      <c r="F551" s="1109"/>
      <c r="G551" s="1109"/>
      <c r="H551" s="1109"/>
      <c r="I551" s="1109"/>
      <c r="J551" s="1109"/>
      <c r="K551" s="1109"/>
      <c r="L551" s="1109"/>
      <c r="M551" s="1109"/>
      <c r="N551" s="1110"/>
      <c r="O551" s="1108"/>
      <c r="P551" s="1111"/>
      <c r="Q551" s="1107"/>
      <c r="R551" s="1108"/>
      <c r="S551" s="1112"/>
      <c r="T551" s="1112"/>
      <c r="U551" s="1112"/>
      <c r="V551" s="1112"/>
      <c r="W551" s="1112"/>
      <c r="X551" s="1112"/>
      <c r="Y551" s="1112"/>
      <c r="Z551" s="1112"/>
      <c r="AA551" s="1112"/>
      <c r="AB551" s="1112"/>
      <c r="AC551" s="1111"/>
      <c r="AD551" s="1108"/>
      <c r="AE551" s="1113"/>
      <c r="AF551" s="1107"/>
      <c r="AG551" s="1114"/>
      <c r="AH551" s="1107"/>
      <c r="AI551" s="1107"/>
    </row>
    <row r="552" spans="1:35" ht="15">
      <c r="A552" s="1115" t="s">
        <v>560</v>
      </c>
      <c r="B552" s="1116">
        <v>7</v>
      </c>
      <c r="C552" s="1117">
        <v>1717</v>
      </c>
      <c r="D552" s="1118">
        <v>1350</v>
      </c>
      <c r="E552" s="1119"/>
      <c r="F552" s="1118"/>
      <c r="G552" s="1120"/>
      <c r="H552" s="1120"/>
      <c r="I552" s="1120"/>
      <c r="J552" s="1120">
        <v>1200</v>
      </c>
      <c r="K552" s="1120">
        <f>SUM(C552:J552)</f>
        <v>4267</v>
      </c>
      <c r="L552" s="1120">
        <v>1000</v>
      </c>
      <c r="M552" s="1120"/>
      <c r="N552" s="1121">
        <f>SUM(L552:M552)</f>
        <v>1000</v>
      </c>
      <c r="O552" s="1122">
        <f>SUM(K552*12)+N552</f>
        <v>52204</v>
      </c>
      <c r="P552" s="1123">
        <f>+O552*B552</f>
        <v>365428</v>
      </c>
      <c r="Q552" s="1076">
        <v>7</v>
      </c>
      <c r="R552" s="1124">
        <v>1717</v>
      </c>
      <c r="S552" s="372">
        <v>1350</v>
      </c>
      <c r="T552" s="12"/>
      <c r="U552" s="12"/>
      <c r="V552" s="12"/>
      <c r="W552" s="12"/>
      <c r="X552" s="372"/>
      <c r="Y552" s="12">
        <v>650</v>
      </c>
      <c r="Z552" s="1125">
        <f>SUM(R552:Y552)</f>
        <v>3717</v>
      </c>
      <c r="AA552" s="1125">
        <v>1000</v>
      </c>
      <c r="AB552" s="640"/>
      <c r="AC552" s="643">
        <f>SUM(AA552:AB552)</f>
        <v>1000</v>
      </c>
      <c r="AD552" s="642">
        <f>SUM(Z552*12)+AC552</f>
        <v>45604</v>
      </c>
      <c r="AE552" s="1126">
        <f>+AD552*Q552</f>
        <v>319228</v>
      </c>
      <c r="AF552" s="644">
        <f>+P552-AE552</f>
        <v>46200</v>
      </c>
      <c r="AG552" s="4">
        <f>+B552-Q552</f>
        <v>0</v>
      </c>
      <c r="AH552" s="1076">
        <v>7</v>
      </c>
      <c r="AI552" s="1127">
        <f>AE552</f>
        <v>319228</v>
      </c>
    </row>
    <row r="553" spans="1:35" ht="15">
      <c r="A553" s="1115" t="s">
        <v>562</v>
      </c>
      <c r="B553" s="1116">
        <v>1</v>
      </c>
      <c r="C553" s="1117">
        <v>2475</v>
      </c>
      <c r="D553" s="1118">
        <v>1852</v>
      </c>
      <c r="E553" s="1119"/>
      <c r="F553" s="1118"/>
      <c r="G553" s="25"/>
      <c r="H553" s="1120"/>
      <c r="I553" s="1120"/>
      <c r="J553" s="1120">
        <v>1200</v>
      </c>
      <c r="K553" s="1120">
        <f>SUM(C553:J553)</f>
        <v>5527</v>
      </c>
      <c r="L553" s="1120">
        <v>1000</v>
      </c>
      <c r="M553" s="1120"/>
      <c r="N553" s="1121">
        <f aca="true" t="shared" si="120" ref="N553:N567">SUM(L553:M553)</f>
        <v>1000</v>
      </c>
      <c r="O553" s="1122">
        <f>SUM(K553*12)+N553</f>
        <v>67324</v>
      </c>
      <c r="P553" s="1123">
        <f aca="true" t="shared" si="121" ref="P553:P567">+O553*B553</f>
        <v>67324</v>
      </c>
      <c r="Q553" s="1076">
        <v>1</v>
      </c>
      <c r="R553" s="1124">
        <v>2475</v>
      </c>
      <c r="S553" s="372">
        <v>1852</v>
      </c>
      <c r="T553" s="12"/>
      <c r="U553" s="12"/>
      <c r="V553" s="12"/>
      <c r="W553" s="12"/>
      <c r="X553" s="372"/>
      <c r="Y553" s="1128">
        <v>728.3333</v>
      </c>
      <c r="Z553" s="1125">
        <f aca="true" t="shared" si="122" ref="Z553:Z580">SUM(R553:Y553)</f>
        <v>5055.3333</v>
      </c>
      <c r="AA553" s="1125">
        <v>1000</v>
      </c>
      <c r="AB553" s="640"/>
      <c r="AC553" s="643">
        <f aca="true" t="shared" si="123" ref="AC553:AC603">SUM(AA553:AB553)</f>
        <v>1000</v>
      </c>
      <c r="AD553" s="642">
        <f aca="true" t="shared" si="124" ref="AD553:AD603">SUM(Z553*12)+AC553</f>
        <v>61663.9996</v>
      </c>
      <c r="AE553" s="1126">
        <f aca="true" t="shared" si="125" ref="AE553:AE603">+AD553*Q553</f>
        <v>61663.9996</v>
      </c>
      <c r="AF553" s="644">
        <f aca="true" t="shared" si="126" ref="AF553:AF567">+P553-AE553</f>
        <v>5660.000399999997</v>
      </c>
      <c r="AG553" s="4">
        <f aca="true" t="shared" si="127" ref="AG553:AG567">+B553-Q553</f>
        <v>0</v>
      </c>
      <c r="AH553" s="1076">
        <v>1</v>
      </c>
      <c r="AI553" s="1127">
        <f aca="true" t="shared" si="128" ref="AI553:AI603">AE553</f>
        <v>61663.9996</v>
      </c>
    </row>
    <row r="554" spans="1:35" ht="12.75">
      <c r="A554" s="1129" t="s">
        <v>693</v>
      </c>
      <c r="B554" s="16"/>
      <c r="C554" s="1117"/>
      <c r="D554" s="1118"/>
      <c r="E554" s="25"/>
      <c r="F554" s="25"/>
      <c r="G554" s="25"/>
      <c r="H554" s="25"/>
      <c r="I554" s="25"/>
      <c r="J554" s="25"/>
      <c r="K554" s="1120">
        <f>SUM(B554:J554)</f>
        <v>0</v>
      </c>
      <c r="L554" s="1120"/>
      <c r="M554" s="25"/>
      <c r="N554" s="1121">
        <f t="shared" si="120"/>
        <v>0</v>
      </c>
      <c r="O554" s="1122">
        <f aca="true" t="shared" si="129" ref="O554:O567">SUM(K554*12)+N554</f>
        <v>0</v>
      </c>
      <c r="P554" s="1123">
        <f t="shared" si="121"/>
        <v>0</v>
      </c>
      <c r="Q554" s="16">
        <v>2</v>
      </c>
      <c r="R554" s="4">
        <v>1341</v>
      </c>
      <c r="S554" s="12">
        <v>1630</v>
      </c>
      <c r="T554" s="12"/>
      <c r="U554" s="12"/>
      <c r="V554" s="12"/>
      <c r="W554" s="12"/>
      <c r="X554" s="372"/>
      <c r="Y554" s="12">
        <v>650</v>
      </c>
      <c r="Z554" s="1125">
        <f t="shared" si="122"/>
        <v>3621</v>
      </c>
      <c r="AA554" s="1125">
        <v>1000</v>
      </c>
      <c r="AB554" s="640"/>
      <c r="AC554" s="643">
        <f t="shared" si="123"/>
        <v>1000</v>
      </c>
      <c r="AD554" s="642">
        <f t="shared" si="124"/>
        <v>44452</v>
      </c>
      <c r="AE554" s="1126">
        <f t="shared" si="125"/>
        <v>88904</v>
      </c>
      <c r="AF554" s="644">
        <f t="shared" si="126"/>
        <v>-88904</v>
      </c>
      <c r="AG554" s="4">
        <f t="shared" si="127"/>
        <v>-2</v>
      </c>
      <c r="AH554" s="16">
        <v>2</v>
      </c>
      <c r="AI554" s="1127">
        <v>72609</v>
      </c>
    </row>
    <row r="555" spans="1:35" ht="12.75">
      <c r="A555" s="1129" t="s">
        <v>2597</v>
      </c>
      <c r="B555" s="16"/>
      <c r="C555" s="1117"/>
      <c r="D555" s="1118"/>
      <c r="E555" s="25"/>
      <c r="F555" s="25"/>
      <c r="G555" s="25"/>
      <c r="H555" s="25"/>
      <c r="I555" s="25"/>
      <c r="J555" s="25"/>
      <c r="K555" s="1120">
        <f>SUM(B555:J555)</f>
        <v>0</v>
      </c>
      <c r="L555" s="1120"/>
      <c r="M555" s="25"/>
      <c r="N555" s="1121">
        <f t="shared" si="120"/>
        <v>0</v>
      </c>
      <c r="O555" s="1122">
        <f t="shared" si="129"/>
        <v>0</v>
      </c>
      <c r="P555" s="1123">
        <f t="shared" si="121"/>
        <v>0</v>
      </c>
      <c r="Q555" s="16">
        <v>2</v>
      </c>
      <c r="R555" s="4">
        <v>908</v>
      </c>
      <c r="S555" s="12">
        <v>1330</v>
      </c>
      <c r="T555" s="12"/>
      <c r="U555" s="12"/>
      <c r="V555" s="12"/>
      <c r="W555" s="12"/>
      <c r="X555" s="372"/>
      <c r="Y555" s="12">
        <v>650</v>
      </c>
      <c r="Z555" s="1125">
        <f t="shared" si="122"/>
        <v>2888</v>
      </c>
      <c r="AA555" s="1125">
        <v>1000</v>
      </c>
      <c r="AB555" s="640"/>
      <c r="AC555" s="643">
        <f t="shared" si="123"/>
        <v>1000</v>
      </c>
      <c r="AD555" s="642">
        <f t="shared" si="124"/>
        <v>35656</v>
      </c>
      <c r="AE555" s="1126">
        <f t="shared" si="125"/>
        <v>71312</v>
      </c>
      <c r="AF555" s="644">
        <f t="shared" si="126"/>
        <v>-71312</v>
      </c>
      <c r="AG555" s="4">
        <f t="shared" si="127"/>
        <v>-2</v>
      </c>
      <c r="AH555" s="16">
        <v>2</v>
      </c>
      <c r="AI555" s="1127">
        <f t="shared" si="128"/>
        <v>71312</v>
      </c>
    </row>
    <row r="556" spans="1:35" ht="15">
      <c r="A556" s="1115" t="s">
        <v>568</v>
      </c>
      <c r="B556" s="1116">
        <v>2</v>
      </c>
      <c r="C556" s="1117">
        <v>956</v>
      </c>
      <c r="D556" s="1118">
        <v>1330</v>
      </c>
      <c r="E556" s="1119"/>
      <c r="F556" s="1130"/>
      <c r="G556" s="1120"/>
      <c r="H556" s="1007"/>
      <c r="I556" s="1120"/>
      <c r="J556" s="1120">
        <v>950</v>
      </c>
      <c r="K556" s="1120">
        <f aca="true" t="shared" si="130" ref="K556:K580">SUM(C556:J556)</f>
        <v>3236</v>
      </c>
      <c r="L556" s="1120">
        <v>1000</v>
      </c>
      <c r="M556" s="1120"/>
      <c r="N556" s="1121">
        <f t="shared" si="120"/>
        <v>1000</v>
      </c>
      <c r="O556" s="1122">
        <f t="shared" si="129"/>
        <v>39832</v>
      </c>
      <c r="P556" s="1123">
        <f t="shared" si="121"/>
        <v>79664</v>
      </c>
      <c r="Q556" s="1076">
        <v>2</v>
      </c>
      <c r="R556" s="1124">
        <v>956</v>
      </c>
      <c r="S556" s="372">
        <v>1330</v>
      </c>
      <c r="T556" s="1125"/>
      <c r="U556" s="12"/>
      <c r="V556" s="12"/>
      <c r="W556" s="12"/>
      <c r="X556" s="372"/>
      <c r="Y556" s="12">
        <v>550</v>
      </c>
      <c r="Z556" s="1125">
        <f t="shared" si="122"/>
        <v>2836</v>
      </c>
      <c r="AA556" s="1125">
        <v>1000</v>
      </c>
      <c r="AB556" s="640"/>
      <c r="AC556" s="643">
        <f t="shared" si="123"/>
        <v>1000</v>
      </c>
      <c r="AD556" s="642">
        <f t="shared" si="124"/>
        <v>35032</v>
      </c>
      <c r="AE556" s="1126">
        <f t="shared" si="125"/>
        <v>70064</v>
      </c>
      <c r="AF556" s="644">
        <f t="shared" si="126"/>
        <v>9600</v>
      </c>
      <c r="AG556" s="4">
        <f t="shared" si="127"/>
        <v>0</v>
      </c>
      <c r="AH556" s="1076">
        <v>2</v>
      </c>
      <c r="AI556" s="1127">
        <f t="shared" si="128"/>
        <v>70064</v>
      </c>
    </row>
    <row r="557" spans="1:35" ht="15">
      <c r="A557" s="1115" t="s">
        <v>15</v>
      </c>
      <c r="B557" s="1116">
        <v>4</v>
      </c>
      <c r="C557" s="1117">
        <v>931</v>
      </c>
      <c r="D557" s="1118">
        <v>1330</v>
      </c>
      <c r="E557" s="1119"/>
      <c r="F557" s="1130"/>
      <c r="G557" s="1120"/>
      <c r="H557" s="1007"/>
      <c r="I557" s="1120"/>
      <c r="J557" s="1120">
        <v>950</v>
      </c>
      <c r="K557" s="1120">
        <f t="shared" si="130"/>
        <v>3211</v>
      </c>
      <c r="L557" s="1120">
        <v>1000</v>
      </c>
      <c r="M557" s="1120"/>
      <c r="N557" s="1121">
        <f t="shared" si="120"/>
        <v>1000</v>
      </c>
      <c r="O557" s="1122">
        <f t="shared" si="129"/>
        <v>39532</v>
      </c>
      <c r="P557" s="1123">
        <f t="shared" si="121"/>
        <v>158128</v>
      </c>
      <c r="Q557" s="1076">
        <v>4</v>
      </c>
      <c r="R557" s="1124">
        <v>931</v>
      </c>
      <c r="S557" s="372">
        <v>1330</v>
      </c>
      <c r="T557" s="1125"/>
      <c r="U557" s="12"/>
      <c r="V557" s="12"/>
      <c r="W557" s="12"/>
      <c r="X557" s="372"/>
      <c r="Y557" s="12">
        <v>550</v>
      </c>
      <c r="Z557" s="1125">
        <f t="shared" si="122"/>
        <v>2811</v>
      </c>
      <c r="AA557" s="1125">
        <v>1000</v>
      </c>
      <c r="AB557" s="640"/>
      <c r="AC557" s="643">
        <f t="shared" si="123"/>
        <v>1000</v>
      </c>
      <c r="AD557" s="642">
        <f t="shared" si="124"/>
        <v>34732</v>
      </c>
      <c r="AE557" s="1126">
        <f t="shared" si="125"/>
        <v>138928</v>
      </c>
      <c r="AF557" s="644">
        <f t="shared" si="126"/>
        <v>19200</v>
      </c>
      <c r="AG557" s="4">
        <f t="shared" si="127"/>
        <v>0</v>
      </c>
      <c r="AH557" s="1076">
        <v>4</v>
      </c>
      <c r="AI557" s="1127">
        <f t="shared" si="128"/>
        <v>138928</v>
      </c>
    </row>
    <row r="558" spans="1:35" ht="15">
      <c r="A558" s="1115" t="s">
        <v>580</v>
      </c>
      <c r="B558" s="1116">
        <v>3</v>
      </c>
      <c r="C558" s="1117">
        <v>908</v>
      </c>
      <c r="D558" s="1118">
        <v>1330</v>
      </c>
      <c r="E558" s="1119"/>
      <c r="F558" s="1130"/>
      <c r="G558" s="1120"/>
      <c r="H558" s="1007"/>
      <c r="I558" s="1120"/>
      <c r="J558" s="1120">
        <v>950</v>
      </c>
      <c r="K558" s="1120">
        <f t="shared" si="130"/>
        <v>3188</v>
      </c>
      <c r="L558" s="1120">
        <v>1000</v>
      </c>
      <c r="M558" s="1120"/>
      <c r="N558" s="1121">
        <f t="shared" si="120"/>
        <v>1000</v>
      </c>
      <c r="O558" s="1122">
        <f t="shared" si="129"/>
        <v>39256</v>
      </c>
      <c r="P558" s="1123">
        <f t="shared" si="121"/>
        <v>117768</v>
      </c>
      <c r="Q558" s="1076">
        <v>3</v>
      </c>
      <c r="R558" s="1124">
        <v>908</v>
      </c>
      <c r="S558" s="372">
        <v>1330</v>
      </c>
      <c r="T558" s="1125"/>
      <c r="U558" s="12"/>
      <c r="V558" s="12"/>
      <c r="W558" s="12"/>
      <c r="X558" s="372"/>
      <c r="Y558" s="12">
        <v>550</v>
      </c>
      <c r="Z558" s="1125">
        <f t="shared" si="122"/>
        <v>2788</v>
      </c>
      <c r="AA558" s="1125">
        <v>1000</v>
      </c>
      <c r="AB558" s="640"/>
      <c r="AC558" s="643">
        <f t="shared" si="123"/>
        <v>1000</v>
      </c>
      <c r="AD558" s="642">
        <f t="shared" si="124"/>
        <v>34456</v>
      </c>
      <c r="AE558" s="1126">
        <f t="shared" si="125"/>
        <v>103368</v>
      </c>
      <c r="AF558" s="644">
        <f t="shared" si="126"/>
        <v>14400</v>
      </c>
      <c r="AG558" s="4">
        <f t="shared" si="127"/>
        <v>0</v>
      </c>
      <c r="AH558" s="1076">
        <v>3</v>
      </c>
      <c r="AI558" s="1127">
        <f t="shared" si="128"/>
        <v>103368</v>
      </c>
    </row>
    <row r="559" spans="1:35" ht="15">
      <c r="A559" s="1115" t="s">
        <v>16</v>
      </c>
      <c r="B559" s="1116">
        <v>4</v>
      </c>
      <c r="C559" s="1117">
        <v>876</v>
      </c>
      <c r="D559" s="1118">
        <v>1300</v>
      </c>
      <c r="E559" s="1119"/>
      <c r="F559" s="1130"/>
      <c r="G559" s="1120"/>
      <c r="H559" s="1007"/>
      <c r="I559" s="1120"/>
      <c r="J559" s="1120">
        <v>923.116</v>
      </c>
      <c r="K559" s="1120">
        <f t="shared" si="130"/>
        <v>3099.116</v>
      </c>
      <c r="L559" s="1120">
        <v>1000</v>
      </c>
      <c r="M559" s="1120"/>
      <c r="N559" s="1121">
        <f t="shared" si="120"/>
        <v>1000</v>
      </c>
      <c r="O559" s="1122">
        <f t="shared" si="129"/>
        <v>38189.392</v>
      </c>
      <c r="P559" s="1123">
        <f t="shared" si="121"/>
        <v>152757.568</v>
      </c>
      <c r="Q559" s="1076">
        <v>4</v>
      </c>
      <c r="R559" s="1124">
        <v>876</v>
      </c>
      <c r="S559" s="372">
        <v>1300</v>
      </c>
      <c r="T559" s="1125"/>
      <c r="U559" s="12"/>
      <c r="V559" s="12"/>
      <c r="W559" s="12"/>
      <c r="X559" s="372"/>
      <c r="Y559" s="12">
        <v>550</v>
      </c>
      <c r="Z559" s="1125">
        <f t="shared" si="122"/>
        <v>2726</v>
      </c>
      <c r="AA559" s="1125">
        <v>1000</v>
      </c>
      <c r="AB559" s="640"/>
      <c r="AC559" s="643">
        <f t="shared" si="123"/>
        <v>1000</v>
      </c>
      <c r="AD559" s="642">
        <f t="shared" si="124"/>
        <v>33712</v>
      </c>
      <c r="AE559" s="1126">
        <f t="shared" si="125"/>
        <v>134848</v>
      </c>
      <c r="AF559" s="644">
        <f t="shared" si="126"/>
        <v>17909.568</v>
      </c>
      <c r="AG559" s="4">
        <f t="shared" si="127"/>
        <v>0</v>
      </c>
      <c r="AH559" s="1076">
        <v>4</v>
      </c>
      <c r="AI559" s="1127">
        <f t="shared" si="128"/>
        <v>134848</v>
      </c>
    </row>
    <row r="560" spans="1:35" ht="15">
      <c r="A560" s="1115" t="s">
        <v>569</v>
      </c>
      <c r="B560" s="1116">
        <v>3</v>
      </c>
      <c r="C560" s="1117">
        <v>868</v>
      </c>
      <c r="D560" s="1118">
        <v>1300</v>
      </c>
      <c r="E560" s="1119"/>
      <c r="F560" s="1130"/>
      <c r="G560" s="1120"/>
      <c r="H560" s="1007"/>
      <c r="I560" s="1120"/>
      <c r="J560" s="1120">
        <v>900</v>
      </c>
      <c r="K560" s="1120">
        <f t="shared" si="130"/>
        <v>3068</v>
      </c>
      <c r="L560" s="1120">
        <v>1000</v>
      </c>
      <c r="M560" s="1120"/>
      <c r="N560" s="1121">
        <f t="shared" si="120"/>
        <v>1000</v>
      </c>
      <c r="O560" s="1122">
        <f t="shared" si="129"/>
        <v>37816</v>
      </c>
      <c r="P560" s="1123">
        <f t="shared" si="121"/>
        <v>113448</v>
      </c>
      <c r="Q560" s="1076">
        <v>3</v>
      </c>
      <c r="R560" s="1124">
        <v>868</v>
      </c>
      <c r="S560" s="372">
        <v>1300</v>
      </c>
      <c r="T560" s="1125"/>
      <c r="U560" s="12"/>
      <c r="V560" s="12"/>
      <c r="W560" s="12"/>
      <c r="X560" s="372"/>
      <c r="Y560" s="12">
        <v>550</v>
      </c>
      <c r="Z560" s="1125">
        <f t="shared" si="122"/>
        <v>2718</v>
      </c>
      <c r="AA560" s="1125">
        <v>1000</v>
      </c>
      <c r="AB560" s="640"/>
      <c r="AC560" s="643">
        <f t="shared" si="123"/>
        <v>1000</v>
      </c>
      <c r="AD560" s="642">
        <f t="shared" si="124"/>
        <v>33616</v>
      </c>
      <c r="AE560" s="1126">
        <f t="shared" si="125"/>
        <v>100848</v>
      </c>
      <c r="AF560" s="644">
        <f t="shared" si="126"/>
        <v>12600</v>
      </c>
      <c r="AG560" s="4">
        <f t="shared" si="127"/>
        <v>0</v>
      </c>
      <c r="AH560" s="1076">
        <v>3</v>
      </c>
      <c r="AI560" s="1127">
        <f t="shared" si="128"/>
        <v>100848</v>
      </c>
    </row>
    <row r="561" spans="1:35" ht="15">
      <c r="A561" s="1115" t="s">
        <v>570</v>
      </c>
      <c r="B561" s="1116">
        <v>4</v>
      </c>
      <c r="C561" s="1117">
        <v>860</v>
      </c>
      <c r="D561" s="1118">
        <v>1300</v>
      </c>
      <c r="E561" s="1119"/>
      <c r="F561" s="1130"/>
      <c r="G561" s="1120"/>
      <c r="H561" s="1007"/>
      <c r="I561" s="1120"/>
      <c r="J561" s="1120">
        <v>900</v>
      </c>
      <c r="K561" s="1120">
        <f t="shared" si="130"/>
        <v>3060</v>
      </c>
      <c r="L561" s="1120">
        <v>1000</v>
      </c>
      <c r="M561" s="1120"/>
      <c r="N561" s="1121">
        <f t="shared" si="120"/>
        <v>1000</v>
      </c>
      <c r="O561" s="1122">
        <f t="shared" si="129"/>
        <v>37720</v>
      </c>
      <c r="P561" s="1123">
        <f t="shared" si="121"/>
        <v>150880</v>
      </c>
      <c r="Q561" s="1076">
        <v>4</v>
      </c>
      <c r="R561" s="1124">
        <v>860</v>
      </c>
      <c r="S561" s="372">
        <v>1300</v>
      </c>
      <c r="T561" s="1125"/>
      <c r="U561" s="12"/>
      <c r="V561" s="12"/>
      <c r="W561" s="12"/>
      <c r="X561" s="372"/>
      <c r="Y561" s="12">
        <v>550</v>
      </c>
      <c r="Z561" s="1125">
        <f t="shared" si="122"/>
        <v>2710</v>
      </c>
      <c r="AA561" s="1125">
        <v>1000</v>
      </c>
      <c r="AB561" s="640"/>
      <c r="AC561" s="643">
        <f t="shared" si="123"/>
        <v>1000</v>
      </c>
      <c r="AD561" s="642">
        <f t="shared" si="124"/>
        <v>33520</v>
      </c>
      <c r="AE561" s="1126">
        <f t="shared" si="125"/>
        <v>134080</v>
      </c>
      <c r="AF561" s="644">
        <f t="shared" si="126"/>
        <v>16800</v>
      </c>
      <c r="AG561" s="4">
        <f t="shared" si="127"/>
        <v>0</v>
      </c>
      <c r="AH561" s="1076">
        <v>4</v>
      </c>
      <c r="AI561" s="1127">
        <f t="shared" si="128"/>
        <v>134080</v>
      </c>
    </row>
    <row r="562" spans="1:35" ht="15">
      <c r="A562" s="1115" t="s">
        <v>571</v>
      </c>
      <c r="B562" s="1116">
        <v>8</v>
      </c>
      <c r="C562" s="1117">
        <v>855</v>
      </c>
      <c r="D562" s="1118">
        <v>1300</v>
      </c>
      <c r="E562" s="1119"/>
      <c r="F562" s="1130"/>
      <c r="G562" s="1120"/>
      <c r="H562" s="1007"/>
      <c r="I562" s="1120"/>
      <c r="J562" s="1120">
        <v>900</v>
      </c>
      <c r="K562" s="1120">
        <f t="shared" si="130"/>
        <v>3055</v>
      </c>
      <c r="L562" s="1120">
        <v>1000</v>
      </c>
      <c r="M562" s="1120"/>
      <c r="N562" s="1121">
        <f t="shared" si="120"/>
        <v>1000</v>
      </c>
      <c r="O562" s="1122">
        <f t="shared" si="129"/>
        <v>37660</v>
      </c>
      <c r="P562" s="1123">
        <f t="shared" si="121"/>
        <v>301280</v>
      </c>
      <c r="Q562" s="1076">
        <v>8</v>
      </c>
      <c r="R562" s="1124">
        <v>855</v>
      </c>
      <c r="S562" s="372">
        <v>1300</v>
      </c>
      <c r="T562" s="1125"/>
      <c r="U562" s="12"/>
      <c r="V562" s="12"/>
      <c r="W562" s="12"/>
      <c r="X562" s="372"/>
      <c r="Y562" s="12">
        <v>550</v>
      </c>
      <c r="Z562" s="1125">
        <f t="shared" si="122"/>
        <v>2705</v>
      </c>
      <c r="AA562" s="1125">
        <v>1000</v>
      </c>
      <c r="AB562" s="640"/>
      <c r="AC562" s="643">
        <f t="shared" si="123"/>
        <v>1000</v>
      </c>
      <c r="AD562" s="642">
        <f t="shared" si="124"/>
        <v>33460</v>
      </c>
      <c r="AE562" s="1126">
        <f t="shared" si="125"/>
        <v>267680</v>
      </c>
      <c r="AF562" s="644">
        <f t="shared" si="126"/>
        <v>33600</v>
      </c>
      <c r="AG562" s="4">
        <f t="shared" si="127"/>
        <v>0</v>
      </c>
      <c r="AH562" s="1076">
        <v>8</v>
      </c>
      <c r="AI562" s="1127">
        <f t="shared" si="128"/>
        <v>267680</v>
      </c>
    </row>
    <row r="563" spans="1:35" ht="15">
      <c r="A563" s="1115" t="s">
        <v>17</v>
      </c>
      <c r="B563" s="1116">
        <v>1</v>
      </c>
      <c r="C563" s="1117">
        <v>854</v>
      </c>
      <c r="D563" s="1118">
        <v>1300</v>
      </c>
      <c r="E563" s="1119"/>
      <c r="F563" s="1130"/>
      <c r="G563" s="1120"/>
      <c r="H563" s="1007"/>
      <c r="I563" s="1120"/>
      <c r="J563" s="1120">
        <v>900</v>
      </c>
      <c r="K563" s="1120">
        <f t="shared" si="130"/>
        <v>3054</v>
      </c>
      <c r="L563" s="1120">
        <v>1000</v>
      </c>
      <c r="M563" s="1120"/>
      <c r="N563" s="1121">
        <f t="shared" si="120"/>
        <v>1000</v>
      </c>
      <c r="O563" s="1122">
        <f t="shared" si="129"/>
        <v>37648</v>
      </c>
      <c r="P563" s="1123">
        <f t="shared" si="121"/>
        <v>37648</v>
      </c>
      <c r="Q563" s="1076">
        <v>1</v>
      </c>
      <c r="R563" s="1124">
        <v>854</v>
      </c>
      <c r="S563" s="372">
        <v>1300</v>
      </c>
      <c r="T563" s="1125"/>
      <c r="U563" s="12"/>
      <c r="V563" s="12"/>
      <c r="W563" s="12"/>
      <c r="X563" s="372"/>
      <c r="Y563" s="12">
        <v>550</v>
      </c>
      <c r="Z563" s="1125">
        <f t="shared" si="122"/>
        <v>2704</v>
      </c>
      <c r="AA563" s="1125">
        <v>1000</v>
      </c>
      <c r="AB563" s="640"/>
      <c r="AC563" s="643">
        <f t="shared" si="123"/>
        <v>1000</v>
      </c>
      <c r="AD563" s="642">
        <f t="shared" si="124"/>
        <v>33448</v>
      </c>
      <c r="AE563" s="1126">
        <f t="shared" si="125"/>
        <v>33448</v>
      </c>
      <c r="AF563" s="644">
        <f t="shared" si="126"/>
        <v>4200</v>
      </c>
      <c r="AG563" s="4">
        <f t="shared" si="127"/>
        <v>0</v>
      </c>
      <c r="AH563" s="1076">
        <v>1</v>
      </c>
      <c r="AI563" s="1127">
        <f t="shared" si="128"/>
        <v>33448</v>
      </c>
    </row>
    <row r="564" spans="1:35" ht="15">
      <c r="A564" s="1115" t="s">
        <v>581</v>
      </c>
      <c r="B564" s="1116">
        <v>3</v>
      </c>
      <c r="C564" s="1117">
        <v>853</v>
      </c>
      <c r="D564" s="1118">
        <v>1300</v>
      </c>
      <c r="E564" s="1119"/>
      <c r="F564" s="1130"/>
      <c r="G564" s="1120"/>
      <c r="H564" s="1007"/>
      <c r="I564" s="1120"/>
      <c r="J564" s="1120">
        <v>900</v>
      </c>
      <c r="K564" s="1120">
        <f t="shared" si="130"/>
        <v>3053</v>
      </c>
      <c r="L564" s="1120">
        <v>1000</v>
      </c>
      <c r="M564" s="1120"/>
      <c r="N564" s="1121">
        <f t="shared" si="120"/>
        <v>1000</v>
      </c>
      <c r="O564" s="1122">
        <f t="shared" si="129"/>
        <v>37636</v>
      </c>
      <c r="P564" s="1123">
        <f t="shared" si="121"/>
        <v>112908</v>
      </c>
      <c r="Q564" s="1076">
        <v>4</v>
      </c>
      <c r="R564" s="1124">
        <v>853</v>
      </c>
      <c r="S564" s="372">
        <v>1300</v>
      </c>
      <c r="T564" s="1125"/>
      <c r="U564" s="12"/>
      <c r="V564" s="12"/>
      <c r="W564" s="12"/>
      <c r="X564" s="372"/>
      <c r="Y564" s="12">
        <v>550</v>
      </c>
      <c r="Z564" s="1125">
        <f t="shared" si="122"/>
        <v>2703</v>
      </c>
      <c r="AA564" s="1125">
        <v>1000</v>
      </c>
      <c r="AB564" s="640"/>
      <c r="AC564" s="643">
        <f t="shared" si="123"/>
        <v>1000</v>
      </c>
      <c r="AD564" s="642">
        <f t="shared" si="124"/>
        <v>33436</v>
      </c>
      <c r="AE564" s="1126">
        <f t="shared" si="125"/>
        <v>133744</v>
      </c>
      <c r="AF564" s="644">
        <f t="shared" si="126"/>
        <v>-20836</v>
      </c>
      <c r="AG564" s="4">
        <f t="shared" si="127"/>
        <v>-1</v>
      </c>
      <c r="AH564" s="1076">
        <v>4</v>
      </c>
      <c r="AI564" s="1127">
        <f t="shared" si="128"/>
        <v>133744</v>
      </c>
    </row>
    <row r="565" spans="1:35" ht="15">
      <c r="A565" s="1115" t="s">
        <v>18</v>
      </c>
      <c r="B565" s="1116">
        <v>1</v>
      </c>
      <c r="C565" s="1117">
        <v>837</v>
      </c>
      <c r="D565" s="1118">
        <v>1280</v>
      </c>
      <c r="E565" s="1119"/>
      <c r="F565" s="25"/>
      <c r="G565" s="25"/>
      <c r="H565" s="1007"/>
      <c r="I565" s="1120"/>
      <c r="J565" s="1120">
        <v>900</v>
      </c>
      <c r="K565" s="1120">
        <f t="shared" si="130"/>
        <v>3017</v>
      </c>
      <c r="L565" s="1120">
        <v>1000</v>
      </c>
      <c r="M565" s="1120"/>
      <c r="N565" s="1121">
        <f t="shared" si="120"/>
        <v>1000</v>
      </c>
      <c r="O565" s="1122">
        <f t="shared" si="129"/>
        <v>37204</v>
      </c>
      <c r="P565" s="1123">
        <f t="shared" si="121"/>
        <v>37204</v>
      </c>
      <c r="Q565" s="1076">
        <v>1</v>
      </c>
      <c r="R565" s="1124">
        <v>837</v>
      </c>
      <c r="S565" s="372">
        <v>1280</v>
      </c>
      <c r="T565" s="1125"/>
      <c r="U565" s="12"/>
      <c r="V565" s="12"/>
      <c r="W565" s="12"/>
      <c r="X565" s="372"/>
      <c r="Y565" s="12">
        <v>550</v>
      </c>
      <c r="Z565" s="1125">
        <f t="shared" si="122"/>
        <v>2667</v>
      </c>
      <c r="AA565" s="1125">
        <v>1000</v>
      </c>
      <c r="AB565" s="640"/>
      <c r="AC565" s="643">
        <f t="shared" si="123"/>
        <v>1000</v>
      </c>
      <c r="AD565" s="642">
        <f t="shared" si="124"/>
        <v>33004</v>
      </c>
      <c r="AE565" s="1126">
        <f t="shared" si="125"/>
        <v>33004</v>
      </c>
      <c r="AF565" s="644">
        <f t="shared" si="126"/>
        <v>4200</v>
      </c>
      <c r="AG565" s="4">
        <f t="shared" si="127"/>
        <v>0</v>
      </c>
      <c r="AH565" s="1076">
        <v>1</v>
      </c>
      <c r="AI565" s="1127">
        <f t="shared" si="128"/>
        <v>33004</v>
      </c>
    </row>
    <row r="566" spans="1:35" ht="15">
      <c r="A566" s="1115" t="s">
        <v>572</v>
      </c>
      <c r="B566" s="1116">
        <v>3</v>
      </c>
      <c r="C566" s="1117">
        <v>829</v>
      </c>
      <c r="D566" s="1118">
        <v>1280</v>
      </c>
      <c r="E566" s="1119"/>
      <c r="F566" s="1130"/>
      <c r="G566" s="1120"/>
      <c r="H566" s="1007"/>
      <c r="I566" s="1120"/>
      <c r="J566" s="1120">
        <v>900</v>
      </c>
      <c r="K566" s="1120">
        <f t="shared" si="130"/>
        <v>3009</v>
      </c>
      <c r="L566" s="1120">
        <v>1000</v>
      </c>
      <c r="M566" s="1120"/>
      <c r="N566" s="1121">
        <f t="shared" si="120"/>
        <v>1000</v>
      </c>
      <c r="O566" s="1122">
        <f t="shared" si="129"/>
        <v>37108</v>
      </c>
      <c r="P566" s="1123">
        <f t="shared" si="121"/>
        <v>111324</v>
      </c>
      <c r="Q566" s="1076">
        <v>3</v>
      </c>
      <c r="R566" s="1124">
        <v>829</v>
      </c>
      <c r="S566" s="372">
        <v>1280</v>
      </c>
      <c r="T566" s="1125"/>
      <c r="U566" s="12"/>
      <c r="V566" s="12"/>
      <c r="W566" s="12"/>
      <c r="X566" s="372"/>
      <c r="Y566" s="12">
        <v>550</v>
      </c>
      <c r="Z566" s="1125">
        <f t="shared" si="122"/>
        <v>2659</v>
      </c>
      <c r="AA566" s="1125">
        <v>1000</v>
      </c>
      <c r="AB566" s="640"/>
      <c r="AC566" s="643">
        <f t="shared" si="123"/>
        <v>1000</v>
      </c>
      <c r="AD566" s="642">
        <f t="shared" si="124"/>
        <v>32908</v>
      </c>
      <c r="AE566" s="1126">
        <f t="shared" si="125"/>
        <v>98724</v>
      </c>
      <c r="AF566" s="644">
        <f t="shared" si="126"/>
        <v>12600</v>
      </c>
      <c r="AG566" s="4">
        <f t="shared" si="127"/>
        <v>0</v>
      </c>
      <c r="AH566" s="1076">
        <v>3</v>
      </c>
      <c r="AI566" s="1127">
        <f t="shared" si="128"/>
        <v>98724</v>
      </c>
    </row>
    <row r="567" spans="1:35" ht="15">
      <c r="A567" s="1115" t="s">
        <v>574</v>
      </c>
      <c r="B567" s="1116">
        <v>1</v>
      </c>
      <c r="C567" s="1117">
        <v>814</v>
      </c>
      <c r="D567" s="1118">
        <v>1280</v>
      </c>
      <c r="E567" s="1119"/>
      <c r="F567" s="1130"/>
      <c r="G567" s="1120"/>
      <c r="H567" s="1007"/>
      <c r="I567" s="1120"/>
      <c r="J567" s="1120">
        <v>900</v>
      </c>
      <c r="K567" s="1120">
        <f t="shared" si="130"/>
        <v>2994</v>
      </c>
      <c r="L567" s="1120">
        <v>1000</v>
      </c>
      <c r="M567" s="1120"/>
      <c r="N567" s="1121">
        <f t="shared" si="120"/>
        <v>1000</v>
      </c>
      <c r="O567" s="1122">
        <f t="shared" si="129"/>
        <v>36928</v>
      </c>
      <c r="P567" s="1123">
        <f t="shared" si="121"/>
        <v>36928</v>
      </c>
      <c r="Q567" s="1076">
        <v>1</v>
      </c>
      <c r="R567" s="1124">
        <v>814</v>
      </c>
      <c r="S567" s="1131">
        <v>1280</v>
      </c>
      <c r="T567" s="1125"/>
      <c r="U567" s="12"/>
      <c r="V567" s="12"/>
      <c r="W567" s="12"/>
      <c r="X567" s="372"/>
      <c r="Y567" s="12">
        <v>550</v>
      </c>
      <c r="Z567" s="1125">
        <f t="shared" si="122"/>
        <v>2644</v>
      </c>
      <c r="AA567" s="1125">
        <v>1000</v>
      </c>
      <c r="AB567" s="640"/>
      <c r="AC567" s="643">
        <f t="shared" si="123"/>
        <v>1000</v>
      </c>
      <c r="AD567" s="642">
        <f t="shared" si="124"/>
        <v>32728</v>
      </c>
      <c r="AE567" s="1126">
        <f t="shared" si="125"/>
        <v>32728</v>
      </c>
      <c r="AF567" s="644">
        <f t="shared" si="126"/>
        <v>4200</v>
      </c>
      <c r="AG567" s="4">
        <f t="shared" si="127"/>
        <v>0</v>
      </c>
      <c r="AH567" s="1076">
        <v>1</v>
      </c>
      <c r="AI567" s="1127">
        <f t="shared" si="128"/>
        <v>32728</v>
      </c>
    </row>
    <row r="568" spans="1:35" ht="12">
      <c r="A568" s="1106" t="s">
        <v>56</v>
      </c>
      <c r="B568" s="1107"/>
      <c r="C568" s="1108"/>
      <c r="D568" s="1109"/>
      <c r="E568" s="25"/>
      <c r="F568" s="25"/>
      <c r="G568" s="1109"/>
      <c r="H568" s="1109"/>
      <c r="I568" s="1109"/>
      <c r="J568" s="1109"/>
      <c r="K568" s="1109"/>
      <c r="L568" s="1109"/>
      <c r="M568" s="1109"/>
      <c r="N568" s="1110"/>
      <c r="O568" s="1108"/>
      <c r="P568" s="1113"/>
      <c r="Q568" s="1132"/>
      <c r="R568" s="1108"/>
      <c r="S568" s="1112"/>
      <c r="T568" s="1112"/>
      <c r="U568" s="1112"/>
      <c r="V568" s="1112"/>
      <c r="W568" s="1112"/>
      <c r="X568" s="1112"/>
      <c r="Y568" s="1112"/>
      <c r="Z568" s="1112"/>
      <c r="AA568" s="1112"/>
      <c r="AB568" s="1112"/>
      <c r="AC568" s="1111"/>
      <c r="AD568" s="1108"/>
      <c r="AE568" s="1133"/>
      <c r="AF568" s="1107"/>
      <c r="AG568" s="1114"/>
      <c r="AH568" s="1107"/>
      <c r="AI568" s="1107"/>
    </row>
    <row r="569" spans="1:35" ht="12.75">
      <c r="A569" s="1134" t="s">
        <v>572</v>
      </c>
      <c r="B569" s="1135">
        <v>21</v>
      </c>
      <c r="C569" s="44">
        <v>2435</v>
      </c>
      <c r="D569" s="25"/>
      <c r="E569" s="25"/>
      <c r="F569" s="25"/>
      <c r="G569" s="25"/>
      <c r="H569" s="25"/>
      <c r="I569" s="25">
        <v>158</v>
      </c>
      <c r="J569" s="1136"/>
      <c r="K569" s="1120">
        <f t="shared" si="130"/>
        <v>2593</v>
      </c>
      <c r="L569" s="1120">
        <v>1000</v>
      </c>
      <c r="M569" s="25"/>
      <c r="N569" s="1121">
        <f aca="true" t="shared" si="131" ref="N569:N580">SUM(L569:M569)</f>
        <v>1000</v>
      </c>
      <c r="O569" s="1122">
        <f aca="true" t="shared" si="132" ref="O569:O580">SUM(K569*12)+N569</f>
        <v>32116</v>
      </c>
      <c r="P569" s="1123">
        <f aca="true" t="shared" si="133" ref="P569:P580">+B569*O569</f>
        <v>674436</v>
      </c>
      <c r="Q569" s="1135">
        <v>21</v>
      </c>
      <c r="R569" s="4">
        <v>2435</v>
      </c>
      <c r="S569" s="12"/>
      <c r="T569" s="12"/>
      <c r="U569" s="12"/>
      <c r="V569" s="12"/>
      <c r="W569" s="12"/>
      <c r="X569" s="12">
        <v>158</v>
      </c>
      <c r="Y569" s="12"/>
      <c r="Z569" s="1125">
        <f t="shared" si="122"/>
        <v>2593</v>
      </c>
      <c r="AA569" s="1125">
        <v>1000</v>
      </c>
      <c r="AB569" s="12"/>
      <c r="AC569" s="643">
        <f t="shared" si="123"/>
        <v>1000</v>
      </c>
      <c r="AD569" s="642">
        <f t="shared" si="124"/>
        <v>32116</v>
      </c>
      <c r="AE569" s="1126">
        <f t="shared" si="125"/>
        <v>674436</v>
      </c>
      <c r="AF569" s="644">
        <f aca="true" t="shared" si="134" ref="AF569:AF580">+P569-AE569</f>
        <v>0</v>
      </c>
      <c r="AG569" s="4">
        <f aca="true" t="shared" si="135" ref="AG569:AG580">+B569-Q569</f>
        <v>0</v>
      </c>
      <c r="AH569" s="1135">
        <v>21</v>
      </c>
      <c r="AI569" s="1127">
        <f t="shared" si="128"/>
        <v>674436</v>
      </c>
    </row>
    <row r="570" spans="1:35" ht="12.75">
      <c r="A570" s="1134" t="s">
        <v>18</v>
      </c>
      <c r="B570" s="1135">
        <v>11</v>
      </c>
      <c r="C570" s="44">
        <v>2444</v>
      </c>
      <c r="D570" s="25"/>
      <c r="E570" s="25"/>
      <c r="F570" s="25"/>
      <c r="G570" s="25"/>
      <c r="H570" s="25"/>
      <c r="I570" s="25">
        <v>158</v>
      </c>
      <c r="J570" s="1136"/>
      <c r="K570" s="1120">
        <f t="shared" si="130"/>
        <v>2602</v>
      </c>
      <c r="L570" s="1120">
        <v>1000</v>
      </c>
      <c r="M570" s="25"/>
      <c r="N570" s="1121">
        <f t="shared" si="131"/>
        <v>1000</v>
      </c>
      <c r="O570" s="1122">
        <f t="shared" si="132"/>
        <v>32224</v>
      </c>
      <c r="P570" s="1123">
        <f t="shared" si="133"/>
        <v>354464</v>
      </c>
      <c r="Q570" s="1135">
        <v>11</v>
      </c>
      <c r="R570" s="4">
        <v>2444</v>
      </c>
      <c r="S570" s="12"/>
      <c r="T570" s="12"/>
      <c r="U570" s="12"/>
      <c r="V570" s="12"/>
      <c r="W570" s="12"/>
      <c r="X570" s="12">
        <v>158</v>
      </c>
      <c r="Y570" s="12"/>
      <c r="Z570" s="1125">
        <f t="shared" si="122"/>
        <v>2602</v>
      </c>
      <c r="AA570" s="1125">
        <v>1000</v>
      </c>
      <c r="AB570" s="12"/>
      <c r="AC570" s="643">
        <f t="shared" si="123"/>
        <v>1000</v>
      </c>
      <c r="AD570" s="642">
        <f t="shared" si="124"/>
        <v>32224</v>
      </c>
      <c r="AE570" s="1126">
        <f t="shared" si="125"/>
        <v>354464</v>
      </c>
      <c r="AF570" s="644">
        <f t="shared" si="134"/>
        <v>0</v>
      </c>
      <c r="AG570" s="4">
        <f t="shared" si="135"/>
        <v>0</v>
      </c>
      <c r="AH570" s="1135">
        <v>11</v>
      </c>
      <c r="AI570" s="1127">
        <f t="shared" si="128"/>
        <v>354464</v>
      </c>
    </row>
    <row r="571" spans="1:35" ht="12.75">
      <c r="A571" s="1134" t="s">
        <v>573</v>
      </c>
      <c r="B571" s="1135">
        <v>5</v>
      </c>
      <c r="C571" s="44">
        <v>2426</v>
      </c>
      <c r="D571" s="25"/>
      <c r="E571" s="25"/>
      <c r="F571" s="25"/>
      <c r="G571" s="25"/>
      <c r="H571" s="25"/>
      <c r="I571" s="25">
        <v>158</v>
      </c>
      <c r="J571" s="1136"/>
      <c r="K571" s="1120">
        <f t="shared" si="130"/>
        <v>2584</v>
      </c>
      <c r="L571" s="1120">
        <v>1000</v>
      </c>
      <c r="M571" s="25"/>
      <c r="N571" s="1121">
        <f t="shared" si="131"/>
        <v>1000</v>
      </c>
      <c r="O571" s="1122">
        <f t="shared" si="132"/>
        <v>32008</v>
      </c>
      <c r="P571" s="1123">
        <f t="shared" si="133"/>
        <v>160040</v>
      </c>
      <c r="Q571" s="1135">
        <v>5</v>
      </c>
      <c r="R571" s="4">
        <v>2426</v>
      </c>
      <c r="S571" s="12"/>
      <c r="T571" s="12"/>
      <c r="U571" s="12"/>
      <c r="V571" s="12"/>
      <c r="W571" s="12"/>
      <c r="X571" s="12">
        <v>158</v>
      </c>
      <c r="Y571" s="12"/>
      <c r="Z571" s="1125">
        <f t="shared" si="122"/>
        <v>2584</v>
      </c>
      <c r="AA571" s="1125">
        <v>1000</v>
      </c>
      <c r="AB571" s="12"/>
      <c r="AC571" s="643">
        <f t="shared" si="123"/>
        <v>1000</v>
      </c>
      <c r="AD571" s="642">
        <f t="shared" si="124"/>
        <v>32008</v>
      </c>
      <c r="AE571" s="1126">
        <f t="shared" si="125"/>
        <v>160040</v>
      </c>
      <c r="AF571" s="644">
        <f t="shared" si="134"/>
        <v>0</v>
      </c>
      <c r="AG571" s="4">
        <f t="shared" si="135"/>
        <v>0</v>
      </c>
      <c r="AH571" s="1135">
        <v>5</v>
      </c>
      <c r="AI571" s="1127">
        <f t="shared" si="128"/>
        <v>160040</v>
      </c>
    </row>
    <row r="572" spans="1:35" ht="12.75">
      <c r="A572" s="1134" t="s">
        <v>574</v>
      </c>
      <c r="B572" s="1135">
        <v>3</v>
      </c>
      <c r="C572" s="44">
        <v>2417</v>
      </c>
      <c r="D572" s="25"/>
      <c r="E572" s="25"/>
      <c r="F572" s="25"/>
      <c r="G572" s="25"/>
      <c r="H572" s="25"/>
      <c r="I572" s="25">
        <v>158</v>
      </c>
      <c r="J572" s="1136"/>
      <c r="K572" s="1120">
        <f t="shared" si="130"/>
        <v>2575</v>
      </c>
      <c r="L572" s="1120">
        <v>1000</v>
      </c>
      <c r="M572" s="25"/>
      <c r="N572" s="1121">
        <f t="shared" si="131"/>
        <v>1000</v>
      </c>
      <c r="O572" s="1122">
        <f t="shared" si="132"/>
        <v>31900</v>
      </c>
      <c r="P572" s="1123">
        <f t="shared" si="133"/>
        <v>95700</v>
      </c>
      <c r="Q572" s="1135">
        <v>3</v>
      </c>
      <c r="R572" s="4">
        <v>2417</v>
      </c>
      <c r="S572" s="12"/>
      <c r="T572" s="12"/>
      <c r="U572" s="12"/>
      <c r="V572" s="12"/>
      <c r="W572" s="12"/>
      <c r="X572" s="12">
        <v>158</v>
      </c>
      <c r="Y572" s="12"/>
      <c r="Z572" s="1125">
        <f t="shared" si="122"/>
        <v>2575</v>
      </c>
      <c r="AA572" s="1125">
        <v>1000</v>
      </c>
      <c r="AB572" s="12"/>
      <c r="AC572" s="643">
        <f t="shared" si="123"/>
        <v>1000</v>
      </c>
      <c r="AD572" s="642">
        <f t="shared" si="124"/>
        <v>31900</v>
      </c>
      <c r="AE572" s="1126">
        <f t="shared" si="125"/>
        <v>95700</v>
      </c>
      <c r="AF572" s="644">
        <f t="shared" si="134"/>
        <v>0</v>
      </c>
      <c r="AG572" s="4">
        <f t="shared" si="135"/>
        <v>0</v>
      </c>
      <c r="AH572" s="1135">
        <v>3</v>
      </c>
      <c r="AI572" s="1127">
        <f t="shared" si="128"/>
        <v>95700</v>
      </c>
    </row>
    <row r="573" spans="1:35" ht="12.75">
      <c r="A573" s="1134" t="s">
        <v>583</v>
      </c>
      <c r="B573" s="1135">
        <v>4</v>
      </c>
      <c r="C573" s="44">
        <v>2399</v>
      </c>
      <c r="D573" s="25"/>
      <c r="E573" s="25"/>
      <c r="F573" s="25"/>
      <c r="G573" s="25"/>
      <c r="H573" s="25"/>
      <c r="I573" s="25">
        <v>158</v>
      </c>
      <c r="J573" s="1136"/>
      <c r="K573" s="1120">
        <f t="shared" si="130"/>
        <v>2557</v>
      </c>
      <c r="L573" s="1120">
        <v>1000</v>
      </c>
      <c r="M573" s="25"/>
      <c r="N573" s="1121">
        <f t="shared" si="131"/>
        <v>1000</v>
      </c>
      <c r="O573" s="1122">
        <f t="shared" si="132"/>
        <v>31684</v>
      </c>
      <c r="P573" s="1123">
        <f t="shared" si="133"/>
        <v>126736</v>
      </c>
      <c r="Q573" s="1135">
        <v>4</v>
      </c>
      <c r="R573" s="4">
        <v>2399</v>
      </c>
      <c r="S573" s="12"/>
      <c r="T573" s="12"/>
      <c r="U573" s="12"/>
      <c r="V573" s="12"/>
      <c r="W573" s="12"/>
      <c r="X573" s="12">
        <v>158</v>
      </c>
      <c r="Y573" s="12"/>
      <c r="Z573" s="1125">
        <f t="shared" si="122"/>
        <v>2557</v>
      </c>
      <c r="AA573" s="1125">
        <v>1000</v>
      </c>
      <c r="AB573" s="12"/>
      <c r="AC573" s="643">
        <f t="shared" si="123"/>
        <v>1000</v>
      </c>
      <c r="AD573" s="642">
        <f t="shared" si="124"/>
        <v>31684</v>
      </c>
      <c r="AE573" s="1126">
        <f t="shared" si="125"/>
        <v>126736</v>
      </c>
      <c r="AF573" s="644">
        <f t="shared" si="134"/>
        <v>0</v>
      </c>
      <c r="AG573" s="4">
        <f t="shared" si="135"/>
        <v>0</v>
      </c>
      <c r="AH573" s="1135">
        <v>4</v>
      </c>
      <c r="AI573" s="1127">
        <f t="shared" si="128"/>
        <v>126736</v>
      </c>
    </row>
    <row r="574" spans="1:35" ht="12.75">
      <c r="A574" s="1134" t="s">
        <v>15</v>
      </c>
      <c r="B574" s="1135">
        <v>15</v>
      </c>
      <c r="C574" s="44">
        <v>2836</v>
      </c>
      <c r="D574" s="25"/>
      <c r="E574" s="25"/>
      <c r="F574" s="25"/>
      <c r="G574" s="25"/>
      <c r="H574" s="25"/>
      <c r="I574" s="25">
        <v>158</v>
      </c>
      <c r="J574" s="1136"/>
      <c r="K574" s="1120">
        <f t="shared" si="130"/>
        <v>2994</v>
      </c>
      <c r="L574" s="1120">
        <v>1000</v>
      </c>
      <c r="M574" s="25"/>
      <c r="N574" s="1121">
        <f t="shared" si="131"/>
        <v>1000</v>
      </c>
      <c r="O574" s="1122">
        <f t="shared" si="132"/>
        <v>36928</v>
      </c>
      <c r="P574" s="1123">
        <f t="shared" si="133"/>
        <v>553920</v>
      </c>
      <c r="Q574" s="1135">
        <v>15</v>
      </c>
      <c r="R574" s="4">
        <v>2836</v>
      </c>
      <c r="S574" s="12"/>
      <c r="T574" s="12"/>
      <c r="U574" s="12"/>
      <c r="V574" s="12"/>
      <c r="W574" s="12"/>
      <c r="X574" s="12">
        <v>158</v>
      </c>
      <c r="Y574" s="12"/>
      <c r="Z574" s="1125">
        <f t="shared" si="122"/>
        <v>2994</v>
      </c>
      <c r="AA574" s="1125">
        <v>1000</v>
      </c>
      <c r="AB574" s="12"/>
      <c r="AC574" s="643">
        <f t="shared" si="123"/>
        <v>1000</v>
      </c>
      <c r="AD574" s="642">
        <f t="shared" si="124"/>
        <v>36928</v>
      </c>
      <c r="AE574" s="1126">
        <f t="shared" si="125"/>
        <v>553920</v>
      </c>
      <c r="AF574" s="644">
        <f t="shared" si="134"/>
        <v>0</v>
      </c>
      <c r="AG574" s="4">
        <f t="shared" si="135"/>
        <v>0</v>
      </c>
      <c r="AH574" s="1135">
        <v>15</v>
      </c>
      <c r="AI574" s="1127">
        <f t="shared" si="128"/>
        <v>553920</v>
      </c>
    </row>
    <row r="575" spans="1:35" ht="12.75">
      <c r="A575" s="1134" t="s">
        <v>580</v>
      </c>
      <c r="B575" s="1135">
        <v>1</v>
      </c>
      <c r="C575" s="44">
        <v>2780</v>
      </c>
      <c r="D575" s="25"/>
      <c r="E575" s="25"/>
      <c r="F575" s="25"/>
      <c r="G575" s="25"/>
      <c r="H575" s="25"/>
      <c r="I575" s="25">
        <v>158</v>
      </c>
      <c r="J575" s="1136"/>
      <c r="K575" s="1120">
        <f t="shared" si="130"/>
        <v>2938</v>
      </c>
      <c r="L575" s="1120">
        <v>1000</v>
      </c>
      <c r="M575" s="25"/>
      <c r="N575" s="1121">
        <f t="shared" si="131"/>
        <v>1000</v>
      </c>
      <c r="O575" s="1122">
        <f t="shared" si="132"/>
        <v>36256</v>
      </c>
      <c r="P575" s="1123">
        <f t="shared" si="133"/>
        <v>36256</v>
      </c>
      <c r="Q575" s="1135">
        <v>1</v>
      </c>
      <c r="R575" s="4">
        <v>2780</v>
      </c>
      <c r="S575" s="12"/>
      <c r="T575" s="12"/>
      <c r="U575" s="12"/>
      <c r="V575" s="12"/>
      <c r="W575" s="12"/>
      <c r="X575" s="12">
        <v>158</v>
      </c>
      <c r="Y575" s="12"/>
      <c r="Z575" s="1125">
        <f t="shared" si="122"/>
        <v>2938</v>
      </c>
      <c r="AA575" s="1125">
        <v>1000</v>
      </c>
      <c r="AB575" s="12"/>
      <c r="AC575" s="643">
        <f t="shared" si="123"/>
        <v>1000</v>
      </c>
      <c r="AD575" s="642">
        <f t="shared" si="124"/>
        <v>36256</v>
      </c>
      <c r="AE575" s="1126">
        <f t="shared" si="125"/>
        <v>36256</v>
      </c>
      <c r="AF575" s="644">
        <f t="shared" si="134"/>
        <v>0</v>
      </c>
      <c r="AG575" s="4">
        <f t="shared" si="135"/>
        <v>0</v>
      </c>
      <c r="AH575" s="1135">
        <v>1</v>
      </c>
      <c r="AI575" s="1127">
        <f t="shared" si="128"/>
        <v>36256</v>
      </c>
    </row>
    <row r="576" spans="1:35" ht="12.75">
      <c r="A576" s="1134" t="s">
        <v>16</v>
      </c>
      <c r="B576" s="1135">
        <v>18</v>
      </c>
      <c r="C576" s="44">
        <v>2601</v>
      </c>
      <c r="D576" s="25"/>
      <c r="E576" s="25"/>
      <c r="F576" s="25"/>
      <c r="G576" s="25"/>
      <c r="H576" s="25"/>
      <c r="I576" s="25">
        <v>158</v>
      </c>
      <c r="J576" s="1136"/>
      <c r="K576" s="1120">
        <f t="shared" si="130"/>
        <v>2759</v>
      </c>
      <c r="L576" s="1120">
        <v>1000</v>
      </c>
      <c r="M576" s="25"/>
      <c r="N576" s="1121">
        <f t="shared" si="131"/>
        <v>1000</v>
      </c>
      <c r="O576" s="1122">
        <f t="shared" si="132"/>
        <v>34108</v>
      </c>
      <c r="P576" s="1123">
        <f t="shared" si="133"/>
        <v>613944</v>
      </c>
      <c r="Q576" s="1135">
        <v>18</v>
      </c>
      <c r="R576" s="4">
        <v>2601</v>
      </c>
      <c r="S576" s="12"/>
      <c r="T576" s="12"/>
      <c r="U576" s="12"/>
      <c r="V576" s="12"/>
      <c r="W576" s="12"/>
      <c r="X576" s="12">
        <v>878</v>
      </c>
      <c r="Y576" s="12"/>
      <c r="Z576" s="1125">
        <f t="shared" si="122"/>
        <v>3479</v>
      </c>
      <c r="AA576" s="1125">
        <v>1000</v>
      </c>
      <c r="AB576" s="12"/>
      <c r="AC576" s="643">
        <f t="shared" si="123"/>
        <v>1000</v>
      </c>
      <c r="AD576" s="642">
        <f t="shared" si="124"/>
        <v>42748</v>
      </c>
      <c r="AE576" s="1126">
        <f t="shared" si="125"/>
        <v>769464</v>
      </c>
      <c r="AF576" s="644">
        <f t="shared" si="134"/>
        <v>-155520</v>
      </c>
      <c r="AG576" s="4">
        <f t="shared" si="135"/>
        <v>0</v>
      </c>
      <c r="AH576" s="1135">
        <v>18</v>
      </c>
      <c r="AI576" s="1127">
        <f t="shared" si="128"/>
        <v>769464</v>
      </c>
    </row>
    <row r="577" spans="1:35" ht="12.75">
      <c r="A577" s="1134" t="s">
        <v>569</v>
      </c>
      <c r="B577" s="1135">
        <v>30</v>
      </c>
      <c r="C577" s="44">
        <v>2583</v>
      </c>
      <c r="D577" s="25"/>
      <c r="E577" s="25"/>
      <c r="F577" s="25"/>
      <c r="G577" s="25"/>
      <c r="H577" s="25"/>
      <c r="I577" s="25">
        <v>158</v>
      </c>
      <c r="J577" s="1136"/>
      <c r="K577" s="1120">
        <f t="shared" si="130"/>
        <v>2741</v>
      </c>
      <c r="L577" s="1120">
        <v>1000</v>
      </c>
      <c r="M577" s="25"/>
      <c r="N577" s="1121">
        <f t="shared" si="131"/>
        <v>1000</v>
      </c>
      <c r="O577" s="1122">
        <f t="shared" si="132"/>
        <v>33892</v>
      </c>
      <c r="P577" s="1123">
        <f t="shared" si="133"/>
        <v>1016760</v>
      </c>
      <c r="Q577" s="1135">
        <v>30</v>
      </c>
      <c r="R577" s="4">
        <v>2583</v>
      </c>
      <c r="S577" s="12"/>
      <c r="T577" s="12"/>
      <c r="U577" s="12"/>
      <c r="V577" s="12"/>
      <c r="W577" s="12"/>
      <c r="X577" s="12">
        <v>878</v>
      </c>
      <c r="Y577" s="12"/>
      <c r="Z577" s="1125">
        <f t="shared" si="122"/>
        <v>3461</v>
      </c>
      <c r="AA577" s="1125">
        <v>1000</v>
      </c>
      <c r="AB577" s="12"/>
      <c r="AC577" s="643">
        <f t="shared" si="123"/>
        <v>1000</v>
      </c>
      <c r="AD577" s="642">
        <f t="shared" si="124"/>
        <v>42532</v>
      </c>
      <c r="AE577" s="1126">
        <f t="shared" si="125"/>
        <v>1275960</v>
      </c>
      <c r="AF577" s="644">
        <f t="shared" si="134"/>
        <v>-259200</v>
      </c>
      <c r="AG577" s="4">
        <f t="shared" si="135"/>
        <v>0</v>
      </c>
      <c r="AH577" s="1135">
        <v>30</v>
      </c>
      <c r="AI577" s="1127">
        <f t="shared" si="128"/>
        <v>1275960</v>
      </c>
    </row>
    <row r="578" spans="1:35" ht="12.75">
      <c r="A578" s="1134" t="s">
        <v>570</v>
      </c>
      <c r="B578" s="1135">
        <v>75</v>
      </c>
      <c r="C578" s="44">
        <v>2565</v>
      </c>
      <c r="D578" s="25"/>
      <c r="E578" s="25"/>
      <c r="F578" s="25"/>
      <c r="G578" s="25"/>
      <c r="H578" s="25"/>
      <c r="I578" s="25">
        <v>158</v>
      </c>
      <c r="J578" s="1136"/>
      <c r="K578" s="1120">
        <f t="shared" si="130"/>
        <v>2723</v>
      </c>
      <c r="L578" s="1120">
        <v>1000</v>
      </c>
      <c r="M578" s="25"/>
      <c r="N578" s="1121">
        <f t="shared" si="131"/>
        <v>1000</v>
      </c>
      <c r="O578" s="1122">
        <f t="shared" si="132"/>
        <v>33676</v>
      </c>
      <c r="P578" s="1123">
        <f t="shared" si="133"/>
        <v>2525700</v>
      </c>
      <c r="Q578" s="1135">
        <v>75</v>
      </c>
      <c r="R578" s="4">
        <v>2565</v>
      </c>
      <c r="S578" s="12"/>
      <c r="T578" s="12"/>
      <c r="U578" s="12"/>
      <c r="V578" s="12"/>
      <c r="W578" s="12"/>
      <c r="X578" s="12">
        <v>158</v>
      </c>
      <c r="Y578" s="12"/>
      <c r="Z578" s="1137">
        <f t="shared" si="122"/>
        <v>2723</v>
      </c>
      <c r="AA578" s="1125">
        <v>1000</v>
      </c>
      <c r="AB578" s="12"/>
      <c r="AC578" s="643">
        <f t="shared" si="123"/>
        <v>1000</v>
      </c>
      <c r="AD578" s="642">
        <f t="shared" si="124"/>
        <v>33676</v>
      </c>
      <c r="AE578" s="1126">
        <f t="shared" si="125"/>
        <v>2525700</v>
      </c>
      <c r="AF578" s="644">
        <f t="shared" si="134"/>
        <v>0</v>
      </c>
      <c r="AG578" s="4">
        <f t="shared" si="135"/>
        <v>0</v>
      </c>
      <c r="AH578" s="1135">
        <v>75</v>
      </c>
      <c r="AI578" s="1127">
        <f t="shared" si="128"/>
        <v>2525700</v>
      </c>
    </row>
    <row r="579" spans="1:35" ht="12.75">
      <c r="A579" s="1134" t="s">
        <v>571</v>
      </c>
      <c r="B579" s="1135">
        <v>24</v>
      </c>
      <c r="C579" s="44">
        <v>2547</v>
      </c>
      <c r="D579" s="25"/>
      <c r="E579" s="25"/>
      <c r="F579" s="25"/>
      <c r="G579" s="25"/>
      <c r="H579" s="25"/>
      <c r="I579" s="25">
        <v>158</v>
      </c>
      <c r="J579" s="1136"/>
      <c r="K579" s="1120">
        <f t="shared" si="130"/>
        <v>2705</v>
      </c>
      <c r="L579" s="1120">
        <v>1000</v>
      </c>
      <c r="M579" s="25"/>
      <c r="N579" s="1121">
        <f t="shared" si="131"/>
        <v>1000</v>
      </c>
      <c r="O579" s="1122">
        <f t="shared" si="132"/>
        <v>33460</v>
      </c>
      <c r="P579" s="1123">
        <f t="shared" si="133"/>
        <v>803040</v>
      </c>
      <c r="Q579" s="1135">
        <v>24</v>
      </c>
      <c r="R579" s="4">
        <v>2547</v>
      </c>
      <c r="S579" s="12"/>
      <c r="T579" s="12"/>
      <c r="U579" s="12"/>
      <c r="V579" s="12"/>
      <c r="W579" s="12"/>
      <c r="X579" s="12">
        <v>878</v>
      </c>
      <c r="Y579" s="12"/>
      <c r="Z579" s="1125">
        <f t="shared" si="122"/>
        <v>3425</v>
      </c>
      <c r="AA579" s="1125">
        <v>1000</v>
      </c>
      <c r="AB579" s="12"/>
      <c r="AC579" s="643">
        <f t="shared" si="123"/>
        <v>1000</v>
      </c>
      <c r="AD579" s="642">
        <f t="shared" si="124"/>
        <v>42100</v>
      </c>
      <c r="AE579" s="1126">
        <f t="shared" si="125"/>
        <v>1010400</v>
      </c>
      <c r="AF579" s="644">
        <f t="shared" si="134"/>
        <v>-207360</v>
      </c>
      <c r="AG579" s="4">
        <f t="shared" si="135"/>
        <v>0</v>
      </c>
      <c r="AH579" s="1135">
        <v>24</v>
      </c>
      <c r="AI579" s="1127">
        <f t="shared" si="128"/>
        <v>1010400</v>
      </c>
    </row>
    <row r="580" spans="1:35" ht="12.75">
      <c r="A580" s="1134" t="s">
        <v>581</v>
      </c>
      <c r="B580" s="1135">
        <v>90</v>
      </c>
      <c r="C580" s="44">
        <v>2524</v>
      </c>
      <c r="D580" s="25"/>
      <c r="E580" s="25"/>
      <c r="F580" s="25"/>
      <c r="G580" s="25"/>
      <c r="H580" s="25"/>
      <c r="I580" s="25">
        <v>158</v>
      </c>
      <c r="J580" s="1136"/>
      <c r="K580" s="1120">
        <f t="shared" si="130"/>
        <v>2682</v>
      </c>
      <c r="L580" s="1120">
        <v>1000</v>
      </c>
      <c r="M580" s="25"/>
      <c r="N580" s="1121">
        <f t="shared" si="131"/>
        <v>1000</v>
      </c>
      <c r="O580" s="1122">
        <f t="shared" si="132"/>
        <v>33184</v>
      </c>
      <c r="P580" s="1123">
        <f t="shared" si="133"/>
        <v>2986560</v>
      </c>
      <c r="Q580" s="1135">
        <v>90</v>
      </c>
      <c r="R580" s="4">
        <v>2524</v>
      </c>
      <c r="S580" s="12"/>
      <c r="T580" s="12"/>
      <c r="U580" s="12"/>
      <c r="V580" s="12"/>
      <c r="W580" s="12"/>
      <c r="X580" s="12">
        <v>158</v>
      </c>
      <c r="Y580" s="12"/>
      <c r="Z580" s="1125">
        <f t="shared" si="122"/>
        <v>2682</v>
      </c>
      <c r="AA580" s="1125">
        <v>1000</v>
      </c>
      <c r="AB580" s="12"/>
      <c r="AC580" s="643">
        <f t="shared" si="123"/>
        <v>1000</v>
      </c>
      <c r="AD580" s="642">
        <f t="shared" si="124"/>
        <v>33184</v>
      </c>
      <c r="AE580" s="1126">
        <f t="shared" si="125"/>
        <v>2986560</v>
      </c>
      <c r="AF580" s="644">
        <f t="shared" si="134"/>
        <v>0</v>
      </c>
      <c r="AG580" s="4">
        <f t="shared" si="135"/>
        <v>0</v>
      </c>
      <c r="AH580" s="1135">
        <v>90</v>
      </c>
      <c r="AI580" s="1127">
        <f t="shared" si="128"/>
        <v>2986560</v>
      </c>
    </row>
    <row r="581" spans="1:35" ht="12">
      <c r="A581" s="1106" t="s">
        <v>2600</v>
      </c>
      <c r="B581" s="1107"/>
      <c r="C581" s="1108"/>
      <c r="D581" s="1109"/>
      <c r="E581" s="1109"/>
      <c r="F581" s="1109"/>
      <c r="G581" s="1109"/>
      <c r="H581" s="1109"/>
      <c r="I581" s="1109"/>
      <c r="J581" s="1109"/>
      <c r="K581" s="1109"/>
      <c r="L581" s="1109"/>
      <c r="M581" s="1109"/>
      <c r="N581" s="1110"/>
      <c r="O581" s="1108"/>
      <c r="P581" s="1111"/>
      <c r="Q581" s="1107"/>
      <c r="R581" s="1108"/>
      <c r="S581" s="1112"/>
      <c r="T581" s="1112"/>
      <c r="U581" s="1112"/>
      <c r="V581" s="1112"/>
      <c r="W581" s="1112"/>
      <c r="X581" s="1112"/>
      <c r="Y581" s="1112"/>
      <c r="Z581" s="1112"/>
      <c r="AA581" s="1112"/>
      <c r="AB581" s="1112"/>
      <c r="AC581" s="1111"/>
      <c r="AD581" s="1108"/>
      <c r="AE581" s="1113"/>
      <c r="AF581" s="1107"/>
      <c r="AG581" s="1114"/>
      <c r="AH581" s="1107"/>
      <c r="AI581" s="1107"/>
    </row>
    <row r="582" spans="1:35" ht="12.75">
      <c r="A582" s="1138" t="s">
        <v>769</v>
      </c>
      <c r="B582" s="1135">
        <v>10</v>
      </c>
      <c r="C582" s="1139">
        <v>3840</v>
      </c>
      <c r="D582" s="1021"/>
      <c r="E582" s="1021"/>
      <c r="F582" s="25"/>
      <c r="G582" s="25"/>
      <c r="H582" s="25"/>
      <c r="I582" s="25">
        <v>600</v>
      </c>
      <c r="J582" s="25"/>
      <c r="K582" s="1120">
        <f>SUM(C582:J582)</f>
        <v>4440</v>
      </c>
      <c r="L582" s="1120">
        <v>1000</v>
      </c>
      <c r="M582" s="25"/>
      <c r="N582" s="1121">
        <f aca="true" t="shared" si="136" ref="N582:N603">SUM(L582:M582)</f>
        <v>1000</v>
      </c>
      <c r="O582" s="1122">
        <f aca="true" t="shared" si="137" ref="O582:O603">SUM(K582*12)+N582</f>
        <v>54280</v>
      </c>
      <c r="P582" s="1123">
        <f aca="true" t="shared" si="138" ref="P582:P603">+B582*O582</f>
        <v>542800</v>
      </c>
      <c r="Q582" s="1135">
        <v>10</v>
      </c>
      <c r="R582" s="1077">
        <v>3840</v>
      </c>
      <c r="S582" s="12"/>
      <c r="T582" s="12"/>
      <c r="U582" s="12"/>
      <c r="V582" s="12"/>
      <c r="W582" s="12"/>
      <c r="X582" s="12">
        <v>600</v>
      </c>
      <c r="Y582" s="12"/>
      <c r="Z582" s="1125">
        <f>SUM(R582:Y582)</f>
        <v>4440</v>
      </c>
      <c r="AA582" s="1125">
        <v>1000</v>
      </c>
      <c r="AB582" s="12"/>
      <c r="AC582" s="643">
        <f t="shared" si="123"/>
        <v>1000</v>
      </c>
      <c r="AD582" s="642">
        <f t="shared" si="124"/>
        <v>54280</v>
      </c>
      <c r="AE582" s="1126">
        <f t="shared" si="125"/>
        <v>542800</v>
      </c>
      <c r="AF582" s="644">
        <f aca="true" t="shared" si="139" ref="AF582:AF603">+P582-AE582</f>
        <v>0</v>
      </c>
      <c r="AG582" s="4">
        <f aca="true" t="shared" si="140" ref="AG582:AG603">+B582-Q582</f>
        <v>0</v>
      </c>
      <c r="AH582" s="1135">
        <v>10</v>
      </c>
      <c r="AI582" s="1127">
        <f t="shared" si="128"/>
        <v>542800</v>
      </c>
    </row>
    <row r="583" spans="1:35" ht="12.75">
      <c r="A583" s="1138" t="s">
        <v>765</v>
      </c>
      <c r="B583" s="1135">
        <v>3</v>
      </c>
      <c r="C583" s="1139">
        <v>4967</v>
      </c>
      <c r="D583" s="1021"/>
      <c r="E583" s="1021"/>
      <c r="F583" s="25"/>
      <c r="G583" s="25"/>
      <c r="H583" s="25"/>
      <c r="I583" s="25">
        <v>600</v>
      </c>
      <c r="J583" s="25"/>
      <c r="K583" s="1120">
        <f aca="true" t="shared" si="141" ref="K583:K603">SUM(C583:J583)</f>
        <v>5567</v>
      </c>
      <c r="L583" s="1120">
        <v>1000</v>
      </c>
      <c r="M583" s="25"/>
      <c r="N583" s="1121">
        <f t="shared" si="136"/>
        <v>1000</v>
      </c>
      <c r="O583" s="1122">
        <f t="shared" si="137"/>
        <v>67804</v>
      </c>
      <c r="P583" s="1123">
        <f t="shared" si="138"/>
        <v>203412</v>
      </c>
      <c r="Q583" s="1135">
        <v>3</v>
      </c>
      <c r="R583" s="1077">
        <v>4967</v>
      </c>
      <c r="S583" s="12"/>
      <c r="T583" s="12"/>
      <c r="U583" s="12"/>
      <c r="V583" s="12"/>
      <c r="W583" s="12"/>
      <c r="X583" s="12">
        <v>600</v>
      </c>
      <c r="Y583" s="12"/>
      <c r="Z583" s="1125">
        <f aca="true" t="shared" si="142" ref="Z583:Z603">SUM(R583:Y583)</f>
        <v>5567</v>
      </c>
      <c r="AA583" s="1125">
        <v>1000</v>
      </c>
      <c r="AB583" s="12"/>
      <c r="AC583" s="643">
        <f t="shared" si="123"/>
        <v>1000</v>
      </c>
      <c r="AD583" s="642">
        <f t="shared" si="124"/>
        <v>67804</v>
      </c>
      <c r="AE583" s="1126">
        <f t="shared" si="125"/>
        <v>203412</v>
      </c>
      <c r="AF583" s="644">
        <f t="shared" si="139"/>
        <v>0</v>
      </c>
      <c r="AG583" s="4">
        <f t="shared" si="140"/>
        <v>0</v>
      </c>
      <c r="AH583" s="1135">
        <v>3</v>
      </c>
      <c r="AI583" s="1127">
        <f t="shared" si="128"/>
        <v>203412</v>
      </c>
    </row>
    <row r="584" spans="1:35" ht="12.75">
      <c r="A584" s="1138" t="s">
        <v>749</v>
      </c>
      <c r="B584" s="1135">
        <v>34</v>
      </c>
      <c r="C584" s="1139">
        <v>3840</v>
      </c>
      <c r="D584" s="1021"/>
      <c r="E584" s="1021"/>
      <c r="F584" s="25"/>
      <c r="G584" s="25"/>
      <c r="H584" s="25"/>
      <c r="I584" s="25">
        <v>800</v>
      </c>
      <c r="J584" s="25"/>
      <c r="K584" s="1120">
        <f t="shared" si="141"/>
        <v>4640</v>
      </c>
      <c r="L584" s="1120">
        <v>1000</v>
      </c>
      <c r="M584" s="25"/>
      <c r="N584" s="1121">
        <f t="shared" si="136"/>
        <v>1000</v>
      </c>
      <c r="O584" s="1122">
        <f t="shared" si="137"/>
        <v>56680</v>
      </c>
      <c r="P584" s="1123">
        <f t="shared" si="138"/>
        <v>1927120</v>
      </c>
      <c r="Q584" s="1135">
        <v>34</v>
      </c>
      <c r="R584" s="1077">
        <v>3840</v>
      </c>
      <c r="S584" s="12"/>
      <c r="T584" s="12"/>
      <c r="U584" s="12"/>
      <c r="V584" s="12"/>
      <c r="W584" s="12"/>
      <c r="X584" s="12">
        <v>1600</v>
      </c>
      <c r="Y584" s="12"/>
      <c r="Z584" s="1125">
        <f t="shared" si="142"/>
        <v>5440</v>
      </c>
      <c r="AA584" s="1125">
        <v>1000</v>
      </c>
      <c r="AB584" s="12"/>
      <c r="AC584" s="643">
        <f t="shared" si="123"/>
        <v>1000</v>
      </c>
      <c r="AD584" s="642">
        <f t="shared" si="124"/>
        <v>66280</v>
      </c>
      <c r="AE584" s="1126">
        <f t="shared" si="125"/>
        <v>2253520</v>
      </c>
      <c r="AF584" s="644">
        <f t="shared" si="139"/>
        <v>-326400</v>
      </c>
      <c r="AG584" s="4">
        <f t="shared" si="140"/>
        <v>0</v>
      </c>
      <c r="AH584" s="1135">
        <v>34</v>
      </c>
      <c r="AI584" s="1127">
        <v>2081075</v>
      </c>
    </row>
    <row r="585" spans="1:35" ht="12.75">
      <c r="A585" s="1138" t="s">
        <v>748</v>
      </c>
      <c r="B585" s="1135">
        <v>5</v>
      </c>
      <c r="C585" s="1139">
        <v>4156</v>
      </c>
      <c r="D585" s="1021"/>
      <c r="E585" s="1021"/>
      <c r="F585" s="25"/>
      <c r="G585" s="25"/>
      <c r="H585" s="25"/>
      <c r="I585" s="25">
        <v>800</v>
      </c>
      <c r="J585" s="25"/>
      <c r="K585" s="1120">
        <f t="shared" si="141"/>
        <v>4956</v>
      </c>
      <c r="L585" s="1120">
        <v>1000</v>
      </c>
      <c r="M585" s="25"/>
      <c r="N585" s="1121">
        <f t="shared" si="136"/>
        <v>1000</v>
      </c>
      <c r="O585" s="1122">
        <f t="shared" si="137"/>
        <v>60472</v>
      </c>
      <c r="P585" s="1123">
        <f t="shared" si="138"/>
        <v>302360</v>
      </c>
      <c r="Q585" s="1135">
        <v>5</v>
      </c>
      <c r="R585" s="1077">
        <v>4156</v>
      </c>
      <c r="S585" s="12"/>
      <c r="T585" s="12"/>
      <c r="U585" s="12"/>
      <c r="V585" s="12"/>
      <c r="W585" s="12"/>
      <c r="X585" s="12">
        <v>2600</v>
      </c>
      <c r="Y585" s="12"/>
      <c r="Z585" s="1125">
        <f t="shared" si="142"/>
        <v>6756</v>
      </c>
      <c r="AA585" s="1125">
        <v>1000</v>
      </c>
      <c r="AB585" s="12"/>
      <c r="AC585" s="643">
        <f t="shared" si="123"/>
        <v>1000</v>
      </c>
      <c r="AD585" s="642">
        <f t="shared" si="124"/>
        <v>82072</v>
      </c>
      <c r="AE585" s="1126">
        <f t="shared" si="125"/>
        <v>410360</v>
      </c>
      <c r="AF585" s="644">
        <f t="shared" si="139"/>
        <v>-108000</v>
      </c>
      <c r="AG585" s="4">
        <f t="shared" si="140"/>
        <v>0</v>
      </c>
      <c r="AH585" s="1135">
        <v>5</v>
      </c>
      <c r="AI585" s="1127">
        <f t="shared" si="128"/>
        <v>410360</v>
      </c>
    </row>
    <row r="586" spans="1:35" ht="12.75">
      <c r="A586" s="1138" t="s">
        <v>747</v>
      </c>
      <c r="B586" s="1135">
        <v>3</v>
      </c>
      <c r="C586" s="1139">
        <v>4396</v>
      </c>
      <c r="D586" s="1021"/>
      <c r="E586" s="1021"/>
      <c r="F586" s="25"/>
      <c r="G586" s="25"/>
      <c r="H586" s="25"/>
      <c r="I586" s="25">
        <v>650</v>
      </c>
      <c r="J586" s="25"/>
      <c r="K586" s="1120">
        <f t="shared" si="141"/>
        <v>5046</v>
      </c>
      <c r="L586" s="1120">
        <v>1000</v>
      </c>
      <c r="M586" s="25"/>
      <c r="N586" s="1121">
        <f t="shared" si="136"/>
        <v>1000</v>
      </c>
      <c r="O586" s="1122">
        <f t="shared" si="137"/>
        <v>61552</v>
      </c>
      <c r="P586" s="1123">
        <f t="shared" si="138"/>
        <v>184656</v>
      </c>
      <c r="Q586" s="1135">
        <v>3</v>
      </c>
      <c r="R586" s="1077">
        <v>4396</v>
      </c>
      <c r="S586" s="12"/>
      <c r="T586" s="12"/>
      <c r="U586" s="12"/>
      <c r="V586" s="12"/>
      <c r="W586" s="12"/>
      <c r="X586" s="12">
        <v>1600</v>
      </c>
      <c r="Y586" s="12"/>
      <c r="Z586" s="1125">
        <f t="shared" si="142"/>
        <v>5996</v>
      </c>
      <c r="AA586" s="1125">
        <v>1000</v>
      </c>
      <c r="AB586" s="12"/>
      <c r="AC586" s="643">
        <f t="shared" si="123"/>
        <v>1000</v>
      </c>
      <c r="AD586" s="642">
        <f t="shared" si="124"/>
        <v>72952</v>
      </c>
      <c r="AE586" s="1126">
        <f t="shared" si="125"/>
        <v>218856</v>
      </c>
      <c r="AF586" s="644">
        <f t="shared" si="139"/>
        <v>-34200</v>
      </c>
      <c r="AG586" s="4">
        <f t="shared" si="140"/>
        <v>0</v>
      </c>
      <c r="AH586" s="1135">
        <v>3</v>
      </c>
      <c r="AI586" s="1127">
        <f t="shared" si="128"/>
        <v>218856</v>
      </c>
    </row>
    <row r="587" spans="1:35" ht="12.75">
      <c r="A587" s="1138" t="s">
        <v>745</v>
      </c>
      <c r="B587" s="1135">
        <v>8</v>
      </c>
      <c r="C587" s="1139">
        <v>4967</v>
      </c>
      <c r="D587" s="1021"/>
      <c r="E587" s="1021"/>
      <c r="F587" s="25"/>
      <c r="G587" s="25"/>
      <c r="H587" s="25"/>
      <c r="I587" s="25">
        <v>800</v>
      </c>
      <c r="J587" s="25"/>
      <c r="K587" s="1120">
        <f t="shared" si="141"/>
        <v>5767</v>
      </c>
      <c r="L587" s="1120">
        <v>1000</v>
      </c>
      <c r="M587" s="25"/>
      <c r="N587" s="1121">
        <f t="shared" si="136"/>
        <v>1000</v>
      </c>
      <c r="O587" s="1122">
        <f t="shared" si="137"/>
        <v>70204</v>
      </c>
      <c r="P587" s="1123">
        <f t="shared" si="138"/>
        <v>561632</v>
      </c>
      <c r="Q587" s="1135">
        <v>8</v>
      </c>
      <c r="R587" s="1077">
        <v>4967</v>
      </c>
      <c r="S587" s="12"/>
      <c r="T587" s="12"/>
      <c r="U587" s="12"/>
      <c r="V587" s="12"/>
      <c r="W587" s="12"/>
      <c r="X587" s="12">
        <v>1600</v>
      </c>
      <c r="Y587" s="12"/>
      <c r="Z587" s="1125">
        <f t="shared" si="142"/>
        <v>6567</v>
      </c>
      <c r="AA587" s="1125">
        <v>1000</v>
      </c>
      <c r="AB587" s="12"/>
      <c r="AC587" s="643">
        <f t="shared" si="123"/>
        <v>1000</v>
      </c>
      <c r="AD587" s="642">
        <f t="shared" si="124"/>
        <v>79804</v>
      </c>
      <c r="AE587" s="1126">
        <f t="shared" si="125"/>
        <v>638432</v>
      </c>
      <c r="AF587" s="644">
        <f t="shared" si="139"/>
        <v>-76800</v>
      </c>
      <c r="AG587" s="4">
        <f t="shared" si="140"/>
        <v>0</v>
      </c>
      <c r="AH587" s="1135">
        <v>8</v>
      </c>
      <c r="AI587" s="1127">
        <f t="shared" si="128"/>
        <v>638432</v>
      </c>
    </row>
    <row r="588" spans="1:35" ht="12.75">
      <c r="A588" s="1138" t="s">
        <v>2595</v>
      </c>
      <c r="B588" s="1135">
        <v>1</v>
      </c>
      <c r="C588" s="1139">
        <v>2875</v>
      </c>
      <c r="D588" s="1021"/>
      <c r="E588" s="1140"/>
      <c r="F588" s="25"/>
      <c r="G588" s="25"/>
      <c r="H588" s="25"/>
      <c r="I588" s="25">
        <v>800</v>
      </c>
      <c r="J588" s="25"/>
      <c r="K588" s="1120">
        <f t="shared" si="141"/>
        <v>3675</v>
      </c>
      <c r="L588" s="1120">
        <v>1000</v>
      </c>
      <c r="M588" s="25"/>
      <c r="N588" s="1121">
        <f t="shared" si="136"/>
        <v>1000</v>
      </c>
      <c r="O588" s="1122">
        <f t="shared" si="137"/>
        <v>45100</v>
      </c>
      <c r="P588" s="1123">
        <f t="shared" si="138"/>
        <v>45100</v>
      </c>
      <c r="Q588" s="1135">
        <v>1</v>
      </c>
      <c r="R588" s="1077">
        <v>2875</v>
      </c>
      <c r="S588" s="12"/>
      <c r="T588" s="12"/>
      <c r="U588" s="12"/>
      <c r="V588" s="12"/>
      <c r="W588" s="12"/>
      <c r="X588" s="12">
        <v>800</v>
      </c>
      <c r="Y588" s="12"/>
      <c r="Z588" s="1125">
        <f t="shared" si="142"/>
        <v>3675</v>
      </c>
      <c r="AA588" s="1125">
        <v>1000</v>
      </c>
      <c r="AB588" s="12"/>
      <c r="AC588" s="643">
        <f t="shared" si="123"/>
        <v>1000</v>
      </c>
      <c r="AD588" s="642">
        <f t="shared" si="124"/>
        <v>45100</v>
      </c>
      <c r="AE588" s="1126">
        <f t="shared" si="125"/>
        <v>45100</v>
      </c>
      <c r="AF588" s="644">
        <f t="shared" si="139"/>
        <v>0</v>
      </c>
      <c r="AG588" s="4">
        <f t="shared" si="140"/>
        <v>0</v>
      </c>
      <c r="AH588" s="1135">
        <v>1</v>
      </c>
      <c r="AI588" s="1127">
        <f t="shared" si="128"/>
        <v>45100</v>
      </c>
    </row>
    <row r="589" spans="1:35" ht="12.75">
      <c r="A589" s="1138" t="s">
        <v>759</v>
      </c>
      <c r="B589" s="1135">
        <v>14</v>
      </c>
      <c r="C589" s="1139">
        <v>6058</v>
      </c>
      <c r="D589" s="1021"/>
      <c r="E589" s="1140"/>
      <c r="F589" s="25"/>
      <c r="G589" s="25"/>
      <c r="H589" s="25"/>
      <c r="I589" s="25">
        <v>900</v>
      </c>
      <c r="J589" s="25"/>
      <c r="K589" s="1120">
        <f t="shared" si="141"/>
        <v>6958</v>
      </c>
      <c r="L589" s="1120">
        <v>1000</v>
      </c>
      <c r="M589" s="25"/>
      <c r="N589" s="1121">
        <f t="shared" si="136"/>
        <v>1000</v>
      </c>
      <c r="O589" s="1122">
        <f t="shared" si="137"/>
        <v>84496</v>
      </c>
      <c r="P589" s="1123">
        <f t="shared" si="138"/>
        <v>1182944</v>
      </c>
      <c r="Q589" s="1135">
        <v>14</v>
      </c>
      <c r="R589" s="1077">
        <v>6058</v>
      </c>
      <c r="S589" s="12"/>
      <c r="T589" s="12"/>
      <c r="U589" s="12"/>
      <c r="V589" s="12"/>
      <c r="W589" s="12"/>
      <c r="X589" s="12">
        <v>1900</v>
      </c>
      <c r="Y589" s="12"/>
      <c r="Z589" s="1125">
        <f t="shared" si="142"/>
        <v>7958</v>
      </c>
      <c r="AA589" s="1125">
        <v>1000</v>
      </c>
      <c r="AB589" s="12"/>
      <c r="AC589" s="643">
        <f t="shared" si="123"/>
        <v>1000</v>
      </c>
      <c r="AD589" s="642">
        <f t="shared" si="124"/>
        <v>96496</v>
      </c>
      <c r="AE589" s="1126">
        <f t="shared" si="125"/>
        <v>1350944</v>
      </c>
      <c r="AF589" s="644">
        <f t="shared" si="139"/>
        <v>-168000</v>
      </c>
      <c r="AG589" s="4">
        <f t="shared" si="140"/>
        <v>0</v>
      </c>
      <c r="AH589" s="1135">
        <v>14</v>
      </c>
      <c r="AI589" s="1127">
        <f t="shared" si="128"/>
        <v>1350944</v>
      </c>
    </row>
    <row r="590" spans="1:35" ht="12.75">
      <c r="A590" s="1138" t="s">
        <v>758</v>
      </c>
      <c r="B590" s="1135">
        <v>10</v>
      </c>
      <c r="C590" s="1141">
        <v>6428</v>
      </c>
      <c r="D590" s="1021"/>
      <c r="E590" s="1140"/>
      <c r="F590" s="25"/>
      <c r="G590" s="25"/>
      <c r="H590" s="25"/>
      <c r="I590" s="25">
        <v>900</v>
      </c>
      <c r="J590" s="25"/>
      <c r="K590" s="1120">
        <f t="shared" si="141"/>
        <v>7328</v>
      </c>
      <c r="L590" s="1120">
        <v>1000</v>
      </c>
      <c r="M590" s="25"/>
      <c r="N590" s="1121">
        <f t="shared" si="136"/>
        <v>1000</v>
      </c>
      <c r="O590" s="1122">
        <f t="shared" si="137"/>
        <v>88936</v>
      </c>
      <c r="P590" s="1123">
        <f t="shared" si="138"/>
        <v>889360</v>
      </c>
      <c r="Q590" s="1135">
        <v>10</v>
      </c>
      <c r="R590" s="1071">
        <v>6428</v>
      </c>
      <c r="S590" s="12"/>
      <c r="T590" s="12"/>
      <c r="U590" s="12"/>
      <c r="V590" s="12"/>
      <c r="W590" s="12"/>
      <c r="X590" s="12">
        <v>900</v>
      </c>
      <c r="Y590" s="12"/>
      <c r="Z590" s="1125">
        <f t="shared" si="142"/>
        <v>7328</v>
      </c>
      <c r="AA590" s="1125">
        <v>1000</v>
      </c>
      <c r="AB590" s="12"/>
      <c r="AC590" s="643">
        <f t="shared" si="123"/>
        <v>1000</v>
      </c>
      <c r="AD590" s="642">
        <f t="shared" si="124"/>
        <v>88936</v>
      </c>
      <c r="AE590" s="1126">
        <f t="shared" si="125"/>
        <v>889360</v>
      </c>
      <c r="AF590" s="644">
        <f t="shared" si="139"/>
        <v>0</v>
      </c>
      <c r="AG590" s="4">
        <f t="shared" si="140"/>
        <v>0</v>
      </c>
      <c r="AH590" s="1135">
        <v>10</v>
      </c>
      <c r="AI590" s="1127">
        <f t="shared" si="128"/>
        <v>889360</v>
      </c>
    </row>
    <row r="591" spans="1:35" ht="12.75">
      <c r="A591" s="1138" t="s">
        <v>757</v>
      </c>
      <c r="B591" s="1135">
        <v>4</v>
      </c>
      <c r="C591" s="1139">
        <v>6832</v>
      </c>
      <c r="D591" s="1021"/>
      <c r="E591" s="1140"/>
      <c r="F591" s="25"/>
      <c r="G591" s="25"/>
      <c r="H591" s="25"/>
      <c r="I591" s="25">
        <v>900</v>
      </c>
      <c r="J591" s="25"/>
      <c r="K591" s="1120">
        <f t="shared" si="141"/>
        <v>7732</v>
      </c>
      <c r="L591" s="1120">
        <v>1000</v>
      </c>
      <c r="M591" s="25"/>
      <c r="N591" s="1121">
        <f t="shared" si="136"/>
        <v>1000</v>
      </c>
      <c r="O591" s="1122">
        <f t="shared" si="137"/>
        <v>93784</v>
      </c>
      <c r="P591" s="1123">
        <f t="shared" si="138"/>
        <v>375136</v>
      </c>
      <c r="Q591" s="1135">
        <v>4</v>
      </c>
      <c r="R591" s="1077">
        <v>6832</v>
      </c>
      <c r="S591" s="12"/>
      <c r="T591" s="12"/>
      <c r="U591" s="12"/>
      <c r="V591" s="12"/>
      <c r="W591" s="12"/>
      <c r="X591" s="12">
        <v>3800</v>
      </c>
      <c r="Y591" s="12"/>
      <c r="Z591" s="1125">
        <f t="shared" si="142"/>
        <v>10632</v>
      </c>
      <c r="AA591" s="1125">
        <v>1000</v>
      </c>
      <c r="AB591" s="12"/>
      <c r="AC591" s="643">
        <f t="shared" si="123"/>
        <v>1000</v>
      </c>
      <c r="AD591" s="642">
        <f t="shared" si="124"/>
        <v>128584</v>
      </c>
      <c r="AE591" s="1126">
        <f t="shared" si="125"/>
        <v>514336</v>
      </c>
      <c r="AF591" s="644">
        <f t="shared" si="139"/>
        <v>-139200</v>
      </c>
      <c r="AG591" s="4">
        <f t="shared" si="140"/>
        <v>0</v>
      </c>
      <c r="AH591" s="1135">
        <v>4</v>
      </c>
      <c r="AI591" s="1127">
        <f t="shared" si="128"/>
        <v>514336</v>
      </c>
    </row>
    <row r="592" spans="1:35" ht="12.75">
      <c r="A592" s="1138" t="s">
        <v>2596</v>
      </c>
      <c r="B592" s="1135">
        <v>1</v>
      </c>
      <c r="C592" s="1139">
        <v>7322</v>
      </c>
      <c r="D592" s="1021"/>
      <c r="E592" s="1140"/>
      <c r="F592" s="25"/>
      <c r="G592" s="25"/>
      <c r="H592" s="25"/>
      <c r="I592" s="1136">
        <v>989.5</v>
      </c>
      <c r="J592" s="25"/>
      <c r="K592" s="1120">
        <f t="shared" si="141"/>
        <v>8311.5</v>
      </c>
      <c r="L592" s="1120">
        <v>1000</v>
      </c>
      <c r="M592" s="25"/>
      <c r="N592" s="1121">
        <f t="shared" si="136"/>
        <v>1000</v>
      </c>
      <c r="O592" s="1122">
        <f t="shared" si="137"/>
        <v>100738</v>
      </c>
      <c r="P592" s="1123">
        <f t="shared" si="138"/>
        <v>100738</v>
      </c>
      <c r="Q592" s="1135">
        <v>1</v>
      </c>
      <c r="R592" s="1077">
        <v>7322</v>
      </c>
      <c r="S592" s="12"/>
      <c r="T592" s="12"/>
      <c r="U592" s="12"/>
      <c r="V592" s="12"/>
      <c r="W592" s="12"/>
      <c r="X592" s="12">
        <v>989.5</v>
      </c>
      <c r="Y592" s="12"/>
      <c r="Z592" s="1125">
        <f t="shared" si="142"/>
        <v>8311.5</v>
      </c>
      <c r="AA592" s="1125">
        <v>1000</v>
      </c>
      <c r="AB592" s="12"/>
      <c r="AC592" s="643">
        <f t="shared" si="123"/>
        <v>1000</v>
      </c>
      <c r="AD592" s="642">
        <f t="shared" si="124"/>
        <v>100738</v>
      </c>
      <c r="AE592" s="1126">
        <f t="shared" si="125"/>
        <v>100738</v>
      </c>
      <c r="AF592" s="644">
        <f t="shared" si="139"/>
        <v>0</v>
      </c>
      <c r="AG592" s="4">
        <f t="shared" si="140"/>
        <v>0</v>
      </c>
      <c r="AH592" s="1135">
        <v>1</v>
      </c>
      <c r="AI592" s="1127">
        <f t="shared" si="128"/>
        <v>100738</v>
      </c>
    </row>
    <row r="593" spans="1:35" ht="12.75">
      <c r="A593" s="1138" t="s">
        <v>756</v>
      </c>
      <c r="B593" s="1135">
        <v>4</v>
      </c>
      <c r="C593" s="1139">
        <v>7762</v>
      </c>
      <c r="D593" s="1021"/>
      <c r="E593" s="1140"/>
      <c r="F593" s="25"/>
      <c r="G593" s="25"/>
      <c r="H593" s="25"/>
      <c r="I593" s="25">
        <v>900</v>
      </c>
      <c r="J593" s="25"/>
      <c r="K593" s="1120">
        <f t="shared" si="141"/>
        <v>8662</v>
      </c>
      <c r="L593" s="1120">
        <v>1000</v>
      </c>
      <c r="M593" s="25"/>
      <c r="N593" s="1121">
        <f t="shared" si="136"/>
        <v>1000</v>
      </c>
      <c r="O593" s="1122">
        <f t="shared" si="137"/>
        <v>104944</v>
      </c>
      <c r="P593" s="1123">
        <f t="shared" si="138"/>
        <v>419776</v>
      </c>
      <c r="Q593" s="1135">
        <v>4</v>
      </c>
      <c r="R593" s="1077">
        <v>7762</v>
      </c>
      <c r="S593" s="12"/>
      <c r="T593" s="12"/>
      <c r="U593" s="12"/>
      <c r="V593" s="12"/>
      <c r="W593" s="12"/>
      <c r="X593" s="12">
        <v>900</v>
      </c>
      <c r="Y593" s="12"/>
      <c r="Z593" s="1125">
        <f t="shared" si="142"/>
        <v>8662</v>
      </c>
      <c r="AA593" s="1125">
        <v>1000</v>
      </c>
      <c r="AB593" s="12"/>
      <c r="AC593" s="643">
        <f t="shared" si="123"/>
        <v>1000</v>
      </c>
      <c r="AD593" s="642">
        <f t="shared" si="124"/>
        <v>104944</v>
      </c>
      <c r="AE593" s="1126">
        <f t="shared" si="125"/>
        <v>419776</v>
      </c>
      <c r="AF593" s="644">
        <f t="shared" si="139"/>
        <v>0</v>
      </c>
      <c r="AG593" s="4">
        <f t="shared" si="140"/>
        <v>0</v>
      </c>
      <c r="AH593" s="1135">
        <v>4</v>
      </c>
      <c r="AI593" s="1127">
        <f t="shared" si="128"/>
        <v>419776</v>
      </c>
    </row>
    <row r="594" spans="1:35" ht="12.75">
      <c r="A594" s="1138" t="s">
        <v>764</v>
      </c>
      <c r="B594" s="1135">
        <v>54</v>
      </c>
      <c r="C594" s="1139">
        <v>3840</v>
      </c>
      <c r="D594" s="1021"/>
      <c r="E594" s="1021"/>
      <c r="F594" s="25"/>
      <c r="G594" s="25"/>
      <c r="H594" s="25"/>
      <c r="I594" s="25">
        <v>900</v>
      </c>
      <c r="J594" s="25"/>
      <c r="K594" s="1120">
        <f t="shared" si="141"/>
        <v>4740</v>
      </c>
      <c r="L594" s="1120">
        <v>1000</v>
      </c>
      <c r="M594" s="25"/>
      <c r="N594" s="1121">
        <f t="shared" si="136"/>
        <v>1000</v>
      </c>
      <c r="O594" s="1122">
        <f t="shared" si="137"/>
        <v>57880</v>
      </c>
      <c r="P594" s="1123">
        <f t="shared" si="138"/>
        <v>3125520</v>
      </c>
      <c r="Q594" s="1135">
        <v>54</v>
      </c>
      <c r="R594" s="1077">
        <v>3840</v>
      </c>
      <c r="S594" s="12"/>
      <c r="T594" s="12"/>
      <c r="U594" s="12"/>
      <c r="V594" s="12"/>
      <c r="W594" s="12"/>
      <c r="X594" s="12">
        <v>900</v>
      </c>
      <c r="Y594" s="12"/>
      <c r="Z594" s="1125">
        <f t="shared" si="142"/>
        <v>4740</v>
      </c>
      <c r="AA594" s="1125">
        <v>1000</v>
      </c>
      <c r="AB594" s="12"/>
      <c r="AC594" s="643">
        <f t="shared" si="123"/>
        <v>1000</v>
      </c>
      <c r="AD594" s="642">
        <f t="shared" si="124"/>
        <v>57880</v>
      </c>
      <c r="AE594" s="1126">
        <f t="shared" si="125"/>
        <v>3125520</v>
      </c>
      <c r="AF594" s="644">
        <f t="shared" si="139"/>
        <v>0</v>
      </c>
      <c r="AG594" s="4">
        <f t="shared" si="140"/>
        <v>0</v>
      </c>
      <c r="AH594" s="1135">
        <v>54</v>
      </c>
      <c r="AI594" s="1127">
        <f t="shared" si="128"/>
        <v>3125520</v>
      </c>
    </row>
    <row r="595" spans="1:35" ht="12.75">
      <c r="A595" s="1138" t="s">
        <v>763</v>
      </c>
      <c r="B595" s="1135">
        <v>5</v>
      </c>
      <c r="C595" s="1139">
        <v>4156</v>
      </c>
      <c r="D595" s="1021"/>
      <c r="E595" s="1140"/>
      <c r="F595" s="25"/>
      <c r="G595" s="25"/>
      <c r="H595" s="25"/>
      <c r="I595" s="25">
        <v>800</v>
      </c>
      <c r="J595" s="25"/>
      <c r="K595" s="1120">
        <f t="shared" si="141"/>
        <v>4956</v>
      </c>
      <c r="L595" s="1120">
        <v>1000</v>
      </c>
      <c r="M595" s="25"/>
      <c r="N595" s="1121">
        <f t="shared" si="136"/>
        <v>1000</v>
      </c>
      <c r="O595" s="1122">
        <f t="shared" si="137"/>
        <v>60472</v>
      </c>
      <c r="P595" s="1123">
        <f t="shared" si="138"/>
        <v>302360</v>
      </c>
      <c r="Q595" s="1135">
        <v>5</v>
      </c>
      <c r="R595" s="1077">
        <v>4156</v>
      </c>
      <c r="S595" s="12"/>
      <c r="T595" s="12"/>
      <c r="U595" s="12"/>
      <c r="V595" s="12"/>
      <c r="W595" s="12"/>
      <c r="X595" s="12">
        <v>800</v>
      </c>
      <c r="Y595" s="12"/>
      <c r="Z595" s="1125">
        <f t="shared" si="142"/>
        <v>4956</v>
      </c>
      <c r="AA595" s="1125">
        <v>1000</v>
      </c>
      <c r="AB595" s="12"/>
      <c r="AC595" s="643">
        <f t="shared" si="123"/>
        <v>1000</v>
      </c>
      <c r="AD595" s="642">
        <f t="shared" si="124"/>
        <v>60472</v>
      </c>
      <c r="AE595" s="1126">
        <f t="shared" si="125"/>
        <v>302360</v>
      </c>
      <c r="AF595" s="644">
        <f t="shared" si="139"/>
        <v>0</v>
      </c>
      <c r="AG595" s="4">
        <f t="shared" si="140"/>
        <v>0</v>
      </c>
      <c r="AH595" s="1135">
        <v>5</v>
      </c>
      <c r="AI595" s="1127">
        <f t="shared" si="128"/>
        <v>302360</v>
      </c>
    </row>
    <row r="596" spans="1:35" ht="12.75">
      <c r="A596" s="1138" t="s">
        <v>762</v>
      </c>
      <c r="B596" s="1135">
        <v>4</v>
      </c>
      <c r="C596" s="1139">
        <v>4396</v>
      </c>
      <c r="D596" s="1021"/>
      <c r="E596" s="1140"/>
      <c r="F596" s="25"/>
      <c r="G596" s="25"/>
      <c r="H596" s="25"/>
      <c r="I596" s="25">
        <v>800</v>
      </c>
      <c r="J596" s="25"/>
      <c r="K596" s="1120">
        <f t="shared" si="141"/>
        <v>5196</v>
      </c>
      <c r="L596" s="1120">
        <v>1000</v>
      </c>
      <c r="M596" s="25"/>
      <c r="N596" s="1121">
        <f t="shared" si="136"/>
        <v>1000</v>
      </c>
      <c r="O596" s="1122">
        <f t="shared" si="137"/>
        <v>63352</v>
      </c>
      <c r="P596" s="1123">
        <f t="shared" si="138"/>
        <v>253408</v>
      </c>
      <c r="Q596" s="1135">
        <v>4</v>
      </c>
      <c r="R596" s="1077">
        <v>4396</v>
      </c>
      <c r="S596" s="12"/>
      <c r="T596" s="12"/>
      <c r="U596" s="12"/>
      <c r="V596" s="12"/>
      <c r="W596" s="12"/>
      <c r="X596" s="12">
        <v>800</v>
      </c>
      <c r="Y596" s="12"/>
      <c r="Z596" s="1125">
        <f t="shared" si="142"/>
        <v>5196</v>
      </c>
      <c r="AA596" s="1125">
        <v>1000</v>
      </c>
      <c r="AB596" s="12"/>
      <c r="AC596" s="643">
        <f t="shared" si="123"/>
        <v>1000</v>
      </c>
      <c r="AD596" s="642">
        <f t="shared" si="124"/>
        <v>63352</v>
      </c>
      <c r="AE596" s="1126">
        <f t="shared" si="125"/>
        <v>253408</v>
      </c>
      <c r="AF596" s="644">
        <f t="shared" si="139"/>
        <v>0</v>
      </c>
      <c r="AG596" s="4">
        <f t="shared" si="140"/>
        <v>0</v>
      </c>
      <c r="AH596" s="1135">
        <v>4</v>
      </c>
      <c r="AI596" s="1127">
        <f t="shared" si="128"/>
        <v>253408</v>
      </c>
    </row>
    <row r="597" spans="1:35" ht="12.75">
      <c r="A597" s="1138" t="s">
        <v>761</v>
      </c>
      <c r="B597" s="1135">
        <v>1</v>
      </c>
      <c r="C597" s="1139">
        <v>4654</v>
      </c>
      <c r="D597" s="1021"/>
      <c r="E597" s="1140"/>
      <c r="F597" s="25"/>
      <c r="G597" s="25"/>
      <c r="H597" s="25"/>
      <c r="I597" s="25">
        <v>800</v>
      </c>
      <c r="J597" s="25"/>
      <c r="K597" s="1120">
        <f t="shared" si="141"/>
        <v>5454</v>
      </c>
      <c r="L597" s="1120">
        <v>1000</v>
      </c>
      <c r="M597" s="25"/>
      <c r="N597" s="1121">
        <f t="shared" si="136"/>
        <v>1000</v>
      </c>
      <c r="O597" s="1122">
        <f t="shared" si="137"/>
        <v>66448</v>
      </c>
      <c r="P597" s="1123">
        <f t="shared" si="138"/>
        <v>66448</v>
      </c>
      <c r="Q597" s="1135">
        <v>1</v>
      </c>
      <c r="R597" s="1077">
        <v>4654</v>
      </c>
      <c r="S597" s="12"/>
      <c r="T597" s="12"/>
      <c r="U597" s="12"/>
      <c r="V597" s="12"/>
      <c r="W597" s="12"/>
      <c r="X597" s="1128">
        <v>694.72</v>
      </c>
      <c r="Y597" s="12"/>
      <c r="Z597" s="1125">
        <f t="shared" si="142"/>
        <v>5348.72</v>
      </c>
      <c r="AA597" s="1125">
        <v>1000</v>
      </c>
      <c r="AB597" s="12"/>
      <c r="AC597" s="643">
        <f t="shared" si="123"/>
        <v>1000</v>
      </c>
      <c r="AD597" s="642">
        <f t="shared" si="124"/>
        <v>65184.64</v>
      </c>
      <c r="AE597" s="1126">
        <f t="shared" si="125"/>
        <v>65184.64</v>
      </c>
      <c r="AF597" s="644">
        <f t="shared" si="139"/>
        <v>1263.3600000000006</v>
      </c>
      <c r="AG597" s="4">
        <f t="shared" si="140"/>
        <v>0</v>
      </c>
      <c r="AH597" s="1135">
        <v>1</v>
      </c>
      <c r="AI597" s="1127">
        <f t="shared" si="128"/>
        <v>65184.64</v>
      </c>
    </row>
    <row r="598" spans="1:35" ht="12.75">
      <c r="A598" s="1138" t="s">
        <v>760</v>
      </c>
      <c r="B598" s="1135">
        <v>3</v>
      </c>
      <c r="C598" s="1139">
        <v>4967</v>
      </c>
      <c r="D598" s="1021"/>
      <c r="E598" s="1140"/>
      <c r="F598" s="25"/>
      <c r="G598" s="25"/>
      <c r="H598" s="25"/>
      <c r="I598" s="25">
        <v>800</v>
      </c>
      <c r="J598" s="25"/>
      <c r="K598" s="1120">
        <f t="shared" si="141"/>
        <v>5767</v>
      </c>
      <c r="L598" s="1120">
        <v>1000</v>
      </c>
      <c r="M598" s="25"/>
      <c r="N598" s="1121">
        <f t="shared" si="136"/>
        <v>1000</v>
      </c>
      <c r="O598" s="1122">
        <f t="shared" si="137"/>
        <v>70204</v>
      </c>
      <c r="P598" s="1123">
        <f t="shared" si="138"/>
        <v>210612</v>
      </c>
      <c r="Q598" s="1135">
        <v>3</v>
      </c>
      <c r="R598" s="1077">
        <v>4967</v>
      </c>
      <c r="S598" s="12"/>
      <c r="T598" s="12"/>
      <c r="U598" s="12"/>
      <c r="V598" s="12"/>
      <c r="W598" s="12"/>
      <c r="X598" s="12">
        <v>800</v>
      </c>
      <c r="Y598" s="12"/>
      <c r="Z598" s="1125">
        <f t="shared" si="142"/>
        <v>5767</v>
      </c>
      <c r="AA598" s="1125">
        <v>1000</v>
      </c>
      <c r="AB598" s="12"/>
      <c r="AC598" s="643">
        <f t="shared" si="123"/>
        <v>1000</v>
      </c>
      <c r="AD598" s="642">
        <f t="shared" si="124"/>
        <v>70204</v>
      </c>
      <c r="AE598" s="1126">
        <f t="shared" si="125"/>
        <v>210612</v>
      </c>
      <c r="AF598" s="644">
        <f t="shared" si="139"/>
        <v>0</v>
      </c>
      <c r="AG598" s="4">
        <f t="shared" si="140"/>
        <v>0</v>
      </c>
      <c r="AH598" s="1135">
        <v>3</v>
      </c>
      <c r="AI598" s="1127">
        <f t="shared" si="128"/>
        <v>210612</v>
      </c>
    </row>
    <row r="599" spans="1:35" ht="12.75">
      <c r="A599" s="1138" t="s">
        <v>753</v>
      </c>
      <c r="B599" s="1135">
        <v>9</v>
      </c>
      <c r="C599" s="1139">
        <v>3840</v>
      </c>
      <c r="D599" s="1021"/>
      <c r="E599" s="1021"/>
      <c r="F599" s="25"/>
      <c r="G599" s="1142"/>
      <c r="H599" s="25"/>
      <c r="I599" s="25">
        <v>600</v>
      </c>
      <c r="J599" s="25"/>
      <c r="K599" s="1120">
        <f t="shared" si="141"/>
        <v>4440</v>
      </c>
      <c r="L599" s="1120">
        <v>1000</v>
      </c>
      <c r="M599" s="25"/>
      <c r="N599" s="1121">
        <f t="shared" si="136"/>
        <v>1000</v>
      </c>
      <c r="O599" s="1122">
        <f t="shared" si="137"/>
        <v>54280</v>
      </c>
      <c r="P599" s="1123">
        <f t="shared" si="138"/>
        <v>488520</v>
      </c>
      <c r="Q599" s="1135">
        <v>9</v>
      </c>
      <c r="R599" s="1077">
        <v>3840</v>
      </c>
      <c r="S599" s="12"/>
      <c r="T599" s="12"/>
      <c r="U599" s="12"/>
      <c r="V599" s="12"/>
      <c r="W599" s="12"/>
      <c r="X599" s="12">
        <v>1600</v>
      </c>
      <c r="Y599" s="12"/>
      <c r="Z599" s="1125">
        <f t="shared" si="142"/>
        <v>5440</v>
      </c>
      <c r="AA599" s="1125">
        <v>1000</v>
      </c>
      <c r="AB599" s="12"/>
      <c r="AC599" s="643">
        <f t="shared" si="123"/>
        <v>1000</v>
      </c>
      <c r="AD599" s="642">
        <f t="shared" si="124"/>
        <v>66280</v>
      </c>
      <c r="AE599" s="1126">
        <f t="shared" si="125"/>
        <v>596520</v>
      </c>
      <c r="AF599" s="644">
        <f t="shared" si="139"/>
        <v>-108000</v>
      </c>
      <c r="AG599" s="4">
        <f t="shared" si="140"/>
        <v>0</v>
      </c>
      <c r="AH599" s="1135">
        <v>9</v>
      </c>
      <c r="AI599" s="1127">
        <f t="shared" si="128"/>
        <v>596520</v>
      </c>
    </row>
    <row r="600" spans="1:35" ht="12.75">
      <c r="A600" s="1138" t="s">
        <v>752</v>
      </c>
      <c r="B600" s="1135">
        <v>3</v>
      </c>
      <c r="C600" s="1139">
        <v>4156</v>
      </c>
      <c r="D600" s="1021"/>
      <c r="E600" s="1021"/>
      <c r="F600" s="25"/>
      <c r="G600" s="25"/>
      <c r="H600" s="25"/>
      <c r="I600" s="25">
        <v>800</v>
      </c>
      <c r="J600" s="25"/>
      <c r="K600" s="1120">
        <f t="shared" si="141"/>
        <v>4956</v>
      </c>
      <c r="L600" s="1120">
        <v>1000</v>
      </c>
      <c r="M600" s="25"/>
      <c r="N600" s="1121">
        <f t="shared" si="136"/>
        <v>1000</v>
      </c>
      <c r="O600" s="1122">
        <f t="shared" si="137"/>
        <v>60472</v>
      </c>
      <c r="P600" s="1123">
        <f t="shared" si="138"/>
        <v>181416</v>
      </c>
      <c r="Q600" s="1135">
        <v>3</v>
      </c>
      <c r="R600" s="1077">
        <v>4156</v>
      </c>
      <c r="S600" s="12"/>
      <c r="T600" s="12"/>
      <c r="U600" s="12"/>
      <c r="V600" s="12"/>
      <c r="W600" s="12"/>
      <c r="X600" s="12">
        <v>1600</v>
      </c>
      <c r="Y600" s="12"/>
      <c r="Z600" s="1125">
        <f t="shared" si="142"/>
        <v>5756</v>
      </c>
      <c r="AA600" s="1125">
        <v>1000</v>
      </c>
      <c r="AB600" s="12"/>
      <c r="AC600" s="643">
        <f t="shared" si="123"/>
        <v>1000</v>
      </c>
      <c r="AD600" s="642">
        <f t="shared" si="124"/>
        <v>70072</v>
      </c>
      <c r="AE600" s="1126">
        <f t="shared" si="125"/>
        <v>210216</v>
      </c>
      <c r="AF600" s="644">
        <f t="shared" si="139"/>
        <v>-28800</v>
      </c>
      <c r="AG600" s="4">
        <f t="shared" si="140"/>
        <v>0</v>
      </c>
      <c r="AH600" s="1135">
        <v>3</v>
      </c>
      <c r="AI600" s="1127">
        <f t="shared" si="128"/>
        <v>210216</v>
      </c>
    </row>
    <row r="601" spans="1:35" ht="12.75">
      <c r="A601" s="1138" t="s">
        <v>751</v>
      </c>
      <c r="B601" s="1135">
        <v>2</v>
      </c>
      <c r="C601" s="1139">
        <v>4396</v>
      </c>
      <c r="D601" s="1021"/>
      <c r="E601" s="1021"/>
      <c r="F601" s="25"/>
      <c r="G601" s="25"/>
      <c r="H601" s="25"/>
      <c r="I601" s="25">
        <v>400</v>
      </c>
      <c r="J601" s="25"/>
      <c r="K601" s="1120">
        <f t="shared" si="141"/>
        <v>4796</v>
      </c>
      <c r="L601" s="1120">
        <v>1000</v>
      </c>
      <c r="M601" s="25"/>
      <c r="N601" s="1121">
        <f t="shared" si="136"/>
        <v>1000</v>
      </c>
      <c r="O601" s="1122">
        <f t="shared" si="137"/>
        <v>58552</v>
      </c>
      <c r="P601" s="1123">
        <f t="shared" si="138"/>
        <v>117104</v>
      </c>
      <c r="Q601" s="1135">
        <v>2</v>
      </c>
      <c r="R601" s="1077">
        <v>4396</v>
      </c>
      <c r="S601" s="12"/>
      <c r="T601" s="12"/>
      <c r="U601" s="12"/>
      <c r="V601" s="12"/>
      <c r="W601" s="12"/>
      <c r="X601" s="12">
        <v>1600</v>
      </c>
      <c r="Y601" s="12"/>
      <c r="Z601" s="1125">
        <f t="shared" si="142"/>
        <v>5996</v>
      </c>
      <c r="AA601" s="1125">
        <v>1000</v>
      </c>
      <c r="AB601" s="12"/>
      <c r="AC601" s="643">
        <f t="shared" si="123"/>
        <v>1000</v>
      </c>
      <c r="AD601" s="642">
        <f t="shared" si="124"/>
        <v>72952</v>
      </c>
      <c r="AE601" s="1126">
        <f t="shared" si="125"/>
        <v>145904</v>
      </c>
      <c r="AF601" s="644">
        <f t="shared" si="139"/>
        <v>-28800</v>
      </c>
      <c r="AG601" s="4">
        <f t="shared" si="140"/>
        <v>0</v>
      </c>
      <c r="AH601" s="1135">
        <v>2</v>
      </c>
      <c r="AI601" s="1127">
        <f t="shared" si="128"/>
        <v>145904</v>
      </c>
    </row>
    <row r="602" spans="1:35" ht="12.75">
      <c r="A602" s="1138" t="s">
        <v>772</v>
      </c>
      <c r="B602" s="1135">
        <v>5</v>
      </c>
      <c r="C602" s="1139">
        <v>3840</v>
      </c>
      <c r="D602" s="1021"/>
      <c r="E602" s="1021"/>
      <c r="F602" s="25"/>
      <c r="G602" s="25"/>
      <c r="H602" s="25"/>
      <c r="I602" s="25">
        <v>800</v>
      </c>
      <c r="J602" s="25"/>
      <c r="K602" s="1120">
        <f t="shared" si="141"/>
        <v>4640</v>
      </c>
      <c r="L602" s="1120">
        <v>1000</v>
      </c>
      <c r="M602" s="25"/>
      <c r="N602" s="1121">
        <f t="shared" si="136"/>
        <v>1000</v>
      </c>
      <c r="O602" s="1122">
        <f t="shared" si="137"/>
        <v>56680</v>
      </c>
      <c r="P602" s="1123">
        <f t="shared" si="138"/>
        <v>283400</v>
      </c>
      <c r="Q602" s="1135">
        <v>5</v>
      </c>
      <c r="R602" s="1077">
        <v>3840</v>
      </c>
      <c r="S602" s="12"/>
      <c r="T602" s="12"/>
      <c r="U602" s="12"/>
      <c r="V602" s="12"/>
      <c r="W602" s="12"/>
      <c r="X602" s="12">
        <v>800</v>
      </c>
      <c r="Y602" s="12"/>
      <c r="Z602" s="1125">
        <f t="shared" si="142"/>
        <v>4640</v>
      </c>
      <c r="AA602" s="1125">
        <v>1000</v>
      </c>
      <c r="AB602" s="12"/>
      <c r="AC602" s="643">
        <f t="shared" si="123"/>
        <v>1000</v>
      </c>
      <c r="AD602" s="642">
        <f t="shared" si="124"/>
        <v>56680</v>
      </c>
      <c r="AE602" s="1126">
        <f t="shared" si="125"/>
        <v>283400</v>
      </c>
      <c r="AF602" s="644">
        <f t="shared" si="139"/>
        <v>0</v>
      </c>
      <c r="AG602" s="4">
        <f t="shared" si="140"/>
        <v>0</v>
      </c>
      <c r="AH602" s="1135">
        <v>5</v>
      </c>
      <c r="AI602" s="1127">
        <f t="shared" si="128"/>
        <v>283400</v>
      </c>
    </row>
    <row r="603" spans="1:35" ht="12.75">
      <c r="A603" s="1138" t="s">
        <v>774</v>
      </c>
      <c r="B603" s="1135">
        <v>2</v>
      </c>
      <c r="C603" s="1139">
        <v>3840</v>
      </c>
      <c r="D603" s="1021"/>
      <c r="E603" s="1021"/>
      <c r="F603" s="25"/>
      <c r="G603" s="25"/>
      <c r="H603" s="25"/>
      <c r="I603" s="25">
        <v>400</v>
      </c>
      <c r="J603" s="25"/>
      <c r="K603" s="1120">
        <f t="shared" si="141"/>
        <v>4240</v>
      </c>
      <c r="L603" s="1120">
        <v>1000</v>
      </c>
      <c r="M603" s="25"/>
      <c r="N603" s="1121">
        <f t="shared" si="136"/>
        <v>1000</v>
      </c>
      <c r="O603" s="1122">
        <f t="shared" si="137"/>
        <v>51880</v>
      </c>
      <c r="P603" s="1123">
        <f t="shared" si="138"/>
        <v>103760</v>
      </c>
      <c r="Q603" s="1135">
        <v>2</v>
      </c>
      <c r="R603" s="1077">
        <v>3840</v>
      </c>
      <c r="S603" s="12"/>
      <c r="T603" s="12"/>
      <c r="U603" s="12"/>
      <c r="V603" s="12"/>
      <c r="W603" s="12"/>
      <c r="X603" s="12">
        <v>400</v>
      </c>
      <c r="Y603" s="12"/>
      <c r="Z603" s="1125">
        <f t="shared" si="142"/>
        <v>4240</v>
      </c>
      <c r="AA603" s="1125">
        <v>1000</v>
      </c>
      <c r="AB603" s="12"/>
      <c r="AC603" s="643">
        <f t="shared" si="123"/>
        <v>1000</v>
      </c>
      <c r="AD603" s="642">
        <f t="shared" si="124"/>
        <v>51880</v>
      </c>
      <c r="AE603" s="1126">
        <f t="shared" si="125"/>
        <v>103760</v>
      </c>
      <c r="AF603" s="644">
        <f t="shared" si="139"/>
        <v>0</v>
      </c>
      <c r="AG603" s="4">
        <f t="shared" si="140"/>
        <v>0</v>
      </c>
      <c r="AH603" s="1135">
        <v>2</v>
      </c>
      <c r="AI603" s="1127">
        <f t="shared" si="128"/>
        <v>103760</v>
      </c>
    </row>
    <row r="604" spans="1:35" ht="12.75">
      <c r="A604" s="1143" t="s">
        <v>2601</v>
      </c>
      <c r="B604" s="1107"/>
      <c r="C604" s="1108" t="s">
        <v>94</v>
      </c>
      <c r="D604" s="1109"/>
      <c r="E604" s="1109"/>
      <c r="F604" s="1109"/>
      <c r="G604" s="1109"/>
      <c r="H604" s="1109"/>
      <c r="I604" s="1109"/>
      <c r="J604" s="1109"/>
      <c r="K604" s="1109"/>
      <c r="L604" s="1109"/>
      <c r="M604" s="1109"/>
      <c r="N604" s="1110"/>
      <c r="O604" s="1108"/>
      <c r="P604" s="1144">
        <v>120007</v>
      </c>
      <c r="Q604" s="1107"/>
      <c r="R604" s="1108"/>
      <c r="S604" s="1113"/>
      <c r="T604" s="1112"/>
      <c r="U604" s="1112"/>
      <c r="V604" s="1112"/>
      <c r="W604" s="1112"/>
      <c r="X604" s="1112"/>
      <c r="Y604" s="1112"/>
      <c r="Z604" s="1112"/>
      <c r="AA604" s="1112"/>
      <c r="AB604" s="1112"/>
      <c r="AC604" s="1111"/>
      <c r="AD604" s="1108"/>
      <c r="AE604" s="1133">
        <v>21678</v>
      </c>
      <c r="AF604" s="1107"/>
      <c r="AG604" s="1114"/>
      <c r="AH604" s="1107"/>
      <c r="AI604" s="1145">
        <v>21678</v>
      </c>
    </row>
    <row r="605" spans="1:35" ht="12.75">
      <c r="A605" s="1143" t="s">
        <v>2602</v>
      </c>
      <c r="B605" s="1107"/>
      <c r="C605" s="1108" t="s">
        <v>2603</v>
      </c>
      <c r="D605" s="1109"/>
      <c r="E605" s="1109"/>
      <c r="F605" s="1109"/>
      <c r="G605" s="1109"/>
      <c r="H605" s="1109"/>
      <c r="I605" s="1109"/>
      <c r="J605" s="1109"/>
      <c r="K605" s="1109"/>
      <c r="L605" s="1109"/>
      <c r="M605" s="1109"/>
      <c r="N605" s="1110"/>
      <c r="O605" s="1108"/>
      <c r="P605" s="1144">
        <v>277731</v>
      </c>
      <c r="Q605" s="1107"/>
      <c r="R605" s="1108"/>
      <c r="S605" s="1113"/>
      <c r="T605" s="1112"/>
      <c r="U605" s="1112"/>
      <c r="V605" s="1112"/>
      <c r="W605" s="1112"/>
      <c r="X605" s="1112"/>
      <c r="Y605" s="1112"/>
      <c r="Z605" s="1112"/>
      <c r="AA605" s="1112"/>
      <c r="AB605" s="1112"/>
      <c r="AC605" s="1111"/>
      <c r="AD605" s="1108"/>
      <c r="AE605" s="1133">
        <v>75133</v>
      </c>
      <c r="AF605" s="1107"/>
      <c r="AG605" s="1114"/>
      <c r="AH605" s="1107"/>
      <c r="AI605" s="1145">
        <v>75133</v>
      </c>
    </row>
    <row r="606" spans="1:35" ht="12.75">
      <c r="A606" s="1143" t="s">
        <v>2604</v>
      </c>
      <c r="B606" s="1107"/>
      <c r="C606" s="1108" t="s">
        <v>94</v>
      </c>
      <c r="D606" s="1109"/>
      <c r="E606" s="1109"/>
      <c r="F606" s="1109"/>
      <c r="G606" s="1109"/>
      <c r="H606" s="1109"/>
      <c r="I606" s="1109"/>
      <c r="J606" s="1109"/>
      <c r="K606" s="1109"/>
      <c r="L606" s="1109"/>
      <c r="M606" s="1109"/>
      <c r="N606" s="1110"/>
      <c r="O606" s="1108"/>
      <c r="P606" s="1144">
        <v>222933</v>
      </c>
      <c r="Q606" s="1107"/>
      <c r="R606" s="1108"/>
      <c r="S606" s="1113"/>
      <c r="T606" s="1112"/>
      <c r="U606" s="1112"/>
      <c r="V606" s="1112"/>
      <c r="W606" s="1112"/>
      <c r="X606" s="1112"/>
      <c r="Y606" s="1112"/>
      <c r="Z606" s="1112"/>
      <c r="AA606" s="1112"/>
      <c r="AB606" s="1112"/>
      <c r="AC606" s="1111"/>
      <c r="AD606" s="1108"/>
      <c r="AE606" s="1133"/>
      <c r="AF606" s="1107"/>
      <c r="AG606" s="1114"/>
      <c r="AH606" s="1107"/>
      <c r="AI606" s="1132"/>
    </row>
    <row r="607" spans="1:35" ht="12.75">
      <c r="A607" s="1143" t="s">
        <v>2605</v>
      </c>
      <c r="B607" s="1107"/>
      <c r="C607" s="1108"/>
      <c r="D607" s="1109"/>
      <c r="E607" s="1109"/>
      <c r="F607" s="1109"/>
      <c r="G607" s="1109"/>
      <c r="H607" s="1109"/>
      <c r="I607" s="1109"/>
      <c r="J607" s="1109"/>
      <c r="K607" s="1109"/>
      <c r="L607" s="1109"/>
      <c r="M607" s="1109"/>
      <c r="N607" s="1110"/>
      <c r="O607" s="1108"/>
      <c r="P607" s="1144">
        <v>40000</v>
      </c>
      <c r="Q607" s="1107"/>
      <c r="R607" s="1108"/>
      <c r="S607" s="1113"/>
      <c r="T607" s="1112"/>
      <c r="U607" s="1112"/>
      <c r="V607" s="1112"/>
      <c r="W607" s="1112"/>
      <c r="X607" s="1112"/>
      <c r="Y607" s="1112"/>
      <c r="Z607" s="1112"/>
      <c r="AA607" s="1112"/>
      <c r="AB607" s="1112"/>
      <c r="AC607" s="1111"/>
      <c r="AD607" s="1108"/>
      <c r="AE607" s="1133">
        <v>40000</v>
      </c>
      <c r="AF607" s="1107"/>
      <c r="AG607" s="1114"/>
      <c r="AH607" s="1107"/>
      <c r="AI607" s="1145">
        <v>40000</v>
      </c>
    </row>
    <row r="608" spans="1:35" ht="12.75">
      <c r="A608" s="1143" t="s">
        <v>2606</v>
      </c>
      <c r="B608" s="1107"/>
      <c r="C608" s="1108"/>
      <c r="D608" s="1109"/>
      <c r="E608" s="1109"/>
      <c r="F608" s="1109"/>
      <c r="G608" s="1109"/>
      <c r="H608" s="1109"/>
      <c r="I608" s="1109"/>
      <c r="J608" s="1109"/>
      <c r="K608" s="1109"/>
      <c r="L608" s="1109"/>
      <c r="M608" s="1109"/>
      <c r="N608" s="1110"/>
      <c r="O608" s="1108"/>
      <c r="P608" s="1144">
        <v>370790</v>
      </c>
      <c r="Q608" s="1107"/>
      <c r="R608" s="1108"/>
      <c r="S608" s="1113"/>
      <c r="T608" s="1112"/>
      <c r="U608" s="1112"/>
      <c r="V608" s="1112"/>
      <c r="W608" s="1112"/>
      <c r="X608" s="1112"/>
      <c r="Y608" s="1112"/>
      <c r="Z608" s="1112"/>
      <c r="AA608" s="1112"/>
      <c r="AB608" s="1112"/>
      <c r="AC608" s="1111"/>
      <c r="AD608" s="1108"/>
      <c r="AE608" s="1133">
        <v>207376</v>
      </c>
      <c r="AF608" s="1107"/>
      <c r="AG608" s="1114"/>
      <c r="AH608" s="1107"/>
      <c r="AI608" s="1145">
        <v>207376</v>
      </c>
    </row>
    <row r="609" spans="1:35" ht="12.75">
      <c r="A609" s="1143" t="s">
        <v>2607</v>
      </c>
      <c r="B609" s="1107"/>
      <c r="C609" s="1108"/>
      <c r="D609" s="1109"/>
      <c r="E609" s="1109"/>
      <c r="F609" s="1109"/>
      <c r="G609" s="1109"/>
      <c r="H609" s="1109"/>
      <c r="I609" s="1109"/>
      <c r="J609" s="1109"/>
      <c r="K609" s="1109"/>
      <c r="L609" s="1109"/>
      <c r="M609" s="1109"/>
      <c r="N609" s="1110"/>
      <c r="O609" s="1108"/>
      <c r="P609" s="1144">
        <v>955771</v>
      </c>
      <c r="Q609" s="1107"/>
      <c r="R609" s="1108"/>
      <c r="S609" s="1113"/>
      <c r="T609" s="1112"/>
      <c r="U609" s="1112"/>
      <c r="V609" s="1112"/>
      <c r="W609" s="1112"/>
      <c r="X609" s="1112"/>
      <c r="Y609" s="1112"/>
      <c r="Z609" s="1112"/>
      <c r="AA609" s="1112"/>
      <c r="AB609" s="1112"/>
      <c r="AC609" s="1111"/>
      <c r="AD609" s="1108"/>
      <c r="AE609" s="1133">
        <v>1007304</v>
      </c>
      <c r="AF609" s="1107"/>
      <c r="AG609" s="1114"/>
      <c r="AH609" s="1107"/>
      <c r="AI609" s="1145">
        <v>1021449</v>
      </c>
    </row>
    <row r="610" spans="1:35" ht="13.5" thickBot="1">
      <c r="A610" s="1146" t="s">
        <v>2608</v>
      </c>
      <c r="B610" s="1107"/>
      <c r="C610" s="1147" t="s">
        <v>94</v>
      </c>
      <c r="D610" s="1148"/>
      <c r="E610" s="1148"/>
      <c r="F610" s="1148"/>
      <c r="G610" s="1148"/>
      <c r="H610" s="1148"/>
      <c r="I610" s="1148"/>
      <c r="J610" s="1148"/>
      <c r="K610" s="1148"/>
      <c r="L610" s="1148"/>
      <c r="M610" s="1148"/>
      <c r="N610" s="1149"/>
      <c r="O610" s="1108"/>
      <c r="P610" s="1144">
        <v>69142</v>
      </c>
      <c r="Q610" s="1107"/>
      <c r="R610" s="1147"/>
      <c r="S610" s="1150"/>
      <c r="T610" s="1151"/>
      <c r="U610" s="1151"/>
      <c r="V610" s="1151"/>
      <c r="W610" s="1151"/>
      <c r="X610" s="1151"/>
      <c r="Y610" s="1151"/>
      <c r="Z610" s="1151"/>
      <c r="AA610" s="1151"/>
      <c r="AB610" s="1151"/>
      <c r="AC610" s="1152"/>
      <c r="AD610" s="1147"/>
      <c r="AE610" s="1153">
        <v>71867</v>
      </c>
      <c r="AF610" s="1154"/>
      <c r="AG610" s="1155"/>
      <c r="AH610" s="1154"/>
      <c r="AI610" s="1156">
        <v>71473</v>
      </c>
    </row>
    <row r="611" spans="1:35" ht="12.75" thickBot="1">
      <c r="A611" s="1157" t="s">
        <v>0</v>
      </c>
      <c r="B611" s="18">
        <f>SUM(B552:B603)</f>
        <v>527</v>
      </c>
      <c r="C611" s="50"/>
      <c r="D611" s="48"/>
      <c r="E611" s="48"/>
      <c r="F611" s="48"/>
      <c r="G611" s="48"/>
      <c r="H611" s="48"/>
      <c r="I611" s="48"/>
      <c r="J611" s="48"/>
      <c r="K611" s="1158"/>
      <c r="L611" s="1158"/>
      <c r="M611" s="1158"/>
      <c r="N611" s="1159"/>
      <c r="O611" s="1160"/>
      <c r="P611" s="1161">
        <f>SUM(P552:P610)</f>
        <v>25714201.568</v>
      </c>
      <c r="Q611" s="1162">
        <f>SUM(Q552:Q603)</f>
        <v>532</v>
      </c>
      <c r="R611" s="1163"/>
      <c r="S611" s="1158"/>
      <c r="T611" s="1158"/>
      <c r="U611" s="1158"/>
      <c r="V611" s="1158"/>
      <c r="W611" s="1158"/>
      <c r="X611" s="1158"/>
      <c r="Y611" s="1158"/>
      <c r="Z611" s="1158"/>
      <c r="AA611" s="1158"/>
      <c r="AB611" s="1158"/>
      <c r="AC611" s="1159"/>
      <c r="AD611" s="1160"/>
      <c r="AE611" s="1161">
        <f>SUM(AE552:AE610)</f>
        <v>26700084.6396</v>
      </c>
      <c r="AF611" s="1164"/>
      <c r="AG611" s="1162"/>
      <c r="AH611" s="647">
        <f>SUM(AH552:AH603)</f>
        <v>532</v>
      </c>
      <c r="AI611" s="1165">
        <f>SUM(AI552:AI610)</f>
        <v>26525095.6396</v>
      </c>
    </row>
    <row r="612" spans="1:2" ht="12">
      <c r="A612" s="3" t="s">
        <v>66</v>
      </c>
      <c r="B612" s="3"/>
    </row>
    <row r="613" spans="1:2" ht="12">
      <c r="A613" s="3" t="s">
        <v>67</v>
      </c>
      <c r="B613" s="3" t="s">
        <v>161</v>
      </c>
    </row>
    <row r="614" spans="1:2" ht="12">
      <c r="A614" s="3" t="s">
        <v>68</v>
      </c>
      <c r="B614" s="3" t="s">
        <v>69</v>
      </c>
    </row>
    <row r="615" spans="1:2" ht="12">
      <c r="A615" s="3" t="s">
        <v>70</v>
      </c>
      <c r="B615" s="3" t="s">
        <v>71</v>
      </c>
    </row>
    <row r="616" spans="1:2" ht="12">
      <c r="A616" s="3" t="s">
        <v>72</v>
      </c>
      <c r="B616" s="3" t="s">
        <v>73</v>
      </c>
    </row>
    <row r="617" ht="12">
      <c r="B617" s="3" t="s">
        <v>74</v>
      </c>
    </row>
    <row r="618" spans="1:2" ht="12">
      <c r="A618" s="3" t="s">
        <v>75</v>
      </c>
      <c r="B618" s="3" t="s">
        <v>152</v>
      </c>
    </row>
    <row r="619" ht="12">
      <c r="B619" s="3" t="s">
        <v>76</v>
      </c>
    </row>
    <row r="620" ht="12">
      <c r="B620" s="3" t="s">
        <v>77</v>
      </c>
    </row>
    <row r="621" ht="12">
      <c r="B621" s="3" t="s">
        <v>78</v>
      </c>
    </row>
    <row r="622" spans="1:2" ht="12">
      <c r="A622" s="3" t="s">
        <v>186</v>
      </c>
      <c r="B622" s="3" t="s">
        <v>187</v>
      </c>
    </row>
    <row r="623" spans="1:2" ht="12">
      <c r="A623" s="3" t="s">
        <v>188</v>
      </c>
      <c r="B623" s="3" t="s">
        <v>157</v>
      </c>
    </row>
    <row r="624" spans="1:2" ht="12">
      <c r="A624" s="3" t="s">
        <v>189</v>
      </c>
      <c r="B624" s="3" t="s">
        <v>153</v>
      </c>
    </row>
    <row r="625" ht="12">
      <c r="B625" s="3" t="s">
        <v>76</v>
      </c>
    </row>
    <row r="626" ht="12">
      <c r="B626" s="3" t="s">
        <v>77</v>
      </c>
    </row>
    <row r="627" ht="12">
      <c r="B627" s="3" t="s">
        <v>117</v>
      </c>
    </row>
    <row r="628" spans="1:2" ht="12">
      <c r="A628" s="3" t="s">
        <v>198</v>
      </c>
      <c r="B628" s="3" t="s">
        <v>199</v>
      </c>
    </row>
    <row r="629" spans="1:2" ht="12">
      <c r="A629" s="3" t="s">
        <v>196</v>
      </c>
      <c r="B629" s="3" t="s">
        <v>192</v>
      </c>
    </row>
    <row r="630" spans="1:2" ht="12">
      <c r="A630" s="3" t="s">
        <v>197</v>
      </c>
      <c r="B630" s="3" t="s">
        <v>200</v>
      </c>
    </row>
    <row r="631" ht="12">
      <c r="B631" s="3"/>
    </row>
  </sheetData>
  <sheetProtection/>
  <mergeCells count="55">
    <mergeCell ref="A547:A549"/>
    <mergeCell ref="B547:P547"/>
    <mergeCell ref="Q547:AE547"/>
    <mergeCell ref="AF547:AG547"/>
    <mergeCell ref="AH547:AI547"/>
    <mergeCell ref="A74:A76"/>
    <mergeCell ref="B74:P74"/>
    <mergeCell ref="Q74:AE74"/>
    <mergeCell ref="AF74:AG74"/>
    <mergeCell ref="AH74:AI74"/>
    <mergeCell ref="AH4:AI4"/>
    <mergeCell ref="A4:A6"/>
    <mergeCell ref="B4:P4"/>
    <mergeCell ref="Q4:AE4"/>
    <mergeCell ref="AF4:AG4"/>
    <mergeCell ref="A140:A142"/>
    <mergeCell ref="B140:P140"/>
    <mergeCell ref="Q140:AE140"/>
    <mergeCell ref="AF140:AG140"/>
    <mergeCell ref="AH140:AI140"/>
    <mergeCell ref="A107:A109"/>
    <mergeCell ref="B107:P107"/>
    <mergeCell ref="Q107:AE107"/>
    <mergeCell ref="AF107:AG107"/>
    <mergeCell ref="AH107:AI107"/>
    <mergeCell ref="A209:A211"/>
    <mergeCell ref="B209:P209"/>
    <mergeCell ref="Q209:AE209"/>
    <mergeCell ref="AF209:AG209"/>
    <mergeCell ref="AH209:AI209"/>
    <mergeCell ref="A190:A192"/>
    <mergeCell ref="B190:P190"/>
    <mergeCell ref="Q190:AE190"/>
    <mergeCell ref="AF190:AG190"/>
    <mergeCell ref="AH190:AI190"/>
    <mergeCell ref="A282:A284"/>
    <mergeCell ref="B282:P282"/>
    <mergeCell ref="Q282:AE282"/>
    <mergeCell ref="AF282:AG282"/>
    <mergeCell ref="AH282:AI282"/>
    <mergeCell ref="A234:A236"/>
    <mergeCell ref="B234:P234"/>
    <mergeCell ref="Q234:AE234"/>
    <mergeCell ref="AF234:AG234"/>
    <mergeCell ref="AH234:AI234"/>
    <mergeCell ref="A398:A400"/>
    <mergeCell ref="B398:P398"/>
    <mergeCell ref="R398:AF398"/>
    <mergeCell ref="AG398:AH398"/>
    <mergeCell ref="AI398:AJ398"/>
    <mergeCell ref="A311:A313"/>
    <mergeCell ref="B311:P311"/>
    <mergeCell ref="Q311:AE311"/>
    <mergeCell ref="AF311:AG311"/>
    <mergeCell ref="AH311:AI311"/>
  </mergeCells>
  <printOptions horizontalCentered="1"/>
  <pageMargins left="0.014828431372549019" right="0.25" top="0.75" bottom="0.75" header="0.3" footer="0.3"/>
  <pageSetup fitToHeight="1" fitToWidth="1" horizontalDpi="600" verticalDpi="600" orientation="landscape" paperSize="9" scale="39" r:id="rId1"/>
  <headerFooter alignWithMargins="0">
    <oddHeader>&amp;C&amp;"Arial,Negrita"&amp;18PROYECTO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A1:U31"/>
  <sheetViews>
    <sheetView view="pageLayout" zoomScaleSheetLayoutView="80" workbookViewId="0" topLeftCell="A1">
      <selection activeCell="F26" sqref="F26"/>
    </sheetView>
  </sheetViews>
  <sheetFormatPr defaultColWidth="11.421875" defaultRowHeight="12.75"/>
  <cols>
    <col min="1" max="1" width="59.28125" style="3" customWidth="1"/>
    <col min="2" max="2" width="11.7109375" style="3" customWidth="1"/>
    <col min="3" max="3" width="11.140625" style="3" customWidth="1"/>
    <col min="4" max="4" width="10.8515625" style="3" customWidth="1"/>
    <col min="5" max="5" width="11.00390625" style="3" customWidth="1"/>
    <col min="6" max="6" width="11.57421875" style="3" customWidth="1"/>
    <col min="7" max="7" width="12.140625" style="3" customWidth="1"/>
    <col min="8" max="8" width="10.8515625" style="3" customWidth="1"/>
    <col min="9" max="9" width="12.8515625" style="3" customWidth="1"/>
    <col min="10" max="10" width="11.7109375" style="3" customWidth="1"/>
    <col min="11" max="16384" width="11.421875" style="3" customWidth="1"/>
  </cols>
  <sheetData>
    <row r="1" spans="1:9" s="75" customFormat="1" ht="12">
      <c r="A1" s="96" t="s">
        <v>417</v>
      </c>
      <c r="B1" s="96"/>
      <c r="C1" s="96"/>
      <c r="D1" s="96"/>
      <c r="E1" s="96"/>
      <c r="F1" s="96"/>
      <c r="G1" s="96"/>
      <c r="H1" s="96"/>
      <c r="I1" s="96"/>
    </row>
    <row r="2" spans="1:21" s="5" customFormat="1" ht="12">
      <c r="A2" s="96" t="s">
        <v>454</v>
      </c>
      <c r="B2" s="96"/>
      <c r="C2" s="96"/>
      <c r="D2" s="96"/>
      <c r="E2" s="96"/>
      <c r="F2" s="96"/>
      <c r="G2" s="96"/>
      <c r="H2" s="96"/>
      <c r="I2" s="96"/>
      <c r="J2" s="96"/>
      <c r="K2" s="96"/>
      <c r="L2" s="96"/>
      <c r="M2" s="96"/>
      <c r="N2" s="96"/>
      <c r="O2" s="96"/>
      <c r="P2" s="96"/>
      <c r="Q2" s="96"/>
      <c r="R2" s="96"/>
      <c r="S2" s="96"/>
      <c r="T2" s="96"/>
      <c r="U2" s="96"/>
    </row>
    <row r="3" spans="1:5" ht="12.75" thickBot="1">
      <c r="A3" s="9"/>
      <c r="B3" s="11"/>
      <c r="E3" s="11"/>
    </row>
    <row r="4" spans="1:10" ht="12" customHeight="1" thickBot="1">
      <c r="A4" s="1568" t="s">
        <v>30</v>
      </c>
      <c r="B4" s="1578" t="s">
        <v>342</v>
      </c>
      <c r="C4" s="1574" t="s">
        <v>418</v>
      </c>
      <c r="D4" s="1579" t="s">
        <v>419</v>
      </c>
      <c r="E4" s="1572" t="s">
        <v>420</v>
      </c>
      <c r="F4" s="1576" t="s">
        <v>421</v>
      </c>
      <c r="G4" s="1570" t="s">
        <v>343</v>
      </c>
      <c r="H4" s="1572" t="s">
        <v>344</v>
      </c>
      <c r="I4" s="1570" t="s">
        <v>423</v>
      </c>
      <c r="J4" s="1574" t="s">
        <v>422</v>
      </c>
    </row>
    <row r="5" spans="1:10" ht="31.5" customHeight="1" thickBot="1">
      <c r="A5" s="1569"/>
      <c r="B5" s="1569"/>
      <c r="C5" s="1575"/>
      <c r="D5" s="1580"/>
      <c r="E5" s="1573"/>
      <c r="F5" s="1577"/>
      <c r="G5" s="1571"/>
      <c r="H5" s="1573"/>
      <c r="I5" s="1571"/>
      <c r="J5" s="1575"/>
    </row>
    <row r="6" spans="1:10" ht="12.75">
      <c r="A6" s="371" t="s">
        <v>531</v>
      </c>
      <c r="B6" s="375">
        <v>1514206</v>
      </c>
      <c r="C6" s="376">
        <v>1369384</v>
      </c>
      <c r="D6" s="361">
        <v>1077452</v>
      </c>
      <c r="E6" s="377">
        <v>942975</v>
      </c>
      <c r="F6" s="373">
        <v>955171</v>
      </c>
      <c r="G6" s="365">
        <f>+D6-B6</f>
        <v>-436754</v>
      </c>
      <c r="H6" s="366">
        <f>+(G6/B6)*100</f>
        <v>-28.843763662275805</v>
      </c>
      <c r="I6" s="368">
        <f>+F6-D6</f>
        <v>-122281</v>
      </c>
      <c r="J6" s="370">
        <f>+(I6/D6)*100</f>
        <v>-11.349090261097478</v>
      </c>
    </row>
    <row r="7" spans="1:10" ht="12.75">
      <c r="A7" s="371" t="s">
        <v>532</v>
      </c>
      <c r="B7" s="378">
        <v>593634</v>
      </c>
      <c r="C7" s="358">
        <v>1151694</v>
      </c>
      <c r="D7" s="362">
        <v>731820</v>
      </c>
      <c r="E7" s="379">
        <v>1470944</v>
      </c>
      <c r="F7" s="373">
        <v>2309564</v>
      </c>
      <c r="G7" s="365">
        <f aca="true" t="shared" si="0" ref="G7:G26">+D7-B7</f>
        <v>138186</v>
      </c>
      <c r="H7" s="366">
        <f aca="true" t="shared" si="1" ref="H7:H25">+(G7/B7)*100</f>
        <v>23.277979361020424</v>
      </c>
      <c r="I7" s="368">
        <f aca="true" t="shared" si="2" ref="I7:I26">+F7-D7</f>
        <v>1577744</v>
      </c>
      <c r="J7" s="370">
        <f>+(I7/D7)*100</f>
        <v>215.5918121942554</v>
      </c>
    </row>
    <row r="8" spans="1:10" ht="12.75">
      <c r="A8" s="371" t="s">
        <v>533</v>
      </c>
      <c r="B8" s="378">
        <v>1929736</v>
      </c>
      <c r="C8" s="358">
        <v>2954225</v>
      </c>
      <c r="D8" s="362">
        <v>1866410</v>
      </c>
      <c r="E8" s="379">
        <v>3875950</v>
      </c>
      <c r="F8" s="373">
        <v>5658492</v>
      </c>
      <c r="G8" s="365">
        <f t="shared" si="0"/>
        <v>-63326</v>
      </c>
      <c r="H8" s="366">
        <f t="shared" si="1"/>
        <v>-3.2815887769104166</v>
      </c>
      <c r="I8" s="368">
        <f t="shared" si="2"/>
        <v>3792082</v>
      </c>
      <c r="J8" s="370">
        <f aca="true" t="shared" si="3" ref="J8:J27">+(I8/D8)*100</f>
        <v>203.17518658815587</v>
      </c>
    </row>
    <row r="9" spans="1:10" ht="12">
      <c r="A9" s="371" t="s">
        <v>534</v>
      </c>
      <c r="B9" s="380">
        <v>680</v>
      </c>
      <c r="C9" s="359">
        <v>680</v>
      </c>
      <c r="D9" s="363"/>
      <c r="E9" s="373"/>
      <c r="F9" s="373"/>
      <c r="G9" s="365">
        <f t="shared" si="0"/>
        <v>-680</v>
      </c>
      <c r="H9" s="366">
        <f t="shared" si="1"/>
        <v>-100</v>
      </c>
      <c r="I9" s="368">
        <f t="shared" si="2"/>
        <v>0</v>
      </c>
      <c r="J9" s="370"/>
    </row>
    <row r="10" spans="1:10" ht="12.75">
      <c r="A10" s="371" t="s">
        <v>535</v>
      </c>
      <c r="B10" s="378">
        <v>3646671</v>
      </c>
      <c r="C10" s="358">
        <v>5764863</v>
      </c>
      <c r="D10" s="362">
        <v>3229811</v>
      </c>
      <c r="E10" s="379">
        <v>4473327</v>
      </c>
      <c r="F10" s="373">
        <v>4286456</v>
      </c>
      <c r="G10" s="365">
        <f t="shared" si="0"/>
        <v>-416860</v>
      </c>
      <c r="H10" s="366">
        <f t="shared" si="1"/>
        <v>-11.43124784221006</v>
      </c>
      <c r="I10" s="368">
        <f t="shared" si="2"/>
        <v>1056645</v>
      </c>
      <c r="J10" s="370">
        <f t="shared" si="3"/>
        <v>32.715381797882294</v>
      </c>
    </row>
    <row r="11" spans="1:10" ht="12.75">
      <c r="A11" s="371" t="s">
        <v>536</v>
      </c>
      <c r="B11" s="378">
        <v>300569</v>
      </c>
      <c r="C11" s="358">
        <v>725951</v>
      </c>
      <c r="D11" s="362">
        <v>164565</v>
      </c>
      <c r="E11" s="379">
        <v>335706</v>
      </c>
      <c r="F11" s="373">
        <v>147379</v>
      </c>
      <c r="G11" s="365">
        <f t="shared" si="0"/>
        <v>-136004</v>
      </c>
      <c r="H11" s="366">
        <f t="shared" si="1"/>
        <v>-45.248844691235625</v>
      </c>
      <c r="I11" s="368">
        <f t="shared" si="2"/>
        <v>-17186</v>
      </c>
      <c r="J11" s="370">
        <f t="shared" si="3"/>
        <v>-10.443289885455595</v>
      </c>
    </row>
    <row r="12" spans="1:10" ht="12.75">
      <c r="A12" s="371" t="s">
        <v>537</v>
      </c>
      <c r="B12" s="378">
        <v>177915</v>
      </c>
      <c r="C12" s="358">
        <v>171643</v>
      </c>
      <c r="D12" s="362">
        <v>257974</v>
      </c>
      <c r="E12" s="379">
        <v>44349</v>
      </c>
      <c r="F12" s="373">
        <v>87194</v>
      </c>
      <c r="G12" s="365">
        <f t="shared" si="0"/>
        <v>80059</v>
      </c>
      <c r="H12" s="366">
        <f t="shared" si="1"/>
        <v>44.998454318073236</v>
      </c>
      <c r="I12" s="368">
        <f t="shared" si="2"/>
        <v>-170780</v>
      </c>
      <c r="J12" s="370">
        <f t="shared" si="3"/>
        <v>-66.20046981478754</v>
      </c>
    </row>
    <row r="13" spans="1:10" ht="12.75">
      <c r="A13" s="371" t="s">
        <v>538</v>
      </c>
      <c r="B13" s="378">
        <v>2355465</v>
      </c>
      <c r="C13" s="358">
        <v>10343286</v>
      </c>
      <c r="D13" s="362">
        <v>2679854</v>
      </c>
      <c r="E13" s="379">
        <v>10910141</v>
      </c>
      <c r="F13" s="373">
        <v>2679173</v>
      </c>
      <c r="G13" s="365">
        <f t="shared" si="0"/>
        <v>324389</v>
      </c>
      <c r="H13" s="366">
        <f t="shared" si="1"/>
        <v>13.771760565323621</v>
      </c>
      <c r="I13" s="368">
        <f t="shared" si="2"/>
        <v>-681</v>
      </c>
      <c r="J13" s="370">
        <f t="shared" si="3"/>
        <v>-0.025411832137123887</v>
      </c>
    </row>
    <row r="14" spans="1:10" ht="12.75">
      <c r="A14" s="371" t="s">
        <v>539</v>
      </c>
      <c r="B14" s="378">
        <v>1234633</v>
      </c>
      <c r="C14" s="358">
        <v>2708827</v>
      </c>
      <c r="D14" s="362">
        <v>1962758</v>
      </c>
      <c r="E14" s="379">
        <v>2068636</v>
      </c>
      <c r="F14" s="373">
        <v>533552</v>
      </c>
      <c r="G14" s="365">
        <f t="shared" si="0"/>
        <v>728125</v>
      </c>
      <c r="H14" s="366">
        <f t="shared" si="1"/>
        <v>58.975015247446</v>
      </c>
      <c r="I14" s="368">
        <f t="shared" si="2"/>
        <v>-1429206</v>
      </c>
      <c r="J14" s="370">
        <f t="shared" si="3"/>
        <v>-72.81621065867519</v>
      </c>
    </row>
    <row r="15" spans="1:10" ht="12.75">
      <c r="A15" s="371" t="s">
        <v>540</v>
      </c>
      <c r="B15" s="378">
        <v>275593</v>
      </c>
      <c r="C15" s="358">
        <v>262759</v>
      </c>
      <c r="D15" s="362">
        <v>239714</v>
      </c>
      <c r="E15" s="379">
        <v>238183</v>
      </c>
      <c r="F15" s="373">
        <v>234134</v>
      </c>
      <c r="G15" s="365">
        <f t="shared" si="0"/>
        <v>-35879</v>
      </c>
      <c r="H15" s="366">
        <f t="shared" si="1"/>
        <v>-13.018835746916649</v>
      </c>
      <c r="I15" s="368">
        <f t="shared" si="2"/>
        <v>-5580</v>
      </c>
      <c r="J15" s="370">
        <f t="shared" si="3"/>
        <v>-2.327773930600632</v>
      </c>
    </row>
    <row r="16" spans="1:10" ht="12.75">
      <c r="A16" s="371" t="s">
        <v>541</v>
      </c>
      <c r="B16" s="378">
        <v>117711</v>
      </c>
      <c r="C16" s="358">
        <v>391830</v>
      </c>
      <c r="D16" s="362">
        <v>53990</v>
      </c>
      <c r="E16" s="379">
        <v>159500</v>
      </c>
      <c r="F16" s="373">
        <v>42821</v>
      </c>
      <c r="G16" s="365">
        <f t="shared" si="0"/>
        <v>-63721</v>
      </c>
      <c r="H16" s="366">
        <f t="shared" si="1"/>
        <v>-54.133428481620236</v>
      </c>
      <c r="I16" s="368">
        <f t="shared" si="2"/>
        <v>-11169</v>
      </c>
      <c r="J16" s="370">
        <f t="shared" si="3"/>
        <v>-20.687164289683274</v>
      </c>
    </row>
    <row r="17" spans="1:10" ht="12.75">
      <c r="A17" s="371" t="s">
        <v>542</v>
      </c>
      <c r="B17" s="378">
        <v>733507</v>
      </c>
      <c r="C17" s="358">
        <v>1192486</v>
      </c>
      <c r="D17" s="362">
        <v>629493</v>
      </c>
      <c r="E17" s="379">
        <v>989101</v>
      </c>
      <c r="F17" s="373">
        <v>526746</v>
      </c>
      <c r="G17" s="365">
        <f t="shared" si="0"/>
        <v>-104014</v>
      </c>
      <c r="H17" s="366">
        <f t="shared" si="1"/>
        <v>-14.180369103498672</v>
      </c>
      <c r="I17" s="368">
        <f t="shared" si="2"/>
        <v>-102747</v>
      </c>
      <c r="J17" s="370">
        <f t="shared" si="3"/>
        <v>-16.32218309020116</v>
      </c>
    </row>
    <row r="18" spans="1:10" ht="12.75">
      <c r="A18" s="371" t="s">
        <v>543</v>
      </c>
      <c r="B18" s="378">
        <v>6294002</v>
      </c>
      <c r="C18" s="358">
        <v>6852519</v>
      </c>
      <c r="D18" s="362">
        <v>5682429</v>
      </c>
      <c r="E18" s="379">
        <v>3625392</v>
      </c>
      <c r="F18" s="374">
        <v>3028894</v>
      </c>
      <c r="G18" s="365">
        <f t="shared" si="0"/>
        <v>-611573</v>
      </c>
      <c r="H18" s="366">
        <f t="shared" si="1"/>
        <v>-9.716758907925355</v>
      </c>
      <c r="I18" s="368">
        <f t="shared" si="2"/>
        <v>-2653535</v>
      </c>
      <c r="J18" s="370">
        <f t="shared" si="3"/>
        <v>-46.69719586465577</v>
      </c>
    </row>
    <row r="19" spans="1:10" ht="12.75">
      <c r="A19" s="371" t="s">
        <v>544</v>
      </c>
      <c r="B19" s="378">
        <v>4303416</v>
      </c>
      <c r="C19" s="358">
        <v>6650004</v>
      </c>
      <c r="D19" s="362">
        <v>4634148</v>
      </c>
      <c r="E19" s="379">
        <v>7273423</v>
      </c>
      <c r="F19" s="374">
        <v>7888873</v>
      </c>
      <c r="G19" s="365">
        <f t="shared" si="0"/>
        <v>330732</v>
      </c>
      <c r="H19" s="366">
        <f t="shared" si="1"/>
        <v>7.685336486177492</v>
      </c>
      <c r="I19" s="368">
        <f t="shared" si="2"/>
        <v>3254725</v>
      </c>
      <c r="J19" s="370">
        <f t="shared" si="3"/>
        <v>70.23351433747908</v>
      </c>
    </row>
    <row r="20" spans="1:10" ht="12.75">
      <c r="A20" s="371" t="s">
        <v>545</v>
      </c>
      <c r="B20" s="378">
        <v>542135</v>
      </c>
      <c r="C20" s="358">
        <v>542135</v>
      </c>
      <c r="D20" s="362">
        <v>397844</v>
      </c>
      <c r="E20" s="379">
        <v>959210</v>
      </c>
      <c r="F20" s="374">
        <v>3772586</v>
      </c>
      <c r="G20" s="365">
        <f t="shared" si="0"/>
        <v>-144291</v>
      </c>
      <c r="H20" s="366">
        <f t="shared" si="1"/>
        <v>-26.61532644083116</v>
      </c>
      <c r="I20" s="368">
        <f t="shared" si="2"/>
        <v>3374742</v>
      </c>
      <c r="J20" s="370">
        <f t="shared" si="3"/>
        <v>848.2576085098682</v>
      </c>
    </row>
    <row r="21" spans="1:10" ht="12.75">
      <c r="A21" s="371" t="s">
        <v>546</v>
      </c>
      <c r="B21" s="378">
        <v>4645181</v>
      </c>
      <c r="C21" s="358">
        <v>6927925</v>
      </c>
      <c r="D21" s="362">
        <v>7058997</v>
      </c>
      <c r="E21" s="379">
        <v>9788432</v>
      </c>
      <c r="F21" s="374">
        <v>2238970</v>
      </c>
      <c r="G21" s="365">
        <f t="shared" si="0"/>
        <v>2413816</v>
      </c>
      <c r="H21" s="366">
        <f t="shared" si="1"/>
        <v>51.96387395884036</v>
      </c>
      <c r="I21" s="368">
        <f t="shared" si="2"/>
        <v>-4820027</v>
      </c>
      <c r="J21" s="370">
        <f t="shared" si="3"/>
        <v>-68.28203780225435</v>
      </c>
    </row>
    <row r="22" spans="1:10" ht="12.75">
      <c r="A22" s="371" t="s">
        <v>547</v>
      </c>
      <c r="B22" s="378">
        <v>780810</v>
      </c>
      <c r="C22" s="358">
        <v>3445105</v>
      </c>
      <c r="D22" s="362">
        <v>805493</v>
      </c>
      <c r="E22" s="379">
        <v>1465143</v>
      </c>
      <c r="F22" s="374">
        <v>638636</v>
      </c>
      <c r="G22" s="365">
        <f t="shared" si="0"/>
        <v>24683</v>
      </c>
      <c r="H22" s="366">
        <f t="shared" si="1"/>
        <v>3.161204390312624</v>
      </c>
      <c r="I22" s="368">
        <f t="shared" si="2"/>
        <v>-166857</v>
      </c>
      <c r="J22" s="370">
        <f t="shared" si="3"/>
        <v>-20.714891377082107</v>
      </c>
    </row>
    <row r="23" spans="1:10" ht="12.75">
      <c r="A23" s="371" t="s">
        <v>548</v>
      </c>
      <c r="B23" s="378">
        <v>345701</v>
      </c>
      <c r="C23" s="358">
        <v>218887</v>
      </c>
      <c r="D23" s="362">
        <v>198598</v>
      </c>
      <c r="E23" s="379">
        <v>150954</v>
      </c>
      <c r="F23" s="374">
        <v>230689</v>
      </c>
      <c r="G23" s="365">
        <f t="shared" si="0"/>
        <v>-147103</v>
      </c>
      <c r="H23" s="366">
        <f t="shared" si="1"/>
        <v>-42.5520898117159</v>
      </c>
      <c r="I23" s="368">
        <f t="shared" si="2"/>
        <v>32091</v>
      </c>
      <c r="J23" s="370">
        <f t="shared" si="3"/>
        <v>16.158772998721034</v>
      </c>
    </row>
    <row r="24" spans="1:10" ht="12.75">
      <c r="A24" s="371" t="s">
        <v>549</v>
      </c>
      <c r="B24" s="378">
        <v>9024561</v>
      </c>
      <c r="C24" s="358">
        <v>23669138</v>
      </c>
      <c r="D24" s="362">
        <v>13982794</v>
      </c>
      <c r="E24" s="379">
        <v>30252958</v>
      </c>
      <c r="F24" s="374">
        <v>14525553</v>
      </c>
      <c r="G24" s="365">
        <f t="shared" si="0"/>
        <v>4958233</v>
      </c>
      <c r="H24" s="366">
        <f t="shared" si="1"/>
        <v>54.94154230881701</v>
      </c>
      <c r="I24" s="368">
        <f t="shared" si="2"/>
        <v>542759</v>
      </c>
      <c r="J24" s="370">
        <f t="shared" si="3"/>
        <v>3.881620511608767</v>
      </c>
    </row>
    <row r="25" spans="1:10" ht="12.75">
      <c r="A25" s="371" t="s">
        <v>550</v>
      </c>
      <c r="B25" s="378">
        <v>27775503</v>
      </c>
      <c r="C25" s="358">
        <v>24093957</v>
      </c>
      <c r="D25" s="360">
        <v>27686495</v>
      </c>
      <c r="E25" s="379">
        <v>32376283</v>
      </c>
      <c r="F25" s="374">
        <v>30029890</v>
      </c>
      <c r="G25" s="365">
        <f t="shared" si="0"/>
        <v>-89008</v>
      </c>
      <c r="H25" s="366">
        <f t="shared" si="1"/>
        <v>-0.32045504270435715</v>
      </c>
      <c r="I25" s="368">
        <f t="shared" si="2"/>
        <v>2343395</v>
      </c>
      <c r="J25" s="370">
        <f t="shared" si="3"/>
        <v>8.464036346962661</v>
      </c>
    </row>
    <row r="26" spans="1:10" ht="13.5" thickBot="1">
      <c r="A26" s="371" t="s">
        <v>551</v>
      </c>
      <c r="B26" s="378">
        <v>0</v>
      </c>
      <c r="C26" s="358">
        <v>0</v>
      </c>
      <c r="D26" s="61">
        <v>0</v>
      </c>
      <c r="E26" s="382">
        <v>0</v>
      </c>
      <c r="F26" s="372">
        <v>2355502</v>
      </c>
      <c r="G26" s="365">
        <f t="shared" si="0"/>
        <v>0</v>
      </c>
      <c r="H26" s="366"/>
      <c r="I26" s="368">
        <f t="shared" si="2"/>
        <v>2355502</v>
      </c>
      <c r="J26" s="370"/>
    </row>
    <row r="27" spans="1:10" ht="12.75" thickBot="1">
      <c r="A27" s="32" t="s">
        <v>43</v>
      </c>
      <c r="B27" s="364">
        <f aca="true" t="shared" si="4" ref="B27:I27">SUM(B6:B26)</f>
        <v>66591629</v>
      </c>
      <c r="C27" s="364">
        <f t="shared" si="4"/>
        <v>99437298</v>
      </c>
      <c r="D27" s="364">
        <f t="shared" si="4"/>
        <v>73340639</v>
      </c>
      <c r="E27" s="381">
        <f t="shared" si="4"/>
        <v>111400607</v>
      </c>
      <c r="F27" s="383">
        <f t="shared" si="4"/>
        <v>82170275</v>
      </c>
      <c r="G27" s="364">
        <f t="shared" si="4"/>
        <v>6749010</v>
      </c>
      <c r="H27" s="367">
        <f t="shared" si="4"/>
        <v>-90.56754187183346</v>
      </c>
      <c r="I27" s="369">
        <f t="shared" si="4"/>
        <v>8829636</v>
      </c>
      <c r="J27" s="369">
        <f t="shared" si="3"/>
        <v>12.03921334800478</v>
      </c>
    </row>
    <row r="28" spans="1:9" ht="12">
      <c r="A28" s="1" t="s">
        <v>45</v>
      </c>
      <c r="B28" s="2"/>
      <c r="C28" s="2"/>
      <c r="D28" s="2"/>
      <c r="E28" s="2"/>
      <c r="F28" s="2"/>
      <c r="G28" s="2"/>
      <c r="H28" s="2"/>
      <c r="I28" s="2"/>
    </row>
    <row r="29" spans="1:9" ht="12">
      <c r="A29" s="1" t="s">
        <v>345</v>
      </c>
      <c r="B29" s="61"/>
      <c r="C29" s="61"/>
      <c r="D29" s="61"/>
      <c r="E29" s="61"/>
      <c r="F29" s="61"/>
      <c r="G29" s="61"/>
      <c r="H29" s="61"/>
      <c r="I29" s="61"/>
    </row>
    <row r="30" spans="1:9" ht="12">
      <c r="A30" s="1" t="s">
        <v>162</v>
      </c>
      <c r="B30" s="2"/>
      <c r="C30" s="2"/>
      <c r="D30" s="2"/>
      <c r="E30" s="2"/>
      <c r="F30" s="2"/>
      <c r="G30" s="2"/>
      <c r="H30" s="2"/>
      <c r="I30" s="2"/>
    </row>
    <row r="31" spans="1:9" ht="12">
      <c r="A31" s="1"/>
      <c r="B31" s="2"/>
      <c r="C31" s="2"/>
      <c r="D31" s="2"/>
      <c r="E31" s="2"/>
      <c r="F31" s="2"/>
      <c r="G31" s="2"/>
      <c r="H31" s="2"/>
      <c r="I31" s="2"/>
    </row>
  </sheetData>
  <sheetProtection/>
  <mergeCells count="10">
    <mergeCell ref="A4:A5"/>
    <mergeCell ref="G4:G5"/>
    <mergeCell ref="I4:I5"/>
    <mergeCell ref="H4:H5"/>
    <mergeCell ref="J4:J5"/>
    <mergeCell ref="C4:C5"/>
    <mergeCell ref="E4:E5"/>
    <mergeCell ref="F4:F5"/>
    <mergeCell ref="B4:B5"/>
    <mergeCell ref="D4:D5"/>
  </mergeCells>
  <printOptions horizontalCentered="1"/>
  <pageMargins left="0.25" right="0.25" top="0.75" bottom="0.75" header="0.3" footer="0.3"/>
  <pageSetup fitToHeight="1" fitToWidth="1" horizontalDpi="600" verticalDpi="600" orientation="landscape" paperSize="9" scale="89"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Y55"/>
  <sheetViews>
    <sheetView zoomScaleSheetLayoutView="90" zoomScalePageLayoutView="85" workbookViewId="0" topLeftCell="A1">
      <selection activeCell="B38" sqref="B38"/>
    </sheetView>
  </sheetViews>
  <sheetFormatPr defaultColWidth="11.421875" defaultRowHeight="12.75"/>
  <cols>
    <col min="1" max="1" width="34.57421875" style="3" customWidth="1"/>
    <col min="2" max="2" width="26.00390625" style="3" customWidth="1"/>
    <col min="3" max="14" width="15.57421875" style="3" customWidth="1"/>
    <col min="15" max="16384" width="11.421875" style="3" customWidth="1"/>
  </cols>
  <sheetData>
    <row r="1" spans="1:14" s="5" customFormat="1" ht="15.75" customHeight="1">
      <c r="A1" s="96" t="s">
        <v>424</v>
      </c>
      <c r="B1" s="96"/>
      <c r="C1" s="96"/>
      <c r="D1" s="96"/>
      <c r="E1" s="96"/>
      <c r="F1" s="96"/>
      <c r="G1" s="96"/>
      <c r="H1" s="96"/>
      <c r="I1" s="96"/>
      <c r="J1" s="96"/>
      <c r="K1" s="96"/>
      <c r="L1" s="96"/>
      <c r="M1" s="96"/>
      <c r="N1" s="96"/>
    </row>
    <row r="2" spans="1:25" s="5" customFormat="1" ht="12">
      <c r="A2" s="96" t="s">
        <v>454</v>
      </c>
      <c r="B2" s="96"/>
      <c r="C2" s="96"/>
      <c r="D2" s="96"/>
      <c r="E2" s="96"/>
      <c r="F2" s="96"/>
      <c r="G2" s="96"/>
      <c r="H2" s="96"/>
      <c r="I2" s="96"/>
      <c r="J2" s="96"/>
      <c r="K2" s="96"/>
      <c r="L2" s="96"/>
      <c r="M2" s="96"/>
      <c r="N2" s="96"/>
      <c r="O2" s="96"/>
      <c r="P2" s="96"/>
      <c r="Q2" s="96"/>
      <c r="R2" s="96"/>
      <c r="S2" s="96"/>
      <c r="T2" s="96"/>
      <c r="U2" s="96"/>
      <c r="V2" s="96"/>
      <c r="W2" s="96"/>
      <c r="X2" s="96"/>
      <c r="Y2" s="96"/>
    </row>
    <row r="3" spans="1:8" ht="12.75" thickBot="1">
      <c r="A3" s="9"/>
      <c r="B3" s="11"/>
      <c r="G3" s="11"/>
      <c r="H3" s="11"/>
    </row>
    <row r="4" spans="1:14" ht="13.5" customHeight="1" hidden="1">
      <c r="A4" s="56" t="s">
        <v>80</v>
      </c>
      <c r="B4" s="55"/>
      <c r="C4" s="43"/>
      <c r="D4" s="43"/>
      <c r="E4" s="43"/>
      <c r="F4" s="43"/>
      <c r="G4" s="43"/>
      <c r="H4" s="43"/>
      <c r="I4" s="43"/>
      <c r="J4" s="43"/>
      <c r="K4" s="43"/>
      <c r="L4" s="43"/>
      <c r="M4" s="43"/>
      <c r="N4" s="43"/>
    </row>
    <row r="5" spans="1:14" ht="57" customHeight="1" thickBot="1">
      <c r="A5" s="186" t="s">
        <v>84</v>
      </c>
      <c r="B5" s="188" t="s">
        <v>85</v>
      </c>
      <c r="C5" s="187" t="s">
        <v>86</v>
      </c>
      <c r="D5" s="187" t="s">
        <v>202</v>
      </c>
      <c r="E5" s="187" t="s">
        <v>203</v>
      </c>
      <c r="F5" s="187" t="s">
        <v>239</v>
      </c>
      <c r="G5" s="187" t="s">
        <v>163</v>
      </c>
      <c r="H5" s="187" t="s">
        <v>201</v>
      </c>
      <c r="I5" s="187" t="s">
        <v>165</v>
      </c>
      <c r="J5" s="187" t="s">
        <v>164</v>
      </c>
      <c r="K5" s="187" t="s">
        <v>166</v>
      </c>
      <c r="L5" s="187" t="s">
        <v>167</v>
      </c>
      <c r="M5" s="187" t="s">
        <v>168</v>
      </c>
      <c r="N5" s="187" t="s">
        <v>169</v>
      </c>
    </row>
    <row r="6" spans="1:14" ht="13.5" customHeight="1">
      <c r="A6" s="1581">
        <v>2019</v>
      </c>
      <c r="B6" s="1582"/>
      <c r="C6" s="1582"/>
      <c r="D6" s="1582"/>
      <c r="E6" s="1582"/>
      <c r="F6" s="1582"/>
      <c r="G6" s="1582"/>
      <c r="H6" s="1582"/>
      <c r="I6" s="1582"/>
      <c r="J6" s="1582"/>
      <c r="K6" s="1582"/>
      <c r="L6" s="1582"/>
      <c r="M6" s="1582"/>
      <c r="N6" s="1583"/>
    </row>
    <row r="7" spans="1:15" ht="92.25" customHeight="1">
      <c r="A7" s="852" t="s">
        <v>2640</v>
      </c>
      <c r="B7" s="1170">
        <v>250662</v>
      </c>
      <c r="C7" s="1171" t="s">
        <v>777</v>
      </c>
      <c r="D7" s="1179"/>
      <c r="E7" s="1171" t="s">
        <v>2641</v>
      </c>
      <c r="F7" s="1172">
        <v>7311577.28</v>
      </c>
      <c r="G7" s="1484"/>
      <c r="H7" s="1173"/>
      <c r="I7" s="1173"/>
      <c r="J7" s="1173"/>
      <c r="K7" s="1173"/>
      <c r="L7" s="1173"/>
      <c r="M7" s="1484"/>
      <c r="N7" s="1173"/>
      <c r="O7" s="574"/>
    </row>
    <row r="8" spans="1:15" ht="64.5" customHeight="1">
      <c r="A8" s="1171" t="s">
        <v>2642</v>
      </c>
      <c r="B8" s="1174">
        <v>2439102</v>
      </c>
      <c r="C8" s="1171" t="s">
        <v>777</v>
      </c>
      <c r="D8" s="1175"/>
      <c r="E8" s="1171" t="s">
        <v>2643</v>
      </c>
      <c r="F8" s="1172">
        <v>3514783.46</v>
      </c>
      <c r="G8" s="1173"/>
      <c r="H8" s="1173"/>
      <c r="I8" s="1173"/>
      <c r="J8" s="1173"/>
      <c r="K8" s="1173"/>
      <c r="L8" s="1173"/>
      <c r="M8" s="1173"/>
      <c r="N8" s="1173"/>
      <c r="O8" s="574"/>
    </row>
    <row r="9" spans="1:15" ht="90" customHeight="1">
      <c r="A9" s="1171" t="s">
        <v>2644</v>
      </c>
      <c r="B9" s="1176">
        <v>2448621</v>
      </c>
      <c r="C9" s="1171" t="s">
        <v>796</v>
      </c>
      <c r="D9" s="1173"/>
      <c r="E9" s="1171" t="s">
        <v>2645</v>
      </c>
      <c r="F9" s="1172">
        <v>499906.1</v>
      </c>
      <c r="G9" s="1173"/>
      <c r="H9" s="1485"/>
      <c r="I9" s="1173"/>
      <c r="J9" s="1173"/>
      <c r="K9" s="1173"/>
      <c r="L9" s="1173"/>
      <c r="M9" s="1173"/>
      <c r="N9" s="1173"/>
      <c r="O9" s="1180"/>
    </row>
    <row r="10" spans="1:15" ht="66" customHeight="1">
      <c r="A10" s="1171" t="s">
        <v>2642</v>
      </c>
      <c r="B10" s="1176">
        <v>2439102</v>
      </c>
      <c r="C10" s="1171" t="s">
        <v>777</v>
      </c>
      <c r="D10" s="1173"/>
      <c r="E10" s="1171" t="s">
        <v>2643</v>
      </c>
      <c r="F10" s="1172">
        <v>3472766.56</v>
      </c>
      <c r="G10" s="1173"/>
      <c r="H10" s="1173"/>
      <c r="I10" s="1173"/>
      <c r="J10" s="1173"/>
      <c r="K10" s="1173"/>
      <c r="L10" s="1173"/>
      <c r="M10" s="1173"/>
      <c r="N10" s="1173"/>
      <c r="O10" s="1180"/>
    </row>
    <row r="11" spans="1:15" ht="67.5">
      <c r="A11" s="1171" t="s">
        <v>2646</v>
      </c>
      <c r="B11" s="1176">
        <v>2440030</v>
      </c>
      <c r="C11" s="1171" t="s">
        <v>777</v>
      </c>
      <c r="D11" s="1173"/>
      <c r="E11" s="1171" t="s">
        <v>2647</v>
      </c>
      <c r="F11" s="1172">
        <v>486007.45</v>
      </c>
      <c r="G11" s="1173"/>
      <c r="H11" s="1173"/>
      <c r="I11" s="1173"/>
      <c r="J11" s="1173"/>
      <c r="K11" s="1173"/>
      <c r="L11" s="1173"/>
      <c r="M11" s="1173"/>
      <c r="N11" s="1173"/>
      <c r="O11" s="1180"/>
    </row>
    <row r="12" spans="1:15" ht="91.5" customHeight="1">
      <c r="A12" s="1171" t="s">
        <v>2648</v>
      </c>
      <c r="B12" s="1171">
        <v>2448498</v>
      </c>
      <c r="C12" s="1171" t="s">
        <v>796</v>
      </c>
      <c r="D12" s="1173"/>
      <c r="E12" s="1171" t="s">
        <v>2649</v>
      </c>
      <c r="F12" s="1172">
        <v>1562939.89</v>
      </c>
      <c r="G12" s="1173"/>
      <c r="H12" s="1173"/>
      <c r="I12" s="1173"/>
      <c r="J12" s="1173"/>
      <c r="K12" s="1173"/>
      <c r="L12" s="1173"/>
      <c r="M12" s="1173"/>
      <c r="N12" s="1173"/>
      <c r="O12" s="1180"/>
    </row>
    <row r="13" spans="1:15" ht="66.75" customHeight="1">
      <c r="A13" s="1171" t="s">
        <v>2642</v>
      </c>
      <c r="B13" s="1171">
        <v>2439102</v>
      </c>
      <c r="C13" s="1171" t="s">
        <v>777</v>
      </c>
      <c r="D13" s="1173"/>
      <c r="E13" s="1171" t="s">
        <v>2643</v>
      </c>
      <c r="F13" s="1172">
        <v>3472766.56</v>
      </c>
      <c r="G13" s="1173"/>
      <c r="H13" s="1173"/>
      <c r="I13" s="1173"/>
      <c r="J13" s="1173"/>
      <c r="K13" s="1173"/>
      <c r="L13" s="1173"/>
      <c r="M13" s="1173"/>
      <c r="N13" s="1173"/>
      <c r="O13" s="1180"/>
    </row>
    <row r="14" spans="1:15" ht="141" customHeight="1">
      <c r="A14" s="1171" t="s">
        <v>2640</v>
      </c>
      <c r="B14" s="1171">
        <v>250662</v>
      </c>
      <c r="C14" s="1171" t="s">
        <v>777</v>
      </c>
      <c r="D14" s="1173"/>
      <c r="E14" s="1171" t="s">
        <v>2641</v>
      </c>
      <c r="F14" s="1172">
        <v>7311577.28</v>
      </c>
      <c r="G14" s="1173"/>
      <c r="H14" s="1173"/>
      <c r="I14" s="1173"/>
      <c r="J14" s="1173"/>
      <c r="K14" s="1173"/>
      <c r="L14" s="1173"/>
      <c r="M14" s="1173"/>
      <c r="N14" s="1173"/>
      <c r="O14" s="1180"/>
    </row>
    <row r="15" spans="1:15" ht="105.75" customHeight="1">
      <c r="A15" s="1171" t="s">
        <v>2650</v>
      </c>
      <c r="B15" s="1171">
        <v>2448755</v>
      </c>
      <c r="C15" s="1171" t="s">
        <v>796</v>
      </c>
      <c r="D15" s="1173"/>
      <c r="E15" s="1171" t="s">
        <v>2651</v>
      </c>
      <c r="F15" s="1172">
        <v>1301198.83</v>
      </c>
      <c r="G15" s="1173"/>
      <c r="H15" s="1173"/>
      <c r="I15" s="1173"/>
      <c r="J15" s="1173"/>
      <c r="K15" s="1173"/>
      <c r="L15" s="1173"/>
      <c r="M15" s="1173"/>
      <c r="N15" s="1173"/>
      <c r="O15" s="1180"/>
    </row>
    <row r="16" spans="1:15" ht="97.5" customHeight="1">
      <c r="A16" s="1171" t="s">
        <v>2652</v>
      </c>
      <c r="B16" s="1171">
        <v>2441954</v>
      </c>
      <c r="C16" s="1171" t="s">
        <v>796</v>
      </c>
      <c r="D16" s="1173"/>
      <c r="E16" s="1171" t="s">
        <v>2653</v>
      </c>
      <c r="F16" s="1172">
        <v>365112.71</v>
      </c>
      <c r="G16" s="1173"/>
      <c r="H16" s="1173"/>
      <c r="I16" s="1173"/>
      <c r="J16" s="1173"/>
      <c r="K16" s="1173"/>
      <c r="L16" s="1173"/>
      <c r="M16" s="1173"/>
      <c r="N16" s="1173"/>
      <c r="O16" s="1180"/>
    </row>
    <row r="17" spans="1:15" ht="106.5" customHeight="1">
      <c r="A17" s="1171" t="s">
        <v>2654</v>
      </c>
      <c r="B17" s="1171">
        <v>2439316</v>
      </c>
      <c r="C17" s="1171" t="s">
        <v>796</v>
      </c>
      <c r="D17" s="1173"/>
      <c r="E17" s="1171" t="s">
        <v>2655</v>
      </c>
      <c r="F17" s="1172">
        <v>329460.28</v>
      </c>
      <c r="G17" s="1173"/>
      <c r="H17" s="1173"/>
      <c r="I17" s="1173"/>
      <c r="J17" s="1173"/>
      <c r="K17" s="1173"/>
      <c r="L17" s="1173"/>
      <c r="M17" s="1173"/>
      <c r="N17" s="1173"/>
      <c r="O17" s="1180"/>
    </row>
    <row r="18" spans="1:15" ht="113.25" customHeight="1">
      <c r="A18" s="1171" t="s">
        <v>2656</v>
      </c>
      <c r="B18" s="1171">
        <v>2448519</v>
      </c>
      <c r="C18" s="1171" t="s">
        <v>796</v>
      </c>
      <c r="D18" s="1173"/>
      <c r="E18" s="1171" t="s">
        <v>2657</v>
      </c>
      <c r="F18" s="1172">
        <v>165304.96</v>
      </c>
      <c r="G18" s="1173"/>
      <c r="H18" s="1173"/>
      <c r="I18" s="1173"/>
      <c r="J18" s="1173"/>
      <c r="K18" s="1173"/>
      <c r="L18" s="1173"/>
      <c r="M18" s="1173"/>
      <c r="N18" s="1173"/>
      <c r="O18" s="1180"/>
    </row>
    <row r="19" spans="1:15" ht="86.25" customHeight="1">
      <c r="A19" s="1171" t="s">
        <v>2646</v>
      </c>
      <c r="B19" s="1171">
        <v>2440030</v>
      </c>
      <c r="C19" s="1171" t="s">
        <v>796</v>
      </c>
      <c r="D19" s="1173"/>
      <c r="E19" s="1171" t="s">
        <v>2647</v>
      </c>
      <c r="F19" s="1172">
        <v>461259.72</v>
      </c>
      <c r="G19" s="1173"/>
      <c r="H19" s="1173"/>
      <c r="I19" s="1173"/>
      <c r="J19" s="1173"/>
      <c r="K19" s="1173"/>
      <c r="L19" s="1173"/>
      <c r="M19" s="1173"/>
      <c r="N19" s="1173"/>
      <c r="O19" s="1180"/>
    </row>
    <row r="20" spans="1:15" ht="76.5" customHeight="1">
      <c r="A20" s="1170" t="s">
        <v>2658</v>
      </c>
      <c r="B20" s="1171">
        <v>2440088</v>
      </c>
      <c r="C20" s="1171" t="s">
        <v>796</v>
      </c>
      <c r="D20" s="1173"/>
      <c r="E20" s="1171" t="s">
        <v>2659</v>
      </c>
      <c r="F20" s="1172">
        <v>188521.93</v>
      </c>
      <c r="G20" s="1173"/>
      <c r="H20" s="1173"/>
      <c r="I20" s="1173"/>
      <c r="J20" s="1173"/>
      <c r="K20" s="1173"/>
      <c r="L20" s="1173"/>
      <c r="M20" s="1173"/>
      <c r="N20" s="1173"/>
      <c r="O20" s="1180"/>
    </row>
    <row r="21" spans="1:15" ht="96" customHeight="1">
      <c r="A21" s="1171" t="s">
        <v>2644</v>
      </c>
      <c r="B21" s="1171">
        <v>2448621</v>
      </c>
      <c r="C21" s="1171" t="s">
        <v>796</v>
      </c>
      <c r="D21" s="1173"/>
      <c r="E21" s="1171" t="s">
        <v>2645</v>
      </c>
      <c r="F21" s="1172">
        <v>474573.07</v>
      </c>
      <c r="G21" s="1173"/>
      <c r="H21" s="1173"/>
      <c r="I21" s="1173"/>
      <c r="J21" s="1173"/>
      <c r="K21" s="1173"/>
      <c r="L21" s="1173"/>
      <c r="M21" s="1173"/>
      <c r="N21" s="1173"/>
      <c r="O21" s="1180"/>
    </row>
    <row r="22" spans="1:15" ht="105" customHeight="1">
      <c r="A22" s="1171" t="s">
        <v>2648</v>
      </c>
      <c r="B22" s="1171">
        <v>2448498</v>
      </c>
      <c r="C22" s="1171" t="s">
        <v>796</v>
      </c>
      <c r="D22" s="1173"/>
      <c r="E22" s="1171" t="s">
        <v>2649</v>
      </c>
      <c r="F22" s="1172">
        <v>1534009.53</v>
      </c>
      <c r="G22" s="1173"/>
      <c r="H22" s="1173"/>
      <c r="I22" s="1173"/>
      <c r="J22" s="1173"/>
      <c r="K22" s="1173"/>
      <c r="L22" s="1173"/>
      <c r="M22" s="1173"/>
      <c r="N22" s="1173"/>
      <c r="O22" s="1180"/>
    </row>
    <row r="23" spans="1:15" ht="81.75" customHeight="1">
      <c r="A23" s="1171" t="s">
        <v>2660</v>
      </c>
      <c r="B23" s="1171">
        <v>2439305</v>
      </c>
      <c r="C23" s="1171" t="s">
        <v>796</v>
      </c>
      <c r="D23" s="1173"/>
      <c r="E23" s="1171" t="s">
        <v>2661</v>
      </c>
      <c r="F23" s="1172">
        <v>216481.93</v>
      </c>
      <c r="G23" s="1173"/>
      <c r="H23" s="1173"/>
      <c r="I23" s="1173"/>
      <c r="J23" s="1173"/>
      <c r="K23" s="1173"/>
      <c r="L23" s="1173"/>
      <c r="M23" s="1173"/>
      <c r="N23" s="1173"/>
      <c r="O23" s="1180"/>
    </row>
    <row r="24" spans="1:15" ht="114" customHeight="1">
      <c r="A24" s="1171" t="s">
        <v>2662</v>
      </c>
      <c r="B24" s="1171">
        <v>2440120</v>
      </c>
      <c r="C24" s="1171" t="s">
        <v>796</v>
      </c>
      <c r="D24" s="1173"/>
      <c r="E24" s="1171" t="s">
        <v>2663</v>
      </c>
      <c r="F24" s="1172">
        <v>103037.38</v>
      </c>
      <c r="G24" s="1173"/>
      <c r="H24" s="1173"/>
      <c r="I24" s="1173"/>
      <c r="J24" s="1173"/>
      <c r="K24" s="1173"/>
      <c r="L24" s="1173"/>
      <c r="M24" s="1173"/>
      <c r="N24" s="1173"/>
      <c r="O24" s="1180"/>
    </row>
    <row r="25" spans="1:15" ht="90" customHeight="1">
      <c r="A25" s="1171" t="s">
        <v>2664</v>
      </c>
      <c r="B25" s="1171">
        <v>236074</v>
      </c>
      <c r="C25" s="1170" t="s">
        <v>777</v>
      </c>
      <c r="D25" s="1173"/>
      <c r="E25" s="1171" t="s">
        <v>2665</v>
      </c>
      <c r="F25" s="1172">
        <v>14031637.25</v>
      </c>
      <c r="G25" s="1173"/>
      <c r="H25" s="1173"/>
      <c r="I25" s="1173"/>
      <c r="J25" s="1173"/>
      <c r="K25" s="1173"/>
      <c r="L25" s="1173"/>
      <c r="M25" s="1173"/>
      <c r="N25" s="1173"/>
      <c r="O25" s="1180"/>
    </row>
    <row r="26" spans="1:15" ht="75.75" customHeight="1">
      <c r="A26" s="1171" t="s">
        <v>2666</v>
      </c>
      <c r="B26" s="1171">
        <v>253160</v>
      </c>
      <c r="C26" s="1170" t="s">
        <v>777</v>
      </c>
      <c r="D26" s="1170"/>
      <c r="E26" s="1171" t="s">
        <v>2667</v>
      </c>
      <c r="F26" s="1172">
        <v>18424022.71</v>
      </c>
      <c r="G26" s="1170"/>
      <c r="H26" s="1170"/>
      <c r="I26" s="1170"/>
      <c r="J26" s="1170"/>
      <c r="K26" s="1170"/>
      <c r="L26" s="1170"/>
      <c r="M26" s="1170"/>
      <c r="N26" s="1170"/>
      <c r="O26" s="1180"/>
    </row>
    <row r="27" spans="1:15" ht="74.25" customHeight="1">
      <c r="A27" s="1171" t="s">
        <v>2668</v>
      </c>
      <c r="B27" s="1171">
        <v>230982</v>
      </c>
      <c r="C27" s="1171" t="s">
        <v>796</v>
      </c>
      <c r="D27" s="1170"/>
      <c r="E27" s="1171" t="s">
        <v>2669</v>
      </c>
      <c r="F27" s="1172">
        <v>6537074.64</v>
      </c>
      <c r="G27" s="1170"/>
      <c r="H27" s="1170"/>
      <c r="I27" s="1170"/>
      <c r="J27" s="1170"/>
      <c r="K27" s="1170"/>
      <c r="L27" s="1170"/>
      <c r="M27" s="1170"/>
      <c r="N27" s="1170"/>
      <c r="O27" s="1180"/>
    </row>
    <row r="28" spans="1:15" ht="71.25" customHeight="1">
      <c r="A28" s="1171" t="s">
        <v>2670</v>
      </c>
      <c r="B28" s="1171">
        <v>200850</v>
      </c>
      <c r="C28" s="1170" t="s">
        <v>777</v>
      </c>
      <c r="D28" s="1170"/>
      <c r="E28" s="1171" t="s">
        <v>2671</v>
      </c>
      <c r="F28" s="1172">
        <v>3515495.14</v>
      </c>
      <c r="G28" s="1170"/>
      <c r="H28" s="1170"/>
      <c r="I28" s="1170"/>
      <c r="J28" s="1170"/>
      <c r="K28" s="1170"/>
      <c r="L28" s="1170"/>
      <c r="M28" s="1170"/>
      <c r="N28" s="1170"/>
      <c r="O28" s="1180"/>
    </row>
    <row r="29" spans="1:15" ht="78.75" customHeight="1">
      <c r="A29" s="1171" t="s">
        <v>2672</v>
      </c>
      <c r="B29" s="1171">
        <v>95555</v>
      </c>
      <c r="C29" s="1171" t="s">
        <v>796</v>
      </c>
      <c r="D29" s="1170"/>
      <c r="E29" s="1171" t="s">
        <v>2673</v>
      </c>
      <c r="F29" s="1172">
        <v>114318830.3</v>
      </c>
      <c r="G29" s="1170"/>
      <c r="H29" s="1170"/>
      <c r="I29" s="1170"/>
      <c r="J29" s="1170"/>
      <c r="K29" s="1170"/>
      <c r="L29" s="1170"/>
      <c r="M29" s="1170"/>
      <c r="N29" s="1170"/>
      <c r="O29" s="1180"/>
    </row>
    <row r="30" spans="1:15" ht="76.5" customHeight="1">
      <c r="A30" s="1171" t="s">
        <v>2666</v>
      </c>
      <c r="B30" s="1171">
        <v>253160</v>
      </c>
      <c r="C30" s="1170" t="s">
        <v>777</v>
      </c>
      <c r="D30" s="1170"/>
      <c r="E30" s="1171" t="s">
        <v>2667</v>
      </c>
      <c r="F30" s="1172">
        <v>18421662.71</v>
      </c>
      <c r="G30" s="1170"/>
      <c r="H30" s="1170"/>
      <c r="I30" s="1170"/>
      <c r="J30" s="1170"/>
      <c r="K30" s="1170"/>
      <c r="L30" s="1170"/>
      <c r="M30" s="1170"/>
      <c r="N30" s="1170"/>
      <c r="O30" s="1180"/>
    </row>
    <row r="31" spans="1:15" ht="57" customHeight="1">
      <c r="A31" s="1171" t="s">
        <v>2674</v>
      </c>
      <c r="B31" s="1171">
        <v>99635</v>
      </c>
      <c r="C31" s="1171" t="s">
        <v>796</v>
      </c>
      <c r="D31" s="1170"/>
      <c r="E31" s="1171" t="s">
        <v>2675</v>
      </c>
      <c r="F31" s="1172">
        <v>423222.17</v>
      </c>
      <c r="G31" s="1170"/>
      <c r="H31" s="1170"/>
      <c r="I31" s="1170"/>
      <c r="J31" s="1170"/>
      <c r="K31" s="1170"/>
      <c r="L31" s="1170"/>
      <c r="M31" s="1170"/>
      <c r="N31" s="1170"/>
      <c r="O31" s="1180"/>
    </row>
    <row r="32" spans="1:15" ht="69.75" customHeight="1">
      <c r="A32" s="1171" t="s">
        <v>2676</v>
      </c>
      <c r="B32" s="1171">
        <v>138420</v>
      </c>
      <c r="C32" s="1171" t="s">
        <v>796</v>
      </c>
      <c r="D32" s="1170"/>
      <c r="E32" s="1171" t="s">
        <v>2677</v>
      </c>
      <c r="F32" s="1172">
        <v>3019438.63</v>
      </c>
      <c r="G32" s="1170"/>
      <c r="H32" s="1170"/>
      <c r="I32" s="1170"/>
      <c r="J32" s="1170"/>
      <c r="K32" s="1170"/>
      <c r="L32" s="1170"/>
      <c r="M32" s="1170"/>
      <c r="N32" s="1170"/>
      <c r="O32" s="1180"/>
    </row>
    <row r="33" spans="1:15" ht="75.75" customHeight="1">
      <c r="A33" s="1171" t="s">
        <v>2678</v>
      </c>
      <c r="B33" s="1171">
        <v>117861</v>
      </c>
      <c r="C33" s="1171" t="s">
        <v>796</v>
      </c>
      <c r="D33" s="1170"/>
      <c r="E33" s="1171" t="s">
        <v>2669</v>
      </c>
      <c r="F33" s="1172">
        <v>3369443.5</v>
      </c>
      <c r="G33" s="1170"/>
      <c r="H33" s="1170"/>
      <c r="I33" s="1170"/>
      <c r="J33" s="1170"/>
      <c r="K33" s="1170"/>
      <c r="L33" s="1170"/>
      <c r="M33" s="1170"/>
      <c r="N33" s="1170"/>
      <c r="O33" s="1180"/>
    </row>
    <row r="34" spans="1:15" ht="75.75" customHeight="1">
      <c r="A34" s="1171" t="s">
        <v>2666</v>
      </c>
      <c r="B34" s="1171">
        <v>253160</v>
      </c>
      <c r="C34" s="1171" t="s">
        <v>777</v>
      </c>
      <c r="D34" s="1170"/>
      <c r="E34" s="1171" t="s">
        <v>2667</v>
      </c>
      <c r="F34" s="1172">
        <v>18421662.71</v>
      </c>
      <c r="G34" s="1170"/>
      <c r="H34" s="1170"/>
      <c r="I34" s="1170"/>
      <c r="J34" s="1170"/>
      <c r="K34" s="1170"/>
      <c r="L34" s="1170"/>
      <c r="M34" s="1170"/>
      <c r="N34" s="1170"/>
      <c r="O34" s="1180"/>
    </row>
    <row r="35" spans="1:15" ht="76.5" customHeight="1">
      <c r="A35" s="1171" t="s">
        <v>2679</v>
      </c>
      <c r="B35" s="1171">
        <v>95555</v>
      </c>
      <c r="C35" s="1170" t="s">
        <v>796</v>
      </c>
      <c r="D35" s="1170"/>
      <c r="E35" s="1171" t="s">
        <v>2673</v>
      </c>
      <c r="F35" s="1172">
        <v>110657590.88</v>
      </c>
      <c r="G35" s="1170"/>
      <c r="H35" s="1170"/>
      <c r="I35" s="1170"/>
      <c r="J35" s="1170"/>
      <c r="K35" s="1170"/>
      <c r="L35" s="1170"/>
      <c r="M35" s="1170"/>
      <c r="N35" s="1170"/>
      <c r="O35" s="1180"/>
    </row>
    <row r="36" spans="1:15" ht="79.5" customHeight="1">
      <c r="A36" s="1171" t="s">
        <v>2678</v>
      </c>
      <c r="B36" s="1171">
        <v>117861</v>
      </c>
      <c r="C36" s="1170" t="s">
        <v>796</v>
      </c>
      <c r="D36" s="1170"/>
      <c r="E36" s="1171" t="s">
        <v>2669</v>
      </c>
      <c r="F36" s="1172">
        <v>3369443.5</v>
      </c>
      <c r="G36" s="1170"/>
      <c r="H36" s="1170"/>
      <c r="I36" s="1170"/>
      <c r="J36" s="1170"/>
      <c r="K36" s="1170"/>
      <c r="L36" s="1170"/>
      <c r="M36" s="1170"/>
      <c r="N36" s="1170"/>
      <c r="O36" s="1180"/>
    </row>
    <row r="37" spans="1:15" ht="76.5" customHeight="1">
      <c r="A37" s="1171" t="s">
        <v>2680</v>
      </c>
      <c r="B37" s="1171">
        <v>95555</v>
      </c>
      <c r="C37" s="1170" t="s">
        <v>796</v>
      </c>
      <c r="D37" s="1170"/>
      <c r="E37" s="1171" t="s">
        <v>2673</v>
      </c>
      <c r="F37" s="1172">
        <v>110657590.88</v>
      </c>
      <c r="G37" s="1170"/>
      <c r="H37" s="1170"/>
      <c r="I37" s="1170"/>
      <c r="J37" s="1170"/>
      <c r="K37" s="1170"/>
      <c r="L37" s="1170"/>
      <c r="M37" s="1170"/>
      <c r="N37" s="1170"/>
      <c r="O37" s="1180"/>
    </row>
    <row r="38" spans="1:15" ht="64.5" customHeight="1">
      <c r="A38" s="1171" t="s">
        <v>2681</v>
      </c>
      <c r="B38" s="1171">
        <v>195467</v>
      </c>
      <c r="C38" s="1171" t="s">
        <v>796</v>
      </c>
      <c r="D38" s="1170"/>
      <c r="E38" s="1171" t="s">
        <v>2682</v>
      </c>
      <c r="F38" s="1172">
        <v>31009878.88</v>
      </c>
      <c r="G38" s="1170"/>
      <c r="H38" s="1170"/>
      <c r="I38" s="1170"/>
      <c r="J38" s="1170"/>
      <c r="K38" s="1170"/>
      <c r="L38" s="1170"/>
      <c r="M38" s="1170"/>
      <c r="N38" s="1170"/>
      <c r="O38" s="1180"/>
    </row>
    <row r="39" spans="1:15" ht="13.5">
      <c r="A39" s="1584">
        <v>2020</v>
      </c>
      <c r="B39" s="1585"/>
      <c r="C39" s="1585"/>
      <c r="D39" s="1585"/>
      <c r="E39" s="1585"/>
      <c r="F39" s="1585"/>
      <c r="G39" s="1585"/>
      <c r="H39" s="1585"/>
      <c r="I39" s="1585"/>
      <c r="J39" s="1585"/>
      <c r="K39" s="1585"/>
      <c r="L39" s="1585"/>
      <c r="M39" s="1585"/>
      <c r="N39" s="1585"/>
      <c r="O39" s="1585"/>
    </row>
    <row r="40" spans="1:15" ht="82.5" customHeight="1">
      <c r="A40" s="1171" t="s">
        <v>2683</v>
      </c>
      <c r="B40" s="1171">
        <v>204174</v>
      </c>
      <c r="C40" s="1170" t="s">
        <v>777</v>
      </c>
      <c r="D40" s="1170"/>
      <c r="E40" s="1171" t="s">
        <v>2684</v>
      </c>
      <c r="F40" s="1171" t="s">
        <v>2685</v>
      </c>
      <c r="G40" s="1181"/>
      <c r="H40" s="1181"/>
      <c r="I40" s="1181"/>
      <c r="J40" s="1181"/>
      <c r="K40" s="1181"/>
      <c r="L40" s="1181"/>
      <c r="M40" s="1181"/>
      <c r="N40" s="1181"/>
      <c r="O40" s="1180"/>
    </row>
    <row r="41" spans="1:15" ht="81" customHeight="1">
      <c r="A41" s="1171" t="s">
        <v>2686</v>
      </c>
      <c r="B41" s="1171">
        <v>2459520</v>
      </c>
      <c r="C41" s="1170" t="s">
        <v>777</v>
      </c>
      <c r="D41" s="1170"/>
      <c r="E41" s="1171" t="s">
        <v>2687</v>
      </c>
      <c r="F41" s="1172">
        <v>6256552.29</v>
      </c>
      <c r="G41" s="1181"/>
      <c r="H41" s="1181"/>
      <c r="I41" s="1181"/>
      <c r="J41" s="1181"/>
      <c r="K41" s="1181"/>
      <c r="L41" s="1181"/>
      <c r="M41" s="1181"/>
      <c r="N41" s="1181"/>
      <c r="O41" s="1180"/>
    </row>
    <row r="42" spans="1:15" ht="143.25" customHeight="1">
      <c r="A42" s="1171" t="s">
        <v>2688</v>
      </c>
      <c r="B42" s="1171">
        <v>250722</v>
      </c>
      <c r="C42" s="1170" t="s">
        <v>777</v>
      </c>
      <c r="D42" s="1170"/>
      <c r="E42" s="1171" t="s">
        <v>2689</v>
      </c>
      <c r="F42" s="1172">
        <v>10070738.64</v>
      </c>
      <c r="G42" s="1181"/>
      <c r="H42" s="1181"/>
      <c r="I42" s="1181"/>
      <c r="J42" s="1181"/>
      <c r="K42" s="1181"/>
      <c r="L42" s="1181"/>
      <c r="M42" s="1181"/>
      <c r="N42" s="1181"/>
      <c r="O42" s="1180"/>
    </row>
    <row r="43" spans="1:15" ht="131.25" customHeight="1">
      <c r="A43" s="1171" t="s">
        <v>2690</v>
      </c>
      <c r="B43" s="1171">
        <v>232269</v>
      </c>
      <c r="C43" s="1170" t="s">
        <v>777</v>
      </c>
      <c r="D43" s="1170"/>
      <c r="E43" s="1171" t="s">
        <v>2691</v>
      </c>
      <c r="F43" s="1172">
        <v>3235634.64</v>
      </c>
      <c r="G43" s="1181"/>
      <c r="H43" s="1181"/>
      <c r="I43" s="1181"/>
      <c r="J43" s="1181"/>
      <c r="K43" s="1181"/>
      <c r="L43" s="1181"/>
      <c r="M43" s="1181"/>
      <c r="N43" s="1181"/>
      <c r="O43" s="1180"/>
    </row>
    <row r="44" spans="1:15" ht="81.75" customHeight="1">
      <c r="A44" s="1171" t="s">
        <v>2692</v>
      </c>
      <c r="B44" s="1171">
        <v>2439254</v>
      </c>
      <c r="C44" s="1171" t="s">
        <v>796</v>
      </c>
      <c r="D44" s="1170"/>
      <c r="E44" s="1171" t="s">
        <v>2693</v>
      </c>
      <c r="F44" s="1172">
        <v>67893.6</v>
      </c>
      <c r="G44" s="1181"/>
      <c r="H44" s="1181"/>
      <c r="I44" s="1181"/>
      <c r="J44" s="1181"/>
      <c r="K44" s="1181"/>
      <c r="L44" s="1181"/>
      <c r="M44" s="1181"/>
      <c r="N44" s="1181"/>
      <c r="O44" s="1180"/>
    </row>
    <row r="45" spans="1:15" ht="88.5" customHeight="1">
      <c r="A45" s="1171" t="s">
        <v>2694</v>
      </c>
      <c r="B45" s="1171">
        <v>2451364</v>
      </c>
      <c r="C45" s="1170" t="s">
        <v>796</v>
      </c>
      <c r="D45" s="1170"/>
      <c r="E45" s="1171" t="s">
        <v>2695</v>
      </c>
      <c r="F45" s="1172">
        <v>326782.51</v>
      </c>
      <c r="G45" s="1181"/>
      <c r="H45" s="1181"/>
      <c r="I45" s="1181"/>
      <c r="J45" s="1181"/>
      <c r="K45" s="1181"/>
      <c r="L45" s="1181"/>
      <c r="M45" s="1181"/>
      <c r="N45" s="1181"/>
      <c r="O45" s="1180"/>
    </row>
    <row r="46" spans="1:15" ht="99.75" customHeight="1">
      <c r="A46" s="1171" t="s">
        <v>2696</v>
      </c>
      <c r="B46" s="1171">
        <v>2451363</v>
      </c>
      <c r="C46" s="1170" t="s">
        <v>796</v>
      </c>
      <c r="D46" s="1170"/>
      <c r="E46" s="1171" t="s">
        <v>2697</v>
      </c>
      <c r="F46" s="1172">
        <v>333576.27</v>
      </c>
      <c r="G46" s="1181"/>
      <c r="H46" s="1181"/>
      <c r="I46" s="1181"/>
      <c r="J46" s="1181"/>
      <c r="K46" s="1181"/>
      <c r="L46" s="1181"/>
      <c r="M46" s="1181"/>
      <c r="N46" s="1181"/>
      <c r="O46" s="1180"/>
    </row>
    <row r="47" spans="1:15" ht="88.5" customHeight="1">
      <c r="A47" s="1171" t="s">
        <v>2698</v>
      </c>
      <c r="B47" s="1176">
        <v>126542</v>
      </c>
      <c r="C47" s="1170" t="s">
        <v>777</v>
      </c>
      <c r="D47" s="1170"/>
      <c r="E47" s="1171" t="s">
        <v>2699</v>
      </c>
      <c r="F47" s="1172">
        <v>3142187.27</v>
      </c>
      <c r="G47" s="1181"/>
      <c r="H47" s="1181"/>
      <c r="I47" s="1181"/>
      <c r="J47" s="1181"/>
      <c r="K47" s="1181"/>
      <c r="L47" s="1181"/>
      <c r="M47" s="1181"/>
      <c r="N47" s="1181"/>
      <c r="O47" s="1180"/>
    </row>
    <row r="48" spans="1:15" ht="78.75" customHeight="1">
      <c r="A48" s="1171" t="s">
        <v>2700</v>
      </c>
      <c r="B48" s="1171">
        <v>253160</v>
      </c>
      <c r="C48" s="1170" t="s">
        <v>796</v>
      </c>
      <c r="D48" s="1170"/>
      <c r="E48" s="1171" t="s">
        <v>2701</v>
      </c>
      <c r="F48" s="1172">
        <v>17603116.87</v>
      </c>
      <c r="G48" s="1181"/>
      <c r="H48" s="1181"/>
      <c r="I48" s="1181"/>
      <c r="J48" s="1181"/>
      <c r="K48" s="1181"/>
      <c r="L48" s="1181"/>
      <c r="M48" s="1181"/>
      <c r="N48" s="1181"/>
      <c r="O48" s="1180"/>
    </row>
    <row r="49" spans="1:15" ht="150" customHeight="1">
      <c r="A49" s="1171" t="s">
        <v>2702</v>
      </c>
      <c r="B49" s="1171">
        <v>3527</v>
      </c>
      <c r="C49" s="1170" t="s">
        <v>777</v>
      </c>
      <c r="D49" s="1170"/>
      <c r="E49" s="1171" t="s">
        <v>2703</v>
      </c>
      <c r="F49" s="1172">
        <v>3260538.12</v>
      </c>
      <c r="G49" s="1181"/>
      <c r="H49" s="1181"/>
      <c r="I49" s="1181"/>
      <c r="J49" s="1181"/>
      <c r="K49" s="1181"/>
      <c r="L49" s="1181"/>
      <c r="M49" s="1181"/>
      <c r="N49" s="1181"/>
      <c r="O49" s="1180"/>
    </row>
    <row r="50" spans="1:15" ht="12">
      <c r="A50" s="1173" t="s">
        <v>0</v>
      </c>
      <c r="B50" s="1177"/>
      <c r="C50" s="1177"/>
      <c r="D50" s="1177"/>
      <c r="E50" s="1177"/>
      <c r="F50" s="1177"/>
      <c r="G50" s="1177"/>
      <c r="H50" s="1177"/>
      <c r="I50" s="1177"/>
      <c r="J50" s="1177"/>
      <c r="K50" s="1177"/>
      <c r="L50" s="1177"/>
      <c r="M50" s="1177"/>
      <c r="N50" s="1177"/>
      <c r="O50" s="1178"/>
    </row>
    <row r="51" spans="1:12" ht="12">
      <c r="A51" s="1" t="s">
        <v>349</v>
      </c>
      <c r="B51" s="2"/>
      <c r="C51" s="2"/>
      <c r="D51" s="2"/>
      <c r="E51" s="2"/>
      <c r="F51" s="2"/>
      <c r="G51" s="2"/>
      <c r="H51" s="2"/>
      <c r="I51" s="2"/>
      <c r="J51" s="2"/>
      <c r="K51" s="2"/>
      <c r="L51" s="2"/>
    </row>
    <row r="52" spans="1:2" ht="12">
      <c r="A52" s="21"/>
      <c r="B52" s="21"/>
    </row>
    <row r="53" ht="12">
      <c r="A53" s="21"/>
    </row>
    <row r="54" ht="12">
      <c r="A54" s="21"/>
    </row>
    <row r="55" ht="12">
      <c r="A55" s="21"/>
    </row>
  </sheetData>
  <sheetProtection/>
  <mergeCells count="2">
    <mergeCell ref="A6:N6"/>
    <mergeCell ref="A39:O39"/>
  </mergeCells>
  <printOptions horizontalCentered="1"/>
  <pageMargins left="0.25" right="0.25" top="0.75" bottom="0.75" header="0.3" footer="0.3"/>
  <pageSetup fitToHeight="1" fitToWidth="1" horizontalDpi="600" verticalDpi="600" orientation="landscape" paperSize="9" scale="12" r:id="rId1"/>
  <headerFooter alignWithMargins="0">
    <oddHeader>&amp;C&amp;"Arial,Negrita"&amp;18PROYECTO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sheetPr>
    <tabColor theme="9" tint="-0.24997000396251678"/>
    <pageSetUpPr fitToPage="1"/>
  </sheetPr>
  <dimension ref="A1:Y196"/>
  <sheetViews>
    <sheetView zoomScaleSheetLayoutView="100" zoomScalePageLayoutView="0" workbookViewId="0" topLeftCell="A3">
      <selection activeCell="B191" sqref="B191:B193"/>
    </sheetView>
  </sheetViews>
  <sheetFormatPr defaultColWidth="11.421875" defaultRowHeight="12.75"/>
  <cols>
    <col min="1" max="1" width="45.7109375" style="3" customWidth="1"/>
    <col min="2" max="3" width="20.28125" style="3" customWidth="1"/>
    <col min="4" max="9" width="17.7109375" style="3" customWidth="1"/>
    <col min="10" max="10" width="36.421875" style="3" customWidth="1"/>
    <col min="11" max="16384" width="11.421875" style="3" customWidth="1"/>
  </cols>
  <sheetData>
    <row r="1" spans="1:10" s="5" customFormat="1" ht="15.75" customHeight="1">
      <c r="A1" s="96" t="s">
        <v>425</v>
      </c>
      <c r="B1" s="96"/>
      <c r="C1" s="96"/>
      <c r="D1" s="96"/>
      <c r="E1" s="96"/>
      <c r="F1" s="96"/>
      <c r="G1" s="96"/>
      <c r="H1" s="96"/>
      <c r="I1" s="96"/>
      <c r="J1" s="96"/>
    </row>
    <row r="2" spans="1:25" s="5" customFormat="1" ht="12">
      <c r="A2" s="96" t="s">
        <v>488</v>
      </c>
      <c r="B2" s="96"/>
      <c r="C2" s="96"/>
      <c r="D2" s="96"/>
      <c r="E2" s="96"/>
      <c r="F2" s="96"/>
      <c r="G2" s="96"/>
      <c r="H2" s="96"/>
      <c r="I2" s="96"/>
      <c r="J2" s="96"/>
      <c r="K2" s="96"/>
      <c r="L2" s="96"/>
      <c r="M2" s="96"/>
      <c r="N2" s="96"/>
      <c r="O2" s="96"/>
      <c r="P2" s="96"/>
      <c r="Q2" s="96"/>
      <c r="R2" s="96"/>
      <c r="S2" s="96"/>
      <c r="T2" s="96"/>
      <c r="U2" s="96"/>
      <c r="V2" s="96"/>
      <c r="W2" s="96"/>
      <c r="X2" s="96"/>
      <c r="Y2" s="96"/>
    </row>
    <row r="3" spans="1:25" s="5" customFormat="1" ht="12">
      <c r="A3" s="10" t="s">
        <v>2753</v>
      </c>
      <c r="B3" s="96"/>
      <c r="C3" s="96"/>
      <c r="D3" s="96"/>
      <c r="E3" s="96"/>
      <c r="F3" s="96"/>
      <c r="G3" s="96"/>
      <c r="H3" s="96"/>
      <c r="I3" s="96"/>
      <c r="J3" s="96"/>
      <c r="K3" s="96"/>
      <c r="L3" s="96"/>
      <c r="M3" s="96"/>
      <c r="N3" s="96"/>
      <c r="O3" s="96"/>
      <c r="P3" s="96"/>
      <c r="Q3" s="96"/>
      <c r="R3" s="96"/>
      <c r="S3" s="96"/>
      <c r="T3" s="96"/>
      <c r="U3" s="96"/>
      <c r="V3" s="96"/>
      <c r="W3" s="96"/>
      <c r="X3" s="96"/>
      <c r="Y3" s="96"/>
    </row>
    <row r="4" spans="1:7" ht="14.25" customHeight="1" thickBot="1">
      <c r="A4" s="55" t="s">
        <v>80</v>
      </c>
      <c r="C4" s="10"/>
      <c r="D4" s="15"/>
      <c r="E4" s="15"/>
      <c r="F4" s="15"/>
      <c r="G4" s="20"/>
    </row>
    <row r="5" spans="1:10" ht="13.5" customHeight="1" hidden="1">
      <c r="A5" s="55" t="s">
        <v>80</v>
      </c>
      <c r="B5" s="56"/>
      <c r="C5" s="56"/>
      <c r="D5" s="33"/>
      <c r="E5" s="33"/>
      <c r="F5" s="33"/>
      <c r="G5" s="33" t="s">
        <v>31</v>
      </c>
      <c r="H5" s="33" t="s">
        <v>81</v>
      </c>
      <c r="I5" s="43"/>
      <c r="J5" s="43"/>
    </row>
    <row r="6" spans="1:10" ht="36.75" thickBot="1">
      <c r="A6" s="505" t="s">
        <v>87</v>
      </c>
      <c r="B6" s="506" t="s">
        <v>86</v>
      </c>
      <c r="C6" s="734" t="s">
        <v>202</v>
      </c>
      <c r="D6" s="506" t="s">
        <v>203</v>
      </c>
      <c r="E6" s="506" t="s">
        <v>2</v>
      </c>
      <c r="F6" s="734" t="s">
        <v>201</v>
      </c>
      <c r="G6" s="506" t="s">
        <v>89</v>
      </c>
      <c r="H6" s="734" t="s">
        <v>163</v>
      </c>
      <c r="I6" s="506" t="s">
        <v>168</v>
      </c>
      <c r="J6" s="506" t="s">
        <v>88</v>
      </c>
    </row>
    <row r="7" spans="1:11" ht="13.5" customHeight="1" thickBot="1">
      <c r="A7" s="1598">
        <v>2019</v>
      </c>
      <c r="B7" s="1599"/>
      <c r="C7" s="1599"/>
      <c r="D7" s="1599"/>
      <c r="E7" s="1599"/>
      <c r="F7" s="1599"/>
      <c r="G7" s="1599"/>
      <c r="H7" s="1599"/>
      <c r="I7" s="1599"/>
      <c r="J7" s="1599"/>
      <c r="K7" s="1599"/>
    </row>
    <row r="8" spans="1:11" ht="81.75" thickBot="1">
      <c r="A8" s="1235" t="s">
        <v>776</v>
      </c>
      <c r="B8" s="1235" t="s">
        <v>777</v>
      </c>
      <c r="C8" s="1226" t="s">
        <v>778</v>
      </c>
      <c r="D8" s="1235" t="s">
        <v>779</v>
      </c>
      <c r="E8" s="1244" t="s">
        <v>780</v>
      </c>
      <c r="F8" s="1226"/>
      <c r="G8" s="1227" t="s">
        <v>781</v>
      </c>
      <c r="H8" s="1226"/>
      <c r="I8" s="1228"/>
      <c r="J8" s="1228"/>
      <c r="K8" s="580"/>
    </row>
    <row r="9" spans="1:11" ht="27.75" thickBot="1">
      <c r="A9" s="1235" t="s">
        <v>782</v>
      </c>
      <c r="B9" s="1235" t="s">
        <v>783</v>
      </c>
      <c r="C9" s="1226" t="s">
        <v>778</v>
      </c>
      <c r="D9" s="1235" t="s">
        <v>784</v>
      </c>
      <c r="E9" s="1244" t="s">
        <v>785</v>
      </c>
      <c r="F9" s="1226">
        <v>204892552270</v>
      </c>
      <c r="G9" s="1227" t="s">
        <v>141</v>
      </c>
      <c r="H9" s="1226"/>
      <c r="I9" s="1229">
        <v>44181</v>
      </c>
      <c r="J9" s="1228"/>
      <c r="K9" s="580"/>
    </row>
    <row r="10" spans="1:11" ht="27.75" thickBot="1">
      <c r="A10" s="1235" t="s">
        <v>786</v>
      </c>
      <c r="B10" s="1235" t="s">
        <v>783</v>
      </c>
      <c r="C10" s="1226"/>
      <c r="D10" s="1235" t="s">
        <v>787</v>
      </c>
      <c r="E10" s="1244" t="s">
        <v>788</v>
      </c>
      <c r="F10" s="1226">
        <v>20528919902</v>
      </c>
      <c r="G10" s="1227" t="s">
        <v>141</v>
      </c>
      <c r="H10" s="1226"/>
      <c r="I10" s="1229">
        <v>44181</v>
      </c>
      <c r="J10" s="1228"/>
      <c r="K10" s="580"/>
    </row>
    <row r="11" spans="1:11" ht="27.75" thickBot="1">
      <c r="A11" s="1236" t="s">
        <v>789</v>
      </c>
      <c r="B11" s="1236" t="s">
        <v>783</v>
      </c>
      <c r="C11" s="1211" t="s">
        <v>778</v>
      </c>
      <c r="D11" s="1236" t="s">
        <v>790</v>
      </c>
      <c r="E11" s="1245" t="s">
        <v>791</v>
      </c>
      <c r="F11" s="1211">
        <v>20528919902</v>
      </c>
      <c r="G11" s="1210" t="s">
        <v>141</v>
      </c>
      <c r="H11" s="1211"/>
      <c r="I11" s="1230">
        <v>44181</v>
      </c>
      <c r="J11" s="1231"/>
      <c r="K11" s="580"/>
    </row>
    <row r="12" spans="1:11" ht="54.75" thickBot="1">
      <c r="A12" s="1235" t="s">
        <v>792</v>
      </c>
      <c r="B12" s="1235" t="s">
        <v>783</v>
      </c>
      <c r="C12" s="1226" t="s">
        <v>778</v>
      </c>
      <c r="D12" s="1235" t="s">
        <v>793</v>
      </c>
      <c r="E12" s="1244" t="s">
        <v>794</v>
      </c>
      <c r="F12" s="1226">
        <v>20573065213</v>
      </c>
      <c r="G12" s="1227" t="s">
        <v>141</v>
      </c>
      <c r="H12" s="1226"/>
      <c r="I12" s="1229">
        <v>43810</v>
      </c>
      <c r="J12" s="1228"/>
      <c r="K12" s="580"/>
    </row>
    <row r="13" spans="1:11" ht="81.75" thickBot="1">
      <c r="A13" s="1236" t="s">
        <v>795</v>
      </c>
      <c r="B13" s="1236" t="s">
        <v>796</v>
      </c>
      <c r="C13" s="1211" t="s">
        <v>778</v>
      </c>
      <c r="D13" s="1236" t="s">
        <v>797</v>
      </c>
      <c r="E13" s="1245" t="s">
        <v>798</v>
      </c>
      <c r="F13" s="1211"/>
      <c r="G13" s="1210" t="s">
        <v>799</v>
      </c>
      <c r="H13" s="1211"/>
      <c r="I13" s="1231"/>
      <c r="J13" s="1231"/>
      <c r="K13" s="580"/>
    </row>
    <row r="14" spans="1:11" ht="41.25" thickBot="1">
      <c r="A14" s="1235" t="s">
        <v>800</v>
      </c>
      <c r="B14" s="1235" t="s">
        <v>796</v>
      </c>
      <c r="C14" s="1226" t="s">
        <v>778</v>
      </c>
      <c r="D14" s="1235" t="s">
        <v>801</v>
      </c>
      <c r="E14" s="1244" t="s">
        <v>802</v>
      </c>
      <c r="F14" s="1226">
        <v>20602244084</v>
      </c>
      <c r="G14" s="1227" t="s">
        <v>141</v>
      </c>
      <c r="H14" s="1232"/>
      <c r="I14" s="1232">
        <v>43825</v>
      </c>
      <c r="J14" s="1228"/>
      <c r="K14" s="580"/>
    </row>
    <row r="15" spans="1:11" ht="68.25" thickBot="1">
      <c r="A15" s="1236" t="s">
        <v>803</v>
      </c>
      <c r="B15" s="1236" t="s">
        <v>796</v>
      </c>
      <c r="C15" s="1211" t="s">
        <v>778</v>
      </c>
      <c r="D15" s="1236" t="s">
        <v>804</v>
      </c>
      <c r="E15" s="1245" t="s">
        <v>805</v>
      </c>
      <c r="F15" s="1211">
        <v>20604963568</v>
      </c>
      <c r="G15" s="1210" t="s">
        <v>141</v>
      </c>
      <c r="H15" s="1233"/>
      <c r="I15" s="1233">
        <v>43822</v>
      </c>
      <c r="J15" s="1231"/>
      <c r="K15" s="580"/>
    </row>
    <row r="16" spans="1:11" ht="81.75" thickBot="1">
      <c r="A16" s="1235" t="s">
        <v>806</v>
      </c>
      <c r="B16" s="1235" t="s">
        <v>807</v>
      </c>
      <c r="C16" s="1226" t="s">
        <v>778</v>
      </c>
      <c r="D16" s="1235" t="s">
        <v>808</v>
      </c>
      <c r="E16" s="1244" t="s">
        <v>809</v>
      </c>
      <c r="F16" s="1226">
        <v>1004072172</v>
      </c>
      <c r="G16" s="1234" t="s">
        <v>141</v>
      </c>
      <c r="H16" s="1226"/>
      <c r="I16" s="1234">
        <v>43805</v>
      </c>
      <c r="J16" s="1228"/>
      <c r="K16" s="580"/>
    </row>
    <row r="17" spans="1:11" ht="95.25" thickBot="1">
      <c r="A17" s="1236" t="s">
        <v>810</v>
      </c>
      <c r="B17" s="1236" t="s">
        <v>796</v>
      </c>
      <c r="C17" s="1211" t="s">
        <v>778</v>
      </c>
      <c r="D17" s="1236" t="s">
        <v>811</v>
      </c>
      <c r="E17" s="1245" t="s">
        <v>798</v>
      </c>
      <c r="F17" s="1211"/>
      <c r="G17" s="1210" t="s">
        <v>799</v>
      </c>
      <c r="H17" s="1211"/>
      <c r="I17" s="1231"/>
      <c r="J17" s="1231"/>
      <c r="K17" s="580"/>
    </row>
    <row r="18" spans="1:11" ht="95.25" thickBot="1">
      <c r="A18" s="1235" t="s">
        <v>812</v>
      </c>
      <c r="B18" s="1235" t="s">
        <v>807</v>
      </c>
      <c r="C18" s="1226" t="s">
        <v>778</v>
      </c>
      <c r="D18" s="1235" t="s">
        <v>813</v>
      </c>
      <c r="E18" s="1244" t="s">
        <v>814</v>
      </c>
      <c r="F18" s="1226">
        <v>9910299</v>
      </c>
      <c r="G18" s="1227" t="s">
        <v>141</v>
      </c>
      <c r="H18" s="1232"/>
      <c r="I18" s="1232">
        <v>43808</v>
      </c>
      <c r="J18" s="1228"/>
      <c r="K18" s="580"/>
    </row>
    <row r="19" spans="1:11" ht="68.25" thickBot="1">
      <c r="A19" s="1236" t="s">
        <v>803</v>
      </c>
      <c r="B19" s="1236" t="s">
        <v>796</v>
      </c>
      <c r="C19" s="1211" t="s">
        <v>778</v>
      </c>
      <c r="D19" s="1236" t="s">
        <v>815</v>
      </c>
      <c r="E19" s="1245" t="s">
        <v>805</v>
      </c>
      <c r="F19" s="1211"/>
      <c r="G19" s="1210" t="s">
        <v>799</v>
      </c>
      <c r="H19" s="1211"/>
      <c r="I19" s="1231"/>
      <c r="J19" s="1231"/>
      <c r="K19" s="580"/>
    </row>
    <row r="20" spans="1:11" ht="95.25" thickBot="1">
      <c r="A20" s="1235" t="s">
        <v>812</v>
      </c>
      <c r="B20" s="1235" t="s">
        <v>807</v>
      </c>
      <c r="C20" s="1226" t="s">
        <v>778</v>
      </c>
      <c r="D20" s="1235" t="s">
        <v>816</v>
      </c>
      <c r="E20" s="1244" t="s">
        <v>817</v>
      </c>
      <c r="F20" s="1226"/>
      <c r="G20" s="1227" t="s">
        <v>799</v>
      </c>
      <c r="H20" s="1226"/>
      <c r="I20" s="1228"/>
      <c r="J20" s="1228"/>
      <c r="K20" s="580"/>
    </row>
    <row r="21" spans="1:11" ht="27.75" thickBot="1">
      <c r="A21" s="1236" t="s">
        <v>818</v>
      </c>
      <c r="B21" s="1236" t="s">
        <v>807</v>
      </c>
      <c r="C21" s="1211" t="s">
        <v>778</v>
      </c>
      <c r="D21" s="1236" t="s">
        <v>819</v>
      </c>
      <c r="E21" s="1245" t="s">
        <v>820</v>
      </c>
      <c r="F21" s="1211">
        <v>20600976592</v>
      </c>
      <c r="G21" s="1210" t="s">
        <v>141</v>
      </c>
      <c r="H21" s="1233">
        <v>43627</v>
      </c>
      <c r="I21" s="1231"/>
      <c r="J21" s="1231"/>
      <c r="K21" s="580"/>
    </row>
    <row r="22" spans="1:11" ht="27.75" thickBot="1">
      <c r="A22" s="1235" t="s">
        <v>818</v>
      </c>
      <c r="B22" s="1235" t="s">
        <v>807</v>
      </c>
      <c r="C22" s="1226" t="s">
        <v>778</v>
      </c>
      <c r="D22" s="1235" t="s">
        <v>821</v>
      </c>
      <c r="E22" s="1244" t="s">
        <v>822</v>
      </c>
      <c r="F22" s="1226"/>
      <c r="G22" s="1227" t="s">
        <v>799</v>
      </c>
      <c r="H22" s="1226"/>
      <c r="I22" s="1228"/>
      <c r="J22" s="1228"/>
      <c r="K22" s="580"/>
    </row>
    <row r="23" spans="1:11" ht="41.25" thickBot="1">
      <c r="A23" s="1236" t="s">
        <v>823</v>
      </c>
      <c r="B23" s="1236" t="s">
        <v>807</v>
      </c>
      <c r="C23" s="1211" t="s">
        <v>778</v>
      </c>
      <c r="D23" s="1236" t="s">
        <v>824</v>
      </c>
      <c r="E23" s="1245" t="s">
        <v>825</v>
      </c>
      <c r="F23" s="1211">
        <v>20528919902</v>
      </c>
      <c r="G23" s="1210" t="s">
        <v>141</v>
      </c>
      <c r="H23" s="1233">
        <v>43592</v>
      </c>
      <c r="I23" s="1231"/>
      <c r="J23" s="1231"/>
      <c r="K23" s="580"/>
    </row>
    <row r="24" spans="1:11" ht="54.75" thickBot="1">
      <c r="A24" s="1235" t="s">
        <v>826</v>
      </c>
      <c r="B24" s="1227" t="s">
        <v>796</v>
      </c>
      <c r="C24" s="1226" t="s">
        <v>778</v>
      </c>
      <c r="D24" s="1235" t="s">
        <v>827</v>
      </c>
      <c r="E24" s="1244" t="s">
        <v>828</v>
      </c>
      <c r="F24" s="1226">
        <v>43795841</v>
      </c>
      <c r="G24" s="1227" t="s">
        <v>141</v>
      </c>
      <c r="H24" s="1226"/>
      <c r="I24" s="1228"/>
      <c r="J24" s="1228"/>
      <c r="K24" s="580"/>
    </row>
    <row r="25" spans="1:11" ht="81.75" thickBot="1">
      <c r="A25" s="1236" t="s">
        <v>829</v>
      </c>
      <c r="B25" s="1210" t="s">
        <v>796</v>
      </c>
      <c r="C25" s="1211" t="s">
        <v>778</v>
      </c>
      <c r="D25" s="1236" t="s">
        <v>830</v>
      </c>
      <c r="E25" s="1245" t="s">
        <v>831</v>
      </c>
      <c r="F25" s="1211"/>
      <c r="G25" s="1210" t="s">
        <v>799</v>
      </c>
      <c r="H25" s="1211"/>
      <c r="I25" s="1231"/>
      <c r="J25" s="1231"/>
      <c r="K25" s="580"/>
    </row>
    <row r="26" spans="1:11" ht="95.25" thickBot="1">
      <c r="A26" s="1235" t="s">
        <v>832</v>
      </c>
      <c r="B26" s="1206" t="s">
        <v>796</v>
      </c>
      <c r="C26" s="1226" t="s">
        <v>778</v>
      </c>
      <c r="D26" s="1235" t="s">
        <v>833</v>
      </c>
      <c r="E26" s="1244" t="s">
        <v>834</v>
      </c>
      <c r="F26" s="1207">
        <v>20504131875</v>
      </c>
      <c r="G26" s="1206" t="s">
        <v>141</v>
      </c>
      <c r="H26" s="1237">
        <v>43766</v>
      </c>
      <c r="I26" s="1238"/>
      <c r="J26" s="1238"/>
      <c r="K26" s="580"/>
    </row>
    <row r="27" spans="1:11" ht="54.75" thickBot="1">
      <c r="A27" s="1239" t="s">
        <v>835</v>
      </c>
      <c r="B27" s="1208" t="s">
        <v>796</v>
      </c>
      <c r="C27" s="1211" t="s">
        <v>778</v>
      </c>
      <c r="D27" s="1239" t="s">
        <v>836</v>
      </c>
      <c r="E27" s="1245" t="s">
        <v>837</v>
      </c>
      <c r="F27" s="1209">
        <v>40811786</v>
      </c>
      <c r="G27" s="1208" t="s">
        <v>141</v>
      </c>
      <c r="H27" s="1240">
        <v>43691</v>
      </c>
      <c r="I27" s="1241"/>
      <c r="J27" s="1241"/>
      <c r="K27" s="580"/>
    </row>
    <row r="28" spans="1:11" ht="54.75" thickBot="1">
      <c r="A28" s="1236" t="s">
        <v>835</v>
      </c>
      <c r="B28" s="1210" t="s">
        <v>796</v>
      </c>
      <c r="C28" s="1211" t="s">
        <v>778</v>
      </c>
      <c r="D28" s="1236" t="s">
        <v>838</v>
      </c>
      <c r="E28" s="1245" t="s">
        <v>837</v>
      </c>
      <c r="F28" s="1211"/>
      <c r="G28" s="1210" t="s">
        <v>799</v>
      </c>
      <c r="H28" s="1246"/>
      <c r="I28" s="1245"/>
      <c r="J28" s="1245"/>
      <c r="K28" s="580"/>
    </row>
    <row r="29" spans="1:11" ht="54.75" thickBot="1">
      <c r="A29" s="1235" t="s">
        <v>839</v>
      </c>
      <c r="B29" s="1242" t="s">
        <v>796</v>
      </c>
      <c r="C29" s="1226" t="s">
        <v>778</v>
      </c>
      <c r="D29" s="1235" t="s">
        <v>840</v>
      </c>
      <c r="E29" s="1244" t="s">
        <v>841</v>
      </c>
      <c r="F29" s="1243" t="s">
        <v>842</v>
      </c>
      <c r="G29" s="1227" t="s">
        <v>141</v>
      </c>
      <c r="H29" s="1247">
        <v>43609</v>
      </c>
      <c r="I29" s="1244"/>
      <c r="J29" s="1244"/>
      <c r="K29" s="580"/>
    </row>
    <row r="30" spans="1:11" ht="54.75" thickBot="1">
      <c r="A30" s="1236" t="s">
        <v>835</v>
      </c>
      <c r="B30" s="1236" t="s">
        <v>796</v>
      </c>
      <c r="C30" s="1211" t="s">
        <v>778</v>
      </c>
      <c r="D30" s="1236" t="s">
        <v>843</v>
      </c>
      <c r="E30" s="1245" t="s">
        <v>837</v>
      </c>
      <c r="F30" s="1246"/>
      <c r="G30" s="1236" t="s">
        <v>799</v>
      </c>
      <c r="H30" s="1246"/>
      <c r="I30" s="1245"/>
      <c r="J30" s="1245"/>
      <c r="K30" s="580"/>
    </row>
    <row r="31" spans="1:11" ht="68.25" thickBot="1">
      <c r="A31" s="1235" t="s">
        <v>844</v>
      </c>
      <c r="B31" s="1235" t="s">
        <v>796</v>
      </c>
      <c r="C31" s="1226" t="s">
        <v>778</v>
      </c>
      <c r="D31" s="1244" t="s">
        <v>845</v>
      </c>
      <c r="E31" s="1244" t="s">
        <v>846</v>
      </c>
      <c r="F31" s="1248">
        <v>10214949127</v>
      </c>
      <c r="G31" s="1235" t="s">
        <v>141</v>
      </c>
      <c r="H31" s="1247">
        <v>43580</v>
      </c>
      <c r="I31" s="1244"/>
      <c r="J31" s="1244"/>
      <c r="K31" s="580"/>
    </row>
    <row r="32" spans="1:11" ht="27">
      <c r="A32" s="1236" t="s">
        <v>847</v>
      </c>
      <c r="B32" s="1236" t="s">
        <v>796</v>
      </c>
      <c r="C32" s="1211" t="s">
        <v>778</v>
      </c>
      <c r="D32" s="1245" t="s">
        <v>848</v>
      </c>
      <c r="E32" s="1245" t="s">
        <v>849</v>
      </c>
      <c r="F32" s="1246">
        <v>10407058165</v>
      </c>
      <c r="G32" s="1236" t="s">
        <v>141</v>
      </c>
      <c r="H32" s="1249">
        <v>43601</v>
      </c>
      <c r="I32" s="1245"/>
      <c r="J32" s="1245"/>
      <c r="K32" s="580"/>
    </row>
    <row r="33" spans="1:11" ht="12">
      <c r="A33" s="1598">
        <v>2020</v>
      </c>
      <c r="B33" s="1599"/>
      <c r="C33" s="1599"/>
      <c r="D33" s="1599"/>
      <c r="E33" s="1599"/>
      <c r="F33" s="1599"/>
      <c r="G33" s="1599"/>
      <c r="H33" s="1599"/>
      <c r="I33" s="1599"/>
      <c r="J33" s="1599"/>
      <c r="K33" s="1599"/>
    </row>
    <row r="34" spans="1:10" ht="95.25" thickBot="1">
      <c r="A34" s="1203" t="s">
        <v>850</v>
      </c>
      <c r="B34" s="1203" t="s">
        <v>807</v>
      </c>
      <c r="C34" s="1204" t="s">
        <v>778</v>
      </c>
      <c r="D34" s="1203" t="s">
        <v>851</v>
      </c>
      <c r="E34" s="1205" t="s">
        <v>852</v>
      </c>
      <c r="F34" s="769"/>
      <c r="G34" s="1203" t="s">
        <v>853</v>
      </c>
      <c r="H34" s="769"/>
      <c r="I34" s="1205"/>
      <c r="J34" s="1205"/>
    </row>
    <row r="35" spans="1:10" ht="68.25" thickBot="1">
      <c r="A35" s="1200" t="s">
        <v>854</v>
      </c>
      <c r="B35" s="1200" t="s">
        <v>807</v>
      </c>
      <c r="C35" s="1201" t="s">
        <v>778</v>
      </c>
      <c r="D35" s="1200" t="s">
        <v>855</v>
      </c>
      <c r="E35" s="1202" t="s">
        <v>852</v>
      </c>
      <c r="F35" s="901"/>
      <c r="G35" s="1200" t="s">
        <v>853</v>
      </c>
      <c r="H35" s="901"/>
      <c r="I35" s="1202"/>
      <c r="J35" s="1202"/>
    </row>
    <row r="36" spans="1:10" ht="95.25" thickBot="1">
      <c r="A36" s="1200" t="s">
        <v>856</v>
      </c>
      <c r="B36" s="1200" t="s">
        <v>796</v>
      </c>
      <c r="C36" s="1201" t="s">
        <v>778</v>
      </c>
      <c r="D36" s="1200" t="s">
        <v>857</v>
      </c>
      <c r="E36" s="1202" t="s">
        <v>852</v>
      </c>
      <c r="F36" s="901"/>
      <c r="G36" s="1200" t="s">
        <v>858</v>
      </c>
      <c r="H36" s="901"/>
      <c r="I36" s="1202"/>
      <c r="J36" s="1202"/>
    </row>
    <row r="37" spans="1:10" ht="81.75" thickBot="1">
      <c r="A37" s="1203" t="s">
        <v>859</v>
      </c>
      <c r="B37" s="1203" t="s">
        <v>796</v>
      </c>
      <c r="C37" s="1204" t="s">
        <v>778</v>
      </c>
      <c r="D37" s="1203" t="s">
        <v>860</v>
      </c>
      <c r="E37" s="1205" t="s">
        <v>852</v>
      </c>
      <c r="F37" s="769"/>
      <c r="G37" s="1203" t="s">
        <v>858</v>
      </c>
      <c r="H37" s="769"/>
      <c r="I37" s="1205"/>
      <c r="J37" s="1205"/>
    </row>
    <row r="38" spans="1:10" ht="95.25" thickBot="1">
      <c r="A38" s="1200" t="s">
        <v>861</v>
      </c>
      <c r="B38" s="1200" t="s">
        <v>807</v>
      </c>
      <c r="C38" s="1201" t="s">
        <v>778</v>
      </c>
      <c r="D38" s="1200" t="s">
        <v>862</v>
      </c>
      <c r="E38" s="1202" t="s">
        <v>852</v>
      </c>
      <c r="F38" s="901"/>
      <c r="G38" s="1200" t="s">
        <v>863</v>
      </c>
      <c r="H38" s="901"/>
      <c r="I38" s="1202"/>
      <c r="J38" s="1202"/>
    </row>
    <row r="39" spans="1:10" ht="81.75" thickBot="1">
      <c r="A39" s="1203" t="s">
        <v>864</v>
      </c>
      <c r="B39" s="1203" t="s">
        <v>783</v>
      </c>
      <c r="C39" s="1204" t="s">
        <v>778</v>
      </c>
      <c r="D39" s="1203" t="s">
        <v>865</v>
      </c>
      <c r="E39" s="1205" t="s">
        <v>866</v>
      </c>
      <c r="F39" s="769"/>
      <c r="G39" s="1203" t="s">
        <v>141</v>
      </c>
      <c r="H39" s="769"/>
      <c r="I39" s="1205"/>
      <c r="J39" s="1205"/>
    </row>
    <row r="40" spans="1:10" ht="95.25" thickBot="1">
      <c r="A40" s="1200" t="s">
        <v>867</v>
      </c>
      <c r="B40" s="1200" t="s">
        <v>796</v>
      </c>
      <c r="C40" s="1201" t="s">
        <v>778</v>
      </c>
      <c r="D40" s="1200" t="s">
        <v>868</v>
      </c>
      <c r="E40" s="1202" t="s">
        <v>869</v>
      </c>
      <c r="F40" s="901"/>
      <c r="G40" s="1200" t="s">
        <v>870</v>
      </c>
      <c r="H40" s="901"/>
      <c r="I40" s="1202"/>
      <c r="J40" s="1202"/>
    </row>
    <row r="41" spans="1:10" ht="54.75" thickBot="1">
      <c r="A41" s="1203" t="s">
        <v>871</v>
      </c>
      <c r="B41" s="1203" t="s">
        <v>807</v>
      </c>
      <c r="C41" s="1204" t="s">
        <v>778</v>
      </c>
      <c r="D41" s="1203" t="s">
        <v>872</v>
      </c>
      <c r="E41" s="1205" t="s">
        <v>873</v>
      </c>
      <c r="F41" s="769"/>
      <c r="G41" s="1203" t="s">
        <v>799</v>
      </c>
      <c r="H41" s="769"/>
      <c r="I41" s="1205"/>
      <c r="J41" s="1205"/>
    </row>
    <row r="42" spans="1:10" ht="68.25" thickBot="1">
      <c r="A42" s="1200" t="s">
        <v>874</v>
      </c>
      <c r="B42" s="1200" t="s">
        <v>783</v>
      </c>
      <c r="C42" s="1201" t="s">
        <v>778</v>
      </c>
      <c r="D42" s="1200" t="s">
        <v>875</v>
      </c>
      <c r="E42" s="1202" t="s">
        <v>876</v>
      </c>
      <c r="F42" s="901"/>
      <c r="G42" s="1200" t="s">
        <v>141</v>
      </c>
      <c r="H42" s="901"/>
      <c r="I42" s="1202"/>
      <c r="J42" s="1202"/>
    </row>
    <row r="43" spans="1:10" ht="68.25" thickBot="1">
      <c r="A43" s="1203" t="s">
        <v>877</v>
      </c>
      <c r="B43" s="1203" t="s">
        <v>783</v>
      </c>
      <c r="C43" s="1204" t="s">
        <v>778</v>
      </c>
      <c r="D43" s="1203" t="s">
        <v>878</v>
      </c>
      <c r="E43" s="1205" t="s">
        <v>879</v>
      </c>
      <c r="F43" s="769"/>
      <c r="G43" s="1203" t="s">
        <v>870</v>
      </c>
      <c r="H43" s="769"/>
      <c r="I43" s="1205"/>
      <c r="J43" s="1205"/>
    </row>
    <row r="44" spans="1:10" ht="81.75" thickBot="1">
      <c r="A44" s="1200" t="s">
        <v>880</v>
      </c>
      <c r="B44" s="1200" t="s">
        <v>783</v>
      </c>
      <c r="C44" s="1201" t="s">
        <v>778</v>
      </c>
      <c r="D44" s="1200" t="s">
        <v>881</v>
      </c>
      <c r="E44" s="1202" t="s">
        <v>882</v>
      </c>
      <c r="F44" s="901"/>
      <c r="G44" s="1200" t="s">
        <v>141</v>
      </c>
      <c r="H44" s="901"/>
      <c r="I44" s="1202"/>
      <c r="J44" s="1202"/>
    </row>
    <row r="45" spans="1:10" ht="68.25" thickBot="1">
      <c r="A45" s="1203" t="s">
        <v>883</v>
      </c>
      <c r="B45" s="1203" t="s">
        <v>807</v>
      </c>
      <c r="C45" s="1204" t="s">
        <v>778</v>
      </c>
      <c r="D45" s="1203" t="s">
        <v>884</v>
      </c>
      <c r="E45" s="1205" t="s">
        <v>852</v>
      </c>
      <c r="F45" s="769"/>
      <c r="G45" s="1203" t="s">
        <v>885</v>
      </c>
      <c r="H45" s="769"/>
      <c r="I45" s="1205"/>
      <c r="J45" s="1205"/>
    </row>
    <row r="46" spans="1:10" ht="54.75" thickBot="1">
      <c r="A46" s="1200" t="s">
        <v>886</v>
      </c>
      <c r="B46" s="1200" t="s">
        <v>807</v>
      </c>
      <c r="C46" s="1201" t="s">
        <v>778</v>
      </c>
      <c r="D46" s="1200" t="s">
        <v>887</v>
      </c>
      <c r="E46" s="1202" t="s">
        <v>888</v>
      </c>
      <c r="F46" s="901"/>
      <c r="G46" s="1200" t="s">
        <v>870</v>
      </c>
      <c r="H46" s="901"/>
      <c r="I46" s="1202"/>
      <c r="J46" s="1202"/>
    </row>
    <row r="47" spans="1:10" ht="54">
      <c r="A47" s="1203" t="s">
        <v>889</v>
      </c>
      <c r="B47" s="1203" t="s">
        <v>807</v>
      </c>
      <c r="C47" s="1204" t="s">
        <v>778</v>
      </c>
      <c r="D47" s="1203" t="s">
        <v>890</v>
      </c>
      <c r="E47" s="1205" t="s">
        <v>891</v>
      </c>
      <c r="F47" s="769"/>
      <c r="G47" s="1203" t="s">
        <v>870</v>
      </c>
      <c r="H47" s="769"/>
      <c r="I47" s="1205"/>
      <c r="J47" s="1205"/>
    </row>
    <row r="48" spans="1:10" ht="54.75" thickBot="1">
      <c r="A48" s="1203" t="s">
        <v>892</v>
      </c>
      <c r="B48" s="1203" t="s">
        <v>807</v>
      </c>
      <c r="C48" s="1204" t="s">
        <v>778</v>
      </c>
      <c r="D48" s="1203" t="s">
        <v>893</v>
      </c>
      <c r="E48" s="1205" t="s">
        <v>894</v>
      </c>
      <c r="F48" s="769"/>
      <c r="G48" s="1203" t="s">
        <v>799</v>
      </c>
      <c r="H48" s="769"/>
      <c r="I48" s="1205"/>
      <c r="J48" s="1205"/>
    </row>
    <row r="49" spans="1:10" ht="68.25" thickBot="1">
      <c r="A49" s="1200" t="s">
        <v>854</v>
      </c>
      <c r="B49" s="1200" t="s">
        <v>807</v>
      </c>
      <c r="C49" s="1201" t="s">
        <v>778</v>
      </c>
      <c r="D49" s="1200" t="s">
        <v>895</v>
      </c>
      <c r="E49" s="1202" t="s">
        <v>896</v>
      </c>
      <c r="F49" s="901"/>
      <c r="G49" s="1200" t="s">
        <v>799</v>
      </c>
      <c r="H49" s="901"/>
      <c r="I49" s="1202"/>
      <c r="J49" s="1202"/>
    </row>
    <row r="50" spans="1:10" ht="95.25" thickBot="1">
      <c r="A50" s="1203" t="s">
        <v>897</v>
      </c>
      <c r="B50" s="1203" t="s">
        <v>796</v>
      </c>
      <c r="C50" s="1204" t="s">
        <v>778</v>
      </c>
      <c r="D50" s="1203" t="s">
        <v>898</v>
      </c>
      <c r="E50" s="1205" t="s">
        <v>852</v>
      </c>
      <c r="F50" s="769"/>
      <c r="G50" s="1203" t="s">
        <v>863</v>
      </c>
      <c r="H50" s="769"/>
      <c r="I50" s="1205"/>
      <c r="J50" s="1205"/>
    </row>
    <row r="51" spans="1:10" ht="81.75" thickBot="1">
      <c r="A51" s="1200" t="s">
        <v>859</v>
      </c>
      <c r="B51" s="1200" t="s">
        <v>796</v>
      </c>
      <c r="C51" s="1201" t="s">
        <v>778</v>
      </c>
      <c r="D51" s="1200" t="s">
        <v>860</v>
      </c>
      <c r="E51" s="1202" t="s">
        <v>899</v>
      </c>
      <c r="F51" s="901"/>
      <c r="G51" s="1200" t="s">
        <v>781</v>
      </c>
      <c r="H51" s="901"/>
      <c r="I51" s="1202"/>
      <c r="J51" s="1202"/>
    </row>
    <row r="52" spans="1:10" ht="95.25" thickBot="1">
      <c r="A52" s="1203" t="s">
        <v>856</v>
      </c>
      <c r="B52" s="1203" t="s">
        <v>796</v>
      </c>
      <c r="C52" s="1204" t="s">
        <v>778</v>
      </c>
      <c r="D52" s="1203" t="s">
        <v>857</v>
      </c>
      <c r="E52" s="1205" t="s">
        <v>900</v>
      </c>
      <c r="F52" s="769"/>
      <c r="G52" s="1203" t="s">
        <v>781</v>
      </c>
      <c r="H52" s="769"/>
      <c r="I52" s="1205"/>
      <c r="J52" s="1205"/>
    </row>
    <row r="53" spans="1:10" ht="95.25" thickBot="1">
      <c r="A53" s="1200" t="s">
        <v>901</v>
      </c>
      <c r="B53" s="1200" t="s">
        <v>807</v>
      </c>
      <c r="C53" s="1201" t="s">
        <v>778</v>
      </c>
      <c r="D53" s="1200" t="s">
        <v>902</v>
      </c>
      <c r="E53" s="1202" t="s">
        <v>903</v>
      </c>
      <c r="F53" s="901"/>
      <c r="G53" s="1200" t="s">
        <v>799</v>
      </c>
      <c r="H53" s="901"/>
      <c r="I53" s="1202"/>
      <c r="J53" s="1202"/>
    </row>
    <row r="54" spans="1:10" ht="68.25" thickBot="1">
      <c r="A54" s="1203" t="s">
        <v>904</v>
      </c>
      <c r="B54" s="1203" t="s">
        <v>807</v>
      </c>
      <c r="C54" s="1204" t="s">
        <v>778</v>
      </c>
      <c r="D54" s="1203" t="s">
        <v>905</v>
      </c>
      <c r="E54" s="1205" t="s">
        <v>906</v>
      </c>
      <c r="F54" s="769"/>
      <c r="G54" s="1203" t="s">
        <v>870</v>
      </c>
      <c r="H54" s="769"/>
      <c r="I54" s="1205"/>
      <c r="J54" s="1205"/>
    </row>
    <row r="55" spans="1:10" ht="68.25" thickBot="1">
      <c r="A55" s="1200" t="s">
        <v>907</v>
      </c>
      <c r="B55" s="1200" t="s">
        <v>796</v>
      </c>
      <c r="C55" s="1201" t="s">
        <v>778</v>
      </c>
      <c r="D55" s="1200" t="s">
        <v>908</v>
      </c>
      <c r="E55" s="1202" t="s">
        <v>909</v>
      </c>
      <c r="F55" s="901"/>
      <c r="G55" s="1200" t="s">
        <v>870</v>
      </c>
      <c r="H55" s="901"/>
      <c r="I55" s="1202"/>
      <c r="J55" s="1202"/>
    </row>
    <row r="56" spans="1:10" ht="95.25" thickBot="1">
      <c r="A56" s="1200" t="s">
        <v>910</v>
      </c>
      <c r="B56" s="1200" t="s">
        <v>807</v>
      </c>
      <c r="C56" s="1201" t="s">
        <v>778</v>
      </c>
      <c r="D56" s="1200" t="s">
        <v>911</v>
      </c>
      <c r="E56" s="1202" t="s">
        <v>912</v>
      </c>
      <c r="F56" s="901"/>
      <c r="G56" s="1200" t="s">
        <v>799</v>
      </c>
      <c r="H56" s="901"/>
      <c r="I56" s="1202"/>
      <c r="J56" s="1202"/>
    </row>
    <row r="57" spans="1:10" ht="54.75" thickBot="1">
      <c r="A57" s="1203" t="s">
        <v>913</v>
      </c>
      <c r="B57" s="1203" t="s">
        <v>807</v>
      </c>
      <c r="C57" s="1204" t="s">
        <v>778</v>
      </c>
      <c r="D57" s="1203" t="s">
        <v>914</v>
      </c>
      <c r="E57" s="1205" t="s">
        <v>915</v>
      </c>
      <c r="F57" s="769"/>
      <c r="G57" s="1203" t="s">
        <v>141</v>
      </c>
      <c r="H57" s="769"/>
      <c r="I57" s="1205"/>
      <c r="J57" s="1205"/>
    </row>
    <row r="58" spans="1:10" ht="95.25" thickBot="1">
      <c r="A58" s="1200" t="s">
        <v>867</v>
      </c>
      <c r="B58" s="1200" t="s">
        <v>796</v>
      </c>
      <c r="C58" s="1201" t="s">
        <v>778</v>
      </c>
      <c r="D58" s="1200" t="s">
        <v>868</v>
      </c>
      <c r="E58" s="1202" t="s">
        <v>869</v>
      </c>
      <c r="F58" s="901"/>
      <c r="G58" s="1200" t="s">
        <v>781</v>
      </c>
      <c r="H58" s="901"/>
      <c r="I58" s="1202"/>
      <c r="J58" s="1202"/>
    </row>
    <row r="59" spans="1:10" ht="68.25" thickBot="1">
      <c r="A59" s="1203" t="s">
        <v>916</v>
      </c>
      <c r="B59" s="1203" t="s">
        <v>807</v>
      </c>
      <c r="C59" s="1204" t="s">
        <v>778</v>
      </c>
      <c r="D59" s="1203" t="s">
        <v>917</v>
      </c>
      <c r="E59" s="1205" t="s">
        <v>918</v>
      </c>
      <c r="F59" s="769"/>
      <c r="G59" s="1203" t="s">
        <v>141</v>
      </c>
      <c r="H59" s="769"/>
      <c r="I59" s="1205"/>
      <c r="J59" s="1205"/>
    </row>
    <row r="60" spans="1:10" ht="41.25" thickBot="1">
      <c r="A60" s="1200" t="s">
        <v>919</v>
      </c>
      <c r="B60" s="1200" t="s">
        <v>807</v>
      </c>
      <c r="C60" s="1201" t="s">
        <v>778</v>
      </c>
      <c r="D60" s="1200" t="s">
        <v>920</v>
      </c>
      <c r="E60" s="1202" t="s">
        <v>921</v>
      </c>
      <c r="F60" s="901">
        <v>20487079635</v>
      </c>
      <c r="G60" s="1200" t="s">
        <v>314</v>
      </c>
      <c r="H60" s="901"/>
      <c r="I60" s="1214">
        <v>43958</v>
      </c>
      <c r="J60" s="1202"/>
    </row>
    <row r="61" spans="1:10" ht="54.75" thickBot="1">
      <c r="A61" s="1203" t="s">
        <v>922</v>
      </c>
      <c r="B61" s="1203" t="s">
        <v>807</v>
      </c>
      <c r="C61" s="1215" t="s">
        <v>778</v>
      </c>
      <c r="D61" s="1203" t="s">
        <v>923</v>
      </c>
      <c r="E61" s="1205" t="s">
        <v>924</v>
      </c>
      <c r="F61" s="769">
        <v>20528919902</v>
      </c>
      <c r="G61" s="1203" t="s">
        <v>314</v>
      </c>
      <c r="H61" s="769"/>
      <c r="I61" s="1216">
        <v>43896</v>
      </c>
      <c r="J61" s="1205"/>
    </row>
    <row r="62" spans="1:10" ht="95.25" thickBot="1">
      <c r="A62" s="1200" t="s">
        <v>925</v>
      </c>
      <c r="B62" s="1200" t="s">
        <v>796</v>
      </c>
      <c r="C62" s="1217" t="s">
        <v>778</v>
      </c>
      <c r="D62" s="1200" t="s">
        <v>926</v>
      </c>
      <c r="E62" s="1202" t="s">
        <v>852</v>
      </c>
      <c r="F62" s="901"/>
      <c r="G62" s="1200" t="s">
        <v>927</v>
      </c>
      <c r="H62" s="901"/>
      <c r="I62" s="1202"/>
      <c r="J62" s="1202"/>
    </row>
    <row r="63" spans="1:10" ht="81.75" thickBot="1">
      <c r="A63" s="1203" t="s">
        <v>928</v>
      </c>
      <c r="B63" s="1203" t="s">
        <v>796</v>
      </c>
      <c r="C63" s="1215" t="s">
        <v>778</v>
      </c>
      <c r="D63" s="1203" t="s">
        <v>929</v>
      </c>
      <c r="E63" s="1205" t="s">
        <v>852</v>
      </c>
      <c r="F63" s="769"/>
      <c r="G63" s="1203" t="s">
        <v>930</v>
      </c>
      <c r="H63" s="769"/>
      <c r="I63" s="1205"/>
      <c r="J63" s="1205"/>
    </row>
    <row r="64" spans="1:10" ht="95.25" thickBot="1">
      <c r="A64" s="1200" t="s">
        <v>931</v>
      </c>
      <c r="B64" s="1200" t="s">
        <v>796</v>
      </c>
      <c r="C64" s="1217" t="s">
        <v>778</v>
      </c>
      <c r="D64" s="1200" t="s">
        <v>932</v>
      </c>
      <c r="E64" s="1202" t="s">
        <v>852</v>
      </c>
      <c r="F64" s="901"/>
      <c r="G64" s="1200" t="s">
        <v>930</v>
      </c>
      <c r="H64" s="901"/>
      <c r="I64" s="1202"/>
      <c r="J64" s="1202"/>
    </row>
    <row r="65" spans="1:10" ht="81.75" thickBot="1">
      <c r="A65" s="1203" t="s">
        <v>933</v>
      </c>
      <c r="B65" s="1203"/>
      <c r="C65" s="1215" t="s">
        <v>778</v>
      </c>
      <c r="D65" s="1203" t="s">
        <v>934</v>
      </c>
      <c r="E65" s="1205" t="s">
        <v>935</v>
      </c>
      <c r="F65" s="769"/>
      <c r="G65" s="1203" t="s">
        <v>936</v>
      </c>
      <c r="H65" s="769"/>
      <c r="I65" s="1205"/>
      <c r="J65" s="1205"/>
    </row>
    <row r="66" spans="1:10" ht="68.25" thickBot="1">
      <c r="A66" s="1200" t="s">
        <v>937</v>
      </c>
      <c r="B66" s="1200" t="s">
        <v>796</v>
      </c>
      <c r="C66" s="1217" t="s">
        <v>778</v>
      </c>
      <c r="D66" s="1200" t="s">
        <v>938</v>
      </c>
      <c r="E66" s="1202" t="s">
        <v>939</v>
      </c>
      <c r="F66" s="901"/>
      <c r="G66" s="1200" t="s">
        <v>870</v>
      </c>
      <c r="H66" s="901"/>
      <c r="I66" s="1202"/>
      <c r="J66" s="1202"/>
    </row>
    <row r="67" spans="1:10" ht="81.75" thickBot="1">
      <c r="A67" s="1203" t="s">
        <v>940</v>
      </c>
      <c r="B67" s="1203" t="s">
        <v>796</v>
      </c>
      <c r="C67" s="1217" t="s">
        <v>778</v>
      </c>
      <c r="D67" s="1203" t="s">
        <v>941</v>
      </c>
      <c r="E67" s="1205" t="s">
        <v>942</v>
      </c>
      <c r="F67" s="769"/>
      <c r="G67" s="1203"/>
      <c r="H67" s="769"/>
      <c r="I67" s="1205"/>
      <c r="J67" s="1205"/>
    </row>
    <row r="68" spans="1:10" ht="81.75" thickBot="1">
      <c r="A68" s="1200" t="s">
        <v>943</v>
      </c>
      <c r="B68" s="1200" t="s">
        <v>796</v>
      </c>
      <c r="C68" s="1217" t="s">
        <v>778</v>
      </c>
      <c r="D68" s="1200" t="s">
        <v>944</v>
      </c>
      <c r="E68" s="1202" t="s">
        <v>935</v>
      </c>
      <c r="F68" s="901"/>
      <c r="G68" s="1200" t="s">
        <v>870</v>
      </c>
      <c r="H68" s="901"/>
      <c r="I68" s="1202"/>
      <c r="J68" s="1202"/>
    </row>
    <row r="69" spans="1:10" ht="81.75" thickBot="1">
      <c r="A69" s="1203" t="s">
        <v>945</v>
      </c>
      <c r="B69" s="1203" t="s">
        <v>796</v>
      </c>
      <c r="C69" s="1217" t="s">
        <v>778</v>
      </c>
      <c r="D69" s="1203" t="s">
        <v>946</v>
      </c>
      <c r="E69" s="1205" t="s">
        <v>947</v>
      </c>
      <c r="F69" s="769"/>
      <c r="G69" s="1203" t="s">
        <v>141</v>
      </c>
      <c r="H69" s="769"/>
      <c r="I69" s="1205"/>
      <c r="J69" s="1205"/>
    </row>
    <row r="70" spans="1:10" ht="95.25" thickBot="1">
      <c r="A70" s="1200" t="s">
        <v>948</v>
      </c>
      <c r="B70" s="1200" t="s">
        <v>796</v>
      </c>
      <c r="C70" s="1217" t="s">
        <v>778</v>
      </c>
      <c r="D70" s="1200" t="s">
        <v>949</v>
      </c>
      <c r="E70" s="1202" t="s">
        <v>950</v>
      </c>
      <c r="F70" s="901"/>
      <c r="G70" s="1200" t="s">
        <v>141</v>
      </c>
      <c r="H70" s="901"/>
      <c r="I70" s="1202"/>
      <c r="J70" s="1202"/>
    </row>
    <row r="71" spans="1:10" ht="95.25" thickBot="1">
      <c r="A71" s="1200" t="s">
        <v>951</v>
      </c>
      <c r="B71" s="1200" t="s">
        <v>796</v>
      </c>
      <c r="C71" s="1217" t="s">
        <v>778</v>
      </c>
      <c r="D71" s="1200" t="s">
        <v>952</v>
      </c>
      <c r="E71" s="1202" t="s">
        <v>852</v>
      </c>
      <c r="F71" s="901"/>
      <c r="G71" s="1200" t="s">
        <v>863</v>
      </c>
      <c r="H71" s="901"/>
      <c r="I71" s="1202"/>
      <c r="J71" s="1202"/>
    </row>
    <row r="72" spans="1:10" ht="95.25" thickBot="1">
      <c r="A72" s="1203" t="s">
        <v>953</v>
      </c>
      <c r="B72" s="1203" t="s">
        <v>796</v>
      </c>
      <c r="C72" s="1217" t="s">
        <v>778</v>
      </c>
      <c r="D72" s="1203" t="s">
        <v>954</v>
      </c>
      <c r="E72" s="1205" t="s">
        <v>955</v>
      </c>
      <c r="F72" s="769">
        <v>20512336974</v>
      </c>
      <c r="G72" s="1203" t="s">
        <v>141</v>
      </c>
      <c r="H72" s="1213"/>
      <c r="I72" s="1213">
        <v>44064</v>
      </c>
      <c r="J72" s="1205"/>
    </row>
    <row r="73" spans="1:10" ht="81.75" thickBot="1">
      <c r="A73" s="1200" t="s">
        <v>945</v>
      </c>
      <c r="B73" s="1200" t="s">
        <v>796</v>
      </c>
      <c r="C73" s="1217" t="s">
        <v>778</v>
      </c>
      <c r="D73" s="1200" t="s">
        <v>956</v>
      </c>
      <c r="E73" s="1202" t="s">
        <v>947</v>
      </c>
      <c r="F73" s="901"/>
      <c r="G73" s="1200" t="s">
        <v>799</v>
      </c>
      <c r="H73" s="901"/>
      <c r="I73" s="1202"/>
      <c r="J73" s="1202"/>
    </row>
    <row r="74" spans="1:10" ht="81.75" thickBot="1">
      <c r="A74" s="1203" t="s">
        <v>957</v>
      </c>
      <c r="B74" s="1203" t="s">
        <v>796</v>
      </c>
      <c r="C74" s="1217" t="s">
        <v>778</v>
      </c>
      <c r="D74" s="1203" t="s">
        <v>958</v>
      </c>
      <c r="E74" s="1205" t="s">
        <v>959</v>
      </c>
      <c r="F74" s="769">
        <v>4081796</v>
      </c>
      <c r="G74" s="1203" t="s">
        <v>314</v>
      </c>
      <c r="H74" s="1213"/>
      <c r="I74" s="1213">
        <v>44049</v>
      </c>
      <c r="J74" s="1205"/>
    </row>
    <row r="75" spans="1:10" ht="81.75" thickBot="1">
      <c r="A75" s="1200" t="s">
        <v>960</v>
      </c>
      <c r="B75" s="1200" t="s">
        <v>796</v>
      </c>
      <c r="C75" s="1217" t="s">
        <v>778</v>
      </c>
      <c r="D75" s="1200" t="s">
        <v>961</v>
      </c>
      <c r="E75" s="1202" t="s">
        <v>962</v>
      </c>
      <c r="F75" s="901">
        <v>40631939</v>
      </c>
      <c r="G75" s="1200" t="s">
        <v>141</v>
      </c>
      <c r="H75" s="1212"/>
      <c r="I75" s="1212">
        <v>44063</v>
      </c>
      <c r="J75" s="1202"/>
    </row>
    <row r="76" spans="1:11" ht="81">
      <c r="A76" s="1222" t="s">
        <v>963</v>
      </c>
      <c r="B76" s="1222" t="s">
        <v>796</v>
      </c>
      <c r="C76" s="1223" t="s">
        <v>778</v>
      </c>
      <c r="D76" s="1222" t="s">
        <v>964</v>
      </c>
      <c r="E76" s="1224" t="s">
        <v>935</v>
      </c>
      <c r="F76" s="1225"/>
      <c r="G76" s="1222" t="s">
        <v>799</v>
      </c>
      <c r="H76" s="1225"/>
      <c r="I76" s="1224"/>
      <c r="J76" s="1224"/>
      <c r="K76" s="13"/>
    </row>
    <row r="77" spans="1:10" ht="95.25" thickBot="1">
      <c r="A77" s="1218" t="s">
        <v>931</v>
      </c>
      <c r="B77" s="1218" t="s">
        <v>796</v>
      </c>
      <c r="C77" s="1219" t="s">
        <v>778</v>
      </c>
      <c r="D77" s="1218" t="s">
        <v>965</v>
      </c>
      <c r="E77" s="1220" t="s">
        <v>966</v>
      </c>
      <c r="F77" s="1221"/>
      <c r="G77" s="1218" t="s">
        <v>799</v>
      </c>
      <c r="H77" s="1221"/>
      <c r="I77" s="1220"/>
      <c r="J77" s="1220"/>
    </row>
    <row r="78" spans="1:10" ht="27.75" thickBot="1">
      <c r="A78" s="1203" t="s">
        <v>967</v>
      </c>
      <c r="B78" s="1203" t="s">
        <v>796</v>
      </c>
      <c r="C78" s="1217" t="s">
        <v>778</v>
      </c>
      <c r="D78" s="1203" t="s">
        <v>968</v>
      </c>
      <c r="E78" s="1205" t="s">
        <v>969</v>
      </c>
      <c r="F78" s="769">
        <v>45459023</v>
      </c>
      <c r="G78" s="1203" t="s">
        <v>141</v>
      </c>
      <c r="H78" s="1213"/>
      <c r="I78" s="1213">
        <v>43976</v>
      </c>
      <c r="J78" s="1205"/>
    </row>
    <row r="79" spans="1:10" ht="81.75" thickBot="1">
      <c r="A79" s="1200" t="s">
        <v>970</v>
      </c>
      <c r="B79" s="1200" t="s">
        <v>796</v>
      </c>
      <c r="C79" s="1217" t="s">
        <v>778</v>
      </c>
      <c r="D79" s="1200" t="s">
        <v>971</v>
      </c>
      <c r="E79" s="1202" t="s">
        <v>959</v>
      </c>
      <c r="F79" s="901"/>
      <c r="G79" s="1200" t="s">
        <v>799</v>
      </c>
      <c r="H79" s="901"/>
      <c r="I79" s="1202"/>
      <c r="J79" s="1202"/>
    </row>
    <row r="80" spans="1:10" ht="81.75" thickBot="1">
      <c r="A80" s="1203" t="s">
        <v>972</v>
      </c>
      <c r="B80" s="1203" t="s">
        <v>796</v>
      </c>
      <c r="C80" s="1217" t="s">
        <v>778</v>
      </c>
      <c r="D80" s="1203" t="s">
        <v>973</v>
      </c>
      <c r="E80" s="1205" t="s">
        <v>947</v>
      </c>
      <c r="F80" s="769"/>
      <c r="G80" s="1203" t="s">
        <v>781</v>
      </c>
      <c r="H80" s="769"/>
      <c r="I80" s="1205"/>
      <c r="J80" s="1205"/>
    </row>
    <row r="81" spans="1:10" ht="68.25" thickBot="1">
      <c r="A81" s="1200" t="s">
        <v>974</v>
      </c>
      <c r="B81" s="1200" t="s">
        <v>796</v>
      </c>
      <c r="C81" s="1217" t="s">
        <v>778</v>
      </c>
      <c r="D81" s="1200" t="s">
        <v>975</v>
      </c>
      <c r="E81" s="1202" t="s">
        <v>939</v>
      </c>
      <c r="F81" s="901"/>
      <c r="G81" s="1200" t="s">
        <v>799</v>
      </c>
      <c r="H81" s="901"/>
      <c r="I81" s="1202"/>
      <c r="J81" s="1202"/>
    </row>
    <row r="82" spans="1:10" ht="95.25" thickBot="1">
      <c r="A82" s="1203" t="s">
        <v>976</v>
      </c>
      <c r="B82" s="1203" t="s">
        <v>796</v>
      </c>
      <c r="C82" s="1217" t="s">
        <v>778</v>
      </c>
      <c r="D82" s="1203" t="s">
        <v>977</v>
      </c>
      <c r="E82" s="1205" t="s">
        <v>978</v>
      </c>
      <c r="F82" s="769"/>
      <c r="G82" s="1203" t="s">
        <v>979</v>
      </c>
      <c r="H82" s="769"/>
      <c r="I82" s="1205"/>
      <c r="J82" s="1205"/>
    </row>
    <row r="83" spans="1:10" ht="27.75" thickBot="1">
      <c r="A83" s="1200" t="s">
        <v>967</v>
      </c>
      <c r="B83" s="1200" t="s">
        <v>796</v>
      </c>
      <c r="C83" s="1217" t="s">
        <v>778</v>
      </c>
      <c r="D83" s="1200" t="s">
        <v>968</v>
      </c>
      <c r="E83" s="1202" t="s">
        <v>969</v>
      </c>
      <c r="F83" s="901"/>
      <c r="G83" s="1200" t="s">
        <v>781</v>
      </c>
      <c r="H83" s="901"/>
      <c r="I83" s="1202"/>
      <c r="J83" s="1202"/>
    </row>
    <row r="84" spans="1:10" ht="68.25" thickBot="1">
      <c r="A84" s="1200" t="s">
        <v>974</v>
      </c>
      <c r="B84" s="1235" t="s">
        <v>796</v>
      </c>
      <c r="C84" s="1217" t="s">
        <v>778</v>
      </c>
      <c r="D84" s="1235" t="s">
        <v>980</v>
      </c>
      <c r="E84" s="1244" t="s">
        <v>939</v>
      </c>
      <c r="F84" s="901"/>
      <c r="G84" s="1200" t="s">
        <v>981</v>
      </c>
      <c r="H84" s="901"/>
      <c r="I84" s="1202"/>
      <c r="J84" s="1202"/>
    </row>
    <row r="85" spans="1:10" ht="13.5">
      <c r="A85" s="769"/>
      <c r="B85" s="769"/>
      <c r="C85" s="769"/>
      <c r="D85" s="769"/>
      <c r="E85" s="769"/>
      <c r="F85" s="769"/>
      <c r="G85" s="769"/>
      <c r="H85" s="769"/>
      <c r="I85" s="769"/>
      <c r="J85" s="769"/>
    </row>
    <row r="86" spans="1:10" ht="12">
      <c r="A86" s="96" t="s">
        <v>2728</v>
      </c>
      <c r="B86" s="96"/>
      <c r="C86" s="96"/>
      <c r="D86" s="96"/>
      <c r="E86" s="96"/>
      <c r="F86" s="96"/>
      <c r="G86" s="96"/>
      <c r="H86" s="96"/>
      <c r="I86" s="96"/>
      <c r="J86" s="96"/>
    </row>
    <row r="87" spans="1:7" ht="12.75" thickBot="1">
      <c r="A87" s="10"/>
      <c r="B87" s="10"/>
      <c r="C87" s="10"/>
      <c r="D87" s="15"/>
      <c r="E87" s="15"/>
      <c r="F87" s="15"/>
      <c r="G87" s="20"/>
    </row>
    <row r="88" spans="1:10" ht="12.75" thickBot="1">
      <c r="A88" s="1385" t="s">
        <v>80</v>
      </c>
      <c r="B88" s="56"/>
      <c r="C88" s="56"/>
      <c r="D88" s="33"/>
      <c r="E88" s="33"/>
      <c r="F88" s="33"/>
      <c r="G88" s="33" t="s">
        <v>31</v>
      </c>
      <c r="H88" s="33" t="s">
        <v>81</v>
      </c>
      <c r="I88" s="43"/>
      <c r="J88" s="43"/>
    </row>
    <row r="89" spans="1:10" ht="36">
      <c r="A89" s="1197" t="s">
        <v>87</v>
      </c>
      <c r="B89" s="487" t="s">
        <v>86</v>
      </c>
      <c r="C89" s="487" t="s">
        <v>202</v>
      </c>
      <c r="D89" s="488" t="s">
        <v>203</v>
      </c>
      <c r="E89" s="488" t="s">
        <v>2</v>
      </c>
      <c r="F89" s="488" t="s">
        <v>201</v>
      </c>
      <c r="G89" s="487" t="s">
        <v>89</v>
      </c>
      <c r="H89" s="488" t="s">
        <v>163</v>
      </c>
      <c r="I89" s="488" t="s">
        <v>168</v>
      </c>
      <c r="J89" s="488" t="s">
        <v>88</v>
      </c>
    </row>
    <row r="90" spans="1:11" ht="48">
      <c r="A90" s="918" t="s">
        <v>2729</v>
      </c>
      <c r="B90" s="1333" t="s">
        <v>2730</v>
      </c>
      <c r="C90" s="918" t="s">
        <v>2731</v>
      </c>
      <c r="D90" s="1371" t="s">
        <v>2732</v>
      </c>
      <c r="E90" s="1372">
        <v>203915</v>
      </c>
      <c r="F90" s="918" t="s">
        <v>2733</v>
      </c>
      <c r="G90" s="1373" t="s">
        <v>2734</v>
      </c>
      <c r="H90" s="1373"/>
      <c r="I90" s="1373" t="s">
        <v>2735</v>
      </c>
      <c r="J90" s="1373"/>
      <c r="K90" s="57"/>
    </row>
    <row r="91" spans="1:11" ht="96">
      <c r="A91" s="918" t="s">
        <v>2736</v>
      </c>
      <c r="B91" s="1333" t="s">
        <v>2737</v>
      </c>
      <c r="C91" s="918" t="s">
        <v>2731</v>
      </c>
      <c r="D91" s="1371" t="s">
        <v>2732</v>
      </c>
      <c r="E91" s="1372">
        <v>510000</v>
      </c>
      <c r="F91" s="918" t="s">
        <v>2738</v>
      </c>
      <c r="G91" s="1373" t="s">
        <v>2734</v>
      </c>
      <c r="H91" s="1373"/>
      <c r="I91" s="1373" t="s">
        <v>2739</v>
      </c>
      <c r="J91" s="1373"/>
      <c r="K91" s="57"/>
    </row>
    <row r="92" spans="1:11" ht="96">
      <c r="A92" s="918" t="s">
        <v>2740</v>
      </c>
      <c r="B92" s="1333" t="s">
        <v>2730</v>
      </c>
      <c r="C92" s="918" t="s">
        <v>2731</v>
      </c>
      <c r="D92" s="1371" t="s">
        <v>2741</v>
      </c>
      <c r="E92" s="1372">
        <v>88000</v>
      </c>
      <c r="F92" s="918" t="s">
        <v>2742</v>
      </c>
      <c r="G92" s="1373" t="s">
        <v>2734</v>
      </c>
      <c r="H92" s="1373"/>
      <c r="I92" s="1373" t="s">
        <v>2735</v>
      </c>
      <c r="J92" s="1373"/>
      <c r="K92" s="57"/>
    </row>
    <row r="93" spans="1:11" ht="84">
      <c r="A93" s="918" t="s">
        <v>2743</v>
      </c>
      <c r="B93" s="1333" t="s">
        <v>2730</v>
      </c>
      <c r="C93" s="918" t="s">
        <v>2731</v>
      </c>
      <c r="D93" s="1371" t="s">
        <v>2744</v>
      </c>
      <c r="E93" s="1374">
        <v>44138.4</v>
      </c>
      <c r="F93" s="918" t="s">
        <v>2745</v>
      </c>
      <c r="G93" s="1373" t="s">
        <v>2734</v>
      </c>
      <c r="H93" s="1373"/>
      <c r="I93" s="1373" t="s">
        <v>2735</v>
      </c>
      <c r="J93" s="1373"/>
      <c r="K93" s="57"/>
    </row>
    <row r="94" spans="1:11" ht="96">
      <c r="A94" s="918" t="s">
        <v>2746</v>
      </c>
      <c r="B94" s="1333" t="s">
        <v>2737</v>
      </c>
      <c r="C94" s="918" t="s">
        <v>2731</v>
      </c>
      <c r="D94" s="1371" t="s">
        <v>2747</v>
      </c>
      <c r="E94" s="1374">
        <v>1822000</v>
      </c>
      <c r="F94" s="918" t="s">
        <v>2748</v>
      </c>
      <c r="G94" s="1373" t="s">
        <v>2749</v>
      </c>
      <c r="H94" s="1373"/>
      <c r="I94" s="1373" t="s">
        <v>2739</v>
      </c>
      <c r="J94" s="1373"/>
      <c r="K94" s="57"/>
    </row>
    <row r="95" spans="1:11" ht="72">
      <c r="A95" s="918" t="s">
        <v>2750</v>
      </c>
      <c r="B95" s="1333" t="s">
        <v>2730</v>
      </c>
      <c r="C95" s="918" t="s">
        <v>2731</v>
      </c>
      <c r="D95" s="1373" t="s">
        <v>2751</v>
      </c>
      <c r="E95" s="1375">
        <v>187370</v>
      </c>
      <c r="F95" s="1373" t="s">
        <v>2752</v>
      </c>
      <c r="G95" s="1373" t="s">
        <v>2734</v>
      </c>
      <c r="H95" s="1373"/>
      <c r="I95" s="1373" t="s">
        <v>2735</v>
      </c>
      <c r="J95" s="1373"/>
      <c r="K95" s="57"/>
    </row>
    <row r="96" spans="1:10" ht="12">
      <c r="A96" s="938" t="s">
        <v>0</v>
      </c>
      <c r="B96" s="938"/>
      <c r="C96" s="938"/>
      <c r="D96" s="938"/>
      <c r="E96" s="938"/>
      <c r="F96" s="938"/>
      <c r="G96" s="536"/>
      <c r="H96" s="536"/>
      <c r="I96" s="536"/>
      <c r="J96" s="536"/>
    </row>
    <row r="98" spans="1:10" ht="12.75" thickBot="1">
      <c r="A98" s="1376" t="s">
        <v>2754</v>
      </c>
      <c r="B98" s="1377"/>
      <c r="C98" s="1377"/>
      <c r="D98" s="1377"/>
      <c r="E98" s="1377"/>
      <c r="F98" s="1378"/>
      <c r="G98" s="1379"/>
      <c r="H98" s="1380"/>
      <c r="I98" s="1380"/>
      <c r="J98" s="1381"/>
    </row>
    <row r="99" spans="1:10" ht="12.75" thickBot="1">
      <c r="A99" s="1386" t="s">
        <v>80</v>
      </c>
      <c r="B99" s="56"/>
      <c r="C99" s="56"/>
      <c r="D99" s="33"/>
      <c r="E99" s="33"/>
      <c r="F99" s="1382"/>
      <c r="G99" s="33" t="s">
        <v>31</v>
      </c>
      <c r="H99" s="33" t="s">
        <v>81</v>
      </c>
      <c r="I99" s="43"/>
      <c r="J99" s="43"/>
    </row>
    <row r="100" spans="1:10" ht="36">
      <c r="A100" s="1197" t="s">
        <v>87</v>
      </c>
      <c r="B100" s="487" t="s">
        <v>86</v>
      </c>
      <c r="C100" s="487" t="s">
        <v>202</v>
      </c>
      <c r="D100" s="488" t="s">
        <v>203</v>
      </c>
      <c r="E100" s="488" t="s">
        <v>2</v>
      </c>
      <c r="F100" s="488" t="s">
        <v>201</v>
      </c>
      <c r="G100" s="487" t="s">
        <v>89</v>
      </c>
      <c r="H100" s="488" t="s">
        <v>163</v>
      </c>
      <c r="I100" s="488" t="s">
        <v>168</v>
      </c>
      <c r="J100" s="488" t="s">
        <v>88</v>
      </c>
    </row>
    <row r="101" spans="1:11" ht="12.75">
      <c r="A101" s="1387" t="s">
        <v>2755</v>
      </c>
      <c r="B101" s="1388"/>
      <c r="C101" s="1388"/>
      <c r="D101" s="1389"/>
      <c r="E101" s="1390"/>
      <c r="F101" s="1391"/>
      <c r="G101" s="1389"/>
      <c r="H101" s="1392"/>
      <c r="I101" s="1389"/>
      <c r="J101" s="1393"/>
      <c r="K101" s="868"/>
    </row>
    <row r="102" spans="1:11" ht="48">
      <c r="A102" s="1394" t="s">
        <v>2756</v>
      </c>
      <c r="B102" s="1395" t="s">
        <v>796</v>
      </c>
      <c r="C102" s="1395" t="s">
        <v>796</v>
      </c>
      <c r="D102" s="1318">
        <v>1</v>
      </c>
      <c r="E102" s="1390">
        <v>153200</v>
      </c>
      <c r="F102" s="1318" t="s">
        <v>2757</v>
      </c>
      <c r="G102" s="1318" t="s">
        <v>2758</v>
      </c>
      <c r="H102" s="1396">
        <v>43634</v>
      </c>
      <c r="I102" s="1397" t="s">
        <v>2758</v>
      </c>
      <c r="J102" s="1324"/>
      <c r="K102" s="868"/>
    </row>
    <row r="103" spans="1:11" ht="36">
      <c r="A103" s="1394" t="s">
        <v>2759</v>
      </c>
      <c r="B103" s="1395" t="s">
        <v>796</v>
      </c>
      <c r="C103" s="1395" t="s">
        <v>796</v>
      </c>
      <c r="D103" s="1318">
        <v>1</v>
      </c>
      <c r="E103" s="1398">
        <v>243936</v>
      </c>
      <c r="F103" s="1318" t="s">
        <v>2760</v>
      </c>
      <c r="G103" s="1318" t="s">
        <v>2758</v>
      </c>
      <c r="H103" s="1396">
        <v>43825</v>
      </c>
      <c r="I103" s="1397" t="s">
        <v>2758</v>
      </c>
      <c r="J103" s="1324"/>
      <c r="K103" s="868"/>
    </row>
    <row r="104" spans="1:11" ht="12.75">
      <c r="A104" s="1399" t="s">
        <v>0</v>
      </c>
      <c r="B104" s="1400"/>
      <c r="C104" s="1400"/>
      <c r="D104" s="1399"/>
      <c r="E104" s="1401">
        <f>SUM(E102:E103)</f>
        <v>397136</v>
      </c>
      <c r="F104" s="1402"/>
      <c r="G104" s="1399"/>
      <c r="H104" s="1403"/>
      <c r="I104" s="1404"/>
      <c r="J104" s="1405"/>
      <c r="K104" s="868"/>
    </row>
    <row r="105" spans="1:11" ht="12">
      <c r="A105" s="1406" t="s">
        <v>2761</v>
      </c>
      <c r="B105" s="1388"/>
      <c r="C105" s="1388"/>
      <c r="D105" s="1389"/>
      <c r="E105" s="1390"/>
      <c r="F105" s="1407"/>
      <c r="G105" s="1407"/>
      <c r="H105" s="1407"/>
      <c r="I105" s="1407"/>
      <c r="J105" s="1324"/>
      <c r="K105" s="868"/>
    </row>
    <row r="106" spans="1:11" ht="22.5">
      <c r="A106" s="1394" t="s">
        <v>2762</v>
      </c>
      <c r="B106" s="1395" t="s">
        <v>796</v>
      </c>
      <c r="C106" s="1395" t="s">
        <v>796</v>
      </c>
      <c r="D106" s="1318">
        <v>1</v>
      </c>
      <c r="E106" s="1408">
        <v>78155</v>
      </c>
      <c r="F106" s="1600" t="s">
        <v>2763</v>
      </c>
      <c r="G106" s="1600"/>
      <c r="H106" s="1600"/>
      <c r="I106" s="1600"/>
      <c r="J106" s="1324"/>
      <c r="K106" s="868"/>
    </row>
    <row r="107" spans="1:11" ht="22.5">
      <c r="A107" s="1394" t="s">
        <v>2764</v>
      </c>
      <c r="B107" s="1395" t="s">
        <v>796</v>
      </c>
      <c r="C107" s="1395" t="s">
        <v>796</v>
      </c>
      <c r="D107" s="1318">
        <v>1</v>
      </c>
      <c r="E107" s="1408">
        <v>78613.2</v>
      </c>
      <c r="F107" s="1600" t="s">
        <v>2763</v>
      </c>
      <c r="G107" s="1600"/>
      <c r="H107" s="1600"/>
      <c r="I107" s="1600"/>
      <c r="J107" s="1324"/>
      <c r="K107" s="868"/>
    </row>
    <row r="109" spans="1:11" ht="12.75">
      <c r="A109" s="1450" t="s">
        <v>2765</v>
      </c>
      <c r="B109" s="1409"/>
      <c r="C109" s="1409"/>
      <c r="D109" s="1409"/>
      <c r="E109" s="1409"/>
      <c r="F109" s="1409"/>
      <c r="G109" s="1409"/>
      <c r="H109" s="1409"/>
      <c r="I109" s="1409"/>
      <c r="J109" s="1409"/>
      <c r="K109" s="96"/>
    </row>
    <row r="110" spans="1:10" ht="12.75">
      <c r="A110" s="1410"/>
      <c r="B110" s="1410"/>
      <c r="C110" s="1410"/>
      <c r="D110" s="1411"/>
      <c r="E110" s="1411"/>
      <c r="F110" s="1411"/>
      <c r="G110" s="1412"/>
      <c r="H110" s="1411"/>
      <c r="I110" s="1411"/>
      <c r="J110" s="1411"/>
    </row>
    <row r="111" spans="1:11" ht="13.5" thickBot="1">
      <c r="A111" s="1451" t="s">
        <v>80</v>
      </c>
      <c r="B111" s="1452"/>
      <c r="C111" s="1452"/>
      <c r="D111" s="1452"/>
      <c r="E111" s="1452"/>
      <c r="F111" s="1452"/>
      <c r="G111" s="1452"/>
      <c r="H111" s="1452"/>
      <c r="I111" s="1452"/>
      <c r="J111" s="1452"/>
      <c r="K111" s="77"/>
    </row>
    <row r="112" spans="1:10" ht="39" thickBot="1">
      <c r="A112" s="1413" t="s">
        <v>87</v>
      </c>
      <c r="B112" s="1457" t="s">
        <v>86</v>
      </c>
      <c r="C112" s="1457" t="s">
        <v>202</v>
      </c>
      <c r="D112" s="1458" t="s">
        <v>203</v>
      </c>
      <c r="E112" s="1458" t="s">
        <v>2</v>
      </c>
      <c r="F112" s="1458" t="s">
        <v>201</v>
      </c>
      <c r="G112" s="1457" t="s">
        <v>89</v>
      </c>
      <c r="H112" s="1458" t="s">
        <v>163</v>
      </c>
      <c r="I112" s="1458" t="s">
        <v>168</v>
      </c>
      <c r="J112" s="1458" t="s">
        <v>88</v>
      </c>
    </row>
    <row r="113" spans="1:10" ht="63.75">
      <c r="A113" s="1414" t="s">
        <v>2766</v>
      </c>
      <c r="B113" s="1453" t="s">
        <v>2767</v>
      </c>
      <c r="C113" s="1453" t="s">
        <v>2768</v>
      </c>
      <c r="D113" s="1453" t="s">
        <v>2769</v>
      </c>
      <c r="E113" s="1454">
        <v>196261.49</v>
      </c>
      <c r="F113" s="1453"/>
      <c r="G113" s="1455" t="s">
        <v>2770</v>
      </c>
      <c r="H113" s="1456">
        <v>44126</v>
      </c>
      <c r="I113" s="1455" t="s">
        <v>2771</v>
      </c>
      <c r="J113" s="1455" t="s">
        <v>2772</v>
      </c>
    </row>
    <row r="114" spans="1:10" ht="76.5">
      <c r="A114" s="1414" t="s">
        <v>2773</v>
      </c>
      <c r="B114" s="1414" t="s">
        <v>2767</v>
      </c>
      <c r="C114" s="1414" t="s">
        <v>2768</v>
      </c>
      <c r="D114" s="1414" t="s">
        <v>2774</v>
      </c>
      <c r="E114" s="1415">
        <v>100000</v>
      </c>
      <c r="F114" s="1414" t="s">
        <v>2775</v>
      </c>
      <c r="G114" s="1416" t="s">
        <v>2776</v>
      </c>
      <c r="H114" s="1417">
        <v>44112</v>
      </c>
      <c r="I114" s="1416" t="s">
        <v>2777</v>
      </c>
      <c r="J114" s="1416" t="s">
        <v>2772</v>
      </c>
    </row>
    <row r="115" spans="1:10" ht="63.75">
      <c r="A115" s="1414" t="s">
        <v>2778</v>
      </c>
      <c r="B115" s="1414" t="s">
        <v>2767</v>
      </c>
      <c r="C115" s="1414" t="s">
        <v>2768</v>
      </c>
      <c r="D115" s="1414" t="s">
        <v>2779</v>
      </c>
      <c r="E115" s="1415">
        <v>130000</v>
      </c>
      <c r="F115" s="1414" t="s">
        <v>2780</v>
      </c>
      <c r="G115" s="1416" t="s">
        <v>2776</v>
      </c>
      <c r="H115" s="1417">
        <v>44112</v>
      </c>
      <c r="I115" s="1416" t="s">
        <v>2777</v>
      </c>
      <c r="J115" s="1416" t="s">
        <v>2772</v>
      </c>
    </row>
    <row r="116" spans="1:10" ht="63.75">
      <c r="A116" s="1414" t="s">
        <v>2781</v>
      </c>
      <c r="B116" s="1414" t="s">
        <v>2767</v>
      </c>
      <c r="C116" s="1414" t="s">
        <v>2768</v>
      </c>
      <c r="D116" s="1414" t="s">
        <v>2782</v>
      </c>
      <c r="E116" s="1415">
        <v>263360</v>
      </c>
      <c r="F116" s="1414" t="s">
        <v>2783</v>
      </c>
      <c r="G116" s="1416" t="s">
        <v>2776</v>
      </c>
      <c r="H116" s="1417">
        <v>44109</v>
      </c>
      <c r="I116" s="1416" t="s">
        <v>2771</v>
      </c>
      <c r="J116" s="1416" t="s">
        <v>2772</v>
      </c>
    </row>
    <row r="117" spans="1:10" ht="63.75">
      <c r="A117" s="1414" t="s">
        <v>2784</v>
      </c>
      <c r="B117" s="1414" t="s">
        <v>2785</v>
      </c>
      <c r="C117" s="1414" t="s">
        <v>2786</v>
      </c>
      <c r="D117" s="1414" t="s">
        <v>2769</v>
      </c>
      <c r="E117" s="1415">
        <v>401226.25</v>
      </c>
      <c r="F117" s="1414" t="s">
        <v>2787</v>
      </c>
      <c r="G117" s="1416" t="s">
        <v>2788</v>
      </c>
      <c r="H117" s="1417">
        <v>44092</v>
      </c>
      <c r="I117" s="1416" t="s">
        <v>2789</v>
      </c>
      <c r="J117" s="1416" t="s">
        <v>2772</v>
      </c>
    </row>
    <row r="118" spans="1:10" ht="89.25">
      <c r="A118" s="1414" t="s">
        <v>2790</v>
      </c>
      <c r="B118" s="1414" t="s">
        <v>2785</v>
      </c>
      <c r="C118" s="1414" t="s">
        <v>2786</v>
      </c>
      <c r="D118" s="1414" t="s">
        <v>2779</v>
      </c>
      <c r="E118" s="1415">
        <v>576555.13</v>
      </c>
      <c r="F118" s="1414" t="s">
        <v>2791</v>
      </c>
      <c r="G118" s="1416" t="s">
        <v>2788</v>
      </c>
      <c r="H118" s="1417">
        <v>44064</v>
      </c>
      <c r="I118" s="1416" t="s">
        <v>2792</v>
      </c>
      <c r="J118" s="1416" t="s">
        <v>2772</v>
      </c>
    </row>
    <row r="119" spans="1:10" ht="12.75">
      <c r="A119" s="1418"/>
      <c r="B119" s="1419"/>
      <c r="C119" s="1419"/>
      <c r="D119" s="1419"/>
      <c r="E119" s="1420"/>
      <c r="F119" s="1419"/>
      <c r="G119" s="1421"/>
      <c r="H119" s="1421"/>
      <c r="I119" s="1421"/>
      <c r="J119" s="1421"/>
    </row>
    <row r="120" spans="1:10" ht="12.75">
      <c r="A120" s="1422" t="s">
        <v>0</v>
      </c>
      <c r="B120" s="1422"/>
      <c r="C120" s="1422"/>
      <c r="D120" s="1422"/>
      <c r="E120" s="1423">
        <f>+SUM(E113:E119)</f>
        <v>1667402.87</v>
      </c>
      <c r="F120" s="1422"/>
      <c r="G120" s="1424"/>
      <c r="H120" s="1424"/>
      <c r="I120" s="1424"/>
      <c r="J120" s="1424"/>
    </row>
    <row r="122" ht="12.75" thickBot="1">
      <c r="A122" s="15" t="s">
        <v>2899</v>
      </c>
    </row>
    <row r="123" spans="1:10" ht="36">
      <c r="A123" s="1197" t="s">
        <v>87</v>
      </c>
      <c r="B123" s="487" t="s">
        <v>86</v>
      </c>
      <c r="C123" s="487" t="s">
        <v>202</v>
      </c>
      <c r="D123" s="488" t="s">
        <v>203</v>
      </c>
      <c r="E123" s="488" t="s">
        <v>2</v>
      </c>
      <c r="F123" s="488" t="s">
        <v>201</v>
      </c>
      <c r="G123" s="487" t="s">
        <v>89</v>
      </c>
      <c r="H123" s="488" t="s">
        <v>163</v>
      </c>
      <c r="I123" s="488" t="s">
        <v>168</v>
      </c>
      <c r="J123" s="488" t="s">
        <v>88</v>
      </c>
    </row>
    <row r="124" spans="1:11" ht="38.25">
      <c r="A124" s="1426" t="s">
        <v>2793</v>
      </c>
      <c r="B124" s="1426" t="s">
        <v>2794</v>
      </c>
      <c r="C124" s="1426" t="s">
        <v>94</v>
      </c>
      <c r="D124" s="1426" t="s">
        <v>2795</v>
      </c>
      <c r="E124" s="1427">
        <v>60000</v>
      </c>
      <c r="F124" s="1426" t="s">
        <v>2796</v>
      </c>
      <c r="G124" s="1426" t="s">
        <v>870</v>
      </c>
      <c r="H124" s="1428">
        <v>43800</v>
      </c>
      <c r="I124" s="1426"/>
      <c r="J124" s="1426"/>
      <c r="K124" s="1430"/>
    </row>
    <row r="125" spans="1:11" ht="38.25">
      <c r="A125" s="1426" t="s">
        <v>2797</v>
      </c>
      <c r="B125" s="1426" t="s">
        <v>2794</v>
      </c>
      <c r="C125" s="1426"/>
      <c r="D125" s="1426" t="s">
        <v>2798</v>
      </c>
      <c r="E125" s="1427">
        <v>59760</v>
      </c>
      <c r="F125" s="1426" t="s">
        <v>2796</v>
      </c>
      <c r="G125" s="1426" t="s">
        <v>870</v>
      </c>
      <c r="H125" s="1428">
        <v>43800</v>
      </c>
      <c r="I125" s="1426"/>
      <c r="J125" s="1426"/>
      <c r="K125" s="1430"/>
    </row>
    <row r="126" spans="1:11" ht="38.25">
      <c r="A126" s="1426" t="s">
        <v>2799</v>
      </c>
      <c r="B126" s="1426" t="s">
        <v>2800</v>
      </c>
      <c r="C126" s="1426"/>
      <c r="D126" s="1426" t="s">
        <v>2801</v>
      </c>
      <c r="E126" s="1427">
        <v>60000</v>
      </c>
      <c r="F126" s="1426" t="s">
        <v>2802</v>
      </c>
      <c r="G126" s="1426" t="s">
        <v>870</v>
      </c>
      <c r="H126" s="1428">
        <v>43800</v>
      </c>
      <c r="I126" s="1426"/>
      <c r="J126" s="1426"/>
      <c r="K126" s="1430"/>
    </row>
    <row r="127" spans="1:11" ht="25.5">
      <c r="A127" s="1426" t="s">
        <v>2803</v>
      </c>
      <c r="B127" s="1426" t="s">
        <v>2804</v>
      </c>
      <c r="C127" s="1426"/>
      <c r="D127" s="1426" t="s">
        <v>2805</v>
      </c>
      <c r="E127" s="1427">
        <v>83900</v>
      </c>
      <c r="F127" s="1426" t="s">
        <v>2806</v>
      </c>
      <c r="G127" s="1426" t="s">
        <v>870</v>
      </c>
      <c r="H127" s="1428">
        <v>43800</v>
      </c>
      <c r="I127" s="1426"/>
      <c r="J127" s="1426"/>
      <c r="K127" s="1430"/>
    </row>
    <row r="128" spans="1:11" ht="38.25">
      <c r="A128" s="1426" t="s">
        <v>2807</v>
      </c>
      <c r="B128" s="1426" t="s">
        <v>2794</v>
      </c>
      <c r="C128" s="1426"/>
      <c r="D128" s="1426" t="s">
        <v>2808</v>
      </c>
      <c r="E128" s="1427">
        <v>48000</v>
      </c>
      <c r="F128" s="1426" t="s">
        <v>2809</v>
      </c>
      <c r="G128" s="1426" t="s">
        <v>870</v>
      </c>
      <c r="H128" s="1428">
        <v>43800</v>
      </c>
      <c r="I128" s="1426"/>
      <c r="J128" s="1426"/>
      <c r="K128" s="1430"/>
    </row>
    <row r="129" spans="1:11" ht="25.5">
      <c r="A129" s="1426" t="s">
        <v>2810</v>
      </c>
      <c r="B129" s="1426" t="s">
        <v>2794</v>
      </c>
      <c r="C129" s="1426"/>
      <c r="D129" s="1426" t="s">
        <v>2811</v>
      </c>
      <c r="E129" s="1427">
        <v>58199.4</v>
      </c>
      <c r="F129" s="1426" t="s">
        <v>2812</v>
      </c>
      <c r="G129" s="1426" t="s">
        <v>870</v>
      </c>
      <c r="H129" s="1428">
        <v>43800</v>
      </c>
      <c r="I129" s="1426"/>
      <c r="J129" s="1426"/>
      <c r="K129" s="1430"/>
    </row>
    <row r="130" spans="1:11" ht="38.25">
      <c r="A130" s="1426" t="s">
        <v>2813</v>
      </c>
      <c r="B130" s="1426" t="s">
        <v>2804</v>
      </c>
      <c r="C130" s="1426"/>
      <c r="D130" s="1426" t="s">
        <v>2814</v>
      </c>
      <c r="E130" s="1427">
        <v>161480</v>
      </c>
      <c r="F130" s="1426" t="s">
        <v>2815</v>
      </c>
      <c r="G130" s="1426" t="s">
        <v>870</v>
      </c>
      <c r="H130" s="1428">
        <v>43800</v>
      </c>
      <c r="I130" s="1426"/>
      <c r="J130" s="1426"/>
      <c r="K130" s="1430"/>
    </row>
    <row r="131" spans="1:11" ht="38.25">
      <c r="A131" s="1426" t="s">
        <v>2816</v>
      </c>
      <c r="B131" s="1426" t="s">
        <v>2804</v>
      </c>
      <c r="C131" s="1426"/>
      <c r="D131" s="1426" t="s">
        <v>2817</v>
      </c>
      <c r="E131" s="1427">
        <v>140000</v>
      </c>
      <c r="F131" s="1426" t="s">
        <v>2818</v>
      </c>
      <c r="G131" s="1426" t="s">
        <v>870</v>
      </c>
      <c r="H131" s="1428">
        <v>43800</v>
      </c>
      <c r="I131" s="1426"/>
      <c r="J131" s="1426"/>
      <c r="K131" s="1430"/>
    </row>
    <row r="132" spans="1:11" ht="38.25">
      <c r="A132" s="1426" t="s">
        <v>2819</v>
      </c>
      <c r="B132" s="1426" t="s">
        <v>2804</v>
      </c>
      <c r="C132" s="1426"/>
      <c r="D132" s="1426" t="s">
        <v>2820</v>
      </c>
      <c r="E132" s="1427">
        <v>94800</v>
      </c>
      <c r="F132" s="1426" t="s">
        <v>2821</v>
      </c>
      <c r="G132" s="1426" t="s">
        <v>870</v>
      </c>
      <c r="H132" s="1428">
        <v>43800</v>
      </c>
      <c r="I132" s="1426"/>
      <c r="J132" s="1426"/>
      <c r="K132" s="1430"/>
    </row>
    <row r="133" spans="1:11" ht="51">
      <c r="A133" s="1426" t="s">
        <v>2822</v>
      </c>
      <c r="B133" s="1426" t="s">
        <v>2800</v>
      </c>
      <c r="C133" s="1426"/>
      <c r="D133" s="1426" t="s">
        <v>2823</v>
      </c>
      <c r="E133" s="1427">
        <v>76939.2</v>
      </c>
      <c r="F133" s="1426" t="s">
        <v>2824</v>
      </c>
      <c r="G133" s="1426" t="s">
        <v>870</v>
      </c>
      <c r="H133" s="1428">
        <v>43800</v>
      </c>
      <c r="I133" s="1426"/>
      <c r="J133" s="1426"/>
      <c r="K133" s="1430"/>
    </row>
    <row r="134" spans="1:11" ht="38.25">
      <c r="A134" s="1426" t="s">
        <v>2825</v>
      </c>
      <c r="B134" s="1426" t="s">
        <v>2804</v>
      </c>
      <c r="C134" s="1426"/>
      <c r="D134" s="1426" t="s">
        <v>2826</v>
      </c>
      <c r="E134" s="1427">
        <v>106200</v>
      </c>
      <c r="F134" s="1426" t="s">
        <v>2827</v>
      </c>
      <c r="G134" s="1426" t="s">
        <v>870</v>
      </c>
      <c r="H134" s="1428">
        <v>43800</v>
      </c>
      <c r="I134" s="1426"/>
      <c r="J134" s="1426"/>
      <c r="K134" s="1430"/>
    </row>
    <row r="135" spans="1:11" ht="38.25">
      <c r="A135" s="1426" t="s">
        <v>2828</v>
      </c>
      <c r="B135" s="1426" t="s">
        <v>2804</v>
      </c>
      <c r="C135" s="1426"/>
      <c r="D135" s="1426" t="s">
        <v>2829</v>
      </c>
      <c r="E135" s="1427">
        <v>55000</v>
      </c>
      <c r="F135" s="1426" t="s">
        <v>2830</v>
      </c>
      <c r="G135" s="1426" t="s">
        <v>870</v>
      </c>
      <c r="H135" s="1428">
        <v>43770</v>
      </c>
      <c r="I135" s="1426"/>
      <c r="J135" s="1426"/>
      <c r="K135" s="1430"/>
    </row>
    <row r="136" spans="1:11" ht="38.25">
      <c r="A136" s="1426" t="s">
        <v>2831</v>
      </c>
      <c r="B136" s="1426" t="s">
        <v>2804</v>
      </c>
      <c r="C136" s="1426"/>
      <c r="D136" s="1426" t="s">
        <v>2832</v>
      </c>
      <c r="E136" s="1427">
        <v>57000</v>
      </c>
      <c r="F136" s="1426" t="s">
        <v>2833</v>
      </c>
      <c r="G136" s="1426" t="s">
        <v>870</v>
      </c>
      <c r="H136" s="1428">
        <v>43739</v>
      </c>
      <c r="I136" s="1426"/>
      <c r="J136" s="1426"/>
      <c r="K136" s="1430"/>
    </row>
    <row r="137" spans="1:11" ht="102">
      <c r="A137" s="1426" t="s">
        <v>2834</v>
      </c>
      <c r="B137" s="1426" t="s">
        <v>2804</v>
      </c>
      <c r="C137" s="1426"/>
      <c r="D137" s="1426" t="s">
        <v>2835</v>
      </c>
      <c r="E137" s="1427">
        <v>242620</v>
      </c>
      <c r="F137" s="1426" t="s">
        <v>2836</v>
      </c>
      <c r="G137" s="1426" t="s">
        <v>870</v>
      </c>
      <c r="H137" s="1428">
        <v>43800</v>
      </c>
      <c r="I137" s="1426"/>
      <c r="J137" s="1426"/>
      <c r="K137" s="1430"/>
    </row>
    <row r="138" spans="1:11" ht="38.25">
      <c r="A138" s="1426" t="s">
        <v>2837</v>
      </c>
      <c r="B138" s="1426" t="s">
        <v>2800</v>
      </c>
      <c r="C138" s="1426"/>
      <c r="D138" s="1426" t="s">
        <v>2801</v>
      </c>
      <c r="E138" s="1427">
        <v>102536</v>
      </c>
      <c r="F138" s="1426" t="s">
        <v>2802</v>
      </c>
      <c r="G138" s="1426" t="s">
        <v>863</v>
      </c>
      <c r="H138" s="1426"/>
      <c r="I138" s="1426"/>
      <c r="J138" s="1426"/>
      <c r="K138" s="1430"/>
    </row>
    <row r="139" spans="1:11" ht="38.25">
      <c r="A139" s="1426" t="s">
        <v>2838</v>
      </c>
      <c r="B139" s="1426" t="s">
        <v>2804</v>
      </c>
      <c r="C139" s="1426"/>
      <c r="D139" s="1426" t="s">
        <v>2839</v>
      </c>
      <c r="E139" s="1427">
        <v>141364</v>
      </c>
      <c r="F139" s="1426" t="s">
        <v>2840</v>
      </c>
      <c r="G139" s="1426" t="s">
        <v>870</v>
      </c>
      <c r="H139" s="1428">
        <v>43739</v>
      </c>
      <c r="I139" s="1426"/>
      <c r="J139" s="1426"/>
      <c r="K139" s="1430"/>
    </row>
    <row r="140" spans="1:11" ht="38.25">
      <c r="A140" s="1426" t="s">
        <v>2841</v>
      </c>
      <c r="B140" s="1426" t="s">
        <v>2794</v>
      </c>
      <c r="C140" s="1426"/>
      <c r="D140" s="1426" t="s">
        <v>2842</v>
      </c>
      <c r="E140" s="1427">
        <v>59940</v>
      </c>
      <c r="F140" s="1426" t="s">
        <v>2809</v>
      </c>
      <c r="G140" s="1426" t="s">
        <v>870</v>
      </c>
      <c r="H140" s="1428">
        <v>43709</v>
      </c>
      <c r="I140" s="1426"/>
      <c r="J140" s="1426"/>
      <c r="K140" s="1430"/>
    </row>
    <row r="141" spans="1:11" ht="38.25">
      <c r="A141" s="1426" t="s">
        <v>2843</v>
      </c>
      <c r="B141" s="1426" t="s">
        <v>2804</v>
      </c>
      <c r="C141" s="1426"/>
      <c r="D141" s="1426" t="s">
        <v>2844</v>
      </c>
      <c r="E141" s="1427">
        <v>115900</v>
      </c>
      <c r="F141" s="1426" t="s">
        <v>2845</v>
      </c>
      <c r="G141" s="1426" t="s">
        <v>870</v>
      </c>
      <c r="H141" s="1428">
        <v>43678</v>
      </c>
      <c r="I141" s="1426"/>
      <c r="J141" s="1426"/>
      <c r="K141" s="1430"/>
    </row>
    <row r="142" spans="1:11" ht="38.25">
      <c r="A142" s="1426" t="s">
        <v>2846</v>
      </c>
      <c r="B142" s="1426" t="s">
        <v>2804</v>
      </c>
      <c r="C142" s="1426"/>
      <c r="D142" s="1426" t="s">
        <v>2847</v>
      </c>
      <c r="E142" s="1427">
        <v>130200</v>
      </c>
      <c r="F142" s="1426" t="s">
        <v>2848</v>
      </c>
      <c r="G142" s="1426" t="s">
        <v>870</v>
      </c>
      <c r="H142" s="1428">
        <v>43647</v>
      </c>
      <c r="I142" s="1426"/>
      <c r="J142" s="1426"/>
      <c r="K142" s="1430"/>
    </row>
    <row r="143" spans="1:11" ht="38.25">
      <c r="A143" s="1426" t="s">
        <v>2849</v>
      </c>
      <c r="B143" s="1426" t="s">
        <v>2804</v>
      </c>
      <c r="C143" s="1426"/>
      <c r="D143" s="1426" t="s">
        <v>2850</v>
      </c>
      <c r="E143" s="1427">
        <v>198860</v>
      </c>
      <c r="F143" s="1426" t="s">
        <v>2851</v>
      </c>
      <c r="G143" s="1426" t="s">
        <v>870</v>
      </c>
      <c r="H143" s="1428">
        <v>43617</v>
      </c>
      <c r="I143" s="1426"/>
      <c r="J143" s="1426"/>
      <c r="K143" s="1430"/>
    </row>
    <row r="144" spans="1:11" ht="38.25">
      <c r="A144" s="1426" t="s">
        <v>2852</v>
      </c>
      <c r="B144" s="1426" t="s">
        <v>2804</v>
      </c>
      <c r="C144" s="1426"/>
      <c r="D144" s="1426" t="s">
        <v>2853</v>
      </c>
      <c r="E144" s="1427">
        <v>102000</v>
      </c>
      <c r="F144" s="1426" t="s">
        <v>2833</v>
      </c>
      <c r="G144" s="1426" t="s">
        <v>870</v>
      </c>
      <c r="H144" s="1428">
        <v>43617</v>
      </c>
      <c r="I144" s="1426"/>
      <c r="J144" s="1426"/>
      <c r="K144" s="1430"/>
    </row>
    <row r="145" spans="1:11" ht="51">
      <c r="A145" s="1426" t="s">
        <v>2854</v>
      </c>
      <c r="B145" s="1426" t="s">
        <v>2800</v>
      </c>
      <c r="C145" s="1426"/>
      <c r="D145" s="1426" t="s">
        <v>2855</v>
      </c>
      <c r="E145" s="1427">
        <v>280277.83</v>
      </c>
      <c r="F145" s="1426" t="s">
        <v>2824</v>
      </c>
      <c r="G145" s="1426" t="s">
        <v>870</v>
      </c>
      <c r="H145" s="1428">
        <v>43617</v>
      </c>
      <c r="I145" s="1426"/>
      <c r="J145" s="1426"/>
      <c r="K145" s="1430"/>
    </row>
    <row r="146" spans="1:11" ht="63.75">
      <c r="A146" s="1426" t="s">
        <v>2856</v>
      </c>
      <c r="B146" s="1426" t="s">
        <v>2804</v>
      </c>
      <c r="C146" s="1426"/>
      <c r="D146" s="1426" t="s">
        <v>2857</v>
      </c>
      <c r="E146" s="1427">
        <v>214080</v>
      </c>
      <c r="F146" s="1426" t="s">
        <v>2858</v>
      </c>
      <c r="G146" s="1426" t="s">
        <v>870</v>
      </c>
      <c r="H146" s="1428">
        <v>43617</v>
      </c>
      <c r="I146" s="1426"/>
      <c r="J146" s="1426"/>
      <c r="K146" s="1430"/>
    </row>
    <row r="147" spans="1:11" ht="38.25">
      <c r="A147" s="1426" t="s">
        <v>2859</v>
      </c>
      <c r="B147" s="1426" t="s">
        <v>2804</v>
      </c>
      <c r="C147" s="1426"/>
      <c r="D147" s="1426" t="s">
        <v>2860</v>
      </c>
      <c r="E147" s="1427">
        <v>51520</v>
      </c>
      <c r="F147" s="1426" t="s">
        <v>2861</v>
      </c>
      <c r="G147" s="1426" t="s">
        <v>870</v>
      </c>
      <c r="H147" s="1428">
        <v>43617</v>
      </c>
      <c r="I147" s="1426"/>
      <c r="J147" s="1426"/>
      <c r="K147" s="1430"/>
    </row>
    <row r="148" spans="1:11" ht="38.25">
      <c r="A148" s="1426" t="s">
        <v>2862</v>
      </c>
      <c r="B148" s="1426" t="s">
        <v>2863</v>
      </c>
      <c r="C148" s="1426"/>
      <c r="D148" s="1426" t="s">
        <v>2864</v>
      </c>
      <c r="E148" s="1427">
        <v>48000</v>
      </c>
      <c r="F148" s="1426" t="s">
        <v>2865</v>
      </c>
      <c r="G148" s="1426" t="s">
        <v>870</v>
      </c>
      <c r="H148" s="1428">
        <v>43966</v>
      </c>
      <c r="I148" s="1429"/>
      <c r="J148" s="1426"/>
      <c r="K148" s="1430"/>
    </row>
    <row r="149" spans="1:11" ht="89.25">
      <c r="A149" s="1426" t="s">
        <v>2866</v>
      </c>
      <c r="B149" s="1426" t="s">
        <v>2804</v>
      </c>
      <c r="C149" s="1426"/>
      <c r="D149" s="1426" t="s">
        <v>2867</v>
      </c>
      <c r="E149" s="1427">
        <v>331920</v>
      </c>
      <c r="F149" s="1426" t="s">
        <v>2868</v>
      </c>
      <c r="G149" s="1426" t="s">
        <v>870</v>
      </c>
      <c r="H149" s="1428">
        <v>44001</v>
      </c>
      <c r="I149" s="1429"/>
      <c r="J149" s="1426"/>
      <c r="K149" s="1430"/>
    </row>
    <row r="150" spans="1:11" ht="51">
      <c r="A150" s="1426" t="s">
        <v>2869</v>
      </c>
      <c r="B150" s="1426" t="s">
        <v>2800</v>
      </c>
      <c r="C150" s="1426"/>
      <c r="D150" s="1426" t="s">
        <v>2870</v>
      </c>
      <c r="E150" s="1427">
        <v>182482</v>
      </c>
      <c r="F150" s="1426" t="s">
        <v>2871</v>
      </c>
      <c r="G150" s="1426" t="s">
        <v>870</v>
      </c>
      <c r="H150" s="1428">
        <v>44008</v>
      </c>
      <c r="I150" s="1429"/>
      <c r="J150" s="1426"/>
      <c r="K150" s="1430"/>
    </row>
    <row r="151" spans="1:11" ht="51">
      <c r="A151" s="1426" t="s">
        <v>2872</v>
      </c>
      <c r="B151" s="1426" t="s">
        <v>2804</v>
      </c>
      <c r="C151" s="1426"/>
      <c r="D151" s="1426" t="s">
        <v>2873</v>
      </c>
      <c r="E151" s="1427">
        <v>130200</v>
      </c>
      <c r="F151" s="1426" t="s">
        <v>2874</v>
      </c>
      <c r="G151" s="1426" t="s">
        <v>870</v>
      </c>
      <c r="H151" s="1428">
        <v>44000</v>
      </c>
      <c r="I151" s="1429"/>
      <c r="J151" s="1426"/>
      <c r="K151" s="1430"/>
    </row>
    <row r="152" spans="1:11" ht="38.25">
      <c r="A152" s="1426" t="s">
        <v>2875</v>
      </c>
      <c r="B152" s="1426" t="s">
        <v>2804</v>
      </c>
      <c r="C152" s="1426"/>
      <c r="D152" s="1426" t="s">
        <v>2876</v>
      </c>
      <c r="E152" s="1427">
        <v>64000</v>
      </c>
      <c r="F152" s="1426" t="s">
        <v>2877</v>
      </c>
      <c r="G152" s="1426" t="s">
        <v>870</v>
      </c>
      <c r="H152" s="1428">
        <v>44012</v>
      </c>
      <c r="I152" s="1429"/>
      <c r="J152" s="1426"/>
      <c r="K152" s="1430"/>
    </row>
    <row r="153" spans="1:11" ht="38.25">
      <c r="A153" s="1426" t="s">
        <v>2878</v>
      </c>
      <c r="B153" s="1426" t="s">
        <v>2804</v>
      </c>
      <c r="C153" s="1426"/>
      <c r="D153" s="1426" t="s">
        <v>2879</v>
      </c>
      <c r="E153" s="1427">
        <v>84900</v>
      </c>
      <c r="F153" s="1426" t="s">
        <v>2880</v>
      </c>
      <c r="G153" s="1426" t="s">
        <v>870</v>
      </c>
      <c r="H153" s="1428">
        <v>44013</v>
      </c>
      <c r="I153" s="1429"/>
      <c r="J153" s="1426"/>
      <c r="K153" s="1430"/>
    </row>
    <row r="154" spans="1:11" ht="76.5">
      <c r="A154" s="1426" t="s">
        <v>2881</v>
      </c>
      <c r="B154" s="1426" t="s">
        <v>2863</v>
      </c>
      <c r="C154" s="1426"/>
      <c r="D154" s="1426" t="s">
        <v>2882</v>
      </c>
      <c r="E154" s="1427">
        <v>45000</v>
      </c>
      <c r="F154" s="1426" t="s">
        <v>2883</v>
      </c>
      <c r="G154" s="1426" t="s">
        <v>870</v>
      </c>
      <c r="H154" s="1428">
        <v>44015</v>
      </c>
      <c r="I154" s="1429"/>
      <c r="J154" s="1426"/>
      <c r="K154" s="1430"/>
    </row>
    <row r="155" spans="1:11" ht="38.25">
      <c r="A155" s="1426" t="s">
        <v>2884</v>
      </c>
      <c r="B155" s="1426" t="s">
        <v>2863</v>
      </c>
      <c r="C155" s="1426"/>
      <c r="D155" s="1426" t="s">
        <v>2885</v>
      </c>
      <c r="E155" s="1427">
        <v>59800</v>
      </c>
      <c r="F155" s="1426" t="s">
        <v>2886</v>
      </c>
      <c r="G155" s="1426" t="s">
        <v>870</v>
      </c>
      <c r="H155" s="1428">
        <v>44094</v>
      </c>
      <c r="I155" s="1429"/>
      <c r="J155" s="1426"/>
      <c r="K155" s="1430"/>
    </row>
    <row r="156" spans="1:11" ht="51">
      <c r="A156" s="1426" t="s">
        <v>2887</v>
      </c>
      <c r="B156" s="1426" t="s">
        <v>2863</v>
      </c>
      <c r="C156" s="1426"/>
      <c r="D156" s="1426" t="s">
        <v>2888</v>
      </c>
      <c r="E156" s="1427">
        <v>225000</v>
      </c>
      <c r="F156" s="1426" t="s">
        <v>2889</v>
      </c>
      <c r="G156" s="1426" t="s">
        <v>870</v>
      </c>
      <c r="H156" s="1428">
        <v>44104</v>
      </c>
      <c r="I156" s="1429"/>
      <c r="J156" s="1426"/>
      <c r="K156" s="1430"/>
    </row>
    <row r="157" spans="1:11" ht="114.75">
      <c r="A157" s="1426" t="s">
        <v>2890</v>
      </c>
      <c r="B157" s="1426" t="s">
        <v>2794</v>
      </c>
      <c r="C157" s="1426"/>
      <c r="D157" s="1426" t="s">
        <v>2891</v>
      </c>
      <c r="E157" s="1427">
        <v>63153.6</v>
      </c>
      <c r="F157" s="1426" t="s">
        <v>2892</v>
      </c>
      <c r="G157" s="1426" t="s">
        <v>870</v>
      </c>
      <c r="H157" s="1428">
        <v>44098</v>
      </c>
      <c r="I157" s="1429"/>
      <c r="J157" s="1426"/>
      <c r="K157" s="1430"/>
    </row>
    <row r="158" spans="1:11" ht="51">
      <c r="A158" s="1426" t="s">
        <v>2893</v>
      </c>
      <c r="B158" s="1426" t="s">
        <v>2863</v>
      </c>
      <c r="C158" s="1426"/>
      <c r="D158" s="1426" t="s">
        <v>2894</v>
      </c>
      <c r="E158" s="1427">
        <v>225000</v>
      </c>
      <c r="F158" s="1426" t="s">
        <v>2895</v>
      </c>
      <c r="G158" s="1426" t="s">
        <v>870</v>
      </c>
      <c r="H158" s="1428">
        <v>44104</v>
      </c>
      <c r="I158" s="1429"/>
      <c r="J158" s="1426"/>
      <c r="K158" s="1430"/>
    </row>
    <row r="159" spans="1:11" ht="38.25">
      <c r="A159" s="1426" t="s">
        <v>2896</v>
      </c>
      <c r="B159" s="1426" t="s">
        <v>2863</v>
      </c>
      <c r="C159" s="1426"/>
      <c r="D159" s="1426" t="s">
        <v>2897</v>
      </c>
      <c r="E159" s="1427">
        <v>82920</v>
      </c>
      <c r="F159" s="1426" t="s">
        <v>2898</v>
      </c>
      <c r="G159" s="1426" t="s">
        <v>870</v>
      </c>
      <c r="H159" s="1428">
        <v>44112</v>
      </c>
      <c r="I159" s="1429"/>
      <c r="J159" s="1426"/>
      <c r="K159" s="1430"/>
    </row>
    <row r="160" spans="1:11" ht="12.75">
      <c r="A160" s="1425" t="s">
        <v>0</v>
      </c>
      <c r="B160" s="1425"/>
      <c r="C160" s="1425"/>
      <c r="D160" s="1425"/>
      <c r="E160" s="1425"/>
      <c r="F160" s="1425"/>
      <c r="G160" s="1425"/>
      <c r="H160" s="1425"/>
      <c r="I160" s="1425"/>
      <c r="J160" s="1425"/>
      <c r="K160" s="1430"/>
    </row>
    <row r="161" spans="1:11" ht="12">
      <c r="A161" s="1252"/>
      <c r="B161" s="1252"/>
      <c r="C161" s="1252"/>
      <c r="D161" s="1252"/>
      <c r="E161" s="1252"/>
      <c r="F161" s="1252"/>
      <c r="G161" s="1252"/>
      <c r="H161" s="1252"/>
      <c r="I161" s="1252"/>
      <c r="J161" s="1252"/>
      <c r="K161" s="1252"/>
    </row>
    <row r="163" ht="12">
      <c r="A163" s="15" t="s">
        <v>2920</v>
      </c>
    </row>
    <row r="164" ht="12.75" thickBot="1">
      <c r="A164" s="1385" t="s">
        <v>80</v>
      </c>
    </row>
    <row r="165" spans="1:10" ht="36">
      <c r="A165" s="1197" t="s">
        <v>87</v>
      </c>
      <c r="B165" s="487" t="s">
        <v>86</v>
      </c>
      <c r="C165" s="487" t="s">
        <v>202</v>
      </c>
      <c r="D165" s="488" t="s">
        <v>203</v>
      </c>
      <c r="E165" s="488" t="s">
        <v>2</v>
      </c>
      <c r="F165" s="488" t="s">
        <v>201</v>
      </c>
      <c r="G165" s="487" t="s">
        <v>89</v>
      </c>
      <c r="H165" s="488" t="s">
        <v>163</v>
      </c>
      <c r="I165" s="488" t="s">
        <v>168</v>
      </c>
      <c r="J165" s="488" t="s">
        <v>88</v>
      </c>
    </row>
    <row r="166" spans="1:10" ht="76.5">
      <c r="A166" s="1426" t="s">
        <v>2900</v>
      </c>
      <c r="B166" s="1426" t="s">
        <v>2804</v>
      </c>
      <c r="C166" s="1431" t="s">
        <v>2901</v>
      </c>
      <c r="D166" s="1431">
        <v>2</v>
      </c>
      <c r="E166" s="1432">
        <v>79760</v>
      </c>
      <c r="F166" s="1426" t="s">
        <v>2902</v>
      </c>
      <c r="G166" s="1431" t="s">
        <v>141</v>
      </c>
      <c r="H166" s="1433">
        <v>43234</v>
      </c>
      <c r="I166" s="1431"/>
      <c r="J166" s="1431" t="s">
        <v>2903</v>
      </c>
    </row>
    <row r="167" spans="1:10" ht="38.25">
      <c r="A167" s="1426" t="s">
        <v>2904</v>
      </c>
      <c r="B167" s="1426" t="s">
        <v>2804</v>
      </c>
      <c r="C167" s="1431" t="s">
        <v>2901</v>
      </c>
      <c r="D167" s="1431">
        <v>1</v>
      </c>
      <c r="E167" s="1432">
        <v>262822.6</v>
      </c>
      <c r="F167" s="1426" t="s">
        <v>2905</v>
      </c>
      <c r="G167" s="1431" t="s">
        <v>141</v>
      </c>
      <c r="H167" s="1433">
        <v>43220</v>
      </c>
      <c r="I167" s="1431"/>
      <c r="J167" s="1431" t="s">
        <v>2903</v>
      </c>
    </row>
    <row r="168" spans="1:10" ht="51">
      <c r="A168" s="1426" t="s">
        <v>2906</v>
      </c>
      <c r="B168" s="1426" t="s">
        <v>2804</v>
      </c>
      <c r="C168" s="1431" t="s">
        <v>2901</v>
      </c>
      <c r="D168" s="1431">
        <v>1</v>
      </c>
      <c r="E168" s="1432">
        <v>1722305</v>
      </c>
      <c r="F168" s="1426" t="s">
        <v>2907</v>
      </c>
      <c r="G168" s="1431" t="s">
        <v>141</v>
      </c>
      <c r="H168" s="1433">
        <v>43699</v>
      </c>
      <c r="I168" s="1431"/>
      <c r="J168" s="1431" t="s">
        <v>2903</v>
      </c>
    </row>
    <row r="169" spans="1:10" ht="76.5">
      <c r="A169" s="1426" t="s">
        <v>2908</v>
      </c>
      <c r="B169" s="1426" t="s">
        <v>2804</v>
      </c>
      <c r="C169" s="1431" t="s">
        <v>2901</v>
      </c>
      <c r="D169" s="1431">
        <v>2</v>
      </c>
      <c r="E169" s="1432">
        <v>245149</v>
      </c>
      <c r="F169" s="1426" t="s">
        <v>2909</v>
      </c>
      <c r="G169" s="1431" t="s">
        <v>141</v>
      </c>
      <c r="H169" s="1433">
        <v>43787</v>
      </c>
      <c r="I169" s="1431"/>
      <c r="J169" s="1431" t="s">
        <v>2903</v>
      </c>
    </row>
    <row r="170" spans="1:10" ht="51">
      <c r="A170" s="1426" t="s">
        <v>2910</v>
      </c>
      <c r="B170" s="1426" t="s">
        <v>2804</v>
      </c>
      <c r="C170" s="1431" t="s">
        <v>2901</v>
      </c>
      <c r="D170" s="1431">
        <v>3</v>
      </c>
      <c r="E170" s="1432">
        <v>200214</v>
      </c>
      <c r="F170" s="1426" t="s">
        <v>2911</v>
      </c>
      <c r="G170" s="1431" t="s">
        <v>141</v>
      </c>
      <c r="H170" s="1433">
        <v>43794</v>
      </c>
      <c r="I170" s="1431"/>
      <c r="J170" s="1431" t="s">
        <v>2903</v>
      </c>
    </row>
    <row r="171" spans="1:10" ht="38.25">
      <c r="A171" s="1426" t="s">
        <v>2912</v>
      </c>
      <c r="B171" s="1426" t="s">
        <v>783</v>
      </c>
      <c r="C171" s="1431" t="s">
        <v>2901</v>
      </c>
      <c r="D171" s="1431">
        <v>1</v>
      </c>
      <c r="E171" s="1432">
        <v>46512</v>
      </c>
      <c r="F171" s="1426" t="s">
        <v>2913</v>
      </c>
      <c r="G171" s="1431" t="s">
        <v>141</v>
      </c>
      <c r="H171" s="1433">
        <v>43871</v>
      </c>
      <c r="I171" s="1431"/>
      <c r="J171" s="1431" t="s">
        <v>2903</v>
      </c>
    </row>
    <row r="172" spans="1:10" ht="89.25">
      <c r="A172" s="1426" t="s">
        <v>2914</v>
      </c>
      <c r="B172" s="1426" t="s">
        <v>783</v>
      </c>
      <c r="C172" s="1431" t="s">
        <v>2901</v>
      </c>
      <c r="D172" s="1431">
        <v>2</v>
      </c>
      <c r="E172" s="1432">
        <v>53426.32</v>
      </c>
      <c r="F172" s="1426" t="s">
        <v>2915</v>
      </c>
      <c r="G172" s="1431" t="s">
        <v>141</v>
      </c>
      <c r="H172" s="1433">
        <v>44053</v>
      </c>
      <c r="I172" s="1431"/>
      <c r="J172" s="1431" t="s">
        <v>2903</v>
      </c>
    </row>
    <row r="173" spans="1:10" ht="51">
      <c r="A173" s="1426" t="s">
        <v>2916</v>
      </c>
      <c r="B173" s="1426" t="s">
        <v>2804</v>
      </c>
      <c r="C173" s="1431" t="s">
        <v>2901</v>
      </c>
      <c r="D173" s="1431">
        <v>1</v>
      </c>
      <c r="E173" s="1432">
        <v>50000</v>
      </c>
      <c r="F173" s="1426" t="s">
        <v>2917</v>
      </c>
      <c r="G173" s="1431" t="s">
        <v>2918</v>
      </c>
      <c r="H173" s="1433">
        <v>44106</v>
      </c>
      <c r="I173" s="1431"/>
      <c r="J173" s="1431" t="s">
        <v>2919</v>
      </c>
    </row>
    <row r="174" spans="1:10" ht="12.75">
      <c r="A174" s="1422" t="s">
        <v>0</v>
      </c>
      <c r="B174" s="1422"/>
      <c r="C174" s="1422"/>
      <c r="D174" s="1422"/>
      <c r="E174" s="1422"/>
      <c r="F174" s="1422"/>
      <c r="G174" s="1422"/>
      <c r="H174" s="1422"/>
      <c r="I174" s="1422"/>
      <c r="J174" s="1422"/>
    </row>
    <row r="176" spans="1:11" ht="12">
      <c r="A176" s="106" t="s">
        <v>2948</v>
      </c>
      <c r="B176" s="440"/>
      <c r="C176" s="440"/>
      <c r="D176" s="440"/>
      <c r="E176" s="440"/>
      <c r="F176" s="440"/>
      <c r="G176" s="440"/>
      <c r="H176" s="440"/>
      <c r="I176" s="440"/>
      <c r="J176" s="440"/>
      <c r="K176" s="440"/>
    </row>
    <row r="177" spans="1:11" ht="12">
      <c r="A177" s="455"/>
      <c r="B177" s="455"/>
      <c r="C177" s="455"/>
      <c r="D177" s="455"/>
      <c r="E177" s="455"/>
      <c r="F177" s="455"/>
      <c r="G177" s="1379"/>
      <c r="H177" s="508"/>
      <c r="I177" s="508"/>
      <c r="J177" s="508"/>
      <c r="K177" s="508"/>
    </row>
    <row r="178" spans="1:11" ht="12.75" thickBot="1">
      <c r="A178" s="1385" t="s">
        <v>80</v>
      </c>
      <c r="B178" s="56"/>
      <c r="C178" s="1459"/>
      <c r="D178" s="552"/>
      <c r="E178" s="552"/>
      <c r="F178" s="552"/>
      <c r="G178" s="552"/>
      <c r="H178" s="552"/>
      <c r="I178" s="552"/>
      <c r="J178" s="552"/>
      <c r="K178" s="508"/>
    </row>
    <row r="179" spans="1:11" ht="36">
      <c r="A179" s="1196" t="s">
        <v>87</v>
      </c>
      <c r="B179" s="1195" t="s">
        <v>86</v>
      </c>
      <c r="C179" s="1461" t="s">
        <v>202</v>
      </c>
      <c r="D179" s="1461" t="s">
        <v>203</v>
      </c>
      <c r="E179" s="1461" t="s">
        <v>2</v>
      </c>
      <c r="F179" s="1461" t="s">
        <v>201</v>
      </c>
      <c r="G179" s="1461" t="s">
        <v>89</v>
      </c>
      <c r="H179" s="1461" t="s">
        <v>163</v>
      </c>
      <c r="I179" s="1461" t="s">
        <v>168</v>
      </c>
      <c r="J179" s="1461" t="s">
        <v>88</v>
      </c>
      <c r="K179" s="508"/>
    </row>
    <row r="180" spans="1:11" ht="63.75">
      <c r="A180" s="1419" t="s">
        <v>2922</v>
      </c>
      <c r="B180" s="1419" t="s">
        <v>796</v>
      </c>
      <c r="C180" s="1419" t="s">
        <v>2923</v>
      </c>
      <c r="D180" s="1419" t="s">
        <v>2924</v>
      </c>
      <c r="E180" s="1463">
        <v>51027</v>
      </c>
      <c r="F180" s="1419" t="s">
        <v>2925</v>
      </c>
      <c r="G180" s="1419" t="s">
        <v>2758</v>
      </c>
      <c r="H180" s="1442">
        <v>43803</v>
      </c>
      <c r="I180" s="1442">
        <v>43806</v>
      </c>
      <c r="J180" s="1443"/>
      <c r="K180" s="1462"/>
    </row>
    <row r="181" spans="1:11" ht="76.5">
      <c r="A181" s="1419" t="s">
        <v>2926</v>
      </c>
      <c r="B181" s="1419" t="s">
        <v>796</v>
      </c>
      <c r="C181" s="1419" t="s">
        <v>2923</v>
      </c>
      <c r="D181" s="1419" t="s">
        <v>2927</v>
      </c>
      <c r="E181" s="1463">
        <v>91900</v>
      </c>
      <c r="F181" s="1419" t="s">
        <v>2928</v>
      </c>
      <c r="G181" s="1419" t="s">
        <v>2758</v>
      </c>
      <c r="H181" s="1442">
        <v>43803</v>
      </c>
      <c r="I181" s="1442">
        <v>43830</v>
      </c>
      <c r="J181" s="1443"/>
      <c r="K181" s="1462"/>
    </row>
    <row r="182" spans="1:11" ht="76.5">
      <c r="A182" s="1419" t="s">
        <v>2929</v>
      </c>
      <c r="B182" s="1419" t="s">
        <v>796</v>
      </c>
      <c r="C182" s="1419" t="s">
        <v>2923</v>
      </c>
      <c r="D182" s="1419" t="s">
        <v>2930</v>
      </c>
      <c r="E182" s="1463">
        <v>108900</v>
      </c>
      <c r="F182" s="1419" t="s">
        <v>2931</v>
      </c>
      <c r="G182" s="1419" t="s">
        <v>2758</v>
      </c>
      <c r="H182" s="1442">
        <v>43784</v>
      </c>
      <c r="I182" s="1442" t="s">
        <v>2932</v>
      </c>
      <c r="J182" s="1443"/>
      <c r="K182" s="1462"/>
    </row>
    <row r="183" spans="1:11" ht="38.25">
      <c r="A183" s="1419" t="s">
        <v>2933</v>
      </c>
      <c r="B183" s="1419" t="s">
        <v>2934</v>
      </c>
      <c r="C183" s="1419" t="s">
        <v>2935</v>
      </c>
      <c r="D183" s="1419" t="s">
        <v>2936</v>
      </c>
      <c r="E183" s="1463">
        <v>65725</v>
      </c>
      <c r="F183" s="1419"/>
      <c r="G183" s="1419" t="s">
        <v>2758</v>
      </c>
      <c r="H183" s="1442"/>
      <c r="I183" s="1442"/>
      <c r="J183" s="1443"/>
      <c r="K183" s="1462"/>
    </row>
    <row r="184" spans="1:11" ht="38.25">
      <c r="A184" s="1419" t="s">
        <v>2937</v>
      </c>
      <c r="B184" s="1419" t="s">
        <v>2934</v>
      </c>
      <c r="C184" s="1419" t="s">
        <v>2935</v>
      </c>
      <c r="D184" s="1419" t="s">
        <v>2936</v>
      </c>
      <c r="E184" s="1463">
        <v>99870</v>
      </c>
      <c r="F184" s="1419"/>
      <c r="G184" s="1419" t="s">
        <v>2758</v>
      </c>
      <c r="H184" s="1442"/>
      <c r="I184" s="1442"/>
      <c r="J184" s="1443"/>
      <c r="K184" s="1462"/>
    </row>
    <row r="185" spans="1:11" ht="13.5" thickBot="1">
      <c r="A185" s="1601" t="s">
        <v>0</v>
      </c>
      <c r="B185" s="1601"/>
      <c r="C185" s="1601"/>
      <c r="D185" s="1601"/>
      <c r="E185" s="1464">
        <f>SUM(E180:E184)</f>
        <v>417422</v>
      </c>
      <c r="F185" s="1601">
        <v>2019</v>
      </c>
      <c r="G185" s="1601"/>
      <c r="H185" s="1601"/>
      <c r="I185" s="1601"/>
      <c r="J185" s="1601"/>
      <c r="K185" s="1462"/>
    </row>
    <row r="186" spans="1:11" ht="36">
      <c r="A186" s="1196" t="s">
        <v>87</v>
      </c>
      <c r="B186" s="487" t="s">
        <v>86</v>
      </c>
      <c r="C186" s="487" t="s">
        <v>202</v>
      </c>
      <c r="D186" s="488" t="s">
        <v>203</v>
      </c>
      <c r="E186" s="488" t="s">
        <v>2</v>
      </c>
      <c r="F186" s="1169" t="s">
        <v>201</v>
      </c>
      <c r="G186" s="1460" t="s">
        <v>89</v>
      </c>
      <c r="H186" s="1169" t="s">
        <v>163</v>
      </c>
      <c r="I186" s="1169" t="s">
        <v>168</v>
      </c>
      <c r="J186" s="1169" t="s">
        <v>88</v>
      </c>
      <c r="K186" s="508"/>
    </row>
    <row r="187" spans="1:11" ht="60">
      <c r="A187" s="1445" t="s">
        <v>2938</v>
      </c>
      <c r="B187" s="1445" t="s">
        <v>796</v>
      </c>
      <c r="C187" s="916" t="s">
        <v>2923</v>
      </c>
      <c r="D187" s="1445" t="s">
        <v>2939</v>
      </c>
      <c r="E187" s="1446">
        <v>140000</v>
      </c>
      <c r="F187" s="1445"/>
      <c r="G187" s="916" t="s">
        <v>2940</v>
      </c>
      <c r="H187" s="1447"/>
      <c r="I187" s="1447"/>
      <c r="J187" s="1448"/>
      <c r="K187" s="1449"/>
    </row>
    <row r="188" spans="1:11" ht="48">
      <c r="A188" s="1445" t="s">
        <v>2941</v>
      </c>
      <c r="B188" s="1445" t="s">
        <v>2934</v>
      </c>
      <c r="C188" s="916" t="s">
        <v>2935</v>
      </c>
      <c r="D188" s="916" t="s">
        <v>2936</v>
      </c>
      <c r="E188" s="1446">
        <v>22600</v>
      </c>
      <c r="F188" s="1445"/>
      <c r="G188" s="916" t="s">
        <v>2758</v>
      </c>
      <c r="H188" s="1447"/>
      <c r="I188" s="1447"/>
      <c r="J188" s="1448"/>
      <c r="K188" s="1449"/>
    </row>
    <row r="189" spans="1:11" ht="48">
      <c r="A189" s="1445" t="s">
        <v>2942</v>
      </c>
      <c r="B189" s="1445" t="s">
        <v>2934</v>
      </c>
      <c r="C189" s="916" t="s">
        <v>2935</v>
      </c>
      <c r="D189" s="916" t="s">
        <v>2936</v>
      </c>
      <c r="E189" s="1446">
        <v>55800</v>
      </c>
      <c r="F189" s="1445"/>
      <c r="G189" s="916" t="s">
        <v>2758</v>
      </c>
      <c r="H189" s="1447"/>
      <c r="I189" s="1447"/>
      <c r="J189" s="1448"/>
      <c r="K189" s="1449"/>
    </row>
    <row r="190" spans="1:11" ht="15.75" thickBot="1">
      <c r="A190" s="1586" t="s">
        <v>0</v>
      </c>
      <c r="B190" s="1587"/>
      <c r="C190" s="1587"/>
      <c r="D190" s="1588"/>
      <c r="E190" s="1444">
        <f>SUM(E187:E189)</f>
        <v>218400</v>
      </c>
      <c r="F190" s="1589">
        <v>2020</v>
      </c>
      <c r="G190" s="1590"/>
      <c r="H190" s="1590"/>
      <c r="I190" s="1590"/>
      <c r="J190" s="1591"/>
      <c r="K190" s="508"/>
    </row>
    <row r="191" spans="1:11" ht="36.75" thickBot="1">
      <c r="A191" s="1198" t="s">
        <v>87</v>
      </c>
      <c r="B191" s="506" t="s">
        <v>86</v>
      </c>
      <c r="C191" s="506" t="s">
        <v>202</v>
      </c>
      <c r="D191" s="187" t="s">
        <v>203</v>
      </c>
      <c r="E191" s="187" t="s">
        <v>2</v>
      </c>
      <c r="F191" s="187" t="s">
        <v>201</v>
      </c>
      <c r="G191" s="506" t="s">
        <v>89</v>
      </c>
      <c r="H191" s="187" t="s">
        <v>163</v>
      </c>
      <c r="I191" s="187" t="s">
        <v>168</v>
      </c>
      <c r="J191" s="187" t="s">
        <v>88</v>
      </c>
      <c r="K191" s="508"/>
    </row>
    <row r="192" spans="1:11" ht="36">
      <c r="A192" s="1434" t="s">
        <v>2943</v>
      </c>
      <c r="B192" s="1435" t="s">
        <v>796</v>
      </c>
      <c r="C192" s="34" t="s">
        <v>2923</v>
      </c>
      <c r="D192" s="1436"/>
      <c r="E192" s="1437">
        <v>248000</v>
      </c>
      <c r="F192" s="1438"/>
      <c r="G192" s="34" t="s">
        <v>2944</v>
      </c>
      <c r="H192" s="1384"/>
      <c r="I192" s="1384"/>
      <c r="J192" s="1383"/>
      <c r="K192" s="508"/>
    </row>
    <row r="193" spans="1:11" ht="36">
      <c r="A193" s="1434" t="s">
        <v>2945</v>
      </c>
      <c r="B193" s="1435" t="s">
        <v>2934</v>
      </c>
      <c r="C193" s="34" t="s">
        <v>2935</v>
      </c>
      <c r="D193" s="1436"/>
      <c r="E193" s="1437">
        <v>150000</v>
      </c>
      <c r="F193" s="1438"/>
      <c r="G193" s="34" t="s">
        <v>2944</v>
      </c>
      <c r="H193" s="1384"/>
      <c r="I193" s="1384"/>
      <c r="J193" s="1383"/>
      <c r="K193" s="508"/>
    </row>
    <row r="194" spans="1:11" ht="48">
      <c r="A194" s="1434" t="s">
        <v>2946</v>
      </c>
      <c r="B194" s="1435" t="s">
        <v>2934</v>
      </c>
      <c r="C194" s="34" t="s">
        <v>2935</v>
      </c>
      <c r="D194" s="1439" t="s">
        <v>2936</v>
      </c>
      <c r="E194" s="1437">
        <v>60000</v>
      </c>
      <c r="F194" s="1438"/>
      <c r="G194" s="34" t="s">
        <v>2758</v>
      </c>
      <c r="H194" s="1384"/>
      <c r="I194" s="1384"/>
      <c r="J194" s="1383"/>
      <c r="K194" s="508"/>
    </row>
    <row r="195" spans="1:11" ht="48.75" thickBot="1">
      <c r="A195" s="1440" t="s">
        <v>2947</v>
      </c>
      <c r="B195" s="1435" t="s">
        <v>2934</v>
      </c>
      <c r="C195" s="34" t="s">
        <v>2935</v>
      </c>
      <c r="D195" s="1439" t="s">
        <v>2936</v>
      </c>
      <c r="E195" s="1437">
        <v>12000</v>
      </c>
      <c r="F195" s="1438"/>
      <c r="G195" s="34" t="s">
        <v>2758</v>
      </c>
      <c r="H195" s="1384"/>
      <c r="I195" s="1384"/>
      <c r="J195" s="1383"/>
      <c r="K195" s="508"/>
    </row>
    <row r="196" spans="1:11" ht="15.75" thickBot="1">
      <c r="A196" s="1592" t="s">
        <v>0</v>
      </c>
      <c r="B196" s="1593"/>
      <c r="C196" s="1593"/>
      <c r="D196" s="1594"/>
      <c r="E196" s="1441">
        <f>SUM(E192:E195)</f>
        <v>470000</v>
      </c>
      <c r="F196" s="1595">
        <v>2021</v>
      </c>
      <c r="G196" s="1596"/>
      <c r="H196" s="1596"/>
      <c r="I196" s="1596"/>
      <c r="J196" s="1597"/>
      <c r="K196" s="508"/>
    </row>
  </sheetData>
  <sheetProtection/>
  <mergeCells count="10">
    <mergeCell ref="A190:D190"/>
    <mergeCell ref="F190:J190"/>
    <mergeCell ref="A196:D196"/>
    <mergeCell ref="F196:J196"/>
    <mergeCell ref="A7:K7"/>
    <mergeCell ref="A33:K33"/>
    <mergeCell ref="F106:I106"/>
    <mergeCell ref="F107:I107"/>
    <mergeCell ref="A185:D185"/>
    <mergeCell ref="F185:J185"/>
  </mergeCells>
  <printOptions horizontalCentered="1"/>
  <pageMargins left="0.017708333333333333" right="0.25" top="0.75" bottom="0.75" header="0.3" footer="0.3"/>
  <pageSetup fitToHeight="1" fitToWidth="1" horizontalDpi="600" verticalDpi="600" orientation="landscape" paperSize="9" scale="36"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W59"/>
  <sheetViews>
    <sheetView zoomScaleSheetLayoutView="100" zoomScalePageLayoutView="85" workbookViewId="0" topLeftCell="A1">
      <selection activeCell="D6" sqref="D6"/>
    </sheetView>
  </sheetViews>
  <sheetFormatPr defaultColWidth="11.421875" defaultRowHeight="12.75"/>
  <cols>
    <col min="1" max="1" width="35.7109375" style="3" customWidth="1"/>
    <col min="2" max="2" width="30.7109375" style="67" customWidth="1"/>
    <col min="3" max="3" width="31.140625" style="3" customWidth="1"/>
    <col min="4" max="4" width="23.28125" style="3" customWidth="1"/>
    <col min="5" max="5" width="22.28125" style="3" customWidth="1"/>
    <col min="6" max="6" width="32.8515625" style="3" customWidth="1"/>
    <col min="7" max="7" width="39.57421875" style="3" customWidth="1"/>
    <col min="8" max="8" width="23.57421875" style="3" customWidth="1"/>
    <col min="9" max="16384" width="11.421875" style="3" customWidth="1"/>
  </cols>
  <sheetData>
    <row r="1" spans="1:7" s="5" customFormat="1" ht="12">
      <c r="A1" s="96" t="s">
        <v>426</v>
      </c>
      <c r="B1" s="106"/>
      <c r="C1" s="96"/>
      <c r="D1" s="96"/>
      <c r="E1" s="96"/>
      <c r="F1" s="96"/>
      <c r="G1" s="96"/>
    </row>
    <row r="2" spans="1:23" s="5" customFormat="1" ht="12">
      <c r="A2" s="96" t="s">
        <v>490</v>
      </c>
      <c r="B2" s="106"/>
      <c r="C2" s="96"/>
      <c r="D2" s="96"/>
      <c r="E2" s="96"/>
      <c r="F2" s="96"/>
      <c r="G2" s="96"/>
      <c r="H2" s="96"/>
      <c r="I2" s="96"/>
      <c r="J2" s="96"/>
      <c r="K2" s="96"/>
      <c r="L2" s="96"/>
      <c r="M2" s="96"/>
      <c r="N2" s="96"/>
      <c r="O2" s="96"/>
      <c r="P2" s="96"/>
      <c r="Q2" s="96"/>
      <c r="R2" s="96"/>
      <c r="S2" s="96"/>
      <c r="T2" s="96"/>
      <c r="U2" s="96"/>
      <c r="V2" s="96"/>
      <c r="W2" s="96"/>
    </row>
    <row r="3" spans="1:6" ht="12.75" thickBot="1">
      <c r="A3" s="15" t="s">
        <v>1067</v>
      </c>
      <c r="B3" s="735"/>
      <c r="C3" s="15"/>
      <c r="D3" s="20"/>
      <c r="E3" s="20"/>
      <c r="F3" s="20"/>
    </row>
    <row r="4" spans="1:8" ht="13.5" thickBot="1">
      <c r="A4" s="1605" t="s">
        <v>32</v>
      </c>
      <c r="B4" s="1602" t="s">
        <v>350</v>
      </c>
      <c r="C4" s="1602" t="s">
        <v>351</v>
      </c>
      <c r="D4" s="1465" t="s">
        <v>390</v>
      </c>
      <c r="E4" s="1466" t="s">
        <v>347</v>
      </c>
      <c r="F4" s="1467" t="s">
        <v>348</v>
      </c>
      <c r="G4" s="1602" t="s">
        <v>46</v>
      </c>
      <c r="H4" s="1602" t="s">
        <v>120</v>
      </c>
    </row>
    <row r="5" spans="1:8" ht="12.75" customHeight="1" thickBot="1">
      <c r="A5" s="1606"/>
      <c r="B5" s="1603"/>
      <c r="C5" s="1603"/>
      <c r="D5" s="1468" t="s">
        <v>346</v>
      </c>
      <c r="E5" s="1469" t="s">
        <v>346</v>
      </c>
      <c r="F5" s="1469" t="s">
        <v>346</v>
      </c>
      <c r="G5" s="1604"/>
      <c r="H5" s="1604"/>
    </row>
    <row r="6" spans="1:8" ht="81.75" customHeight="1" thickBot="1">
      <c r="A6" s="1475" t="s">
        <v>982</v>
      </c>
      <c r="B6" s="1472">
        <v>20101102549</v>
      </c>
      <c r="C6" s="1472" t="s">
        <v>97</v>
      </c>
      <c r="D6" s="1476"/>
      <c r="E6" s="1473">
        <v>3738506.38</v>
      </c>
      <c r="F6" s="1472"/>
      <c r="G6" s="1472" t="s">
        <v>983</v>
      </c>
      <c r="H6" s="1472"/>
    </row>
    <row r="7" spans="1:8" ht="51.75" thickBot="1">
      <c r="A7" s="1475" t="s">
        <v>984</v>
      </c>
      <c r="B7" s="1472">
        <v>20605241647</v>
      </c>
      <c r="C7" s="1472" t="s">
        <v>97</v>
      </c>
      <c r="D7" s="1476"/>
      <c r="E7" s="1472">
        <v>98507.83</v>
      </c>
      <c r="F7" s="1472"/>
      <c r="G7" s="1472" t="s">
        <v>983</v>
      </c>
      <c r="H7" s="1472"/>
    </row>
    <row r="8" spans="1:8" ht="51.75" thickBot="1">
      <c r="A8" s="1475" t="s">
        <v>985</v>
      </c>
      <c r="B8" s="1472">
        <v>20489610966</v>
      </c>
      <c r="C8" s="1472" t="s">
        <v>97</v>
      </c>
      <c r="D8" s="1476" t="s">
        <v>986</v>
      </c>
      <c r="E8" s="1472">
        <v>10750.8</v>
      </c>
      <c r="F8" s="1472"/>
      <c r="G8" s="1472" t="s">
        <v>983</v>
      </c>
      <c r="H8" s="1472"/>
    </row>
    <row r="9" spans="1:8" ht="90" thickBot="1">
      <c r="A9" s="1475" t="s">
        <v>987</v>
      </c>
      <c r="B9" s="1472">
        <v>20262241441</v>
      </c>
      <c r="C9" s="1472" t="s">
        <v>97</v>
      </c>
      <c r="D9" s="1476" t="s">
        <v>988</v>
      </c>
      <c r="E9" s="1472">
        <v>3729252</v>
      </c>
      <c r="F9" s="1472"/>
      <c r="G9" s="1472" t="s">
        <v>983</v>
      </c>
      <c r="H9" s="1472"/>
    </row>
    <row r="10" spans="1:8" ht="77.25" thickBot="1">
      <c r="A10" s="1475" t="s">
        <v>989</v>
      </c>
      <c r="B10" s="1472"/>
      <c r="C10" s="1472"/>
      <c r="D10" s="1476" t="s">
        <v>990</v>
      </c>
      <c r="E10" s="1472"/>
      <c r="F10" s="1472"/>
      <c r="G10" s="1472" t="s">
        <v>991</v>
      </c>
      <c r="H10" s="1472"/>
    </row>
    <row r="11" spans="1:8" ht="64.5" thickBot="1">
      <c r="A11" s="1475" t="s">
        <v>992</v>
      </c>
      <c r="B11" s="1472">
        <v>2054547179</v>
      </c>
      <c r="C11" s="1472"/>
      <c r="D11" s="1476" t="s">
        <v>993</v>
      </c>
      <c r="E11" s="1472">
        <v>217120</v>
      </c>
      <c r="F11" s="1472"/>
      <c r="G11" s="1472" t="s">
        <v>994</v>
      </c>
      <c r="H11" s="1472"/>
    </row>
    <row r="12" spans="1:8" ht="64.5" thickBot="1">
      <c r="A12" s="1475" t="s">
        <v>995</v>
      </c>
      <c r="B12" s="1472">
        <v>20486854473</v>
      </c>
      <c r="C12" s="1472"/>
      <c r="D12" s="1476" t="s">
        <v>996</v>
      </c>
      <c r="E12" s="1472"/>
      <c r="F12" s="1472"/>
      <c r="G12" s="1472" t="s">
        <v>997</v>
      </c>
      <c r="H12" s="1472"/>
    </row>
    <row r="13" spans="1:8" ht="51.75" thickBot="1">
      <c r="A13" s="1475" t="s">
        <v>985</v>
      </c>
      <c r="B13" s="1472"/>
      <c r="C13" s="1472"/>
      <c r="D13" s="1476" t="s">
        <v>986</v>
      </c>
      <c r="E13" s="1472"/>
      <c r="F13" s="1472"/>
      <c r="G13" s="1472"/>
      <c r="H13" s="1472"/>
    </row>
    <row r="14" spans="1:8" ht="77.25" thickBot="1">
      <c r="A14" s="1475" t="s">
        <v>998</v>
      </c>
      <c r="B14" s="1472"/>
      <c r="C14" s="1472">
        <v>45763184</v>
      </c>
      <c r="D14" s="1476" t="s">
        <v>999</v>
      </c>
      <c r="E14" s="1472">
        <v>383352.5</v>
      </c>
      <c r="F14" s="1472"/>
      <c r="G14" s="1472" t="s">
        <v>997</v>
      </c>
      <c r="H14" s="1472"/>
    </row>
    <row r="15" spans="1:8" ht="77.25" thickBot="1">
      <c r="A15" s="1475" t="s">
        <v>989</v>
      </c>
      <c r="B15" s="1470"/>
      <c r="C15" s="1470"/>
      <c r="D15" s="1476" t="s">
        <v>990</v>
      </c>
      <c r="E15" s="1470"/>
      <c r="F15" s="1470"/>
      <c r="G15" s="1470"/>
      <c r="H15" s="1470"/>
    </row>
    <row r="16" spans="1:8" ht="64.5" thickBot="1">
      <c r="A16" s="1477" t="s">
        <v>1000</v>
      </c>
      <c r="B16" s="1471"/>
      <c r="C16" s="1471"/>
      <c r="D16" s="1478" t="s">
        <v>1001</v>
      </c>
      <c r="E16" s="1471"/>
      <c r="F16" s="1471"/>
      <c r="G16" s="1471"/>
      <c r="H16" s="1471"/>
    </row>
    <row r="17" spans="1:8" ht="77.25" thickBot="1">
      <c r="A17" s="1475" t="s">
        <v>982</v>
      </c>
      <c r="B17" s="1472"/>
      <c r="C17" s="1472"/>
      <c r="D17" s="1476" t="s">
        <v>1002</v>
      </c>
      <c r="E17" s="1472"/>
      <c r="F17" s="1472"/>
      <c r="G17" s="1479"/>
      <c r="H17" s="1479"/>
    </row>
    <row r="18" spans="1:8" ht="90" thickBot="1">
      <c r="A18" s="1475" t="s">
        <v>987</v>
      </c>
      <c r="B18" s="1474"/>
      <c r="C18" s="1474"/>
      <c r="D18" s="1476" t="s">
        <v>988</v>
      </c>
      <c r="E18" s="1472"/>
      <c r="F18" s="1472"/>
      <c r="G18" s="1479"/>
      <c r="H18" s="1479"/>
    </row>
    <row r="19" spans="1:8" ht="90" thickBot="1">
      <c r="A19" s="1475" t="s">
        <v>1003</v>
      </c>
      <c r="B19" s="1472"/>
      <c r="C19" s="1472"/>
      <c r="D19" s="1476" t="s">
        <v>1004</v>
      </c>
      <c r="E19" s="1472"/>
      <c r="F19" s="1472"/>
      <c r="G19" s="1479"/>
      <c r="H19" s="1479"/>
    </row>
    <row r="20" spans="1:8" ht="77.25" thickBot="1">
      <c r="A20" s="1475" t="s">
        <v>1005</v>
      </c>
      <c r="B20" s="1479">
        <v>20601277078</v>
      </c>
      <c r="C20" s="1479"/>
      <c r="D20" s="1476" t="s">
        <v>1006</v>
      </c>
      <c r="E20" s="1479"/>
      <c r="F20" s="1479"/>
      <c r="G20" s="1479" t="s">
        <v>1007</v>
      </c>
      <c r="H20" s="1479"/>
    </row>
    <row r="21" spans="1:8" ht="64.5" thickBot="1">
      <c r="A21" s="1475" t="s">
        <v>1008</v>
      </c>
      <c r="B21" s="1479">
        <v>20603941439</v>
      </c>
      <c r="C21" s="1479"/>
      <c r="D21" s="1476" t="s">
        <v>1009</v>
      </c>
      <c r="E21" s="1479"/>
      <c r="F21" s="1479"/>
      <c r="G21" s="1479" t="s">
        <v>1010</v>
      </c>
      <c r="H21" s="1479"/>
    </row>
    <row r="22" spans="1:8" ht="51.75" thickBot="1">
      <c r="A22" s="1475" t="s">
        <v>1011</v>
      </c>
      <c r="B22" s="1479"/>
      <c r="C22" s="1479">
        <v>43806402</v>
      </c>
      <c r="D22" s="1476" t="s">
        <v>1012</v>
      </c>
      <c r="E22" s="1479"/>
      <c r="F22" s="1479"/>
      <c r="G22" s="1479" t="s">
        <v>1010</v>
      </c>
      <c r="H22" s="1479"/>
    </row>
    <row r="23" spans="1:8" ht="64.5" thickBot="1">
      <c r="A23" s="1475" t="s">
        <v>1013</v>
      </c>
      <c r="B23" s="1479"/>
      <c r="C23" s="1479"/>
      <c r="D23" s="1476" t="s">
        <v>1014</v>
      </c>
      <c r="E23" s="1479"/>
      <c r="F23" s="1479"/>
      <c r="G23" s="1479" t="s">
        <v>983</v>
      </c>
      <c r="H23" s="1479"/>
    </row>
    <row r="24" spans="1:8" ht="51.75" thickBot="1">
      <c r="A24" s="1475" t="s">
        <v>1011</v>
      </c>
      <c r="B24" s="1479"/>
      <c r="C24" s="1479"/>
      <c r="D24" s="1476" t="s">
        <v>1012</v>
      </c>
      <c r="E24" s="1479"/>
      <c r="F24" s="1479"/>
      <c r="G24" s="1479"/>
      <c r="H24" s="1479"/>
    </row>
    <row r="25" spans="1:8" ht="64.5" thickBot="1">
      <c r="A25" s="1475" t="s">
        <v>1015</v>
      </c>
      <c r="B25" s="1479"/>
      <c r="C25" s="1479">
        <v>10029817</v>
      </c>
      <c r="D25" s="1476" t="s">
        <v>1016</v>
      </c>
      <c r="E25" s="1479"/>
      <c r="F25" s="1479"/>
      <c r="G25" s="1479" t="s">
        <v>1010</v>
      </c>
      <c r="H25" s="1479"/>
    </row>
    <row r="26" spans="1:8" ht="77.25" thickBot="1">
      <c r="A26" s="1475" t="s">
        <v>1005</v>
      </c>
      <c r="B26" s="1479"/>
      <c r="C26" s="1479"/>
      <c r="D26" s="1476" t="s">
        <v>1006</v>
      </c>
      <c r="E26" s="1479"/>
      <c r="F26" s="1479"/>
      <c r="G26" s="1479"/>
      <c r="H26" s="1479"/>
    </row>
    <row r="27" spans="1:8" ht="39" thickBot="1">
      <c r="A27" s="1475" t="s">
        <v>1017</v>
      </c>
      <c r="B27" s="1479"/>
      <c r="C27" s="1479">
        <v>41022059</v>
      </c>
      <c r="D27" s="1476" t="s">
        <v>1018</v>
      </c>
      <c r="E27" s="1479"/>
      <c r="F27" s="1479"/>
      <c r="G27" s="1479" t="s">
        <v>1010</v>
      </c>
      <c r="H27" s="1479"/>
    </row>
    <row r="28" spans="1:8" ht="39" thickBot="1">
      <c r="A28" s="1475" t="s">
        <v>1019</v>
      </c>
      <c r="B28" s="1479"/>
      <c r="C28" s="1479">
        <v>45081128</v>
      </c>
      <c r="D28" s="1476" t="s">
        <v>1020</v>
      </c>
      <c r="E28" s="1479"/>
      <c r="F28" s="1479"/>
      <c r="G28" s="1479" t="s">
        <v>1010</v>
      </c>
      <c r="H28" s="1479"/>
    </row>
    <row r="29" spans="1:8" ht="64.5" thickBot="1">
      <c r="A29" s="1475" t="s">
        <v>1021</v>
      </c>
      <c r="B29" s="1479"/>
      <c r="C29" s="1479">
        <v>42739500</v>
      </c>
      <c r="D29" s="1476" t="s">
        <v>1022</v>
      </c>
      <c r="E29" s="1479"/>
      <c r="F29" s="1479"/>
      <c r="G29" s="1479"/>
      <c r="H29" s="1479"/>
    </row>
    <row r="30" spans="1:8" ht="64.5" thickBot="1">
      <c r="A30" s="1475" t="s">
        <v>1023</v>
      </c>
      <c r="B30" s="1479"/>
      <c r="C30" s="1479">
        <v>44691278</v>
      </c>
      <c r="D30" s="1476" t="s">
        <v>1024</v>
      </c>
      <c r="E30" s="1479"/>
      <c r="F30" s="1479"/>
      <c r="G30" s="1479" t="s">
        <v>1025</v>
      </c>
      <c r="H30" s="1479"/>
    </row>
    <row r="31" spans="1:8" ht="64.5" thickBot="1">
      <c r="A31" s="1475" t="s">
        <v>1026</v>
      </c>
      <c r="B31" s="1479"/>
      <c r="C31" s="1479">
        <v>22511096</v>
      </c>
      <c r="D31" s="1476" t="s">
        <v>1027</v>
      </c>
      <c r="E31" s="1479"/>
      <c r="F31" s="1479"/>
      <c r="G31" s="1479" t="s">
        <v>1010</v>
      </c>
      <c r="H31" s="1479"/>
    </row>
    <row r="32" spans="1:8" ht="77.25" thickBot="1">
      <c r="A32" s="1475" t="s">
        <v>1005</v>
      </c>
      <c r="B32" s="1479"/>
      <c r="C32" s="1479"/>
      <c r="D32" s="1476" t="s">
        <v>1006</v>
      </c>
      <c r="E32" s="1479"/>
      <c r="F32" s="1479"/>
      <c r="G32" s="1479"/>
      <c r="H32" s="1479"/>
    </row>
    <row r="33" spans="1:8" ht="77.25" thickBot="1">
      <c r="A33" s="1475" t="s">
        <v>989</v>
      </c>
      <c r="B33" s="1479"/>
      <c r="C33" s="1479"/>
      <c r="D33" s="1476" t="s">
        <v>990</v>
      </c>
      <c r="E33" s="1479"/>
      <c r="F33" s="1479"/>
      <c r="G33" s="1479"/>
      <c r="H33" s="1479"/>
    </row>
    <row r="34" spans="1:8" ht="51.75" thickBot="1">
      <c r="A34" s="1475" t="s">
        <v>1028</v>
      </c>
      <c r="B34" s="1479"/>
      <c r="C34" s="1479">
        <v>10029817</v>
      </c>
      <c r="D34" s="1476" t="s">
        <v>1029</v>
      </c>
      <c r="E34" s="1479"/>
      <c r="F34" s="1479"/>
      <c r="G34" s="1479" t="s">
        <v>1010</v>
      </c>
      <c r="H34" s="1479"/>
    </row>
    <row r="35" spans="1:8" ht="64.5" thickBot="1">
      <c r="A35" s="1475" t="s">
        <v>1026</v>
      </c>
      <c r="B35" s="1479"/>
      <c r="C35" s="1479"/>
      <c r="D35" s="1476" t="s">
        <v>1027</v>
      </c>
      <c r="E35" s="1479"/>
      <c r="F35" s="1479"/>
      <c r="G35" s="1479"/>
      <c r="H35" s="1479"/>
    </row>
    <row r="36" spans="1:8" ht="90" thickBot="1">
      <c r="A36" s="1475" t="s">
        <v>1030</v>
      </c>
      <c r="B36" s="1479"/>
      <c r="C36" s="1479">
        <v>22503135</v>
      </c>
      <c r="D36" s="1476" t="s">
        <v>1031</v>
      </c>
      <c r="E36" s="1479"/>
      <c r="F36" s="1479"/>
      <c r="G36" s="1479" t="s">
        <v>1010</v>
      </c>
      <c r="H36" s="1479"/>
    </row>
    <row r="37" spans="1:8" ht="77.25" thickBot="1">
      <c r="A37" s="1475" t="s">
        <v>1032</v>
      </c>
      <c r="B37" s="1479"/>
      <c r="C37" s="1479">
        <v>44189230</v>
      </c>
      <c r="D37" s="1476" t="s">
        <v>1033</v>
      </c>
      <c r="E37" s="1479"/>
      <c r="F37" s="1479"/>
      <c r="G37" s="1479" t="s">
        <v>997</v>
      </c>
      <c r="H37" s="1479"/>
    </row>
    <row r="38" spans="1:8" ht="64.5" thickBot="1">
      <c r="A38" s="1475" t="s">
        <v>1034</v>
      </c>
      <c r="B38" s="1479"/>
      <c r="C38" s="1479">
        <v>9940915</v>
      </c>
      <c r="D38" s="1476" t="s">
        <v>1035</v>
      </c>
      <c r="E38" s="1479"/>
      <c r="F38" s="1479"/>
      <c r="G38" s="1479" t="s">
        <v>997</v>
      </c>
      <c r="H38" s="1479"/>
    </row>
    <row r="39" spans="1:8" ht="51.75" thickBot="1">
      <c r="A39" s="1475" t="s">
        <v>984</v>
      </c>
      <c r="B39" s="1479"/>
      <c r="C39" s="1479"/>
      <c r="D39" s="1476" t="s">
        <v>1036</v>
      </c>
      <c r="E39" s="1479"/>
      <c r="F39" s="1479"/>
      <c r="G39" s="1479"/>
      <c r="H39" s="1479"/>
    </row>
    <row r="40" spans="1:8" ht="102.75" thickBot="1">
      <c r="A40" s="1475" t="s">
        <v>1037</v>
      </c>
      <c r="B40" s="1479"/>
      <c r="C40" s="1479">
        <v>10199903</v>
      </c>
      <c r="D40" s="1476" t="s">
        <v>1038</v>
      </c>
      <c r="E40" s="1479"/>
      <c r="F40" s="1479"/>
      <c r="G40" s="1479" t="s">
        <v>1039</v>
      </c>
      <c r="H40" s="1479"/>
    </row>
    <row r="41" spans="1:8" ht="51.75" thickBot="1">
      <c r="A41" s="1475" t="s">
        <v>1028</v>
      </c>
      <c r="B41" s="1479"/>
      <c r="C41" s="1479"/>
      <c r="D41" s="1476" t="s">
        <v>1029</v>
      </c>
      <c r="E41" s="1479"/>
      <c r="F41" s="1479"/>
      <c r="G41" s="1479"/>
      <c r="H41" s="1479"/>
    </row>
    <row r="42" spans="1:8" ht="64.5" thickBot="1">
      <c r="A42" s="1475" t="s">
        <v>1040</v>
      </c>
      <c r="B42" s="1479"/>
      <c r="C42" s="1479">
        <v>1020068994</v>
      </c>
      <c r="D42" s="1476" t="s">
        <v>1041</v>
      </c>
      <c r="E42" s="1479"/>
      <c r="F42" s="1479"/>
      <c r="G42" s="1479" t="s">
        <v>997</v>
      </c>
      <c r="H42" s="1479"/>
    </row>
    <row r="43" spans="1:8" ht="39" thickBot="1">
      <c r="A43" s="1475" t="s">
        <v>1019</v>
      </c>
      <c r="B43" s="1479"/>
      <c r="C43" s="1479"/>
      <c r="D43" s="1476" t="s">
        <v>1020</v>
      </c>
      <c r="E43" s="1479"/>
      <c r="F43" s="1479"/>
      <c r="G43" s="1479"/>
      <c r="H43" s="1479"/>
    </row>
    <row r="44" spans="1:8" ht="51.75" thickBot="1">
      <c r="A44" s="1480" t="s">
        <v>1042</v>
      </c>
      <c r="B44" s="1481"/>
      <c r="C44" s="1481">
        <v>10178510</v>
      </c>
      <c r="D44" s="1482" t="s">
        <v>1043</v>
      </c>
      <c r="E44" s="1481"/>
      <c r="F44" s="1481"/>
      <c r="G44" s="1481" t="s">
        <v>1010</v>
      </c>
      <c r="H44" s="1481"/>
    </row>
    <row r="45" spans="1:8" ht="51.75" thickBot="1">
      <c r="A45" s="1475" t="s">
        <v>1044</v>
      </c>
      <c r="B45" s="1479"/>
      <c r="C45" s="1479">
        <v>72695395</v>
      </c>
      <c r="D45" s="1476" t="s">
        <v>1045</v>
      </c>
      <c r="E45" s="1479"/>
      <c r="F45" s="1479"/>
      <c r="G45" s="1479" t="s">
        <v>1010</v>
      </c>
      <c r="H45" s="1479"/>
    </row>
    <row r="46" spans="1:8" ht="51.75" thickBot="1">
      <c r="A46" s="1480" t="s">
        <v>1046</v>
      </c>
      <c r="B46" s="1481"/>
      <c r="C46" s="1481"/>
      <c r="D46" s="1482" t="s">
        <v>1047</v>
      </c>
      <c r="E46" s="1481"/>
      <c r="F46" s="1481"/>
      <c r="G46" s="1481"/>
      <c r="H46" s="1481"/>
    </row>
    <row r="47" spans="1:8" ht="64.5" thickBot="1">
      <c r="A47" s="1475" t="s">
        <v>1048</v>
      </c>
      <c r="B47" s="1479"/>
      <c r="C47" s="1479">
        <v>27974746</v>
      </c>
      <c r="D47" s="1476" t="s">
        <v>1049</v>
      </c>
      <c r="E47" s="1479"/>
      <c r="F47" s="1479"/>
      <c r="G47" s="1479" t="s">
        <v>1010</v>
      </c>
      <c r="H47" s="1479"/>
    </row>
    <row r="48" spans="1:8" ht="76.5">
      <c r="A48" s="1480" t="s">
        <v>1050</v>
      </c>
      <c r="B48" s="1481"/>
      <c r="C48" s="1481">
        <v>40657359</v>
      </c>
      <c r="D48" s="1482" t="s">
        <v>1051</v>
      </c>
      <c r="E48" s="1481"/>
      <c r="F48" s="1481"/>
      <c r="G48" s="1481" t="s">
        <v>1010</v>
      </c>
      <c r="H48" s="1481"/>
    </row>
    <row r="49" spans="1:8" ht="13.5" thickBot="1">
      <c r="A49" s="1483">
        <v>2019</v>
      </c>
      <c r="B49" s="1481"/>
      <c r="C49" s="1481"/>
      <c r="D49" s="1482"/>
      <c r="E49" s="1481"/>
      <c r="F49" s="1481"/>
      <c r="G49" s="1481"/>
      <c r="H49" s="1481"/>
    </row>
    <row r="50" spans="1:8" ht="77.25" thickBot="1">
      <c r="A50" s="1475" t="s">
        <v>1052</v>
      </c>
      <c r="B50" s="1479"/>
      <c r="C50" s="1479"/>
      <c r="D50" s="1476" t="s">
        <v>1053</v>
      </c>
      <c r="E50" s="1479"/>
      <c r="F50" s="1479"/>
      <c r="G50" s="1479"/>
      <c r="H50" s="1479"/>
    </row>
    <row r="51" spans="1:8" ht="77.25" thickBot="1">
      <c r="A51" s="1480" t="s">
        <v>1052</v>
      </c>
      <c r="B51" s="1481"/>
      <c r="C51" s="1481"/>
      <c r="D51" s="1482" t="s">
        <v>1053</v>
      </c>
      <c r="E51" s="1481"/>
      <c r="F51" s="1481"/>
      <c r="G51" s="1481"/>
      <c r="H51" s="1481"/>
    </row>
    <row r="52" spans="1:8" ht="77.25" thickBot="1">
      <c r="A52" s="1475" t="s">
        <v>1054</v>
      </c>
      <c r="B52" s="1479"/>
      <c r="C52" s="1479"/>
      <c r="D52" s="1476" t="s">
        <v>1055</v>
      </c>
      <c r="E52" s="1479"/>
      <c r="F52" s="1479"/>
      <c r="G52" s="1479"/>
      <c r="H52" s="1479"/>
    </row>
    <row r="53" spans="1:8" ht="77.25" thickBot="1">
      <c r="A53" s="1480" t="s">
        <v>1056</v>
      </c>
      <c r="B53" s="1481"/>
      <c r="C53" s="1481">
        <v>42544051</v>
      </c>
      <c r="D53" s="1482">
        <v>119900</v>
      </c>
      <c r="E53" s="1481"/>
      <c r="F53" s="1481"/>
      <c r="G53" s="1481" t="s">
        <v>997</v>
      </c>
      <c r="H53" s="1481"/>
    </row>
    <row r="54" spans="1:8" ht="64.5" thickBot="1">
      <c r="A54" s="1475" t="s">
        <v>1057</v>
      </c>
      <c r="B54" s="1479">
        <v>20605625062</v>
      </c>
      <c r="C54" s="1479"/>
      <c r="D54" s="1476" t="s">
        <v>1058</v>
      </c>
      <c r="E54" s="1479"/>
      <c r="F54" s="1479"/>
      <c r="G54" s="1479" t="s">
        <v>997</v>
      </c>
      <c r="H54" s="1479"/>
    </row>
    <row r="55" spans="1:8" ht="64.5" thickBot="1">
      <c r="A55" s="1480" t="s">
        <v>1059</v>
      </c>
      <c r="B55" s="1481">
        <v>20605216456</v>
      </c>
      <c r="C55" s="1481"/>
      <c r="D55" s="1482" t="s">
        <v>1060</v>
      </c>
      <c r="E55" s="1481"/>
      <c r="F55" s="1481"/>
      <c r="G55" s="1481" t="s">
        <v>1010</v>
      </c>
      <c r="H55" s="1481"/>
    </row>
    <row r="56" spans="1:8" ht="115.5" thickBot="1">
      <c r="A56" s="1475" t="s">
        <v>1061</v>
      </c>
      <c r="B56" s="1479">
        <v>20605168401</v>
      </c>
      <c r="C56" s="1479"/>
      <c r="D56" s="1476">
        <v>2667069</v>
      </c>
      <c r="E56" s="1479"/>
      <c r="F56" s="1479"/>
      <c r="G56" s="1479" t="s">
        <v>997</v>
      </c>
      <c r="H56" s="1479"/>
    </row>
    <row r="57" spans="1:8" ht="102.75" thickBot="1">
      <c r="A57" s="1480" t="s">
        <v>1062</v>
      </c>
      <c r="B57" s="1481"/>
      <c r="C57" s="1481"/>
      <c r="D57" s="1482" t="s">
        <v>1063</v>
      </c>
      <c r="E57" s="1481"/>
      <c r="F57" s="1481"/>
      <c r="G57" s="1481"/>
      <c r="H57" s="1481"/>
    </row>
    <row r="58" spans="1:8" ht="39" thickBot="1">
      <c r="A58" s="1475" t="s">
        <v>1064</v>
      </c>
      <c r="B58" s="1479">
        <v>20604735581</v>
      </c>
      <c r="C58" s="1479"/>
      <c r="D58" s="1476" t="s">
        <v>1045</v>
      </c>
      <c r="E58" s="1479"/>
      <c r="F58" s="1479"/>
      <c r="G58" s="1479" t="s">
        <v>1010</v>
      </c>
      <c r="H58" s="1479"/>
    </row>
    <row r="59" spans="1:8" ht="26.25" thickBot="1">
      <c r="A59" s="1475" t="s">
        <v>1065</v>
      </c>
      <c r="B59" s="1479">
        <v>20604685606</v>
      </c>
      <c r="C59" s="1479"/>
      <c r="D59" s="1476" t="s">
        <v>1066</v>
      </c>
      <c r="E59" s="1479"/>
      <c r="F59" s="1479"/>
      <c r="G59" s="1479" t="s">
        <v>1010</v>
      </c>
      <c r="H59" s="1479"/>
    </row>
  </sheetData>
  <sheetProtection/>
  <mergeCells count="5">
    <mergeCell ref="B4:B5"/>
    <mergeCell ref="H4:H5"/>
    <mergeCell ref="A4:A5"/>
    <mergeCell ref="G4:G5"/>
    <mergeCell ref="C4:C5"/>
  </mergeCells>
  <printOptions horizontalCentered="1"/>
  <pageMargins left="0.25" right="0.2995098039215686" top="0.75" bottom="0.75" header="0.3" footer="0.3"/>
  <pageSetup fitToHeight="1" fitToWidth="1" horizontalDpi="600" verticalDpi="600" orientation="landscape" paperSize="9" scale="41"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sheetPr>
    <tabColor theme="9" tint="-0.24997000396251678"/>
    <pageSetUpPr fitToPage="1"/>
  </sheetPr>
  <dimension ref="A1:V177"/>
  <sheetViews>
    <sheetView zoomScaleSheetLayoutView="100" zoomScalePageLayoutView="85" workbookViewId="0" topLeftCell="A1">
      <selection activeCell="C7" sqref="C7"/>
    </sheetView>
  </sheetViews>
  <sheetFormatPr defaultColWidth="11.421875" defaultRowHeight="12.75"/>
  <cols>
    <col min="1" max="1" width="42.00390625" style="740" bestFit="1" customWidth="1"/>
    <col min="2" max="2" width="10.8515625" style="740" customWidth="1"/>
    <col min="3" max="3" width="35.421875" style="740" customWidth="1"/>
    <col min="4" max="8" width="15.57421875" style="740" customWidth="1"/>
    <col min="9" max="16384" width="11.421875" style="740" customWidth="1"/>
  </cols>
  <sheetData>
    <row r="1" spans="1:8" s="770" customFormat="1" ht="12.75">
      <c r="A1" s="737" t="s">
        <v>427</v>
      </c>
      <c r="B1" s="737"/>
      <c r="C1" s="737"/>
      <c r="D1" s="737"/>
      <c r="E1" s="737"/>
      <c r="F1" s="737"/>
      <c r="G1" s="737"/>
      <c r="H1" s="737"/>
    </row>
    <row r="2" spans="1:22" s="771" customFormat="1" ht="12.75">
      <c r="A2" s="739" t="s">
        <v>490</v>
      </c>
      <c r="B2" s="739"/>
      <c r="C2" s="739"/>
      <c r="D2" s="739"/>
      <c r="E2" s="739"/>
      <c r="F2" s="739"/>
      <c r="G2" s="739"/>
      <c r="H2" s="739"/>
      <c r="I2" s="739"/>
      <c r="J2" s="739"/>
      <c r="K2" s="739"/>
      <c r="L2" s="739"/>
      <c r="M2" s="739"/>
      <c r="N2" s="739"/>
      <c r="O2" s="739"/>
      <c r="P2" s="739"/>
      <c r="Q2" s="739"/>
      <c r="R2" s="739"/>
      <c r="S2" s="739"/>
      <c r="T2" s="739"/>
      <c r="U2" s="739"/>
      <c r="V2" s="739"/>
    </row>
    <row r="3" ht="12.75">
      <c r="A3" s="772" t="s">
        <v>528</v>
      </c>
    </row>
    <row r="4" ht="13.5" thickBot="1"/>
    <row r="5" spans="1:8" ht="13.5" thickBot="1">
      <c r="A5" s="1607" t="s">
        <v>359</v>
      </c>
      <c r="B5" s="1607" t="s">
        <v>99</v>
      </c>
      <c r="C5" s="1609" t="s">
        <v>358</v>
      </c>
      <c r="D5" s="1610"/>
      <c r="E5" s="1610"/>
      <c r="F5" s="1610"/>
      <c r="G5" s="1610"/>
      <c r="H5" s="1610"/>
    </row>
    <row r="6" spans="1:8" ht="26.25" thickBot="1">
      <c r="A6" s="1608"/>
      <c r="B6" s="1608"/>
      <c r="C6" s="741" t="s">
        <v>357</v>
      </c>
      <c r="D6" s="773" t="s">
        <v>356</v>
      </c>
      <c r="E6" s="774" t="s">
        <v>355</v>
      </c>
      <c r="F6" s="775" t="s">
        <v>354</v>
      </c>
      <c r="G6" s="775" t="s">
        <v>1068</v>
      </c>
      <c r="H6" s="775" t="s">
        <v>1069</v>
      </c>
    </row>
    <row r="7" spans="1:8" ht="12.75">
      <c r="A7" s="776"/>
      <c r="B7" s="742"/>
      <c r="C7" s="743"/>
      <c r="D7" s="763"/>
      <c r="E7" s="777"/>
      <c r="F7" s="743"/>
      <c r="G7" s="743"/>
      <c r="H7" s="743"/>
    </row>
    <row r="8" spans="1:8" ht="12.75">
      <c r="A8" s="778" t="s">
        <v>33</v>
      </c>
      <c r="B8" s="1618">
        <v>885</v>
      </c>
      <c r="C8" s="1619" t="s">
        <v>1070</v>
      </c>
      <c r="D8" s="1619" t="s">
        <v>1071</v>
      </c>
      <c r="E8" s="1620">
        <v>2005</v>
      </c>
      <c r="F8" s="1619" t="s">
        <v>1072</v>
      </c>
      <c r="G8" s="743"/>
      <c r="H8" s="743"/>
    </row>
    <row r="9" spans="1:8" ht="25.5">
      <c r="A9" s="744" t="s">
        <v>1073</v>
      </c>
      <c r="B9" s="1618"/>
      <c r="C9" s="1619"/>
      <c r="D9" s="1619"/>
      <c r="E9" s="1620"/>
      <c r="F9" s="1619"/>
      <c r="G9" s="779">
        <v>0</v>
      </c>
      <c r="H9" s="779">
        <v>1505399</v>
      </c>
    </row>
    <row r="10" spans="1:8" ht="12.75">
      <c r="A10" s="744" t="s">
        <v>1074</v>
      </c>
      <c r="B10" s="1618"/>
      <c r="C10" s="1619"/>
      <c r="D10" s="1619"/>
      <c r="E10" s="1620"/>
      <c r="F10" s="1619"/>
      <c r="G10" s="779">
        <v>0</v>
      </c>
      <c r="H10" s="779">
        <v>3629923</v>
      </c>
    </row>
    <row r="11" spans="1:8" ht="25.5">
      <c r="A11" s="744" t="s">
        <v>1075</v>
      </c>
      <c r="B11" s="1618"/>
      <c r="C11" s="1619"/>
      <c r="D11" s="1619"/>
      <c r="E11" s="1620"/>
      <c r="F11" s="1619"/>
      <c r="G11" s="779">
        <v>0</v>
      </c>
      <c r="H11" s="779">
        <v>0</v>
      </c>
    </row>
    <row r="12" spans="1:8" ht="25.5">
      <c r="A12" s="744" t="s">
        <v>1076</v>
      </c>
      <c r="B12" s="1618"/>
      <c r="C12" s="1619"/>
      <c r="D12" s="1619"/>
      <c r="E12" s="1620"/>
      <c r="F12" s="1619"/>
      <c r="G12" s="779">
        <v>571665</v>
      </c>
      <c r="H12" s="779">
        <v>514065.5</v>
      </c>
    </row>
    <row r="13" spans="1:8" ht="12.75">
      <c r="A13" s="778"/>
      <c r="B13" s="745"/>
      <c r="C13" s="743"/>
      <c r="D13" s="763"/>
      <c r="E13" s="777"/>
      <c r="F13" s="743"/>
      <c r="G13" s="743"/>
      <c r="H13" s="743"/>
    </row>
    <row r="14" spans="1:8" ht="12.75">
      <c r="A14" s="778" t="s">
        <v>34</v>
      </c>
      <c r="B14" s="746">
        <v>885</v>
      </c>
      <c r="C14" s="747" t="s">
        <v>1070</v>
      </c>
      <c r="D14" s="780" t="s">
        <v>1071</v>
      </c>
      <c r="E14" s="781">
        <v>2013</v>
      </c>
      <c r="F14" s="747" t="s">
        <v>1072</v>
      </c>
      <c r="G14" s="779">
        <v>144204.84</v>
      </c>
      <c r="H14" s="779">
        <v>115136.62</v>
      </c>
    </row>
    <row r="15" spans="1:8" ht="12.75">
      <c r="A15" s="778"/>
      <c r="B15" s="745"/>
      <c r="C15" s="743"/>
      <c r="D15" s="763"/>
      <c r="E15" s="777"/>
      <c r="F15" s="743"/>
      <c r="G15" s="743"/>
      <c r="H15" s="743"/>
    </row>
    <row r="16" spans="1:8" ht="12.75">
      <c r="A16" s="778" t="s">
        <v>35</v>
      </c>
      <c r="B16" s="1618">
        <v>885</v>
      </c>
      <c r="C16" s="1619" t="s">
        <v>1070</v>
      </c>
      <c r="D16" s="1619" t="s">
        <v>1071</v>
      </c>
      <c r="E16" s="1620">
        <v>2013</v>
      </c>
      <c r="F16" s="1619" t="s">
        <v>1072</v>
      </c>
      <c r="G16" s="743"/>
      <c r="H16" s="743"/>
    </row>
    <row r="17" spans="1:8" ht="12.75">
      <c r="A17" s="778" t="s">
        <v>1077</v>
      </c>
      <c r="B17" s="1618"/>
      <c r="C17" s="1619"/>
      <c r="D17" s="1619"/>
      <c r="E17" s="1620"/>
      <c r="F17" s="1619"/>
      <c r="G17" s="743"/>
      <c r="H17" s="743"/>
    </row>
    <row r="18" spans="1:8" ht="25.5">
      <c r="A18" s="748" t="s">
        <v>1078</v>
      </c>
      <c r="B18" s="1618"/>
      <c r="C18" s="1619"/>
      <c r="D18" s="1619"/>
      <c r="E18" s="1620"/>
      <c r="F18" s="1619"/>
      <c r="G18" s="779">
        <v>2493.5</v>
      </c>
      <c r="H18" s="779">
        <v>2492.5</v>
      </c>
    </row>
    <row r="19" spans="1:8" ht="25.5">
      <c r="A19" s="744" t="s">
        <v>1079</v>
      </c>
      <c r="B19" s="1618"/>
      <c r="C19" s="1619"/>
      <c r="D19" s="1619"/>
      <c r="E19" s="1620"/>
      <c r="F19" s="1619"/>
      <c r="G19" s="779">
        <v>9914153.38</v>
      </c>
      <c r="H19" s="779">
        <v>9664291.88</v>
      </c>
    </row>
    <row r="20" spans="1:8" ht="12.75">
      <c r="A20" s="748" t="s">
        <v>1080</v>
      </c>
      <c r="B20" s="1618"/>
      <c r="C20" s="1619"/>
      <c r="D20" s="1619"/>
      <c r="E20" s="1620"/>
      <c r="F20" s="1619"/>
      <c r="G20" s="779">
        <v>49001605.8</v>
      </c>
      <c r="H20" s="779">
        <v>24599443.44</v>
      </c>
    </row>
    <row r="21" spans="1:8" ht="12.75">
      <c r="A21" s="748" t="s">
        <v>1081</v>
      </c>
      <c r="B21" s="1618"/>
      <c r="C21" s="1619"/>
      <c r="D21" s="1619"/>
      <c r="E21" s="1620"/>
      <c r="F21" s="1619"/>
      <c r="G21" s="779">
        <v>1377434.06</v>
      </c>
      <c r="H21" s="779">
        <v>1377434.06</v>
      </c>
    </row>
    <row r="22" spans="1:8" ht="12.75">
      <c r="A22" s="748" t="s">
        <v>1082</v>
      </c>
      <c r="B22" s="1618"/>
      <c r="C22" s="1619"/>
      <c r="D22" s="1619"/>
      <c r="E22" s="1620"/>
      <c r="F22" s="1619"/>
      <c r="G22" s="779">
        <v>8188878.05</v>
      </c>
      <c r="H22" s="779">
        <v>4700</v>
      </c>
    </row>
    <row r="23" spans="1:8" ht="12.75">
      <c r="A23" s="749" t="s">
        <v>1083</v>
      </c>
      <c r="B23" s="1618"/>
      <c r="C23" s="1619"/>
      <c r="D23" s="1619"/>
      <c r="E23" s="1620"/>
      <c r="F23" s="1619"/>
      <c r="G23" s="779">
        <v>589571.16</v>
      </c>
      <c r="H23" s="779">
        <v>589571.16</v>
      </c>
    </row>
    <row r="24" spans="1:8" ht="12.75">
      <c r="A24" s="778"/>
      <c r="B24" s="745"/>
      <c r="C24" s="743"/>
      <c r="D24" s="763"/>
      <c r="E24" s="777"/>
      <c r="F24" s="743"/>
      <c r="G24" s="743"/>
      <c r="H24" s="743"/>
    </row>
    <row r="25" spans="1:8" ht="12.75">
      <c r="A25" s="778" t="s">
        <v>36</v>
      </c>
      <c r="B25" s="1618">
        <v>885</v>
      </c>
      <c r="C25" s="1619" t="s">
        <v>1084</v>
      </c>
      <c r="D25" s="1619" t="s">
        <v>1071</v>
      </c>
      <c r="E25" s="1620">
        <v>2012</v>
      </c>
      <c r="F25" s="1619" t="s">
        <v>1072</v>
      </c>
      <c r="G25" s="743"/>
      <c r="H25" s="743"/>
    </row>
    <row r="26" spans="1:8" ht="25.5">
      <c r="A26" s="748" t="s">
        <v>1085</v>
      </c>
      <c r="B26" s="1618"/>
      <c r="C26" s="1619"/>
      <c r="D26" s="1619"/>
      <c r="E26" s="1620"/>
      <c r="F26" s="1619"/>
      <c r="G26" s="779">
        <v>48.39</v>
      </c>
      <c r="H26" s="779">
        <v>48.39</v>
      </c>
    </row>
    <row r="27" spans="1:8" ht="12.75">
      <c r="A27" s="748" t="s">
        <v>1086</v>
      </c>
      <c r="B27" s="1618"/>
      <c r="C27" s="1619"/>
      <c r="D27" s="1619"/>
      <c r="E27" s="1620"/>
      <c r="F27" s="1619"/>
      <c r="G27" s="779">
        <v>0</v>
      </c>
      <c r="H27" s="779">
        <v>0</v>
      </c>
    </row>
    <row r="28" spans="1:8" ht="25.5">
      <c r="A28" s="748" t="s">
        <v>1087</v>
      </c>
      <c r="B28" s="1618"/>
      <c r="C28" s="1619"/>
      <c r="D28" s="1619"/>
      <c r="E28" s="1620"/>
      <c r="F28" s="1619"/>
      <c r="G28" s="779">
        <v>275268.61</v>
      </c>
      <c r="H28" s="779">
        <v>275268.61</v>
      </c>
    </row>
    <row r="29" spans="1:8" ht="12.75">
      <c r="A29" s="778"/>
      <c r="B29" s="745"/>
      <c r="C29" s="743"/>
      <c r="D29" s="763"/>
      <c r="E29" s="777"/>
      <c r="F29" s="743"/>
      <c r="G29" s="743"/>
      <c r="H29" s="743"/>
    </row>
    <row r="30" spans="1:8" ht="12.75">
      <c r="A30" s="778" t="s">
        <v>37</v>
      </c>
      <c r="B30" s="1618">
        <v>885</v>
      </c>
      <c r="C30" s="1619" t="s">
        <v>1070</v>
      </c>
      <c r="D30" s="1619" t="s">
        <v>1071</v>
      </c>
      <c r="E30" s="1620">
        <v>2008</v>
      </c>
      <c r="F30" s="1619" t="s">
        <v>1072</v>
      </c>
      <c r="G30" s="743"/>
      <c r="H30" s="743"/>
    </row>
    <row r="31" spans="1:8" ht="12.75">
      <c r="A31" s="748" t="s">
        <v>1088</v>
      </c>
      <c r="B31" s="1618"/>
      <c r="C31" s="1619"/>
      <c r="D31" s="1619"/>
      <c r="E31" s="1620"/>
      <c r="F31" s="1619"/>
      <c r="G31" s="779">
        <v>93.3</v>
      </c>
      <c r="H31" s="779">
        <v>93.3</v>
      </c>
    </row>
    <row r="32" spans="1:8" ht="12.75">
      <c r="A32" s="744" t="s">
        <v>1089</v>
      </c>
      <c r="B32" s="1618"/>
      <c r="C32" s="1619"/>
      <c r="D32" s="1619"/>
      <c r="E32" s="1620"/>
      <c r="F32" s="1619"/>
      <c r="G32" s="779">
        <v>947388.25</v>
      </c>
      <c r="H32" s="779">
        <v>0</v>
      </c>
    </row>
    <row r="33" spans="1:8" ht="12.75">
      <c r="A33" s="748" t="s">
        <v>1090</v>
      </c>
      <c r="B33" s="1618"/>
      <c r="C33" s="1619"/>
      <c r="D33" s="1619"/>
      <c r="E33" s="1620"/>
      <c r="F33" s="1619"/>
      <c r="G33" s="779">
        <v>400898.27</v>
      </c>
      <c r="H33" s="779">
        <v>163144.47</v>
      </c>
    </row>
    <row r="34" spans="1:8" ht="12.75">
      <c r="A34" s="748" t="s">
        <v>1091</v>
      </c>
      <c r="B34" s="1618"/>
      <c r="C34" s="1619"/>
      <c r="D34" s="1619"/>
      <c r="E34" s="1620"/>
      <c r="F34" s="1619"/>
      <c r="G34" s="779">
        <v>0</v>
      </c>
      <c r="H34" s="779">
        <v>0</v>
      </c>
    </row>
    <row r="35" spans="1:8" ht="12.75">
      <c r="A35" s="748" t="s">
        <v>1092</v>
      </c>
      <c r="B35" s="1618"/>
      <c r="C35" s="1619"/>
      <c r="D35" s="1619"/>
      <c r="E35" s="1620"/>
      <c r="F35" s="1619"/>
      <c r="G35" s="779">
        <v>1683655.83</v>
      </c>
      <c r="H35" s="779">
        <v>2885113.58</v>
      </c>
    </row>
    <row r="36" spans="1:8" ht="12.75">
      <c r="A36" s="748" t="s">
        <v>1093</v>
      </c>
      <c r="B36" s="1618"/>
      <c r="C36" s="1619"/>
      <c r="D36" s="1619"/>
      <c r="E36" s="1620"/>
      <c r="F36" s="1619"/>
      <c r="G36" s="779">
        <v>80609.5</v>
      </c>
      <c r="H36" s="779">
        <v>83250.61</v>
      </c>
    </row>
    <row r="37" spans="1:8" ht="12.75">
      <c r="A37" s="748" t="s">
        <v>1094</v>
      </c>
      <c r="B37" s="1618"/>
      <c r="C37" s="1619"/>
      <c r="D37" s="1619"/>
      <c r="E37" s="1620"/>
      <c r="F37" s="1619"/>
      <c r="G37" s="779">
        <v>704.65</v>
      </c>
      <c r="H37" s="779">
        <v>708.85</v>
      </c>
    </row>
    <row r="38" spans="1:8" ht="12.75">
      <c r="A38" s="748" t="s">
        <v>1095</v>
      </c>
      <c r="B38" s="1618"/>
      <c r="C38" s="1619"/>
      <c r="D38" s="1619"/>
      <c r="E38" s="1620"/>
      <c r="F38" s="1619"/>
      <c r="G38" s="779">
        <v>3453817.4</v>
      </c>
      <c r="H38" s="779">
        <v>11926593.4</v>
      </c>
    </row>
    <row r="39" spans="1:8" ht="12.75">
      <c r="A39" s="748" t="s">
        <v>1074</v>
      </c>
      <c r="B39" s="1618"/>
      <c r="C39" s="1619"/>
      <c r="D39" s="1619"/>
      <c r="E39" s="1620"/>
      <c r="F39" s="1619"/>
      <c r="G39" s="779">
        <v>114956.79</v>
      </c>
      <c r="H39" s="779">
        <v>114956.79</v>
      </c>
    </row>
    <row r="40" spans="1:8" ht="13.5" thickBot="1">
      <c r="A40" s="782"/>
      <c r="B40" s="750"/>
      <c r="C40" s="745"/>
      <c r="D40" s="783"/>
      <c r="E40" s="778"/>
      <c r="F40" s="745"/>
      <c r="G40" s="745"/>
      <c r="H40" s="745"/>
    </row>
    <row r="41" spans="1:8" ht="13.5" thickBot="1">
      <c r="A41" s="784" t="s">
        <v>0</v>
      </c>
      <c r="B41" s="751"/>
      <c r="C41" s="752"/>
      <c r="D41" s="752"/>
      <c r="E41" s="752"/>
      <c r="F41" s="752"/>
      <c r="G41" s="752"/>
      <c r="H41" s="785"/>
    </row>
    <row r="42" ht="12.75">
      <c r="A42" s="740" t="s">
        <v>428</v>
      </c>
    </row>
    <row r="43" ht="12.75">
      <c r="A43" s="740" t="s">
        <v>429</v>
      </c>
    </row>
    <row r="45" ht="13.5" thickBot="1">
      <c r="A45" s="772" t="s">
        <v>674</v>
      </c>
    </row>
    <row r="46" spans="1:8" ht="13.5" thickBot="1">
      <c r="A46" s="1607" t="s">
        <v>359</v>
      </c>
      <c r="B46" s="1607" t="s">
        <v>99</v>
      </c>
      <c r="C46" s="1609" t="s">
        <v>358</v>
      </c>
      <c r="D46" s="1610"/>
      <c r="E46" s="1610"/>
      <c r="F46" s="1610"/>
      <c r="G46" s="1610"/>
      <c r="H46" s="1610"/>
    </row>
    <row r="47" spans="1:8" ht="26.25" thickBot="1">
      <c r="A47" s="1608"/>
      <c r="B47" s="1608"/>
      <c r="C47" s="741" t="s">
        <v>357</v>
      </c>
      <c r="D47" s="773" t="s">
        <v>356</v>
      </c>
      <c r="E47" s="774" t="s">
        <v>355</v>
      </c>
      <c r="F47" s="775" t="s">
        <v>354</v>
      </c>
      <c r="G47" s="775" t="s">
        <v>360</v>
      </c>
      <c r="H47" s="775" t="s">
        <v>361</v>
      </c>
    </row>
    <row r="48" spans="1:8" ht="12.75">
      <c r="A48" s="776"/>
      <c r="B48" s="753" t="s">
        <v>1096</v>
      </c>
      <c r="C48" s="743"/>
      <c r="D48" s="763"/>
      <c r="E48" s="777"/>
      <c r="F48" s="743"/>
      <c r="G48" s="743"/>
      <c r="H48" s="743"/>
    </row>
    <row r="49" spans="1:8" ht="12.75">
      <c r="A49" s="778" t="s">
        <v>33</v>
      </c>
      <c r="B49" s="745"/>
      <c r="C49" s="754" t="s">
        <v>1070</v>
      </c>
      <c r="D49" s="786">
        <v>471005398</v>
      </c>
      <c r="E49" s="777">
        <v>2013</v>
      </c>
      <c r="F49" s="767" t="s">
        <v>1097</v>
      </c>
      <c r="G49" s="743" t="s">
        <v>1098</v>
      </c>
      <c r="H49" s="743" t="s">
        <v>1098</v>
      </c>
    </row>
    <row r="50" spans="1:8" ht="12.75">
      <c r="A50" s="778"/>
      <c r="B50" s="745"/>
      <c r="C50" s="743"/>
      <c r="D50" s="763"/>
      <c r="E50" s="777"/>
      <c r="F50" s="743"/>
      <c r="G50" s="743"/>
      <c r="H50" s="743"/>
    </row>
    <row r="51" spans="1:8" ht="12.75">
      <c r="A51" s="778" t="s">
        <v>34</v>
      </c>
      <c r="B51" s="745"/>
      <c r="C51" s="754" t="s">
        <v>1070</v>
      </c>
      <c r="D51" s="786">
        <v>471005398</v>
      </c>
      <c r="E51" s="777">
        <v>2013</v>
      </c>
      <c r="F51" s="767" t="s">
        <v>1097</v>
      </c>
      <c r="G51" s="779">
        <v>1.11</v>
      </c>
      <c r="H51" s="779">
        <v>1.11</v>
      </c>
    </row>
    <row r="52" spans="1:8" ht="12.75">
      <c r="A52" s="778"/>
      <c r="B52" s="745"/>
      <c r="C52" s="743"/>
      <c r="D52" s="786"/>
      <c r="E52" s="777"/>
      <c r="F52" s="743"/>
      <c r="G52" s="743"/>
      <c r="H52" s="743"/>
    </row>
    <row r="53" spans="1:8" ht="12.75">
      <c r="A53" s="778" t="s">
        <v>35</v>
      </c>
      <c r="B53" s="745"/>
      <c r="C53" s="743"/>
      <c r="D53" s="786"/>
      <c r="E53" s="777"/>
      <c r="F53" s="743"/>
      <c r="G53" s="743"/>
      <c r="H53" s="743"/>
    </row>
    <row r="54" spans="1:8" ht="12.75">
      <c r="A54" s="778" t="s">
        <v>353</v>
      </c>
      <c r="B54" s="745"/>
      <c r="C54" s="743"/>
      <c r="D54" s="786"/>
      <c r="E54" s="777"/>
      <c r="F54" s="743"/>
      <c r="G54" s="743"/>
      <c r="H54" s="743"/>
    </row>
    <row r="55" spans="1:8" ht="12.75">
      <c r="A55" s="778"/>
      <c r="B55" s="745"/>
      <c r="C55" s="743"/>
      <c r="D55" s="786"/>
      <c r="E55" s="777"/>
      <c r="F55" s="743"/>
      <c r="G55" s="743"/>
      <c r="H55" s="743"/>
    </row>
    <row r="56" spans="1:8" ht="12.75">
      <c r="A56" s="778" t="s">
        <v>36</v>
      </c>
      <c r="B56" s="745"/>
      <c r="C56" s="755"/>
      <c r="D56" s="786"/>
      <c r="E56" s="787"/>
      <c r="F56" s="755"/>
      <c r="G56" s="743"/>
      <c r="H56" s="743"/>
    </row>
    <row r="57" spans="1:8" ht="12.75">
      <c r="A57" s="778"/>
      <c r="B57" s="745"/>
      <c r="C57" s="743"/>
      <c r="D57" s="786"/>
      <c r="E57" s="777"/>
      <c r="F57" s="743"/>
      <c r="G57" s="743"/>
      <c r="H57" s="743"/>
    </row>
    <row r="58" spans="1:8" ht="12.75">
      <c r="A58" s="778" t="s">
        <v>37</v>
      </c>
      <c r="B58" s="745"/>
      <c r="C58" s="754"/>
      <c r="D58" s="786"/>
      <c r="E58" s="777"/>
      <c r="F58" s="767"/>
      <c r="G58" s="743"/>
      <c r="H58" s="743"/>
    </row>
    <row r="59" spans="1:8" ht="12.75">
      <c r="A59" s="778"/>
      <c r="B59" s="745"/>
      <c r="C59" s="754"/>
      <c r="D59" s="786"/>
      <c r="E59" s="777"/>
      <c r="F59" s="767"/>
      <c r="G59" s="743"/>
      <c r="H59" s="743"/>
    </row>
    <row r="60" spans="1:8" ht="12.75">
      <c r="A60" s="778" t="s">
        <v>41</v>
      </c>
      <c r="B60" s="745"/>
      <c r="C60" s="754"/>
      <c r="D60" s="786"/>
      <c r="E60" s="777"/>
      <c r="F60" s="767"/>
      <c r="G60" s="743"/>
      <c r="H60" s="743"/>
    </row>
    <row r="61" spans="1:8" ht="12.75">
      <c r="A61" s="778" t="s">
        <v>42</v>
      </c>
      <c r="B61" s="745"/>
      <c r="C61" s="743"/>
      <c r="D61" s="786"/>
      <c r="E61" s="777"/>
      <c r="F61" s="767"/>
      <c r="G61" s="743"/>
      <c r="H61" s="743"/>
    </row>
    <row r="62" spans="1:8" ht="12.75">
      <c r="A62" s="778" t="s">
        <v>1099</v>
      </c>
      <c r="B62" s="745"/>
      <c r="C62" s="754" t="s">
        <v>1070</v>
      </c>
      <c r="D62" s="786">
        <v>471005398</v>
      </c>
      <c r="E62" s="777">
        <v>2013</v>
      </c>
      <c r="F62" s="767" t="s">
        <v>1097</v>
      </c>
      <c r="G62" s="743">
        <v>42618.35</v>
      </c>
      <c r="H62" s="743">
        <v>2407.46</v>
      </c>
    </row>
    <row r="63" spans="1:8" ht="13.5" thickBot="1">
      <c r="A63" s="778" t="s">
        <v>1100</v>
      </c>
      <c r="B63" s="745"/>
      <c r="C63" s="754" t="s">
        <v>1070</v>
      </c>
      <c r="D63" s="786">
        <v>471005398</v>
      </c>
      <c r="E63" s="777">
        <v>2013</v>
      </c>
      <c r="F63" s="767" t="s">
        <v>1097</v>
      </c>
      <c r="G63" s="743">
        <v>13925.85</v>
      </c>
      <c r="H63" s="743">
        <v>925.85</v>
      </c>
    </row>
    <row r="64" spans="1:8" ht="13.5" thickBot="1">
      <c r="A64" s="784" t="s">
        <v>0</v>
      </c>
      <c r="B64" s="751" t="str">
        <f>+B48</f>
        <v>002-1460</v>
      </c>
      <c r="C64" s="752"/>
      <c r="D64" s="752"/>
      <c r="E64" s="752"/>
      <c r="F64" s="752"/>
      <c r="G64" s="752"/>
      <c r="H64" s="788">
        <f>+SUM(H48:H63)</f>
        <v>3334.42</v>
      </c>
    </row>
    <row r="65" ht="12.75">
      <c r="A65" s="740" t="s">
        <v>428</v>
      </c>
    </row>
    <row r="66" ht="12.75">
      <c r="A66" s="740" t="s">
        <v>429</v>
      </c>
    </row>
    <row r="68" spans="1:8" ht="12.75">
      <c r="A68" s="739" t="s">
        <v>1101</v>
      </c>
      <c r="B68" s="739"/>
      <c r="C68" s="739"/>
      <c r="D68" s="739"/>
      <c r="E68" s="739"/>
      <c r="F68" s="739"/>
      <c r="G68" s="739"/>
      <c r="H68" s="739"/>
    </row>
    <row r="69" ht="13.5" thickBot="1">
      <c r="A69" s="789"/>
    </row>
    <row r="70" spans="1:8" ht="13.5" thickBot="1">
      <c r="A70" s="1607" t="s">
        <v>359</v>
      </c>
      <c r="B70" s="1607" t="s">
        <v>99</v>
      </c>
      <c r="C70" s="1609" t="s">
        <v>358</v>
      </c>
      <c r="D70" s="1610"/>
      <c r="E70" s="1610"/>
      <c r="F70" s="1610"/>
      <c r="G70" s="1610"/>
      <c r="H70" s="1610"/>
    </row>
    <row r="71" spans="1:8" ht="26.25" thickBot="1">
      <c r="A71" s="1608"/>
      <c r="B71" s="1608"/>
      <c r="C71" s="741" t="s">
        <v>357</v>
      </c>
      <c r="D71" s="773" t="s">
        <v>356</v>
      </c>
      <c r="E71" s="774" t="s">
        <v>355</v>
      </c>
      <c r="F71" s="775" t="s">
        <v>354</v>
      </c>
      <c r="G71" s="775" t="s">
        <v>1068</v>
      </c>
      <c r="H71" s="775" t="s">
        <v>1069</v>
      </c>
    </row>
    <row r="72" spans="1:8" ht="12.75">
      <c r="A72" s="790"/>
      <c r="B72" s="756">
        <v>887</v>
      </c>
      <c r="C72" s="757"/>
      <c r="D72" s="791"/>
      <c r="E72" s="792"/>
      <c r="F72" s="793"/>
      <c r="G72" s="794"/>
      <c r="H72" s="794"/>
    </row>
    <row r="73" spans="1:8" ht="12.75">
      <c r="A73" s="758" t="s">
        <v>33</v>
      </c>
      <c r="B73" s="758"/>
      <c r="C73" s="754" t="s">
        <v>1070</v>
      </c>
      <c r="D73" s="795" t="s">
        <v>1102</v>
      </c>
      <c r="E73" s="796">
        <v>2005</v>
      </c>
      <c r="F73" s="760" t="s">
        <v>1097</v>
      </c>
      <c r="G73" s="797">
        <v>0</v>
      </c>
      <c r="H73" s="797">
        <v>0</v>
      </c>
    </row>
    <row r="74" spans="1:8" ht="12.75">
      <c r="A74" s="758"/>
      <c r="B74" s="758"/>
      <c r="C74" s="759"/>
      <c r="D74" s="791"/>
      <c r="E74" s="792"/>
      <c r="F74" s="793"/>
      <c r="G74" s="797"/>
      <c r="H74" s="797"/>
    </row>
    <row r="75" spans="1:8" ht="12.75">
      <c r="A75" s="758" t="s">
        <v>34</v>
      </c>
      <c r="B75" s="758"/>
      <c r="C75" s="759"/>
      <c r="D75" s="791"/>
      <c r="E75" s="792"/>
      <c r="F75" s="793"/>
      <c r="G75" s="797"/>
      <c r="H75" s="797"/>
    </row>
    <row r="76" spans="1:8" ht="12.75">
      <c r="A76" s="798" t="s">
        <v>1103</v>
      </c>
      <c r="B76" s="760"/>
      <c r="C76" s="754" t="s">
        <v>1070</v>
      </c>
      <c r="D76" s="795" t="s">
        <v>1104</v>
      </c>
      <c r="E76" s="796">
        <v>2001</v>
      </c>
      <c r="F76" s="760" t="s">
        <v>1097</v>
      </c>
      <c r="G76" s="799">
        <v>65</v>
      </c>
      <c r="H76" s="799">
        <v>26287.87</v>
      </c>
    </row>
    <row r="77" spans="1:8" ht="12.75">
      <c r="A77" s="758"/>
      <c r="B77" s="758"/>
      <c r="C77" s="759"/>
      <c r="D77" s="791"/>
      <c r="E77" s="792"/>
      <c r="F77" s="793"/>
      <c r="G77" s="797"/>
      <c r="H77" s="797"/>
    </row>
    <row r="78" spans="1:8" ht="12.75">
      <c r="A78" s="758" t="s">
        <v>37</v>
      </c>
      <c r="B78" s="758"/>
      <c r="C78" s="754" t="s">
        <v>1070</v>
      </c>
      <c r="D78" s="800" t="s">
        <v>1105</v>
      </c>
      <c r="E78" s="792">
        <v>2010</v>
      </c>
      <c r="F78" s="801" t="s">
        <v>1097</v>
      </c>
      <c r="G78" s="797">
        <v>170000</v>
      </c>
      <c r="H78" s="797">
        <v>932490.3</v>
      </c>
    </row>
    <row r="79" spans="1:8" ht="13.5" thickBot="1">
      <c r="A79" s="761"/>
      <c r="B79" s="761"/>
      <c r="C79" s="762"/>
      <c r="D79" s="802"/>
      <c r="E79" s="803"/>
      <c r="F79" s="761"/>
      <c r="G79" s="804"/>
      <c r="H79" s="804"/>
    </row>
    <row r="80" spans="1:8" ht="13.5" thickBot="1">
      <c r="A80" s="784" t="s">
        <v>0</v>
      </c>
      <c r="B80" s="751"/>
      <c r="C80" s="752"/>
      <c r="D80" s="752"/>
      <c r="E80" s="752"/>
      <c r="F80" s="752"/>
      <c r="G80" s="805">
        <f>SUM(G73:G78)</f>
        <v>170065</v>
      </c>
      <c r="H80" s="805">
        <f>SUM(H73:H78)</f>
        <v>958778.17</v>
      </c>
    </row>
    <row r="81" ht="12.75">
      <c r="A81" s="740" t="s">
        <v>428</v>
      </c>
    </row>
    <row r="83" ht="13.5" thickBot="1">
      <c r="A83" s="772" t="s">
        <v>1118</v>
      </c>
    </row>
    <row r="84" spans="1:8" ht="13.5" thickBot="1">
      <c r="A84" s="1607" t="s">
        <v>359</v>
      </c>
      <c r="B84" s="1607" t="s">
        <v>99</v>
      </c>
      <c r="C84" s="1609" t="s">
        <v>358</v>
      </c>
      <c r="D84" s="1610"/>
      <c r="E84" s="1610"/>
      <c r="F84" s="1610"/>
      <c r="G84" s="1610"/>
      <c r="H84" s="1610"/>
    </row>
    <row r="85" spans="1:8" ht="26.25" thickBot="1">
      <c r="A85" s="1608"/>
      <c r="B85" s="1608"/>
      <c r="C85" s="741" t="s">
        <v>357</v>
      </c>
      <c r="D85" s="773" t="s">
        <v>356</v>
      </c>
      <c r="E85" s="774" t="s">
        <v>355</v>
      </c>
      <c r="F85" s="775" t="s">
        <v>354</v>
      </c>
      <c r="G85" s="775" t="s">
        <v>1068</v>
      </c>
      <c r="H85" s="775" t="s">
        <v>1069</v>
      </c>
    </row>
    <row r="86" spans="1:8" ht="12.75">
      <c r="A86" s="790"/>
      <c r="B86" s="756">
        <v>1113</v>
      </c>
      <c r="C86" s="757"/>
      <c r="D86" s="791"/>
      <c r="E86" s="792"/>
      <c r="F86" s="793"/>
      <c r="G86" s="806"/>
      <c r="H86" s="806"/>
    </row>
    <row r="87" spans="1:8" ht="12.75">
      <c r="A87" s="758" t="s">
        <v>33</v>
      </c>
      <c r="B87" s="758"/>
      <c r="C87" s="754" t="s">
        <v>1070</v>
      </c>
      <c r="D87" s="786" t="s">
        <v>1106</v>
      </c>
      <c r="E87" s="796">
        <v>2005</v>
      </c>
      <c r="F87" s="760" t="s">
        <v>1097</v>
      </c>
      <c r="G87" s="807">
        <v>0</v>
      </c>
      <c r="H87" s="807">
        <v>0</v>
      </c>
    </row>
    <row r="88" spans="1:8" ht="12.75">
      <c r="A88" s="758"/>
      <c r="B88" s="758"/>
      <c r="C88" s="759"/>
      <c r="D88" s="791"/>
      <c r="E88" s="792"/>
      <c r="F88" s="793"/>
      <c r="G88" s="807"/>
      <c r="H88" s="807"/>
    </row>
    <row r="89" spans="1:8" ht="12.75">
      <c r="A89" s="758" t="s">
        <v>34</v>
      </c>
      <c r="B89" s="758"/>
      <c r="C89" s="759"/>
      <c r="D89" s="791"/>
      <c r="E89" s="792"/>
      <c r="F89" s="793"/>
      <c r="G89" s="807"/>
      <c r="H89" s="807"/>
    </row>
    <row r="90" spans="1:8" ht="12.75">
      <c r="A90" s="798" t="s">
        <v>1107</v>
      </c>
      <c r="B90" s="760"/>
      <c r="C90" s="754" t="s">
        <v>1070</v>
      </c>
      <c r="D90" s="786" t="s">
        <v>1108</v>
      </c>
      <c r="E90" s="796">
        <v>2005</v>
      </c>
      <c r="F90" s="760" t="s">
        <v>1097</v>
      </c>
      <c r="G90" s="808">
        <v>0</v>
      </c>
      <c r="H90" s="808">
        <v>0.18</v>
      </c>
    </row>
    <row r="91" spans="1:8" ht="12.75">
      <c r="A91" s="798"/>
      <c r="B91" s="760"/>
      <c r="C91" s="754" t="s">
        <v>1070</v>
      </c>
      <c r="D91" s="786" t="s">
        <v>1109</v>
      </c>
      <c r="E91" s="796">
        <v>2003</v>
      </c>
      <c r="F91" s="760" t="s">
        <v>1097</v>
      </c>
      <c r="G91" s="808">
        <v>6.05</v>
      </c>
      <c r="H91" s="808">
        <v>6.05</v>
      </c>
    </row>
    <row r="92" spans="1:8" ht="12.75">
      <c r="A92" s="758"/>
      <c r="B92" s="758"/>
      <c r="C92" s="759"/>
      <c r="D92" s="791"/>
      <c r="E92" s="792"/>
      <c r="F92" s="793"/>
      <c r="G92" s="807"/>
      <c r="H92" s="807"/>
    </row>
    <row r="93" spans="1:8" ht="12.75">
      <c r="A93" s="758" t="s">
        <v>1110</v>
      </c>
      <c r="B93" s="758"/>
      <c r="C93" s="759"/>
      <c r="D93" s="791"/>
      <c r="E93" s="792"/>
      <c r="F93" s="793"/>
      <c r="G93" s="807"/>
      <c r="H93" s="807"/>
    </row>
    <row r="94" spans="1:8" ht="12.75">
      <c r="A94" s="798" t="s">
        <v>1111</v>
      </c>
      <c r="B94" s="760"/>
      <c r="C94" s="754" t="s">
        <v>1070</v>
      </c>
      <c r="D94" s="786" t="s">
        <v>1112</v>
      </c>
      <c r="E94" s="796">
        <v>2016</v>
      </c>
      <c r="F94" s="760" t="s">
        <v>1097</v>
      </c>
      <c r="G94" s="808">
        <v>7737.39</v>
      </c>
      <c r="H94" s="807">
        <v>7737.39</v>
      </c>
    </row>
    <row r="95" spans="1:8" ht="12.75">
      <c r="A95" s="798"/>
      <c r="B95" s="760"/>
      <c r="C95" s="754"/>
      <c r="D95" s="786"/>
      <c r="E95" s="796"/>
      <c r="F95" s="760" t="s">
        <v>1097</v>
      </c>
      <c r="G95" s="808"/>
      <c r="H95" s="808"/>
    </row>
    <row r="96" spans="1:8" ht="12.75">
      <c r="A96" s="758" t="s">
        <v>1113</v>
      </c>
      <c r="B96" s="758"/>
      <c r="C96" s="759"/>
      <c r="D96" s="791"/>
      <c r="E96" s="792"/>
      <c r="F96" s="793"/>
      <c r="G96" s="807"/>
      <c r="H96" s="807"/>
    </row>
    <row r="97" spans="1:8" ht="12.75">
      <c r="A97" s="758"/>
      <c r="B97" s="758"/>
      <c r="C97" s="759"/>
      <c r="D97" s="791"/>
      <c r="E97" s="792"/>
      <c r="F97" s="793"/>
      <c r="G97" s="807"/>
      <c r="H97" s="807"/>
    </row>
    <row r="98" spans="1:8" ht="12.75">
      <c r="A98" s="758" t="s">
        <v>41</v>
      </c>
      <c r="B98" s="758"/>
      <c r="C98" s="759"/>
      <c r="D98" s="791"/>
      <c r="E98" s="792"/>
      <c r="F98" s="793"/>
      <c r="G98" s="807"/>
      <c r="H98" s="807"/>
    </row>
    <row r="99" spans="1:8" ht="12.75">
      <c r="A99" s="758" t="s">
        <v>42</v>
      </c>
      <c r="B99" s="758"/>
      <c r="C99" s="759"/>
      <c r="D99" s="791"/>
      <c r="E99" s="792"/>
      <c r="F99" s="793"/>
      <c r="G99" s="807"/>
      <c r="H99" s="807"/>
    </row>
    <row r="100" spans="1:8" ht="12.75">
      <c r="A100" s="758" t="s">
        <v>1114</v>
      </c>
      <c r="B100" s="758"/>
      <c r="C100" s="765" t="s">
        <v>1070</v>
      </c>
      <c r="D100" s="809" t="s">
        <v>1115</v>
      </c>
      <c r="E100" s="796">
        <v>2007</v>
      </c>
      <c r="F100" s="810" t="s">
        <v>1097</v>
      </c>
      <c r="G100" s="807">
        <v>2641.26</v>
      </c>
      <c r="H100" s="807">
        <v>2643.08</v>
      </c>
    </row>
    <row r="101" spans="1:8" ht="12.75">
      <c r="A101" s="758" t="s">
        <v>1116</v>
      </c>
      <c r="B101" s="758"/>
      <c r="C101" s="765" t="s">
        <v>1070</v>
      </c>
      <c r="D101" s="809" t="s">
        <v>1117</v>
      </c>
      <c r="E101" s="796">
        <v>2018</v>
      </c>
      <c r="F101" s="810" t="s">
        <v>1097</v>
      </c>
      <c r="G101" s="807">
        <v>0</v>
      </c>
      <c r="H101" s="807">
        <v>0</v>
      </c>
    </row>
    <row r="102" spans="1:8" ht="13.5" thickBot="1">
      <c r="A102" s="761"/>
      <c r="B102" s="761"/>
      <c r="C102" s="762"/>
      <c r="D102" s="802"/>
      <c r="E102" s="803"/>
      <c r="F102" s="761"/>
      <c r="G102" s="811"/>
      <c r="H102" s="811"/>
    </row>
    <row r="103" spans="1:8" ht="13.5" thickBot="1">
      <c r="A103" s="784" t="s">
        <v>0</v>
      </c>
      <c r="B103" s="751"/>
      <c r="C103" s="752"/>
      <c r="D103" s="752"/>
      <c r="E103" s="752"/>
      <c r="F103" s="752"/>
      <c r="G103" s="805">
        <f>SUM(G87:G101)</f>
        <v>10384.7</v>
      </c>
      <c r="H103" s="805">
        <f>SUM(H87:H101)</f>
        <v>10386.7</v>
      </c>
    </row>
    <row r="104" ht="12.75">
      <c r="A104" s="740" t="s">
        <v>429</v>
      </c>
    </row>
    <row r="106" spans="1:8" ht="12.75">
      <c r="A106" s="766" t="s">
        <v>1119</v>
      </c>
      <c r="B106" s="766"/>
      <c r="C106" s="766"/>
      <c r="D106" s="766"/>
      <c r="E106" s="766"/>
      <c r="F106" s="766"/>
      <c r="G106" s="766"/>
      <c r="H106" s="766"/>
    </row>
    <row r="107" ht="13.5" thickBot="1"/>
    <row r="108" spans="1:8" ht="13.5" thickBot="1">
      <c r="A108" s="1607" t="s">
        <v>359</v>
      </c>
      <c r="B108" s="1607" t="s">
        <v>99</v>
      </c>
      <c r="C108" s="1609" t="s">
        <v>358</v>
      </c>
      <c r="D108" s="1610"/>
      <c r="E108" s="1610"/>
      <c r="F108" s="1610"/>
      <c r="G108" s="1610"/>
      <c r="H108" s="1610"/>
    </row>
    <row r="109" spans="1:8" ht="26.25" thickBot="1">
      <c r="A109" s="1608"/>
      <c r="B109" s="1608"/>
      <c r="C109" s="741" t="s">
        <v>357</v>
      </c>
      <c r="D109" s="773" t="s">
        <v>356</v>
      </c>
      <c r="E109" s="774" t="s">
        <v>355</v>
      </c>
      <c r="F109" s="775" t="s">
        <v>354</v>
      </c>
      <c r="G109" s="775" t="s">
        <v>1068</v>
      </c>
      <c r="H109" s="775" t="s">
        <v>1069</v>
      </c>
    </row>
    <row r="110" spans="1:8" ht="12.75">
      <c r="A110" s="776"/>
      <c r="B110" s="753"/>
      <c r="C110" s="767"/>
      <c r="D110" s="812"/>
      <c r="E110" s="777"/>
      <c r="F110" s="743"/>
      <c r="G110" s="743"/>
      <c r="H110" s="743"/>
    </row>
    <row r="111" spans="1:8" ht="12.75">
      <c r="A111" s="778" t="s">
        <v>33</v>
      </c>
      <c r="B111" s="768">
        <v>1227</v>
      </c>
      <c r="C111" s="767" t="s">
        <v>1070</v>
      </c>
      <c r="D111" s="813">
        <v>50120036</v>
      </c>
      <c r="E111" s="814">
        <v>2006</v>
      </c>
      <c r="F111" s="767" t="s">
        <v>1097</v>
      </c>
      <c r="G111" s="743"/>
      <c r="H111" s="743"/>
    </row>
    <row r="112" spans="1:8" ht="12.75">
      <c r="A112" s="778"/>
      <c r="B112" s="768"/>
      <c r="C112" s="767"/>
      <c r="D112" s="813"/>
      <c r="E112" s="814"/>
      <c r="F112" s="767"/>
      <c r="G112" s="743"/>
      <c r="H112" s="743"/>
    </row>
    <row r="113" spans="1:8" ht="12.75">
      <c r="A113" s="778" t="s">
        <v>34</v>
      </c>
      <c r="B113" s="768">
        <v>1227</v>
      </c>
      <c r="C113" s="767" t="s">
        <v>1070</v>
      </c>
      <c r="D113" s="813" t="s">
        <v>1120</v>
      </c>
      <c r="E113" s="814">
        <v>2006</v>
      </c>
      <c r="F113" s="767" t="s">
        <v>1097</v>
      </c>
      <c r="G113" s="743"/>
      <c r="H113" s="743"/>
    </row>
    <row r="114" spans="1:8" ht="12.75">
      <c r="A114" s="778"/>
      <c r="B114" s="768"/>
      <c r="C114" s="767"/>
      <c r="D114" s="815"/>
      <c r="E114" s="814"/>
      <c r="F114" s="767"/>
      <c r="G114" s="743"/>
      <c r="H114" s="743"/>
    </row>
    <row r="115" spans="1:8" ht="12.75">
      <c r="A115" s="778" t="s">
        <v>35</v>
      </c>
      <c r="B115" s="768"/>
      <c r="C115" s="767"/>
      <c r="D115" s="815"/>
      <c r="E115" s="814"/>
      <c r="F115" s="767"/>
      <c r="G115" s="743"/>
      <c r="H115" s="743"/>
    </row>
    <row r="116" spans="1:8" ht="12.75">
      <c r="A116" s="778" t="s">
        <v>353</v>
      </c>
      <c r="B116" s="768"/>
      <c r="C116" s="767"/>
      <c r="D116" s="815"/>
      <c r="E116" s="814"/>
      <c r="F116" s="767"/>
      <c r="G116" s="743"/>
      <c r="H116" s="743"/>
    </row>
    <row r="117" spans="1:8" ht="12.75">
      <c r="A117" s="778"/>
      <c r="B117" s="768"/>
      <c r="C117" s="767"/>
      <c r="D117" s="815"/>
      <c r="E117" s="814"/>
      <c r="F117" s="767"/>
      <c r="G117" s="743"/>
      <c r="H117" s="743"/>
    </row>
    <row r="118" spans="1:8" ht="12.75">
      <c r="A118" s="778" t="s">
        <v>36</v>
      </c>
      <c r="B118" s="768">
        <v>1227</v>
      </c>
      <c r="C118" s="767" t="s">
        <v>1070</v>
      </c>
      <c r="D118" s="816">
        <v>501025038</v>
      </c>
      <c r="E118" s="814">
        <v>2007</v>
      </c>
      <c r="F118" s="767" t="s">
        <v>1097</v>
      </c>
      <c r="G118" s="779">
        <v>109691.93</v>
      </c>
      <c r="H118" s="779">
        <v>109691.93</v>
      </c>
    </row>
    <row r="119" spans="1:8" ht="12.75">
      <c r="A119" s="778"/>
      <c r="B119" s="768"/>
      <c r="C119" s="767"/>
      <c r="D119" s="815"/>
      <c r="E119" s="777"/>
      <c r="F119" s="743"/>
      <c r="G119" s="743"/>
      <c r="H119" s="743"/>
    </row>
    <row r="120" spans="1:8" ht="12.75">
      <c r="A120" s="778" t="s">
        <v>37</v>
      </c>
      <c r="B120" s="768"/>
      <c r="C120" s="767"/>
      <c r="D120" s="812"/>
      <c r="E120" s="777"/>
      <c r="F120" s="743"/>
      <c r="G120" s="743"/>
      <c r="H120" s="743"/>
    </row>
    <row r="121" spans="1:8" ht="12.75">
      <c r="A121" s="778"/>
      <c r="B121" s="768"/>
      <c r="C121" s="767"/>
      <c r="D121" s="812"/>
      <c r="E121" s="777"/>
      <c r="F121" s="743"/>
      <c r="G121" s="743"/>
      <c r="H121" s="743"/>
    </row>
    <row r="122" spans="1:8" ht="12.75">
      <c r="A122" s="778" t="s">
        <v>41</v>
      </c>
      <c r="B122" s="768">
        <v>1227</v>
      </c>
      <c r="C122" s="767" t="s">
        <v>1070</v>
      </c>
      <c r="D122" s="817" t="s">
        <v>1121</v>
      </c>
      <c r="E122" s="814">
        <v>2015</v>
      </c>
      <c r="F122" s="767" t="s">
        <v>1097</v>
      </c>
      <c r="G122" s="779">
        <v>589091.02</v>
      </c>
      <c r="H122" s="779">
        <v>508746.56</v>
      </c>
    </row>
    <row r="123" spans="1:8" ht="12.75">
      <c r="A123" s="778" t="s">
        <v>42</v>
      </c>
      <c r="B123" s="745"/>
      <c r="C123" s="767"/>
      <c r="D123" s="812"/>
      <c r="E123" s="777"/>
      <c r="F123" s="743"/>
      <c r="G123" s="743"/>
      <c r="H123" s="743"/>
    </row>
    <row r="124" spans="1:8" ht="12.75">
      <c r="A124" s="778" t="s">
        <v>38</v>
      </c>
      <c r="B124" s="745"/>
      <c r="C124" s="767"/>
      <c r="D124" s="812"/>
      <c r="E124" s="777"/>
      <c r="F124" s="743"/>
      <c r="G124" s="743"/>
      <c r="H124" s="743"/>
    </row>
    <row r="125" spans="1:8" ht="12.75">
      <c r="A125" s="778" t="s">
        <v>39</v>
      </c>
      <c r="B125" s="745"/>
      <c r="C125" s="767"/>
      <c r="D125" s="812"/>
      <c r="E125" s="777"/>
      <c r="F125" s="743"/>
      <c r="G125" s="743"/>
      <c r="H125" s="743"/>
    </row>
    <row r="126" spans="1:8" ht="12.75">
      <c r="A126" s="778" t="s">
        <v>40</v>
      </c>
      <c r="B126" s="745"/>
      <c r="C126" s="767"/>
      <c r="D126" s="812"/>
      <c r="E126" s="777"/>
      <c r="F126" s="743"/>
      <c r="G126" s="743"/>
      <c r="H126" s="743"/>
    </row>
    <row r="127" spans="1:8" ht="12.75">
      <c r="A127" s="778" t="s">
        <v>352</v>
      </c>
      <c r="B127" s="745"/>
      <c r="C127" s="767"/>
      <c r="D127" s="812"/>
      <c r="E127" s="777"/>
      <c r="F127" s="743"/>
      <c r="G127" s="743"/>
      <c r="H127" s="743"/>
    </row>
    <row r="128" spans="1:8" ht="13.5" thickBot="1">
      <c r="A128" s="782"/>
      <c r="B128" s="750"/>
      <c r="C128" s="768"/>
      <c r="E128" s="778"/>
      <c r="F128" s="745"/>
      <c r="G128" s="745"/>
      <c r="H128" s="745"/>
    </row>
    <row r="129" spans="1:8" ht="13.5" thickBot="1">
      <c r="A129" s="784" t="s">
        <v>0</v>
      </c>
      <c r="B129" s="751"/>
      <c r="C129" s="752"/>
      <c r="D129" s="752"/>
      <c r="E129" s="752"/>
      <c r="F129" s="752"/>
      <c r="G129" s="818">
        <f>SUM(G118:G128)</f>
        <v>698782.95</v>
      </c>
      <c r="H129" s="818">
        <f>SUM(H118:H128)</f>
        <v>618438.49</v>
      </c>
    </row>
    <row r="130" ht="12.75">
      <c r="A130" s="740" t="s">
        <v>428</v>
      </c>
    </row>
    <row r="131" ht="12.75">
      <c r="A131" s="740" t="s">
        <v>429</v>
      </c>
    </row>
    <row r="133" spans="1:8" ht="12.75">
      <c r="A133" s="739" t="s">
        <v>1122</v>
      </c>
      <c r="B133" s="739"/>
      <c r="C133" s="739"/>
      <c r="D133" s="739"/>
      <c r="E133" s="739"/>
      <c r="F133" s="739"/>
      <c r="G133" s="739"/>
      <c r="H133" s="739"/>
    </row>
    <row r="134" ht="13.5" thickBot="1"/>
    <row r="135" spans="1:8" ht="13.5" thickBot="1">
      <c r="A135" s="1607" t="s">
        <v>359</v>
      </c>
      <c r="B135" s="1607" t="s">
        <v>99</v>
      </c>
      <c r="C135" s="1609" t="s">
        <v>358</v>
      </c>
      <c r="D135" s="1610"/>
      <c r="E135" s="1610"/>
      <c r="F135" s="1610"/>
      <c r="G135" s="1610"/>
      <c r="H135" s="1610"/>
    </row>
    <row r="136" spans="1:8" ht="26.25" thickBot="1">
      <c r="A136" s="1608"/>
      <c r="B136" s="1608"/>
      <c r="C136" s="741" t="s">
        <v>357</v>
      </c>
      <c r="D136" s="773" t="s">
        <v>356</v>
      </c>
      <c r="E136" s="774" t="s">
        <v>355</v>
      </c>
      <c r="F136" s="775" t="s">
        <v>354</v>
      </c>
      <c r="G136" s="775" t="s">
        <v>360</v>
      </c>
      <c r="H136" s="775" t="s">
        <v>361</v>
      </c>
    </row>
    <row r="137" spans="1:8" ht="12.75">
      <c r="A137" s="776"/>
      <c r="B137" s="742"/>
      <c r="C137" s="743"/>
      <c r="D137" s="763"/>
      <c r="E137" s="777"/>
      <c r="F137" s="743"/>
      <c r="G137" s="743"/>
      <c r="H137" s="743"/>
    </row>
    <row r="138" spans="1:8" ht="12.75">
      <c r="A138" s="778" t="s">
        <v>33</v>
      </c>
      <c r="B138" s="745" t="s">
        <v>1123</v>
      </c>
      <c r="C138" s="743" t="s">
        <v>1070</v>
      </c>
      <c r="D138" s="763" t="s">
        <v>1124</v>
      </c>
      <c r="E138" s="777">
        <v>2005</v>
      </c>
      <c r="F138" s="743" t="s">
        <v>1125</v>
      </c>
      <c r="G138" s="743"/>
      <c r="H138" s="743"/>
    </row>
    <row r="139" spans="1:8" ht="12.75">
      <c r="A139" s="778"/>
      <c r="B139" s="745"/>
      <c r="C139" s="743"/>
      <c r="D139" s="763"/>
      <c r="E139" s="777"/>
      <c r="F139" s="743"/>
      <c r="G139" s="743"/>
      <c r="H139" s="743"/>
    </row>
    <row r="140" spans="1:8" ht="12.75">
      <c r="A140" s="778" t="s">
        <v>34</v>
      </c>
      <c r="B140" s="745" t="s">
        <v>1123</v>
      </c>
      <c r="C140" s="743" t="s">
        <v>1070</v>
      </c>
      <c r="D140" s="763" t="s">
        <v>1124</v>
      </c>
      <c r="E140" s="777" t="s">
        <v>1126</v>
      </c>
      <c r="F140" s="743" t="s">
        <v>1125</v>
      </c>
      <c r="G140" s="743">
        <v>71238.67</v>
      </c>
      <c r="H140" s="743">
        <v>654808.15</v>
      </c>
    </row>
    <row r="141" spans="1:8" ht="12.75">
      <c r="A141" s="778"/>
      <c r="B141" s="745"/>
      <c r="C141" s="743"/>
      <c r="D141" s="763"/>
      <c r="E141" s="777"/>
      <c r="F141" s="743"/>
      <c r="G141" s="743"/>
      <c r="H141" s="743"/>
    </row>
    <row r="142" spans="1:8" ht="12.75">
      <c r="A142" s="778" t="s">
        <v>35</v>
      </c>
      <c r="B142" s="745" t="s">
        <v>1123</v>
      </c>
      <c r="C142" s="743" t="s">
        <v>1070</v>
      </c>
      <c r="D142" s="763" t="s">
        <v>1124</v>
      </c>
      <c r="E142" s="777" t="s">
        <v>1127</v>
      </c>
      <c r="F142" s="743" t="s">
        <v>1125</v>
      </c>
      <c r="G142" s="743"/>
      <c r="H142" s="743"/>
    </row>
    <row r="143" spans="1:8" ht="12.75">
      <c r="A143" s="778" t="s">
        <v>353</v>
      </c>
      <c r="B143" s="745"/>
      <c r="C143" s="743"/>
      <c r="D143" s="763"/>
      <c r="E143" s="777"/>
      <c r="F143" s="743"/>
      <c r="G143" s="743"/>
      <c r="H143" s="743"/>
    </row>
    <row r="144" spans="1:8" ht="12.75">
      <c r="A144" s="778"/>
      <c r="B144" s="745"/>
      <c r="C144" s="743"/>
      <c r="D144" s="763"/>
      <c r="E144" s="777"/>
      <c r="F144" s="743"/>
      <c r="G144" s="743"/>
      <c r="H144" s="743"/>
    </row>
    <row r="145" spans="1:8" ht="12.75">
      <c r="A145" s="778" t="s">
        <v>36</v>
      </c>
      <c r="B145" s="745" t="s">
        <v>1123</v>
      </c>
      <c r="C145" s="755" t="s">
        <v>1070</v>
      </c>
      <c r="D145" s="764" t="s">
        <v>1124</v>
      </c>
      <c r="E145" s="787" t="s">
        <v>1128</v>
      </c>
      <c r="F145" s="755" t="s">
        <v>1125</v>
      </c>
      <c r="G145" s="743">
        <v>3521340.27</v>
      </c>
      <c r="H145" s="743">
        <v>2611798.83</v>
      </c>
    </row>
    <row r="146" spans="1:8" ht="12.75">
      <c r="A146" s="778"/>
      <c r="B146" s="745"/>
      <c r="C146" s="743"/>
      <c r="D146" s="763"/>
      <c r="E146" s="777"/>
      <c r="F146" s="743"/>
      <c r="G146" s="743"/>
      <c r="H146" s="743"/>
    </row>
    <row r="147" spans="1:8" ht="12.75">
      <c r="A147" s="778" t="s">
        <v>37</v>
      </c>
      <c r="B147" s="745"/>
      <c r="C147" s="743"/>
      <c r="D147" s="763"/>
      <c r="E147" s="777"/>
      <c r="F147" s="743"/>
      <c r="G147" s="743"/>
      <c r="H147" s="743"/>
    </row>
    <row r="148" spans="1:8" ht="12.75">
      <c r="A148" s="778"/>
      <c r="B148" s="745"/>
      <c r="C148" s="743"/>
      <c r="D148" s="763"/>
      <c r="E148" s="777"/>
      <c r="F148" s="743"/>
      <c r="G148" s="743"/>
      <c r="H148" s="743"/>
    </row>
    <row r="149" spans="1:8" ht="12.75">
      <c r="A149" s="778" t="s">
        <v>41</v>
      </c>
      <c r="B149" s="745"/>
      <c r="C149" s="743"/>
      <c r="D149" s="763"/>
      <c r="E149" s="777"/>
      <c r="F149" s="743"/>
      <c r="G149" s="743"/>
      <c r="H149" s="743"/>
    </row>
    <row r="150" spans="1:8" ht="12.75">
      <c r="A150" s="778" t="s">
        <v>42</v>
      </c>
      <c r="B150" s="745" t="s">
        <v>1123</v>
      </c>
      <c r="C150" s="743" t="s">
        <v>1070</v>
      </c>
      <c r="D150" s="763" t="s">
        <v>1124</v>
      </c>
      <c r="E150" s="777" t="s">
        <v>1129</v>
      </c>
      <c r="F150" s="743" t="s">
        <v>1125</v>
      </c>
      <c r="G150" s="743">
        <v>2128572.66</v>
      </c>
      <c r="H150" s="743">
        <v>1379606.3</v>
      </c>
    </row>
    <row r="151" spans="1:8" ht="12.75">
      <c r="A151" s="778" t="s">
        <v>38</v>
      </c>
      <c r="B151" s="745"/>
      <c r="C151" s="743"/>
      <c r="D151" s="763"/>
      <c r="E151" s="777"/>
      <c r="F151" s="743"/>
      <c r="G151" s="743"/>
      <c r="H151" s="743"/>
    </row>
    <row r="152" spans="1:8" ht="12.75">
      <c r="A152" s="778" t="s">
        <v>39</v>
      </c>
      <c r="B152" s="745"/>
      <c r="C152" s="743"/>
      <c r="D152" s="763"/>
      <c r="E152" s="777"/>
      <c r="F152" s="743"/>
      <c r="G152" s="743"/>
      <c r="H152" s="743"/>
    </row>
    <row r="153" spans="1:8" ht="12.75">
      <c r="A153" s="778" t="s">
        <v>40</v>
      </c>
      <c r="B153" s="745"/>
      <c r="C153" s="743"/>
      <c r="D153" s="763"/>
      <c r="E153" s="777"/>
      <c r="F153" s="743"/>
      <c r="G153" s="743"/>
      <c r="H153" s="743"/>
    </row>
    <row r="154" spans="1:8" ht="12.75">
      <c r="A154" s="778" t="s">
        <v>352</v>
      </c>
      <c r="B154" s="745"/>
      <c r="C154" s="743"/>
      <c r="D154" s="763"/>
      <c r="E154" s="777"/>
      <c r="F154" s="743"/>
      <c r="G154" s="743"/>
      <c r="H154" s="743"/>
    </row>
    <row r="155" spans="1:8" ht="13.5" thickBot="1">
      <c r="A155" s="782"/>
      <c r="B155" s="750"/>
      <c r="C155" s="745"/>
      <c r="D155" s="783"/>
      <c r="E155" s="778"/>
      <c r="F155" s="745"/>
      <c r="G155" s="745"/>
      <c r="H155" s="745"/>
    </row>
    <row r="156" spans="1:8" ht="13.5" thickBot="1">
      <c r="A156" s="784" t="s">
        <v>0</v>
      </c>
      <c r="B156" s="751"/>
      <c r="C156" s="752"/>
      <c r="D156" s="752"/>
      <c r="E156" s="752"/>
      <c r="F156" s="752"/>
      <c r="G156" s="752"/>
      <c r="H156" s="785"/>
    </row>
    <row r="157" ht="12.75">
      <c r="A157" s="740" t="s">
        <v>428</v>
      </c>
    </row>
    <row r="158" ht="12.75">
      <c r="A158" s="740" t="s">
        <v>429</v>
      </c>
    </row>
    <row r="160" ht="13.5" thickBot="1">
      <c r="A160" s="772" t="s">
        <v>1145</v>
      </c>
    </row>
    <row r="161" spans="1:8" ht="13.5" thickBot="1">
      <c r="A161" s="1607" t="s">
        <v>359</v>
      </c>
      <c r="B161" s="1607" t="s">
        <v>99</v>
      </c>
      <c r="C161" s="1609" t="s">
        <v>358</v>
      </c>
      <c r="D161" s="1610"/>
      <c r="E161" s="1610"/>
      <c r="F161" s="1610"/>
      <c r="G161" s="1610"/>
      <c r="H161" s="1610"/>
    </row>
    <row r="162" spans="1:8" ht="26.25" thickBot="1">
      <c r="A162" s="1608"/>
      <c r="B162" s="1608"/>
      <c r="C162" s="741" t="s">
        <v>357</v>
      </c>
      <c r="D162" s="773" t="s">
        <v>356</v>
      </c>
      <c r="E162" s="774" t="s">
        <v>355</v>
      </c>
      <c r="F162" s="775" t="s">
        <v>354</v>
      </c>
      <c r="G162" s="775" t="s">
        <v>1068</v>
      </c>
      <c r="H162" s="775" t="s">
        <v>1069</v>
      </c>
    </row>
    <row r="163" spans="1:8" ht="12.75">
      <c r="A163" s="776"/>
      <c r="B163" s="742"/>
      <c r="C163" s="743"/>
      <c r="D163" s="812"/>
      <c r="E163" s="819"/>
      <c r="F163" s="743"/>
      <c r="G163" s="820"/>
      <c r="H163" s="743"/>
    </row>
    <row r="164" spans="1:8" ht="12.75">
      <c r="A164" s="821" t="s">
        <v>33</v>
      </c>
      <c r="B164" s="816" t="s">
        <v>1130</v>
      </c>
      <c r="C164" s="743" t="s">
        <v>1070</v>
      </c>
      <c r="D164" s="822" t="s">
        <v>1131</v>
      </c>
      <c r="E164" s="819"/>
      <c r="F164" s="743" t="s">
        <v>31</v>
      </c>
      <c r="G164" s="820"/>
      <c r="H164" s="743">
        <v>0</v>
      </c>
    </row>
    <row r="165" spans="1:8" ht="12.75">
      <c r="A165" s="778"/>
      <c r="B165" s="768"/>
      <c r="C165" s="743"/>
      <c r="D165" s="823"/>
      <c r="E165" s="819"/>
      <c r="F165" s="743"/>
      <c r="G165" s="820"/>
      <c r="H165" s="743"/>
    </row>
    <row r="166" spans="1:8" ht="12.75">
      <c r="A166" s="778"/>
      <c r="B166" s="816"/>
      <c r="C166" s="743"/>
      <c r="D166" s="822"/>
      <c r="E166" s="819"/>
      <c r="F166" s="743"/>
      <c r="G166" s="820"/>
      <c r="H166" s="743"/>
    </row>
    <row r="167" spans="1:8" ht="12.75">
      <c r="A167" s="1611" t="s">
        <v>34</v>
      </c>
      <c r="B167" s="816" t="s">
        <v>1130</v>
      </c>
      <c r="C167" s="743" t="s">
        <v>1070</v>
      </c>
      <c r="D167" s="822" t="s">
        <v>1132</v>
      </c>
      <c r="E167" s="1612" t="s">
        <v>1133</v>
      </c>
      <c r="F167" s="1613" t="s">
        <v>31</v>
      </c>
      <c r="G167" s="1615" t="s">
        <v>1134</v>
      </c>
      <c r="H167" s="1617" t="s">
        <v>1135</v>
      </c>
    </row>
    <row r="168" spans="1:8" ht="12.75">
      <c r="A168" s="1611"/>
      <c r="B168" s="816" t="s">
        <v>1130</v>
      </c>
      <c r="C168" s="743" t="s">
        <v>1070</v>
      </c>
      <c r="D168" s="803" t="s">
        <v>1136</v>
      </c>
      <c r="E168" s="1612"/>
      <c r="F168" s="1614"/>
      <c r="G168" s="1616"/>
      <c r="H168" s="1617"/>
    </row>
    <row r="169" spans="1:8" ht="12.75">
      <c r="A169" s="778"/>
      <c r="B169" s="768"/>
      <c r="C169" s="743"/>
      <c r="D169" s="803"/>
      <c r="E169" s="819"/>
      <c r="F169" s="743"/>
      <c r="G169" s="820"/>
      <c r="H169" s="743"/>
    </row>
    <row r="170" spans="1:8" ht="12.75">
      <c r="A170" s="824" t="s">
        <v>35</v>
      </c>
      <c r="B170" s="816" t="s">
        <v>1130</v>
      </c>
      <c r="C170" s="743" t="s">
        <v>1070</v>
      </c>
      <c r="D170" s="822" t="s">
        <v>1131</v>
      </c>
      <c r="E170" s="825" t="s">
        <v>1137</v>
      </c>
      <c r="F170" s="743" t="s">
        <v>31</v>
      </c>
      <c r="G170" s="816" t="s">
        <v>1138</v>
      </c>
      <c r="H170" s="826" t="s">
        <v>1139</v>
      </c>
    </row>
    <row r="171" spans="1:8" ht="12.75">
      <c r="A171" s="824" t="s">
        <v>353</v>
      </c>
      <c r="B171" s="768"/>
      <c r="C171" s="743"/>
      <c r="D171" s="822"/>
      <c r="E171" s="819"/>
      <c r="F171" s="743"/>
      <c r="G171" s="820"/>
      <c r="H171" s="743"/>
    </row>
    <row r="172" spans="1:8" ht="12.75">
      <c r="A172" s="778"/>
      <c r="B172" s="768"/>
      <c r="C172" s="743"/>
      <c r="D172" s="822"/>
      <c r="E172" s="819"/>
      <c r="F172" s="743"/>
      <c r="G172" s="820"/>
      <c r="H172" s="743"/>
    </row>
    <row r="173" spans="1:8" ht="12.75">
      <c r="A173" s="821" t="s">
        <v>36</v>
      </c>
      <c r="B173" s="816" t="s">
        <v>1130</v>
      </c>
      <c r="C173" s="743" t="s">
        <v>1070</v>
      </c>
      <c r="D173" s="822" t="s">
        <v>1131</v>
      </c>
      <c r="E173" s="819"/>
      <c r="F173" s="743" t="s">
        <v>31</v>
      </c>
      <c r="G173" s="816" t="s">
        <v>1140</v>
      </c>
      <c r="H173" s="826" t="s">
        <v>1141</v>
      </c>
    </row>
    <row r="174" spans="1:8" ht="12.75">
      <c r="A174" s="778"/>
      <c r="B174" s="768"/>
      <c r="C174" s="743"/>
      <c r="D174" s="822"/>
      <c r="E174" s="819"/>
      <c r="F174" s="743"/>
      <c r="G174" s="820"/>
      <c r="H174" s="743"/>
    </row>
    <row r="175" spans="1:8" ht="12.75">
      <c r="A175" s="821" t="s">
        <v>37</v>
      </c>
      <c r="B175" s="816" t="s">
        <v>1130</v>
      </c>
      <c r="C175" s="743" t="s">
        <v>1070</v>
      </c>
      <c r="D175" s="822" t="s">
        <v>1131</v>
      </c>
      <c r="E175" s="825" t="s">
        <v>1142</v>
      </c>
      <c r="F175" s="743" t="s">
        <v>31</v>
      </c>
      <c r="G175" s="816" t="s">
        <v>1143</v>
      </c>
      <c r="H175" s="827" t="s">
        <v>1144</v>
      </c>
    </row>
    <row r="176" spans="1:8" ht="13.5" thickBot="1">
      <c r="A176" s="778"/>
      <c r="B176" s="745"/>
      <c r="C176" s="743"/>
      <c r="D176" s="822"/>
      <c r="E176" s="819"/>
      <c r="F176" s="743"/>
      <c r="G176" s="820"/>
      <c r="H176" s="743"/>
    </row>
    <row r="177" spans="1:8" ht="13.5" thickBot="1">
      <c r="A177" s="784" t="s">
        <v>0</v>
      </c>
      <c r="B177" s="751"/>
      <c r="C177" s="752"/>
      <c r="D177" s="752"/>
      <c r="E177" s="752"/>
      <c r="F177" s="752"/>
      <c r="G177" s="752"/>
      <c r="H177" s="785"/>
    </row>
  </sheetData>
  <sheetProtection/>
  <mergeCells count="46">
    <mergeCell ref="D8:D12"/>
    <mergeCell ref="E8:E12"/>
    <mergeCell ref="F8:F12"/>
    <mergeCell ref="B16:B23"/>
    <mergeCell ref="C16:C23"/>
    <mergeCell ref="D16:D23"/>
    <mergeCell ref="E16:E23"/>
    <mergeCell ref="F16:F23"/>
    <mergeCell ref="A5:A6"/>
    <mergeCell ref="B5:B6"/>
    <mergeCell ref="C5:H5"/>
    <mergeCell ref="B8:B12"/>
    <mergeCell ref="C8:C12"/>
    <mergeCell ref="B30:B39"/>
    <mergeCell ref="C30:C39"/>
    <mergeCell ref="D30:D39"/>
    <mergeCell ref="E30:E39"/>
    <mergeCell ref="F30:F39"/>
    <mergeCell ref="B25:B28"/>
    <mergeCell ref="C25:C28"/>
    <mergeCell ref="D25:D28"/>
    <mergeCell ref="E25:E28"/>
    <mergeCell ref="F25:F28"/>
    <mergeCell ref="A84:A85"/>
    <mergeCell ref="B84:B85"/>
    <mergeCell ref="C84:H84"/>
    <mergeCell ref="A46:A47"/>
    <mergeCell ref="B46:B47"/>
    <mergeCell ref="C46:H46"/>
    <mergeCell ref="A70:A71"/>
    <mergeCell ref="B70:B71"/>
    <mergeCell ref="C70:H70"/>
    <mergeCell ref="A108:A109"/>
    <mergeCell ref="B108:B109"/>
    <mergeCell ref="C108:H108"/>
    <mergeCell ref="A135:A136"/>
    <mergeCell ref="B135:B136"/>
    <mergeCell ref="C135:H135"/>
    <mergeCell ref="A161:A162"/>
    <mergeCell ref="B161:B162"/>
    <mergeCell ref="C161:H161"/>
    <mergeCell ref="A167:A168"/>
    <mergeCell ref="E167:E168"/>
    <mergeCell ref="F167:F168"/>
    <mergeCell ref="G167:G168"/>
    <mergeCell ref="H167:H168"/>
  </mergeCells>
  <printOptions horizontalCentered="1"/>
  <pageMargins left="0.03602941176470588" right="0.25" top="0.75" bottom="0.75" header="0.3" footer="0.3"/>
  <pageSetup fitToHeight="1" fitToWidth="1" horizontalDpi="600" verticalDpi="600" orientation="landscape" paperSize="9" scale="88" r:id="rId1"/>
  <headerFooter alignWithMargins="0">
    <oddHeader>&amp;C&amp;"Arial,Negrita"&amp;18PROYECTO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65535" man="1"/>
  </colBreaks>
</worksheet>
</file>

<file path=xl/worksheets/sheet18.xml><?xml version="1.0" encoding="utf-8"?>
<worksheet xmlns="http://schemas.openxmlformats.org/spreadsheetml/2006/main" xmlns:r="http://schemas.openxmlformats.org/officeDocument/2006/relationships">
  <sheetPr>
    <tabColor theme="9" tint="-0.24997000396251678"/>
    <pageSetUpPr fitToPage="1"/>
  </sheetPr>
  <dimension ref="A1:V702"/>
  <sheetViews>
    <sheetView zoomScaleSheetLayoutView="100" zoomScalePageLayoutView="75" workbookViewId="0" topLeftCell="H654">
      <selection activeCell="L446" sqref="L446"/>
    </sheetView>
  </sheetViews>
  <sheetFormatPr defaultColWidth="11.421875" defaultRowHeight="12.75"/>
  <cols>
    <col min="1" max="1" width="13.7109375" style="803" customWidth="1"/>
    <col min="2" max="2" width="15.8515625" style="803" customWidth="1"/>
    <col min="3" max="3" width="15.28125" style="803" customWidth="1"/>
    <col min="4" max="4" width="12.00390625" style="803" customWidth="1"/>
    <col min="5" max="5" width="14.28125" style="803" customWidth="1"/>
    <col min="6" max="6" width="15.7109375" style="803" customWidth="1"/>
    <col min="7" max="7" width="33.140625" style="803" customWidth="1"/>
    <col min="8" max="10" width="18.7109375" style="803" customWidth="1"/>
    <col min="11" max="12" width="7.140625" style="839" customWidth="1"/>
    <col min="13" max="13" width="9.140625" style="803" customWidth="1"/>
    <col min="14" max="14" width="9.7109375" style="803" customWidth="1"/>
    <col min="15" max="15" width="9.57421875" style="803" customWidth="1"/>
    <col min="16" max="16" width="27.7109375" style="803" bestFit="1" customWidth="1"/>
    <col min="17" max="16384" width="11.421875" style="803" customWidth="1"/>
  </cols>
  <sheetData>
    <row r="1" spans="1:12" s="837" customFormat="1" ht="12.75">
      <c r="A1" s="836" t="s">
        <v>430</v>
      </c>
      <c r="B1" s="836"/>
      <c r="C1" s="836"/>
      <c r="D1" s="836"/>
      <c r="E1" s="836"/>
      <c r="F1" s="836"/>
      <c r="G1" s="836"/>
      <c r="H1" s="836"/>
      <c r="I1" s="836"/>
      <c r="J1" s="836"/>
      <c r="K1" s="836"/>
      <c r="L1" s="836"/>
    </row>
    <row r="2" spans="1:22" s="838" customFormat="1" ht="12.75">
      <c r="A2" s="739" t="s">
        <v>454</v>
      </c>
      <c r="B2" s="739"/>
      <c r="C2" s="739"/>
      <c r="D2" s="739"/>
      <c r="E2" s="739"/>
      <c r="F2" s="739"/>
      <c r="G2" s="739"/>
      <c r="H2" s="739"/>
      <c r="I2" s="739"/>
      <c r="J2" s="739"/>
      <c r="K2" s="739"/>
      <c r="L2" s="739"/>
      <c r="M2" s="739"/>
      <c r="N2" s="739"/>
      <c r="O2" s="739"/>
      <c r="P2" s="739"/>
      <c r="Q2" s="739"/>
      <c r="R2" s="739"/>
      <c r="S2" s="739"/>
      <c r="T2" s="739"/>
      <c r="U2" s="739"/>
      <c r="V2" s="739"/>
    </row>
    <row r="3" ht="13.5" thickBot="1">
      <c r="A3" s="789" t="s">
        <v>529</v>
      </c>
    </row>
    <row r="4" spans="1:16" s="840" customFormat="1" ht="12.75" customHeight="1" thickBot="1">
      <c r="A4" s="1645" t="s">
        <v>140</v>
      </c>
      <c r="B4" s="1646"/>
      <c r="C4" s="1646"/>
      <c r="D4" s="1646"/>
      <c r="E4" s="1647"/>
      <c r="F4" s="1648" t="s">
        <v>141</v>
      </c>
      <c r="G4" s="1649"/>
      <c r="H4" s="1650"/>
      <c r="I4" s="1650"/>
      <c r="J4" s="1651"/>
      <c r="K4" s="1642" t="s">
        <v>362</v>
      </c>
      <c r="L4" s="1643"/>
      <c r="M4" s="1644"/>
      <c r="N4" s="1642" t="s">
        <v>363</v>
      </c>
      <c r="O4" s="1643"/>
      <c r="P4" s="1644"/>
    </row>
    <row r="5" spans="1:16" s="849" customFormat="1" ht="79.5" customHeight="1" thickBot="1">
      <c r="A5" s="841" t="s">
        <v>99</v>
      </c>
      <c r="B5" s="842" t="s">
        <v>8</v>
      </c>
      <c r="C5" s="842" t="s">
        <v>95</v>
      </c>
      <c r="D5" s="843" t="s">
        <v>100</v>
      </c>
      <c r="E5" s="844" t="s">
        <v>121</v>
      </c>
      <c r="F5" s="841" t="s">
        <v>128</v>
      </c>
      <c r="G5" s="843" t="s">
        <v>129</v>
      </c>
      <c r="H5" s="843" t="s">
        <v>143</v>
      </c>
      <c r="I5" s="842" t="s">
        <v>144</v>
      </c>
      <c r="J5" s="845" t="s">
        <v>133</v>
      </c>
      <c r="K5" s="846" t="s">
        <v>130</v>
      </c>
      <c r="L5" s="847" t="s">
        <v>131</v>
      </c>
      <c r="M5" s="848" t="s">
        <v>132</v>
      </c>
      <c r="N5" s="846" t="s">
        <v>130</v>
      </c>
      <c r="O5" s="847" t="s">
        <v>131</v>
      </c>
      <c r="P5" s="848" t="s">
        <v>132</v>
      </c>
    </row>
    <row r="6" spans="1:16" ht="51">
      <c r="A6" s="850" t="s">
        <v>1146</v>
      </c>
      <c r="B6" s="851" t="s">
        <v>1147</v>
      </c>
      <c r="C6" s="851" t="s">
        <v>96</v>
      </c>
      <c r="D6" s="852" t="s">
        <v>1148</v>
      </c>
      <c r="E6" s="853">
        <v>1900</v>
      </c>
      <c r="F6" s="854" t="s">
        <v>1149</v>
      </c>
      <c r="G6" s="855" t="s">
        <v>1150</v>
      </c>
      <c r="H6" s="856"/>
      <c r="I6" s="856"/>
      <c r="J6" s="856"/>
      <c r="K6" s="857"/>
      <c r="L6" s="858">
        <v>3</v>
      </c>
      <c r="M6" s="859">
        <v>4686.67</v>
      </c>
      <c r="N6" s="857"/>
      <c r="O6" s="858"/>
      <c r="P6" s="860"/>
    </row>
    <row r="7" spans="1:16" ht="38.25">
      <c r="A7" s="850" t="s">
        <v>1146</v>
      </c>
      <c r="B7" s="851" t="s">
        <v>1147</v>
      </c>
      <c r="C7" s="851" t="s">
        <v>96</v>
      </c>
      <c r="D7" s="852" t="s">
        <v>1151</v>
      </c>
      <c r="E7" s="853">
        <v>1200</v>
      </c>
      <c r="F7" s="861" t="s">
        <v>1152</v>
      </c>
      <c r="G7" s="862" t="s">
        <v>1153</v>
      </c>
      <c r="H7" s="856"/>
      <c r="I7" s="856"/>
      <c r="J7" s="856"/>
      <c r="K7" s="857"/>
      <c r="L7" s="858">
        <v>6</v>
      </c>
      <c r="M7" s="863">
        <v>6903.33</v>
      </c>
      <c r="N7" s="857"/>
      <c r="O7" s="858"/>
      <c r="P7" s="860"/>
    </row>
    <row r="8" spans="1:16" ht="38.25">
      <c r="A8" s="850" t="s">
        <v>1146</v>
      </c>
      <c r="B8" s="851" t="s">
        <v>1147</v>
      </c>
      <c r="C8" s="851" t="s">
        <v>96</v>
      </c>
      <c r="D8" s="852" t="s">
        <v>1154</v>
      </c>
      <c r="E8" s="853">
        <v>2100</v>
      </c>
      <c r="F8" s="854" t="s">
        <v>1155</v>
      </c>
      <c r="G8" s="855" t="s">
        <v>1156</v>
      </c>
      <c r="H8" s="856"/>
      <c r="I8" s="856"/>
      <c r="J8" s="856"/>
      <c r="K8" s="857"/>
      <c r="L8" s="858">
        <v>3</v>
      </c>
      <c r="M8" s="859">
        <v>5180</v>
      </c>
      <c r="N8" s="857"/>
      <c r="O8" s="858"/>
      <c r="P8" s="860"/>
    </row>
    <row r="9" spans="1:16" ht="25.5">
      <c r="A9" s="850" t="s">
        <v>1146</v>
      </c>
      <c r="B9" s="851" t="s">
        <v>1147</v>
      </c>
      <c r="C9" s="851" t="s">
        <v>96</v>
      </c>
      <c r="D9" s="864" t="s">
        <v>1157</v>
      </c>
      <c r="E9" s="853">
        <v>1400</v>
      </c>
      <c r="F9" s="854" t="s">
        <v>1158</v>
      </c>
      <c r="G9" s="855" t="s">
        <v>1159</v>
      </c>
      <c r="H9" s="856"/>
      <c r="I9" s="856"/>
      <c r="J9" s="856"/>
      <c r="K9" s="857"/>
      <c r="L9" s="858">
        <v>3</v>
      </c>
      <c r="M9" s="859">
        <v>3406.66</v>
      </c>
      <c r="N9" s="857"/>
      <c r="O9" s="858"/>
      <c r="P9" s="860"/>
    </row>
    <row r="10" spans="1:16" ht="12.75">
      <c r="A10" s="850" t="s">
        <v>1146</v>
      </c>
      <c r="B10" s="851" t="s">
        <v>1147</v>
      </c>
      <c r="C10" s="851" t="s">
        <v>96</v>
      </c>
      <c r="D10" s="856" t="s">
        <v>1160</v>
      </c>
      <c r="E10" s="853">
        <v>1400</v>
      </c>
      <c r="F10" s="854" t="s">
        <v>1161</v>
      </c>
      <c r="G10" s="855" t="s">
        <v>1162</v>
      </c>
      <c r="H10" s="856"/>
      <c r="I10" s="856"/>
      <c r="J10" s="856"/>
      <c r="K10" s="857"/>
      <c r="L10" s="858">
        <v>1</v>
      </c>
      <c r="M10" s="859">
        <v>1400</v>
      </c>
      <c r="N10" s="857"/>
      <c r="O10" s="858"/>
      <c r="P10" s="860"/>
    </row>
    <row r="11" spans="1:16" ht="25.5">
      <c r="A11" s="850" t="s">
        <v>1146</v>
      </c>
      <c r="B11" s="851" t="s">
        <v>1147</v>
      </c>
      <c r="C11" s="851" t="s">
        <v>96</v>
      </c>
      <c r="D11" s="852" t="s">
        <v>1163</v>
      </c>
      <c r="E11" s="853">
        <v>1400</v>
      </c>
      <c r="F11" s="861" t="s">
        <v>1164</v>
      </c>
      <c r="G11" s="862" t="s">
        <v>1165</v>
      </c>
      <c r="H11" s="856"/>
      <c r="I11" s="856"/>
      <c r="J11" s="856"/>
      <c r="K11" s="857"/>
      <c r="L11" s="858">
        <v>2</v>
      </c>
      <c r="M11" s="863">
        <v>1820</v>
      </c>
      <c r="N11" s="857"/>
      <c r="O11" s="858"/>
      <c r="P11" s="860"/>
    </row>
    <row r="12" spans="1:16" ht="25.5">
      <c r="A12" s="850" t="s">
        <v>1146</v>
      </c>
      <c r="B12" s="851" t="s">
        <v>1147</v>
      </c>
      <c r="C12" s="851" t="s">
        <v>96</v>
      </c>
      <c r="D12" s="864" t="s">
        <v>1166</v>
      </c>
      <c r="E12" s="853">
        <v>3000</v>
      </c>
      <c r="F12" s="854" t="s">
        <v>1167</v>
      </c>
      <c r="G12" s="855" t="s">
        <v>1168</v>
      </c>
      <c r="H12" s="856"/>
      <c r="I12" s="856"/>
      <c r="J12" s="856"/>
      <c r="K12" s="857"/>
      <c r="L12" s="858">
        <v>6</v>
      </c>
      <c r="M12" s="859">
        <v>15600</v>
      </c>
      <c r="N12" s="857"/>
      <c r="O12" s="858"/>
      <c r="P12" s="860"/>
    </row>
    <row r="13" spans="1:16" ht="12.75">
      <c r="A13" s="850" t="s">
        <v>1146</v>
      </c>
      <c r="B13" s="851" t="s">
        <v>1147</v>
      </c>
      <c r="C13" s="851" t="s">
        <v>96</v>
      </c>
      <c r="D13" s="852" t="s">
        <v>1169</v>
      </c>
      <c r="E13" s="853">
        <v>2100</v>
      </c>
      <c r="F13" s="854" t="s">
        <v>1170</v>
      </c>
      <c r="G13" s="855" t="s">
        <v>1171</v>
      </c>
      <c r="H13" s="856"/>
      <c r="I13" s="856"/>
      <c r="J13" s="856"/>
      <c r="K13" s="857"/>
      <c r="L13" s="858">
        <v>3</v>
      </c>
      <c r="M13" s="859">
        <v>5180</v>
      </c>
      <c r="N13" s="857"/>
      <c r="O13" s="858"/>
      <c r="P13" s="860"/>
    </row>
    <row r="14" spans="1:16" ht="38.25">
      <c r="A14" s="850" t="s">
        <v>1146</v>
      </c>
      <c r="B14" s="851" t="s">
        <v>1147</v>
      </c>
      <c r="C14" s="851" t="s">
        <v>96</v>
      </c>
      <c r="D14" s="852" t="s">
        <v>1172</v>
      </c>
      <c r="E14" s="853">
        <v>1700</v>
      </c>
      <c r="F14" s="854" t="s">
        <v>1173</v>
      </c>
      <c r="G14" s="855" t="s">
        <v>1174</v>
      </c>
      <c r="H14" s="856"/>
      <c r="I14" s="856"/>
      <c r="J14" s="856"/>
      <c r="K14" s="857"/>
      <c r="L14" s="858">
        <v>3</v>
      </c>
      <c r="M14" s="859">
        <v>4023.33</v>
      </c>
      <c r="N14" s="857"/>
      <c r="O14" s="858"/>
      <c r="P14" s="860"/>
    </row>
    <row r="15" spans="1:16" ht="38.25">
      <c r="A15" s="850" t="s">
        <v>1146</v>
      </c>
      <c r="B15" s="851" t="s">
        <v>1147</v>
      </c>
      <c r="C15" s="851" t="s">
        <v>96</v>
      </c>
      <c r="D15" s="852" t="s">
        <v>1175</v>
      </c>
      <c r="E15" s="853">
        <v>1300</v>
      </c>
      <c r="F15" s="861" t="s">
        <v>1176</v>
      </c>
      <c r="G15" s="862" t="s">
        <v>1177</v>
      </c>
      <c r="H15" s="856"/>
      <c r="I15" s="856"/>
      <c r="J15" s="856"/>
      <c r="K15" s="857"/>
      <c r="L15" s="858">
        <v>4</v>
      </c>
      <c r="M15" s="863">
        <v>5113.33</v>
      </c>
      <c r="N15" s="857"/>
      <c r="O15" s="858"/>
      <c r="P15" s="860"/>
    </row>
    <row r="16" spans="1:16" ht="51">
      <c r="A16" s="850" t="s">
        <v>1146</v>
      </c>
      <c r="B16" s="851" t="s">
        <v>1147</v>
      </c>
      <c r="C16" s="851" t="s">
        <v>96</v>
      </c>
      <c r="D16" s="852" t="s">
        <v>1178</v>
      </c>
      <c r="E16" s="853">
        <v>1350</v>
      </c>
      <c r="F16" s="854" t="s">
        <v>1179</v>
      </c>
      <c r="G16" s="855" t="s">
        <v>1180</v>
      </c>
      <c r="H16" s="856"/>
      <c r="I16" s="856"/>
      <c r="J16" s="856"/>
      <c r="K16" s="857"/>
      <c r="L16" s="858">
        <v>1</v>
      </c>
      <c r="M16" s="859">
        <v>1755</v>
      </c>
      <c r="N16" s="857"/>
      <c r="O16" s="858"/>
      <c r="P16" s="860"/>
    </row>
    <row r="17" spans="1:16" ht="12.75">
      <c r="A17" s="850" t="s">
        <v>1146</v>
      </c>
      <c r="B17" s="851" t="s">
        <v>1147</v>
      </c>
      <c r="C17" s="851" t="s">
        <v>96</v>
      </c>
      <c r="D17" s="852" t="s">
        <v>1181</v>
      </c>
      <c r="E17" s="853">
        <v>2700</v>
      </c>
      <c r="F17" s="854" t="s">
        <v>1182</v>
      </c>
      <c r="G17" s="855" t="s">
        <v>1183</v>
      </c>
      <c r="H17" s="856"/>
      <c r="I17" s="856"/>
      <c r="J17" s="856"/>
      <c r="K17" s="857"/>
      <c r="L17" s="858">
        <v>3</v>
      </c>
      <c r="M17" s="859">
        <v>6660</v>
      </c>
      <c r="N17" s="857"/>
      <c r="O17" s="858"/>
      <c r="P17" s="860"/>
    </row>
    <row r="18" spans="1:16" ht="12.75">
      <c r="A18" s="850" t="s">
        <v>1146</v>
      </c>
      <c r="B18" s="851" t="s">
        <v>1147</v>
      </c>
      <c r="C18" s="851" t="s">
        <v>96</v>
      </c>
      <c r="D18" s="852" t="s">
        <v>1184</v>
      </c>
      <c r="E18" s="853">
        <v>2100</v>
      </c>
      <c r="F18" s="854" t="s">
        <v>1185</v>
      </c>
      <c r="G18" s="855" t="s">
        <v>1186</v>
      </c>
      <c r="H18" s="856"/>
      <c r="I18" s="856"/>
      <c r="J18" s="856"/>
      <c r="K18" s="857"/>
      <c r="L18" s="858">
        <v>1</v>
      </c>
      <c r="M18" s="859">
        <v>2600</v>
      </c>
      <c r="N18" s="857"/>
      <c r="O18" s="858"/>
      <c r="P18" s="860"/>
    </row>
    <row r="19" spans="1:16" ht="51">
      <c r="A19" s="850" t="s">
        <v>1146</v>
      </c>
      <c r="B19" s="851" t="s">
        <v>1147</v>
      </c>
      <c r="C19" s="851" t="s">
        <v>96</v>
      </c>
      <c r="D19" s="852" t="s">
        <v>1187</v>
      </c>
      <c r="E19" s="853">
        <v>2100</v>
      </c>
      <c r="F19" s="861" t="s">
        <v>1188</v>
      </c>
      <c r="G19" s="862" t="s">
        <v>1189</v>
      </c>
      <c r="H19" s="856"/>
      <c r="I19" s="856"/>
      <c r="J19" s="856"/>
      <c r="K19" s="857"/>
      <c r="L19" s="858">
        <v>2</v>
      </c>
      <c r="M19" s="863">
        <v>2730</v>
      </c>
      <c r="N19" s="857"/>
      <c r="O19" s="858"/>
      <c r="P19" s="860"/>
    </row>
    <row r="20" spans="1:16" ht="25.5">
      <c r="A20" s="850" t="s">
        <v>1146</v>
      </c>
      <c r="B20" s="851" t="s">
        <v>1147</v>
      </c>
      <c r="C20" s="851" t="s">
        <v>96</v>
      </c>
      <c r="D20" s="852" t="s">
        <v>1190</v>
      </c>
      <c r="E20" s="853">
        <v>1600</v>
      </c>
      <c r="F20" s="854" t="s">
        <v>1191</v>
      </c>
      <c r="G20" s="855" t="s">
        <v>1192</v>
      </c>
      <c r="H20" s="856"/>
      <c r="I20" s="856"/>
      <c r="J20" s="856"/>
      <c r="K20" s="857"/>
      <c r="L20" s="858">
        <v>3</v>
      </c>
      <c r="M20" s="859">
        <v>3680</v>
      </c>
      <c r="N20" s="857"/>
      <c r="O20" s="858"/>
      <c r="P20" s="860"/>
    </row>
    <row r="21" spans="1:16" ht="12.75">
      <c r="A21" s="850" t="s">
        <v>1146</v>
      </c>
      <c r="B21" s="851" t="s">
        <v>1147</v>
      </c>
      <c r="C21" s="851" t="s">
        <v>96</v>
      </c>
      <c r="D21" s="852" t="s">
        <v>1193</v>
      </c>
      <c r="E21" s="853">
        <v>1400</v>
      </c>
      <c r="F21" s="854" t="s">
        <v>1194</v>
      </c>
      <c r="G21" s="855" t="s">
        <v>1195</v>
      </c>
      <c r="H21" s="856"/>
      <c r="I21" s="856"/>
      <c r="J21" s="856"/>
      <c r="K21" s="857"/>
      <c r="L21" s="858">
        <v>3</v>
      </c>
      <c r="M21" s="859">
        <v>3406.66</v>
      </c>
      <c r="N21" s="857"/>
      <c r="O21" s="858"/>
      <c r="P21" s="860"/>
    </row>
    <row r="22" spans="1:16" ht="12.75">
      <c r="A22" s="850" t="s">
        <v>1146</v>
      </c>
      <c r="B22" s="851" t="s">
        <v>1147</v>
      </c>
      <c r="C22" s="851" t="s">
        <v>96</v>
      </c>
      <c r="D22" s="852" t="s">
        <v>1196</v>
      </c>
      <c r="E22" s="853">
        <v>2800</v>
      </c>
      <c r="F22" s="854" t="s">
        <v>1197</v>
      </c>
      <c r="G22" s="855" t="s">
        <v>1198</v>
      </c>
      <c r="H22" s="856"/>
      <c r="I22" s="856"/>
      <c r="J22" s="856"/>
      <c r="K22" s="857"/>
      <c r="L22" s="858">
        <v>6</v>
      </c>
      <c r="M22" s="859">
        <v>16706.67</v>
      </c>
      <c r="N22" s="857"/>
      <c r="O22" s="858"/>
      <c r="P22" s="860"/>
    </row>
    <row r="23" spans="1:16" ht="25.5">
      <c r="A23" s="850" t="s">
        <v>1146</v>
      </c>
      <c r="B23" s="851" t="s">
        <v>1147</v>
      </c>
      <c r="C23" s="851" t="s">
        <v>96</v>
      </c>
      <c r="D23" s="852" t="s">
        <v>1199</v>
      </c>
      <c r="E23" s="853">
        <v>1400</v>
      </c>
      <c r="F23" s="854" t="s">
        <v>1200</v>
      </c>
      <c r="G23" s="855" t="s">
        <v>1201</v>
      </c>
      <c r="H23" s="856"/>
      <c r="I23" s="856"/>
      <c r="J23" s="856"/>
      <c r="K23" s="857"/>
      <c r="L23" s="858">
        <v>1</v>
      </c>
      <c r="M23" s="859">
        <v>1820</v>
      </c>
      <c r="N23" s="857"/>
      <c r="O23" s="858"/>
      <c r="P23" s="860"/>
    </row>
    <row r="24" spans="1:16" ht="12.75">
      <c r="A24" s="850" t="s">
        <v>1146</v>
      </c>
      <c r="B24" s="851" t="s">
        <v>1147</v>
      </c>
      <c r="C24" s="851" t="s">
        <v>96</v>
      </c>
      <c r="D24" s="852" t="s">
        <v>1193</v>
      </c>
      <c r="E24" s="853">
        <v>1400</v>
      </c>
      <c r="F24" s="854" t="s">
        <v>1202</v>
      </c>
      <c r="G24" s="855" t="s">
        <v>1203</v>
      </c>
      <c r="H24" s="856"/>
      <c r="I24" s="856"/>
      <c r="J24" s="856"/>
      <c r="K24" s="857"/>
      <c r="L24" s="858">
        <v>3</v>
      </c>
      <c r="M24" s="859">
        <v>3453.33</v>
      </c>
      <c r="N24" s="857"/>
      <c r="O24" s="858"/>
      <c r="P24" s="860"/>
    </row>
    <row r="25" spans="1:16" ht="38.25">
      <c r="A25" s="850" t="s">
        <v>1146</v>
      </c>
      <c r="B25" s="851" t="s">
        <v>1147</v>
      </c>
      <c r="C25" s="851" t="s">
        <v>96</v>
      </c>
      <c r="D25" s="852" t="s">
        <v>1204</v>
      </c>
      <c r="E25" s="853">
        <v>1500</v>
      </c>
      <c r="F25" s="854" t="s">
        <v>1205</v>
      </c>
      <c r="G25" s="855" t="s">
        <v>1206</v>
      </c>
      <c r="H25" s="856"/>
      <c r="I25" s="856"/>
      <c r="J25" s="856"/>
      <c r="K25" s="857"/>
      <c r="L25" s="858">
        <v>6</v>
      </c>
      <c r="M25" s="859">
        <v>8866.67</v>
      </c>
      <c r="N25" s="857"/>
      <c r="O25" s="858"/>
      <c r="P25" s="860"/>
    </row>
    <row r="26" spans="1:16" ht="12.75">
      <c r="A26" s="850" t="s">
        <v>1146</v>
      </c>
      <c r="B26" s="851" t="s">
        <v>1147</v>
      </c>
      <c r="C26" s="851" t="s">
        <v>96</v>
      </c>
      <c r="D26" s="852" t="s">
        <v>1196</v>
      </c>
      <c r="E26" s="853">
        <v>2800</v>
      </c>
      <c r="F26" s="854" t="s">
        <v>1207</v>
      </c>
      <c r="G26" s="855" t="s">
        <v>1208</v>
      </c>
      <c r="H26" s="856"/>
      <c r="I26" s="856"/>
      <c r="J26" s="856"/>
      <c r="K26" s="857"/>
      <c r="L26" s="858">
        <v>5</v>
      </c>
      <c r="M26" s="859">
        <v>12600</v>
      </c>
      <c r="N26" s="857"/>
      <c r="O26" s="858"/>
      <c r="P26" s="860"/>
    </row>
    <row r="27" spans="1:16" ht="12.75">
      <c r="A27" s="850" t="s">
        <v>1146</v>
      </c>
      <c r="B27" s="851" t="s">
        <v>1147</v>
      </c>
      <c r="C27" s="851" t="s">
        <v>96</v>
      </c>
      <c r="D27" s="852" t="s">
        <v>1209</v>
      </c>
      <c r="E27" s="853">
        <v>1700</v>
      </c>
      <c r="F27" s="854" t="s">
        <v>1210</v>
      </c>
      <c r="G27" s="855" t="s">
        <v>1211</v>
      </c>
      <c r="H27" s="856"/>
      <c r="I27" s="856"/>
      <c r="J27" s="856"/>
      <c r="K27" s="857"/>
      <c r="L27" s="858">
        <v>3</v>
      </c>
      <c r="M27" s="859">
        <v>4136.66</v>
      </c>
      <c r="N27" s="857"/>
      <c r="O27" s="858"/>
      <c r="P27" s="860"/>
    </row>
    <row r="28" spans="1:16" ht="12.75">
      <c r="A28" s="850" t="s">
        <v>1146</v>
      </c>
      <c r="B28" s="851" t="s">
        <v>1147</v>
      </c>
      <c r="C28" s="851" t="s">
        <v>96</v>
      </c>
      <c r="D28" s="852" t="s">
        <v>1193</v>
      </c>
      <c r="E28" s="853">
        <v>1400</v>
      </c>
      <c r="F28" s="854" t="s">
        <v>1212</v>
      </c>
      <c r="G28" s="855" t="s">
        <v>1213</v>
      </c>
      <c r="H28" s="856"/>
      <c r="I28" s="856"/>
      <c r="J28" s="856"/>
      <c r="K28" s="857"/>
      <c r="L28" s="858">
        <v>1</v>
      </c>
      <c r="M28" s="859">
        <v>1820</v>
      </c>
      <c r="N28" s="857"/>
      <c r="O28" s="858"/>
      <c r="P28" s="860"/>
    </row>
    <row r="29" spans="1:16" ht="38.25">
      <c r="A29" s="850" t="s">
        <v>1146</v>
      </c>
      <c r="B29" s="851" t="s">
        <v>1147</v>
      </c>
      <c r="C29" s="851" t="s">
        <v>96</v>
      </c>
      <c r="D29" s="852" t="s">
        <v>1151</v>
      </c>
      <c r="E29" s="853">
        <v>1100</v>
      </c>
      <c r="F29" s="861" t="s">
        <v>1214</v>
      </c>
      <c r="G29" s="862" t="s">
        <v>1215</v>
      </c>
      <c r="H29" s="856"/>
      <c r="I29" s="856"/>
      <c r="J29" s="856"/>
      <c r="K29" s="857"/>
      <c r="L29" s="858">
        <v>2</v>
      </c>
      <c r="M29" s="863">
        <v>1026.67</v>
      </c>
      <c r="N29" s="857"/>
      <c r="O29" s="858"/>
      <c r="P29" s="860"/>
    </row>
    <row r="30" spans="1:16" ht="25.5">
      <c r="A30" s="850" t="s">
        <v>1146</v>
      </c>
      <c r="B30" s="851" t="s">
        <v>1147</v>
      </c>
      <c r="C30" s="851" t="s">
        <v>96</v>
      </c>
      <c r="D30" s="852" t="s">
        <v>1199</v>
      </c>
      <c r="E30" s="853">
        <v>1200</v>
      </c>
      <c r="F30" s="854" t="s">
        <v>1216</v>
      </c>
      <c r="G30" s="855" t="s">
        <v>1217</v>
      </c>
      <c r="H30" s="856"/>
      <c r="I30" s="856"/>
      <c r="J30" s="856"/>
      <c r="K30" s="857"/>
      <c r="L30" s="858">
        <v>6</v>
      </c>
      <c r="M30" s="859">
        <v>7200</v>
      </c>
      <c r="N30" s="857"/>
      <c r="O30" s="858"/>
      <c r="P30" s="860"/>
    </row>
    <row r="31" spans="1:16" ht="38.25">
      <c r="A31" s="850" t="s">
        <v>1146</v>
      </c>
      <c r="B31" s="851" t="s">
        <v>1147</v>
      </c>
      <c r="C31" s="851" t="s">
        <v>96</v>
      </c>
      <c r="D31" s="852" t="s">
        <v>1218</v>
      </c>
      <c r="E31" s="853">
        <v>1400</v>
      </c>
      <c r="F31" s="854" t="s">
        <v>1219</v>
      </c>
      <c r="G31" s="855" t="s">
        <v>1220</v>
      </c>
      <c r="H31" s="856"/>
      <c r="I31" s="856"/>
      <c r="J31" s="856"/>
      <c r="K31" s="857"/>
      <c r="L31" s="858">
        <v>3</v>
      </c>
      <c r="M31" s="859">
        <v>3266.66</v>
      </c>
      <c r="N31" s="857"/>
      <c r="O31" s="858"/>
      <c r="P31" s="860"/>
    </row>
    <row r="32" spans="1:16" ht="38.25">
      <c r="A32" s="850" t="s">
        <v>1146</v>
      </c>
      <c r="B32" s="851" t="s">
        <v>1147</v>
      </c>
      <c r="C32" s="851" t="s">
        <v>96</v>
      </c>
      <c r="D32" s="864" t="s">
        <v>1221</v>
      </c>
      <c r="E32" s="853">
        <v>1000</v>
      </c>
      <c r="F32" s="854" t="s">
        <v>1222</v>
      </c>
      <c r="G32" s="855" t="s">
        <v>1223</v>
      </c>
      <c r="H32" s="856"/>
      <c r="I32" s="856"/>
      <c r="J32" s="856"/>
      <c r="K32" s="857"/>
      <c r="L32" s="858">
        <v>3</v>
      </c>
      <c r="M32" s="859">
        <v>3000</v>
      </c>
      <c r="N32" s="857"/>
      <c r="O32" s="858"/>
      <c r="P32" s="860"/>
    </row>
    <row r="33" spans="1:16" ht="12.75">
      <c r="A33" s="850" t="s">
        <v>1146</v>
      </c>
      <c r="B33" s="851" t="s">
        <v>1147</v>
      </c>
      <c r="C33" s="851" t="s">
        <v>96</v>
      </c>
      <c r="D33" s="864" t="s">
        <v>1193</v>
      </c>
      <c r="E33" s="853">
        <v>1400</v>
      </c>
      <c r="F33" s="854" t="s">
        <v>1224</v>
      </c>
      <c r="G33" s="855" t="s">
        <v>1225</v>
      </c>
      <c r="H33" s="856"/>
      <c r="I33" s="856"/>
      <c r="J33" s="856"/>
      <c r="K33" s="857"/>
      <c r="L33" s="858">
        <v>1</v>
      </c>
      <c r="M33" s="859">
        <v>1306.67</v>
      </c>
      <c r="N33" s="857"/>
      <c r="O33" s="858"/>
      <c r="P33" s="860"/>
    </row>
    <row r="34" spans="1:16" ht="12.75">
      <c r="A34" s="850" t="s">
        <v>1146</v>
      </c>
      <c r="B34" s="851" t="s">
        <v>1147</v>
      </c>
      <c r="C34" s="851" t="s">
        <v>96</v>
      </c>
      <c r="D34" s="852" t="s">
        <v>1193</v>
      </c>
      <c r="E34" s="853">
        <v>1400</v>
      </c>
      <c r="F34" s="854" t="s">
        <v>1226</v>
      </c>
      <c r="G34" s="855" t="s">
        <v>1227</v>
      </c>
      <c r="H34" s="856"/>
      <c r="I34" s="856"/>
      <c r="J34" s="856"/>
      <c r="K34" s="857"/>
      <c r="L34" s="858">
        <v>6</v>
      </c>
      <c r="M34" s="859">
        <v>7340</v>
      </c>
      <c r="N34" s="857"/>
      <c r="O34" s="858"/>
      <c r="P34" s="860"/>
    </row>
    <row r="35" spans="1:16" ht="63.75">
      <c r="A35" s="850" t="s">
        <v>1146</v>
      </c>
      <c r="B35" s="851" t="s">
        <v>1147</v>
      </c>
      <c r="C35" s="851" t="s">
        <v>96</v>
      </c>
      <c r="D35" s="852" t="s">
        <v>1228</v>
      </c>
      <c r="E35" s="853">
        <v>1100</v>
      </c>
      <c r="F35" s="854" t="s">
        <v>1229</v>
      </c>
      <c r="G35" s="855" t="s">
        <v>1230</v>
      </c>
      <c r="H35" s="856"/>
      <c r="I35" s="856"/>
      <c r="J35" s="856"/>
      <c r="K35" s="857"/>
      <c r="L35" s="858">
        <v>1</v>
      </c>
      <c r="M35" s="859">
        <v>1430</v>
      </c>
      <c r="N35" s="857"/>
      <c r="O35" s="858"/>
      <c r="P35" s="860"/>
    </row>
    <row r="36" spans="1:16" ht="38.25">
      <c r="A36" s="850" t="s">
        <v>1146</v>
      </c>
      <c r="B36" s="851" t="s">
        <v>1147</v>
      </c>
      <c r="C36" s="851" t="s">
        <v>96</v>
      </c>
      <c r="D36" s="852" t="s">
        <v>1231</v>
      </c>
      <c r="E36" s="853">
        <v>1350</v>
      </c>
      <c r="F36" s="854" t="s">
        <v>1232</v>
      </c>
      <c r="G36" s="855" t="s">
        <v>1233</v>
      </c>
      <c r="H36" s="856"/>
      <c r="I36" s="856"/>
      <c r="J36" s="856"/>
      <c r="K36" s="857"/>
      <c r="L36" s="858">
        <v>1</v>
      </c>
      <c r="M36" s="859">
        <v>1755</v>
      </c>
      <c r="N36" s="857"/>
      <c r="O36" s="858"/>
      <c r="P36" s="860"/>
    </row>
    <row r="37" spans="1:16" ht="12.75">
      <c r="A37" s="850" t="s">
        <v>1146</v>
      </c>
      <c r="B37" s="851" t="s">
        <v>1147</v>
      </c>
      <c r="C37" s="851" t="s">
        <v>96</v>
      </c>
      <c r="D37" s="852" t="s">
        <v>1234</v>
      </c>
      <c r="E37" s="853">
        <v>2000</v>
      </c>
      <c r="F37" s="854" t="s">
        <v>1235</v>
      </c>
      <c r="G37" s="855" t="s">
        <v>1236</v>
      </c>
      <c r="H37" s="856"/>
      <c r="I37" s="856"/>
      <c r="J37" s="856"/>
      <c r="K37" s="857"/>
      <c r="L37" s="858">
        <v>1</v>
      </c>
      <c r="M37" s="859">
        <v>1866.67</v>
      </c>
      <c r="N37" s="857"/>
      <c r="O37" s="858"/>
      <c r="P37" s="860"/>
    </row>
    <row r="38" spans="1:16" ht="38.25">
      <c r="A38" s="850" t="s">
        <v>1146</v>
      </c>
      <c r="B38" s="851" t="s">
        <v>1147</v>
      </c>
      <c r="C38" s="851" t="s">
        <v>96</v>
      </c>
      <c r="D38" s="852" t="s">
        <v>1151</v>
      </c>
      <c r="E38" s="853">
        <v>1100</v>
      </c>
      <c r="F38" s="861" t="s">
        <v>1237</v>
      </c>
      <c r="G38" s="862" t="s">
        <v>1238</v>
      </c>
      <c r="H38" s="856"/>
      <c r="I38" s="856"/>
      <c r="J38" s="856"/>
      <c r="K38" s="857"/>
      <c r="L38" s="858">
        <v>2</v>
      </c>
      <c r="M38" s="863">
        <v>1466.67</v>
      </c>
      <c r="N38" s="857"/>
      <c r="O38" s="858"/>
      <c r="P38" s="860"/>
    </row>
    <row r="39" spans="1:16" ht="25.5">
      <c r="A39" s="850" t="s">
        <v>1146</v>
      </c>
      <c r="B39" s="851" t="s">
        <v>1147</v>
      </c>
      <c r="C39" s="851" t="s">
        <v>96</v>
      </c>
      <c r="D39" s="852" t="s">
        <v>1239</v>
      </c>
      <c r="E39" s="853">
        <v>1400</v>
      </c>
      <c r="F39" s="854" t="s">
        <v>1240</v>
      </c>
      <c r="G39" s="855" t="s">
        <v>1241</v>
      </c>
      <c r="H39" s="856"/>
      <c r="I39" s="856"/>
      <c r="J39" s="856"/>
      <c r="K39" s="857"/>
      <c r="L39" s="858">
        <v>1</v>
      </c>
      <c r="M39" s="859">
        <v>1400</v>
      </c>
      <c r="N39" s="857"/>
      <c r="O39" s="858"/>
      <c r="P39" s="860"/>
    </row>
    <row r="40" spans="1:16" ht="38.25">
      <c r="A40" s="850" t="s">
        <v>1146</v>
      </c>
      <c r="B40" s="851" t="s">
        <v>1147</v>
      </c>
      <c r="C40" s="851" t="s">
        <v>96</v>
      </c>
      <c r="D40" s="852" t="s">
        <v>1242</v>
      </c>
      <c r="E40" s="853">
        <v>1100</v>
      </c>
      <c r="F40" s="861" t="s">
        <v>1243</v>
      </c>
      <c r="G40" s="862" t="s">
        <v>1244</v>
      </c>
      <c r="H40" s="856"/>
      <c r="I40" s="856"/>
      <c r="J40" s="856"/>
      <c r="K40" s="857"/>
      <c r="L40" s="858">
        <v>2</v>
      </c>
      <c r="M40" s="863">
        <v>1430</v>
      </c>
      <c r="N40" s="857"/>
      <c r="O40" s="858"/>
      <c r="P40" s="860"/>
    </row>
    <row r="41" spans="1:16" ht="12.75">
      <c r="A41" s="850" t="s">
        <v>1146</v>
      </c>
      <c r="B41" s="851" t="s">
        <v>1147</v>
      </c>
      <c r="C41" s="851" t="s">
        <v>96</v>
      </c>
      <c r="D41" s="852" t="s">
        <v>1245</v>
      </c>
      <c r="E41" s="853">
        <v>2000</v>
      </c>
      <c r="F41" s="854" t="s">
        <v>1246</v>
      </c>
      <c r="G41" s="855" t="s">
        <v>1247</v>
      </c>
      <c r="H41" s="856"/>
      <c r="I41" s="856"/>
      <c r="J41" s="856"/>
      <c r="K41" s="857"/>
      <c r="L41" s="858">
        <v>6</v>
      </c>
      <c r="M41" s="859">
        <v>11200</v>
      </c>
      <c r="N41" s="857"/>
      <c r="O41" s="858"/>
      <c r="P41" s="860"/>
    </row>
    <row r="42" spans="1:16" ht="12.75">
      <c r="A42" s="850" t="s">
        <v>1146</v>
      </c>
      <c r="B42" s="851" t="s">
        <v>1147</v>
      </c>
      <c r="C42" s="851" t="s">
        <v>96</v>
      </c>
      <c r="D42" s="852" t="s">
        <v>1248</v>
      </c>
      <c r="E42" s="853">
        <v>1400</v>
      </c>
      <c r="F42" s="854" t="s">
        <v>1249</v>
      </c>
      <c r="G42" s="855" t="s">
        <v>1250</v>
      </c>
      <c r="H42" s="856"/>
      <c r="I42" s="856"/>
      <c r="J42" s="856"/>
      <c r="K42" s="857"/>
      <c r="L42" s="858">
        <v>1</v>
      </c>
      <c r="M42" s="859">
        <v>1820</v>
      </c>
      <c r="N42" s="857"/>
      <c r="O42" s="858"/>
      <c r="P42" s="860"/>
    </row>
    <row r="43" spans="1:16" ht="38.25">
      <c r="A43" s="850" t="s">
        <v>1146</v>
      </c>
      <c r="B43" s="851" t="s">
        <v>1147</v>
      </c>
      <c r="C43" s="851" t="s">
        <v>96</v>
      </c>
      <c r="D43" s="852" t="s">
        <v>1204</v>
      </c>
      <c r="E43" s="853">
        <v>1400</v>
      </c>
      <c r="F43" s="854" t="s">
        <v>1251</v>
      </c>
      <c r="G43" s="855" t="s">
        <v>1252</v>
      </c>
      <c r="H43" s="856"/>
      <c r="I43" s="856"/>
      <c r="J43" s="856"/>
      <c r="K43" s="857"/>
      <c r="L43" s="858">
        <v>1</v>
      </c>
      <c r="M43" s="859">
        <v>1820</v>
      </c>
      <c r="N43" s="857"/>
      <c r="O43" s="858"/>
      <c r="P43" s="860"/>
    </row>
    <row r="44" spans="1:16" ht="25.5">
      <c r="A44" s="850" t="s">
        <v>1146</v>
      </c>
      <c r="B44" s="851" t="s">
        <v>1147</v>
      </c>
      <c r="C44" s="851" t="s">
        <v>96</v>
      </c>
      <c r="D44" s="852" t="s">
        <v>1253</v>
      </c>
      <c r="E44" s="853">
        <v>1900</v>
      </c>
      <c r="F44" s="854" t="s">
        <v>1254</v>
      </c>
      <c r="G44" s="855" t="s">
        <v>1255</v>
      </c>
      <c r="H44" s="856"/>
      <c r="I44" s="856"/>
      <c r="J44" s="856"/>
      <c r="K44" s="857"/>
      <c r="L44" s="858">
        <v>3</v>
      </c>
      <c r="M44" s="859">
        <v>4623.34</v>
      </c>
      <c r="N44" s="857"/>
      <c r="O44" s="858"/>
      <c r="P44" s="860"/>
    </row>
    <row r="45" spans="1:16" ht="25.5">
      <c r="A45" s="850" t="s">
        <v>1146</v>
      </c>
      <c r="B45" s="851" t="s">
        <v>1147</v>
      </c>
      <c r="C45" s="851" t="s">
        <v>96</v>
      </c>
      <c r="D45" s="852" t="s">
        <v>1253</v>
      </c>
      <c r="E45" s="853">
        <v>1100</v>
      </c>
      <c r="F45" s="854" t="s">
        <v>1256</v>
      </c>
      <c r="G45" s="855" t="s">
        <v>1257</v>
      </c>
      <c r="H45" s="856"/>
      <c r="I45" s="856"/>
      <c r="J45" s="856"/>
      <c r="K45" s="857"/>
      <c r="L45" s="858">
        <v>5</v>
      </c>
      <c r="M45" s="859">
        <v>4583.33</v>
      </c>
      <c r="N45" s="857"/>
      <c r="O45" s="858"/>
      <c r="P45" s="860"/>
    </row>
    <row r="46" spans="1:16" ht="38.25">
      <c r="A46" s="850" t="s">
        <v>1146</v>
      </c>
      <c r="B46" s="851" t="s">
        <v>1147</v>
      </c>
      <c r="C46" s="851" t="s">
        <v>96</v>
      </c>
      <c r="D46" s="852" t="s">
        <v>1218</v>
      </c>
      <c r="E46" s="853">
        <v>1400</v>
      </c>
      <c r="F46" s="854" t="s">
        <v>1258</v>
      </c>
      <c r="G46" s="855" t="s">
        <v>1259</v>
      </c>
      <c r="H46" s="856"/>
      <c r="I46" s="856"/>
      <c r="J46" s="856"/>
      <c r="K46" s="857"/>
      <c r="L46" s="858">
        <v>3</v>
      </c>
      <c r="M46" s="859">
        <v>3453.33</v>
      </c>
      <c r="N46" s="857"/>
      <c r="O46" s="858"/>
      <c r="P46" s="860"/>
    </row>
    <row r="47" spans="1:16" ht="25.5">
      <c r="A47" s="850" t="s">
        <v>1146</v>
      </c>
      <c r="B47" s="851" t="s">
        <v>1147</v>
      </c>
      <c r="C47" s="851" t="s">
        <v>96</v>
      </c>
      <c r="D47" s="852" t="s">
        <v>1260</v>
      </c>
      <c r="E47" s="853">
        <v>1700</v>
      </c>
      <c r="F47" s="854" t="s">
        <v>1261</v>
      </c>
      <c r="G47" s="855" t="s">
        <v>1262</v>
      </c>
      <c r="H47" s="856"/>
      <c r="I47" s="856"/>
      <c r="J47" s="856"/>
      <c r="K47" s="857"/>
      <c r="L47" s="858">
        <v>1</v>
      </c>
      <c r="M47" s="859">
        <v>2210</v>
      </c>
      <c r="N47" s="857"/>
      <c r="O47" s="858"/>
      <c r="P47" s="860"/>
    </row>
    <row r="48" spans="1:16" ht="38.25">
      <c r="A48" s="850" t="s">
        <v>1146</v>
      </c>
      <c r="B48" s="851" t="s">
        <v>1147</v>
      </c>
      <c r="C48" s="851" t="s">
        <v>96</v>
      </c>
      <c r="D48" s="852" t="s">
        <v>1263</v>
      </c>
      <c r="E48" s="853">
        <v>1100</v>
      </c>
      <c r="F48" s="854" t="s">
        <v>1264</v>
      </c>
      <c r="G48" s="855" t="s">
        <v>1265</v>
      </c>
      <c r="H48" s="856"/>
      <c r="I48" s="856"/>
      <c r="J48" s="856"/>
      <c r="K48" s="857"/>
      <c r="L48" s="858">
        <v>5</v>
      </c>
      <c r="M48" s="859">
        <v>5133.33</v>
      </c>
      <c r="N48" s="857"/>
      <c r="O48" s="858"/>
      <c r="P48" s="860"/>
    </row>
    <row r="49" spans="1:16" ht="25.5">
      <c r="A49" s="850" t="s">
        <v>1146</v>
      </c>
      <c r="B49" s="851" t="s">
        <v>1147</v>
      </c>
      <c r="C49" s="851" t="s">
        <v>96</v>
      </c>
      <c r="D49" s="852" t="s">
        <v>1266</v>
      </c>
      <c r="E49" s="853">
        <v>2100</v>
      </c>
      <c r="F49" s="854" t="s">
        <v>1267</v>
      </c>
      <c r="G49" s="855" t="s">
        <v>1268</v>
      </c>
      <c r="H49" s="856"/>
      <c r="I49" s="856"/>
      <c r="J49" s="856"/>
      <c r="K49" s="857"/>
      <c r="L49" s="858">
        <v>1</v>
      </c>
      <c r="M49" s="859">
        <v>2800</v>
      </c>
      <c r="N49" s="857"/>
      <c r="O49" s="858"/>
      <c r="P49" s="860"/>
    </row>
    <row r="50" spans="1:16" ht="25.5">
      <c r="A50" s="850" t="s">
        <v>1146</v>
      </c>
      <c r="B50" s="851" t="s">
        <v>1147</v>
      </c>
      <c r="C50" s="851" t="s">
        <v>96</v>
      </c>
      <c r="D50" s="852" t="s">
        <v>1269</v>
      </c>
      <c r="E50" s="853">
        <v>2800</v>
      </c>
      <c r="F50" s="854" t="s">
        <v>1270</v>
      </c>
      <c r="G50" s="855" t="s">
        <v>1271</v>
      </c>
      <c r="H50" s="856"/>
      <c r="I50" s="856"/>
      <c r="J50" s="856"/>
      <c r="K50" s="857"/>
      <c r="L50" s="858">
        <v>5</v>
      </c>
      <c r="M50" s="859">
        <v>13066.67</v>
      </c>
      <c r="N50" s="857"/>
      <c r="O50" s="858"/>
      <c r="P50" s="860"/>
    </row>
    <row r="51" spans="1:16" ht="51">
      <c r="A51" s="850" t="s">
        <v>1146</v>
      </c>
      <c r="B51" s="851" t="s">
        <v>1147</v>
      </c>
      <c r="C51" s="851" t="s">
        <v>96</v>
      </c>
      <c r="D51" s="852" t="s">
        <v>1272</v>
      </c>
      <c r="E51" s="853">
        <v>1700</v>
      </c>
      <c r="F51" s="854" t="s">
        <v>1273</v>
      </c>
      <c r="G51" s="855" t="s">
        <v>1274</v>
      </c>
      <c r="H51" s="856"/>
      <c r="I51" s="856"/>
      <c r="J51" s="856"/>
      <c r="K51" s="857"/>
      <c r="L51" s="858">
        <v>1</v>
      </c>
      <c r="M51" s="859">
        <v>2266.67</v>
      </c>
      <c r="N51" s="857"/>
      <c r="O51" s="858"/>
      <c r="P51" s="860"/>
    </row>
    <row r="52" spans="1:16" ht="25.5">
      <c r="A52" s="850" t="s">
        <v>1146</v>
      </c>
      <c r="B52" s="851" t="s">
        <v>1147</v>
      </c>
      <c r="C52" s="851" t="s">
        <v>96</v>
      </c>
      <c r="D52" s="852" t="s">
        <v>1163</v>
      </c>
      <c r="E52" s="853">
        <v>1400</v>
      </c>
      <c r="F52" s="861" t="s">
        <v>1275</v>
      </c>
      <c r="G52" s="862" t="s">
        <v>1276</v>
      </c>
      <c r="H52" s="856"/>
      <c r="I52" s="856"/>
      <c r="J52" s="856"/>
      <c r="K52" s="857"/>
      <c r="L52" s="858">
        <v>2</v>
      </c>
      <c r="M52" s="863">
        <v>1820</v>
      </c>
      <c r="N52" s="857"/>
      <c r="O52" s="858"/>
      <c r="P52" s="860"/>
    </row>
    <row r="53" spans="1:16" ht="12.75">
      <c r="A53" s="850" t="s">
        <v>1146</v>
      </c>
      <c r="B53" s="851" t="s">
        <v>1147</v>
      </c>
      <c r="C53" s="851" t="s">
        <v>96</v>
      </c>
      <c r="D53" s="852" t="s">
        <v>1193</v>
      </c>
      <c r="E53" s="853">
        <v>1200</v>
      </c>
      <c r="F53" s="854" t="s">
        <v>1277</v>
      </c>
      <c r="G53" s="855" t="s">
        <v>1278</v>
      </c>
      <c r="H53" s="856"/>
      <c r="I53" s="856"/>
      <c r="J53" s="856"/>
      <c r="K53" s="857"/>
      <c r="L53" s="858">
        <v>3</v>
      </c>
      <c r="M53" s="859">
        <v>2960</v>
      </c>
      <c r="N53" s="857"/>
      <c r="O53" s="858"/>
      <c r="P53" s="860"/>
    </row>
    <row r="54" spans="1:16" ht="38.25">
      <c r="A54" s="850" t="s">
        <v>1146</v>
      </c>
      <c r="B54" s="851" t="s">
        <v>1147</v>
      </c>
      <c r="C54" s="851" t="s">
        <v>96</v>
      </c>
      <c r="D54" s="852" t="s">
        <v>1279</v>
      </c>
      <c r="E54" s="853">
        <v>3000</v>
      </c>
      <c r="F54" s="854" t="s">
        <v>1280</v>
      </c>
      <c r="G54" s="855" t="s">
        <v>1281</v>
      </c>
      <c r="H54" s="856"/>
      <c r="I54" s="856"/>
      <c r="J54" s="856"/>
      <c r="K54" s="857"/>
      <c r="L54" s="858">
        <v>6</v>
      </c>
      <c r="M54" s="859">
        <v>16100</v>
      </c>
      <c r="N54" s="857"/>
      <c r="O54" s="858"/>
      <c r="P54" s="860"/>
    </row>
    <row r="55" spans="1:16" ht="51">
      <c r="A55" s="850" t="s">
        <v>1146</v>
      </c>
      <c r="B55" s="851" t="s">
        <v>1147</v>
      </c>
      <c r="C55" s="851" t="s">
        <v>96</v>
      </c>
      <c r="D55" s="864" t="s">
        <v>1282</v>
      </c>
      <c r="E55" s="853">
        <v>1100</v>
      </c>
      <c r="F55" s="854" t="s">
        <v>1283</v>
      </c>
      <c r="G55" s="855" t="s">
        <v>1284</v>
      </c>
      <c r="H55" s="856"/>
      <c r="I55" s="856"/>
      <c r="J55" s="856"/>
      <c r="K55" s="857"/>
      <c r="L55" s="858">
        <v>3</v>
      </c>
      <c r="M55" s="859">
        <v>2676.66</v>
      </c>
      <c r="N55" s="857"/>
      <c r="O55" s="858"/>
      <c r="P55" s="860"/>
    </row>
    <row r="56" spans="1:16" ht="12.75">
      <c r="A56" s="850" t="s">
        <v>1146</v>
      </c>
      <c r="B56" s="851" t="s">
        <v>1147</v>
      </c>
      <c r="C56" s="851" t="s">
        <v>96</v>
      </c>
      <c r="D56" s="852" t="s">
        <v>1285</v>
      </c>
      <c r="E56" s="853">
        <v>2400</v>
      </c>
      <c r="F56" s="854" t="s">
        <v>1286</v>
      </c>
      <c r="G56" s="855" t="s">
        <v>1287</v>
      </c>
      <c r="H56" s="856"/>
      <c r="I56" s="856"/>
      <c r="J56" s="856"/>
      <c r="K56" s="857"/>
      <c r="L56" s="858">
        <v>1</v>
      </c>
      <c r="M56" s="859">
        <v>2240</v>
      </c>
      <c r="N56" s="857"/>
      <c r="O56" s="858"/>
      <c r="P56" s="860"/>
    </row>
    <row r="57" spans="1:16" ht="25.5">
      <c r="A57" s="850" t="s">
        <v>1146</v>
      </c>
      <c r="B57" s="851" t="s">
        <v>1147</v>
      </c>
      <c r="C57" s="851" t="s">
        <v>96</v>
      </c>
      <c r="D57" s="852" t="s">
        <v>1199</v>
      </c>
      <c r="E57" s="853">
        <v>1800</v>
      </c>
      <c r="F57" s="854" t="s">
        <v>1288</v>
      </c>
      <c r="G57" s="855" t="s">
        <v>1289</v>
      </c>
      <c r="H57" s="856"/>
      <c r="I57" s="856"/>
      <c r="J57" s="856"/>
      <c r="K57" s="857"/>
      <c r="L57" s="858">
        <v>6</v>
      </c>
      <c r="M57" s="859">
        <v>10440</v>
      </c>
      <c r="N57" s="857"/>
      <c r="O57" s="858"/>
      <c r="P57" s="860"/>
    </row>
    <row r="58" spans="1:16" ht="12.75">
      <c r="A58" s="850" t="s">
        <v>1146</v>
      </c>
      <c r="B58" s="851" t="s">
        <v>1147</v>
      </c>
      <c r="C58" s="851" t="s">
        <v>96</v>
      </c>
      <c r="D58" s="864" t="s">
        <v>1290</v>
      </c>
      <c r="E58" s="853">
        <v>2400</v>
      </c>
      <c r="F58" s="854" t="s">
        <v>1291</v>
      </c>
      <c r="G58" s="855" t="s">
        <v>1292</v>
      </c>
      <c r="H58" s="856"/>
      <c r="I58" s="856"/>
      <c r="J58" s="856"/>
      <c r="K58" s="857"/>
      <c r="L58" s="858">
        <v>6</v>
      </c>
      <c r="M58" s="859">
        <v>16420</v>
      </c>
      <c r="N58" s="857"/>
      <c r="O58" s="858"/>
      <c r="P58" s="860"/>
    </row>
    <row r="59" spans="1:16" ht="51">
      <c r="A59" s="850" t="s">
        <v>1146</v>
      </c>
      <c r="B59" s="851" t="s">
        <v>1147</v>
      </c>
      <c r="C59" s="851" t="s">
        <v>96</v>
      </c>
      <c r="D59" s="852" t="s">
        <v>1293</v>
      </c>
      <c r="E59" s="853">
        <v>1700</v>
      </c>
      <c r="F59" s="861" t="s">
        <v>1294</v>
      </c>
      <c r="G59" s="862" t="s">
        <v>1295</v>
      </c>
      <c r="H59" s="856"/>
      <c r="I59" s="856"/>
      <c r="J59" s="856"/>
      <c r="K59" s="857"/>
      <c r="L59" s="858">
        <v>2</v>
      </c>
      <c r="M59" s="863">
        <v>2210</v>
      </c>
      <c r="N59" s="857"/>
      <c r="O59" s="858"/>
      <c r="P59" s="860"/>
    </row>
    <row r="60" spans="1:16" ht="25.5">
      <c r="A60" s="850" t="s">
        <v>1146</v>
      </c>
      <c r="B60" s="851" t="s">
        <v>1147</v>
      </c>
      <c r="C60" s="851" t="s">
        <v>96</v>
      </c>
      <c r="D60" s="864" t="s">
        <v>1296</v>
      </c>
      <c r="E60" s="853">
        <v>1700</v>
      </c>
      <c r="F60" s="854" t="s">
        <v>1297</v>
      </c>
      <c r="G60" s="855" t="s">
        <v>1298</v>
      </c>
      <c r="H60" s="856"/>
      <c r="I60" s="856"/>
      <c r="J60" s="856"/>
      <c r="K60" s="857"/>
      <c r="L60" s="858">
        <v>3</v>
      </c>
      <c r="M60" s="859">
        <v>4193.33</v>
      </c>
      <c r="N60" s="857"/>
      <c r="O60" s="858"/>
      <c r="P60" s="860"/>
    </row>
    <row r="61" spans="1:16" ht="63.75">
      <c r="A61" s="850" t="s">
        <v>1146</v>
      </c>
      <c r="B61" s="851" t="s">
        <v>1147</v>
      </c>
      <c r="C61" s="851" t="s">
        <v>96</v>
      </c>
      <c r="D61" s="852" t="s">
        <v>1299</v>
      </c>
      <c r="E61" s="853">
        <v>3000</v>
      </c>
      <c r="F61" s="854" t="s">
        <v>1300</v>
      </c>
      <c r="G61" s="855" t="s">
        <v>1301</v>
      </c>
      <c r="H61" s="856"/>
      <c r="I61" s="856"/>
      <c r="J61" s="856"/>
      <c r="K61" s="857"/>
      <c r="L61" s="858">
        <v>3</v>
      </c>
      <c r="M61" s="859">
        <v>11700</v>
      </c>
      <c r="N61" s="857"/>
      <c r="O61" s="858"/>
      <c r="P61" s="860"/>
    </row>
    <row r="62" spans="1:16" ht="38.25">
      <c r="A62" s="850" t="s">
        <v>1146</v>
      </c>
      <c r="B62" s="851" t="s">
        <v>1147</v>
      </c>
      <c r="C62" s="851" t="s">
        <v>96</v>
      </c>
      <c r="D62" s="852" t="s">
        <v>1302</v>
      </c>
      <c r="E62" s="853">
        <v>1700</v>
      </c>
      <c r="F62" s="854" t="s">
        <v>1303</v>
      </c>
      <c r="G62" s="855" t="s">
        <v>1304</v>
      </c>
      <c r="H62" s="856"/>
      <c r="I62" s="856"/>
      <c r="J62" s="856"/>
      <c r="K62" s="857"/>
      <c r="L62" s="858">
        <v>1</v>
      </c>
      <c r="M62" s="859">
        <v>2210</v>
      </c>
      <c r="N62" s="857"/>
      <c r="O62" s="858"/>
      <c r="P62" s="860"/>
    </row>
    <row r="63" spans="1:16" ht="51">
      <c r="A63" s="850" t="s">
        <v>1146</v>
      </c>
      <c r="B63" s="851" t="s">
        <v>1147</v>
      </c>
      <c r="C63" s="851" t="s">
        <v>96</v>
      </c>
      <c r="D63" s="852" t="s">
        <v>1305</v>
      </c>
      <c r="E63" s="853">
        <v>2100</v>
      </c>
      <c r="F63" s="854" t="s">
        <v>1306</v>
      </c>
      <c r="G63" s="855" t="s">
        <v>1307</v>
      </c>
      <c r="H63" s="856"/>
      <c r="I63" s="856"/>
      <c r="J63" s="856"/>
      <c r="K63" s="857"/>
      <c r="L63" s="858">
        <v>3</v>
      </c>
      <c r="M63" s="859">
        <v>5110</v>
      </c>
      <c r="N63" s="857"/>
      <c r="O63" s="858"/>
      <c r="P63" s="860"/>
    </row>
    <row r="64" spans="1:16" ht="25.5">
      <c r="A64" s="850" t="s">
        <v>1146</v>
      </c>
      <c r="B64" s="851" t="s">
        <v>1147</v>
      </c>
      <c r="C64" s="851" t="s">
        <v>96</v>
      </c>
      <c r="D64" s="864" t="s">
        <v>1308</v>
      </c>
      <c r="E64" s="853">
        <v>2100</v>
      </c>
      <c r="F64" s="854" t="s">
        <v>1309</v>
      </c>
      <c r="G64" s="855" t="s">
        <v>1310</v>
      </c>
      <c r="H64" s="856"/>
      <c r="I64" s="856"/>
      <c r="J64" s="856"/>
      <c r="K64" s="857"/>
      <c r="L64" s="858">
        <v>1</v>
      </c>
      <c r="M64" s="859">
        <v>1960</v>
      </c>
      <c r="N64" s="857"/>
      <c r="O64" s="858"/>
      <c r="P64" s="860"/>
    </row>
    <row r="65" spans="1:16" ht="12.75">
      <c r="A65" s="850" t="s">
        <v>1146</v>
      </c>
      <c r="B65" s="851" t="s">
        <v>1147</v>
      </c>
      <c r="C65" s="851" t="s">
        <v>96</v>
      </c>
      <c r="D65" s="851" t="s">
        <v>1311</v>
      </c>
      <c r="E65" s="853">
        <v>1500</v>
      </c>
      <c r="F65" s="854" t="s">
        <v>1312</v>
      </c>
      <c r="G65" s="855" t="s">
        <v>1313</v>
      </c>
      <c r="H65" s="856"/>
      <c r="I65" s="856"/>
      <c r="J65" s="856"/>
      <c r="K65" s="857"/>
      <c r="L65" s="858">
        <v>5</v>
      </c>
      <c r="M65" s="859">
        <v>6750</v>
      </c>
      <c r="N65" s="857"/>
      <c r="O65" s="858"/>
      <c r="P65" s="860"/>
    </row>
    <row r="66" spans="1:16" ht="25.5">
      <c r="A66" s="850" t="s">
        <v>1146</v>
      </c>
      <c r="B66" s="851" t="s">
        <v>1147</v>
      </c>
      <c r="C66" s="851" t="s">
        <v>96</v>
      </c>
      <c r="D66" s="864" t="s">
        <v>1314</v>
      </c>
      <c r="E66" s="853">
        <v>3000</v>
      </c>
      <c r="F66" s="854" t="s">
        <v>1315</v>
      </c>
      <c r="G66" s="855" t="s">
        <v>1316</v>
      </c>
      <c r="H66" s="856"/>
      <c r="I66" s="856"/>
      <c r="J66" s="856"/>
      <c r="K66" s="857"/>
      <c r="L66" s="858">
        <v>6</v>
      </c>
      <c r="M66" s="859">
        <v>17700</v>
      </c>
      <c r="N66" s="857"/>
      <c r="O66" s="858"/>
      <c r="P66" s="860"/>
    </row>
    <row r="67" spans="1:16" ht="38.25">
      <c r="A67" s="850" t="s">
        <v>1146</v>
      </c>
      <c r="B67" s="851" t="s">
        <v>1147</v>
      </c>
      <c r="C67" s="851" t="s">
        <v>96</v>
      </c>
      <c r="D67" s="864" t="s">
        <v>1231</v>
      </c>
      <c r="E67" s="853">
        <v>1400</v>
      </c>
      <c r="F67" s="854" t="s">
        <v>1317</v>
      </c>
      <c r="G67" s="855" t="s">
        <v>1318</v>
      </c>
      <c r="H67" s="856"/>
      <c r="I67" s="856"/>
      <c r="J67" s="856"/>
      <c r="K67" s="857"/>
      <c r="L67" s="858">
        <v>1</v>
      </c>
      <c r="M67" s="859">
        <v>1820</v>
      </c>
      <c r="N67" s="857"/>
      <c r="O67" s="858"/>
      <c r="P67" s="860"/>
    </row>
    <row r="68" spans="1:16" ht="25.5">
      <c r="A68" s="850" t="s">
        <v>1146</v>
      </c>
      <c r="B68" s="851" t="s">
        <v>1147</v>
      </c>
      <c r="C68" s="851" t="s">
        <v>96</v>
      </c>
      <c r="D68" s="864" t="s">
        <v>1319</v>
      </c>
      <c r="E68" s="853">
        <v>1100</v>
      </c>
      <c r="F68" s="854" t="s">
        <v>1320</v>
      </c>
      <c r="G68" s="855" t="s">
        <v>1321</v>
      </c>
      <c r="H68" s="856"/>
      <c r="I68" s="856"/>
      <c r="J68" s="856"/>
      <c r="K68" s="857"/>
      <c r="L68" s="858">
        <v>1</v>
      </c>
      <c r="M68" s="859">
        <v>1430</v>
      </c>
      <c r="N68" s="857"/>
      <c r="O68" s="858"/>
      <c r="P68" s="860"/>
    </row>
    <row r="69" spans="1:16" ht="25.5">
      <c r="A69" s="850" t="s">
        <v>1146</v>
      </c>
      <c r="B69" s="851" t="s">
        <v>1147</v>
      </c>
      <c r="C69" s="851" t="s">
        <v>96</v>
      </c>
      <c r="D69" s="852" t="s">
        <v>1322</v>
      </c>
      <c r="E69" s="853">
        <v>2100</v>
      </c>
      <c r="F69" s="854" t="s">
        <v>1323</v>
      </c>
      <c r="G69" s="855" t="s">
        <v>1324</v>
      </c>
      <c r="H69" s="856"/>
      <c r="I69" s="856"/>
      <c r="J69" s="856"/>
      <c r="K69" s="857"/>
      <c r="L69" s="858">
        <v>1</v>
      </c>
      <c r="M69" s="859">
        <v>2730</v>
      </c>
      <c r="N69" s="857"/>
      <c r="O69" s="858"/>
      <c r="P69" s="860"/>
    </row>
    <row r="70" spans="1:16" ht="12.75">
      <c r="A70" s="850" t="s">
        <v>1146</v>
      </c>
      <c r="B70" s="851" t="s">
        <v>1147</v>
      </c>
      <c r="C70" s="851" t="s">
        <v>96</v>
      </c>
      <c r="D70" s="864" t="s">
        <v>1325</v>
      </c>
      <c r="E70" s="853">
        <v>2100</v>
      </c>
      <c r="F70" s="854" t="s">
        <v>1326</v>
      </c>
      <c r="G70" s="855" t="s">
        <v>1327</v>
      </c>
      <c r="H70" s="856"/>
      <c r="I70" s="856"/>
      <c r="J70" s="856"/>
      <c r="K70" s="857"/>
      <c r="L70" s="858">
        <v>3</v>
      </c>
      <c r="M70" s="859">
        <v>4830</v>
      </c>
      <c r="N70" s="857"/>
      <c r="O70" s="858"/>
      <c r="P70" s="860"/>
    </row>
    <row r="71" spans="1:16" ht="12.75">
      <c r="A71" s="850" t="s">
        <v>1146</v>
      </c>
      <c r="B71" s="851" t="s">
        <v>1147</v>
      </c>
      <c r="C71" s="851" t="s">
        <v>96</v>
      </c>
      <c r="D71" s="852" t="s">
        <v>1193</v>
      </c>
      <c r="E71" s="853">
        <v>1400</v>
      </c>
      <c r="F71" s="854" t="s">
        <v>1328</v>
      </c>
      <c r="G71" s="855" t="s">
        <v>1329</v>
      </c>
      <c r="H71" s="856"/>
      <c r="I71" s="856"/>
      <c r="J71" s="856"/>
      <c r="K71" s="857"/>
      <c r="L71" s="858">
        <v>3</v>
      </c>
      <c r="M71" s="859">
        <v>3453.33</v>
      </c>
      <c r="N71" s="857"/>
      <c r="O71" s="858"/>
      <c r="P71" s="860"/>
    </row>
    <row r="72" spans="1:16" ht="38.25">
      <c r="A72" s="850" t="s">
        <v>1146</v>
      </c>
      <c r="B72" s="851" t="s">
        <v>1147</v>
      </c>
      <c r="C72" s="851" t="s">
        <v>96</v>
      </c>
      <c r="D72" s="852" t="s">
        <v>1231</v>
      </c>
      <c r="E72" s="853">
        <v>1400</v>
      </c>
      <c r="F72" s="854" t="s">
        <v>1330</v>
      </c>
      <c r="G72" s="855" t="s">
        <v>1331</v>
      </c>
      <c r="H72" s="856"/>
      <c r="I72" s="856"/>
      <c r="J72" s="856"/>
      <c r="K72" s="857"/>
      <c r="L72" s="858">
        <v>1</v>
      </c>
      <c r="M72" s="859">
        <v>1306.67</v>
      </c>
      <c r="N72" s="857"/>
      <c r="O72" s="858"/>
      <c r="P72" s="860"/>
    </row>
    <row r="73" spans="1:16" ht="12.75">
      <c r="A73" s="850" t="s">
        <v>1146</v>
      </c>
      <c r="B73" s="851" t="s">
        <v>1147</v>
      </c>
      <c r="C73" s="851" t="s">
        <v>96</v>
      </c>
      <c r="D73" s="864" t="s">
        <v>1332</v>
      </c>
      <c r="E73" s="853">
        <v>1800</v>
      </c>
      <c r="F73" s="854" t="s">
        <v>1333</v>
      </c>
      <c r="G73" s="855" t="s">
        <v>1334</v>
      </c>
      <c r="H73" s="856"/>
      <c r="I73" s="856"/>
      <c r="J73" s="856"/>
      <c r="K73" s="857"/>
      <c r="L73" s="858">
        <v>3</v>
      </c>
      <c r="M73" s="859">
        <v>5340</v>
      </c>
      <c r="N73" s="857"/>
      <c r="O73" s="858"/>
      <c r="P73" s="860"/>
    </row>
    <row r="74" spans="1:16" ht="51">
      <c r="A74" s="850" t="s">
        <v>1146</v>
      </c>
      <c r="B74" s="851" t="s">
        <v>1147</v>
      </c>
      <c r="C74" s="851" t="s">
        <v>96</v>
      </c>
      <c r="D74" s="864" t="s">
        <v>1305</v>
      </c>
      <c r="E74" s="853">
        <v>2100</v>
      </c>
      <c r="F74" s="854" t="s">
        <v>1335</v>
      </c>
      <c r="G74" s="855" t="s">
        <v>1336</v>
      </c>
      <c r="H74" s="856"/>
      <c r="I74" s="856"/>
      <c r="J74" s="856"/>
      <c r="K74" s="857"/>
      <c r="L74" s="858">
        <v>1</v>
      </c>
      <c r="M74" s="859">
        <v>2520</v>
      </c>
      <c r="N74" s="857"/>
      <c r="O74" s="858"/>
      <c r="P74" s="860"/>
    </row>
    <row r="75" spans="1:16" ht="63.75">
      <c r="A75" s="850" t="s">
        <v>1146</v>
      </c>
      <c r="B75" s="851" t="s">
        <v>1147</v>
      </c>
      <c r="C75" s="851" t="s">
        <v>96</v>
      </c>
      <c r="D75" s="852" t="s">
        <v>1337</v>
      </c>
      <c r="E75" s="853">
        <v>1100</v>
      </c>
      <c r="F75" s="854" t="s">
        <v>1338</v>
      </c>
      <c r="G75" s="855" t="s">
        <v>1339</v>
      </c>
      <c r="H75" s="856"/>
      <c r="I75" s="856"/>
      <c r="J75" s="856"/>
      <c r="K75" s="857"/>
      <c r="L75" s="858">
        <v>1</v>
      </c>
      <c r="M75" s="859">
        <v>1430</v>
      </c>
      <c r="N75" s="857"/>
      <c r="O75" s="858"/>
      <c r="P75" s="860"/>
    </row>
    <row r="76" spans="1:16" ht="12.75">
      <c r="A76" s="850" t="s">
        <v>1146</v>
      </c>
      <c r="B76" s="851" t="s">
        <v>1147</v>
      </c>
      <c r="C76" s="851" t="s">
        <v>96</v>
      </c>
      <c r="D76" s="852" t="s">
        <v>1193</v>
      </c>
      <c r="E76" s="853">
        <v>1400</v>
      </c>
      <c r="F76" s="854" t="s">
        <v>1340</v>
      </c>
      <c r="G76" s="855" t="s">
        <v>1341</v>
      </c>
      <c r="H76" s="856"/>
      <c r="I76" s="856"/>
      <c r="J76" s="856"/>
      <c r="K76" s="857"/>
      <c r="L76" s="858">
        <v>3</v>
      </c>
      <c r="M76" s="859">
        <v>2706.66</v>
      </c>
      <c r="N76" s="857"/>
      <c r="O76" s="858"/>
      <c r="P76" s="860"/>
    </row>
    <row r="77" spans="1:16" ht="38.25">
      <c r="A77" s="850" t="s">
        <v>1146</v>
      </c>
      <c r="B77" s="851" t="s">
        <v>1147</v>
      </c>
      <c r="C77" s="851" t="s">
        <v>96</v>
      </c>
      <c r="D77" s="864" t="s">
        <v>1302</v>
      </c>
      <c r="E77" s="853">
        <v>1700</v>
      </c>
      <c r="F77" s="854" t="s">
        <v>1342</v>
      </c>
      <c r="G77" s="855" t="s">
        <v>1343</v>
      </c>
      <c r="H77" s="856"/>
      <c r="I77" s="856"/>
      <c r="J77" s="856"/>
      <c r="K77" s="857"/>
      <c r="L77" s="858">
        <v>3</v>
      </c>
      <c r="M77" s="859">
        <v>4193.33</v>
      </c>
      <c r="N77" s="857"/>
      <c r="O77" s="858"/>
      <c r="P77" s="860"/>
    </row>
    <row r="78" spans="1:16" ht="51">
      <c r="A78" s="850" t="s">
        <v>1146</v>
      </c>
      <c r="B78" s="851" t="s">
        <v>1147</v>
      </c>
      <c r="C78" s="851" t="s">
        <v>96</v>
      </c>
      <c r="D78" s="852" t="s">
        <v>1282</v>
      </c>
      <c r="E78" s="853">
        <v>1100</v>
      </c>
      <c r="F78" s="854" t="s">
        <v>1344</v>
      </c>
      <c r="G78" s="855" t="s">
        <v>1345</v>
      </c>
      <c r="H78" s="856"/>
      <c r="I78" s="856"/>
      <c r="J78" s="856"/>
      <c r="K78" s="857"/>
      <c r="L78" s="858">
        <v>3</v>
      </c>
      <c r="M78" s="859">
        <v>2713.33</v>
      </c>
      <c r="N78" s="857"/>
      <c r="O78" s="858"/>
      <c r="P78" s="860"/>
    </row>
    <row r="79" spans="1:16" ht="38.25">
      <c r="A79" s="850" t="s">
        <v>1146</v>
      </c>
      <c r="B79" s="851" t="s">
        <v>1147</v>
      </c>
      <c r="C79" s="851" t="s">
        <v>96</v>
      </c>
      <c r="D79" s="852" t="s">
        <v>1346</v>
      </c>
      <c r="E79" s="853">
        <v>1200</v>
      </c>
      <c r="F79" s="854" t="s">
        <v>1347</v>
      </c>
      <c r="G79" s="855" t="s">
        <v>1348</v>
      </c>
      <c r="H79" s="856"/>
      <c r="I79" s="856"/>
      <c r="J79" s="856"/>
      <c r="K79" s="857"/>
      <c r="L79" s="858">
        <v>1</v>
      </c>
      <c r="M79" s="859">
        <v>1560</v>
      </c>
      <c r="N79" s="857"/>
      <c r="O79" s="858"/>
      <c r="P79" s="860"/>
    </row>
    <row r="80" spans="1:16" ht="38.25">
      <c r="A80" s="850" t="s">
        <v>1146</v>
      </c>
      <c r="B80" s="851" t="s">
        <v>1147</v>
      </c>
      <c r="C80" s="851" t="s">
        <v>96</v>
      </c>
      <c r="D80" s="852" t="s">
        <v>1349</v>
      </c>
      <c r="E80" s="853">
        <v>1350</v>
      </c>
      <c r="F80" s="854" t="s">
        <v>1350</v>
      </c>
      <c r="G80" s="855" t="s">
        <v>1351</v>
      </c>
      <c r="H80" s="856"/>
      <c r="I80" s="856"/>
      <c r="J80" s="856"/>
      <c r="K80" s="857"/>
      <c r="L80" s="858">
        <v>3</v>
      </c>
      <c r="M80" s="859">
        <v>3330</v>
      </c>
      <c r="N80" s="857"/>
      <c r="O80" s="858"/>
      <c r="P80" s="860"/>
    </row>
    <row r="81" spans="1:16" ht="12.75">
      <c r="A81" s="850" t="s">
        <v>1146</v>
      </c>
      <c r="B81" s="851" t="s">
        <v>1147</v>
      </c>
      <c r="C81" s="851" t="s">
        <v>96</v>
      </c>
      <c r="D81" s="852" t="s">
        <v>1193</v>
      </c>
      <c r="E81" s="853">
        <v>1400</v>
      </c>
      <c r="F81" s="854" t="s">
        <v>1352</v>
      </c>
      <c r="G81" s="855" t="s">
        <v>1353</v>
      </c>
      <c r="H81" s="856"/>
      <c r="I81" s="856"/>
      <c r="J81" s="856"/>
      <c r="K81" s="857"/>
      <c r="L81" s="858">
        <v>1</v>
      </c>
      <c r="M81" s="859">
        <v>1820</v>
      </c>
      <c r="N81" s="857"/>
      <c r="O81" s="858"/>
      <c r="P81" s="860"/>
    </row>
    <row r="82" spans="1:16" ht="38.25">
      <c r="A82" s="850" t="s">
        <v>1146</v>
      </c>
      <c r="B82" s="851" t="s">
        <v>1147</v>
      </c>
      <c r="C82" s="851" t="s">
        <v>96</v>
      </c>
      <c r="D82" s="852" t="s">
        <v>1204</v>
      </c>
      <c r="E82" s="853">
        <v>1400</v>
      </c>
      <c r="F82" s="854" t="s">
        <v>1354</v>
      </c>
      <c r="G82" s="855" t="s">
        <v>1355</v>
      </c>
      <c r="H82" s="856"/>
      <c r="I82" s="856"/>
      <c r="J82" s="856"/>
      <c r="K82" s="857"/>
      <c r="L82" s="858">
        <v>6</v>
      </c>
      <c r="M82" s="859">
        <v>8753.33</v>
      </c>
      <c r="N82" s="857"/>
      <c r="O82" s="858"/>
      <c r="P82" s="860"/>
    </row>
    <row r="83" spans="1:16" ht="12.75">
      <c r="A83" s="850" t="s">
        <v>1146</v>
      </c>
      <c r="B83" s="851" t="s">
        <v>1147</v>
      </c>
      <c r="C83" s="851" t="s">
        <v>96</v>
      </c>
      <c r="D83" s="852" t="s">
        <v>1193</v>
      </c>
      <c r="E83" s="853">
        <v>1400</v>
      </c>
      <c r="F83" s="854" t="s">
        <v>1356</v>
      </c>
      <c r="G83" s="855" t="s">
        <v>1357</v>
      </c>
      <c r="H83" s="856"/>
      <c r="I83" s="856"/>
      <c r="J83" s="856"/>
      <c r="K83" s="857"/>
      <c r="L83" s="858">
        <v>3</v>
      </c>
      <c r="M83" s="859">
        <v>3453.33</v>
      </c>
      <c r="N83" s="857"/>
      <c r="O83" s="858"/>
      <c r="P83" s="860"/>
    </row>
    <row r="84" spans="1:16" ht="38.25">
      <c r="A84" s="850" t="s">
        <v>1146</v>
      </c>
      <c r="B84" s="851" t="s">
        <v>1147</v>
      </c>
      <c r="C84" s="851" t="s">
        <v>96</v>
      </c>
      <c r="D84" s="864" t="s">
        <v>1358</v>
      </c>
      <c r="E84" s="853">
        <v>1100</v>
      </c>
      <c r="F84" s="861" t="s">
        <v>1359</v>
      </c>
      <c r="G84" s="862" t="s">
        <v>1360</v>
      </c>
      <c r="H84" s="856"/>
      <c r="I84" s="856"/>
      <c r="J84" s="856"/>
      <c r="K84" s="857"/>
      <c r="L84" s="858">
        <v>6</v>
      </c>
      <c r="M84" s="863">
        <v>6563.33</v>
      </c>
      <c r="N84" s="857"/>
      <c r="O84" s="858"/>
      <c r="P84" s="860"/>
    </row>
    <row r="85" spans="1:16" ht="25.5">
      <c r="A85" s="850" t="s">
        <v>1146</v>
      </c>
      <c r="B85" s="851" t="s">
        <v>1147</v>
      </c>
      <c r="C85" s="851" t="s">
        <v>96</v>
      </c>
      <c r="D85" s="852" t="s">
        <v>1361</v>
      </c>
      <c r="E85" s="853">
        <v>1500</v>
      </c>
      <c r="F85" s="854" t="s">
        <v>1362</v>
      </c>
      <c r="G85" s="855" t="s">
        <v>1363</v>
      </c>
      <c r="H85" s="856"/>
      <c r="I85" s="856"/>
      <c r="J85" s="856"/>
      <c r="K85" s="857"/>
      <c r="L85" s="858">
        <v>5</v>
      </c>
      <c r="M85" s="859">
        <v>6750</v>
      </c>
      <c r="N85" s="857"/>
      <c r="O85" s="858"/>
      <c r="P85" s="860"/>
    </row>
    <row r="86" spans="1:16" ht="12.75">
      <c r="A86" s="850" t="s">
        <v>1146</v>
      </c>
      <c r="B86" s="851" t="s">
        <v>1147</v>
      </c>
      <c r="C86" s="851" t="s">
        <v>96</v>
      </c>
      <c r="D86" s="852" t="s">
        <v>1364</v>
      </c>
      <c r="E86" s="853">
        <v>1900</v>
      </c>
      <c r="F86" s="854" t="s">
        <v>1365</v>
      </c>
      <c r="G86" s="855" t="s">
        <v>1366</v>
      </c>
      <c r="H86" s="856"/>
      <c r="I86" s="856"/>
      <c r="J86" s="856"/>
      <c r="K86" s="857"/>
      <c r="L86" s="858">
        <v>3</v>
      </c>
      <c r="M86" s="859">
        <v>4623.34</v>
      </c>
      <c r="N86" s="857"/>
      <c r="O86" s="858"/>
      <c r="P86" s="860"/>
    </row>
    <row r="87" spans="1:16" ht="51">
      <c r="A87" s="850" t="s">
        <v>1146</v>
      </c>
      <c r="B87" s="851" t="s">
        <v>1147</v>
      </c>
      <c r="C87" s="851" t="s">
        <v>96</v>
      </c>
      <c r="D87" s="864" t="s">
        <v>1367</v>
      </c>
      <c r="E87" s="853">
        <v>1200</v>
      </c>
      <c r="F87" s="854" t="s">
        <v>1368</v>
      </c>
      <c r="G87" s="855" t="s">
        <v>1369</v>
      </c>
      <c r="H87" s="856"/>
      <c r="I87" s="856"/>
      <c r="J87" s="856"/>
      <c r="K87" s="857"/>
      <c r="L87" s="858">
        <v>2</v>
      </c>
      <c r="M87" s="859">
        <v>2400</v>
      </c>
      <c r="N87" s="857"/>
      <c r="O87" s="858"/>
      <c r="P87" s="860"/>
    </row>
    <row r="88" spans="1:16" ht="25.5">
      <c r="A88" s="850" t="s">
        <v>1146</v>
      </c>
      <c r="B88" s="851" t="s">
        <v>1147</v>
      </c>
      <c r="C88" s="851" t="s">
        <v>96</v>
      </c>
      <c r="D88" s="852" t="s">
        <v>1370</v>
      </c>
      <c r="E88" s="853">
        <v>3500</v>
      </c>
      <c r="F88" s="854" t="s">
        <v>1371</v>
      </c>
      <c r="G88" s="855" t="s">
        <v>1372</v>
      </c>
      <c r="H88" s="856"/>
      <c r="I88" s="856"/>
      <c r="J88" s="856"/>
      <c r="K88" s="857"/>
      <c r="L88" s="858">
        <v>6</v>
      </c>
      <c r="M88" s="859">
        <v>21000</v>
      </c>
      <c r="N88" s="857"/>
      <c r="O88" s="858"/>
      <c r="P88" s="860"/>
    </row>
    <row r="89" spans="1:16" ht="38.25">
      <c r="A89" s="850" t="s">
        <v>1146</v>
      </c>
      <c r="B89" s="851" t="s">
        <v>1147</v>
      </c>
      <c r="C89" s="851" t="s">
        <v>96</v>
      </c>
      <c r="D89" s="852" t="s">
        <v>1302</v>
      </c>
      <c r="E89" s="853">
        <v>1700</v>
      </c>
      <c r="F89" s="854" t="s">
        <v>1373</v>
      </c>
      <c r="G89" s="855" t="s">
        <v>1374</v>
      </c>
      <c r="H89" s="856"/>
      <c r="I89" s="856"/>
      <c r="J89" s="856"/>
      <c r="K89" s="857"/>
      <c r="L89" s="858">
        <v>1</v>
      </c>
      <c r="M89" s="859">
        <v>1586.67</v>
      </c>
      <c r="N89" s="857"/>
      <c r="O89" s="858"/>
      <c r="P89" s="860"/>
    </row>
    <row r="90" spans="1:16" ht="38.25">
      <c r="A90" s="850" t="s">
        <v>1146</v>
      </c>
      <c r="B90" s="851" t="s">
        <v>1147</v>
      </c>
      <c r="C90" s="851" t="s">
        <v>96</v>
      </c>
      <c r="D90" s="852" t="s">
        <v>1302</v>
      </c>
      <c r="E90" s="853">
        <v>1700</v>
      </c>
      <c r="F90" s="854" t="s">
        <v>1375</v>
      </c>
      <c r="G90" s="855" t="s">
        <v>1376</v>
      </c>
      <c r="H90" s="856"/>
      <c r="I90" s="856"/>
      <c r="J90" s="856"/>
      <c r="K90" s="857"/>
      <c r="L90" s="858">
        <v>3</v>
      </c>
      <c r="M90" s="859">
        <v>4193.33</v>
      </c>
      <c r="N90" s="857"/>
      <c r="O90" s="858"/>
      <c r="P90" s="860"/>
    </row>
    <row r="91" spans="1:16" ht="38.25">
      <c r="A91" s="850" t="s">
        <v>1146</v>
      </c>
      <c r="B91" s="851" t="s">
        <v>1147</v>
      </c>
      <c r="C91" s="851" t="s">
        <v>96</v>
      </c>
      <c r="D91" s="852" t="s">
        <v>1377</v>
      </c>
      <c r="E91" s="853">
        <v>1100</v>
      </c>
      <c r="F91" s="854" t="s">
        <v>1378</v>
      </c>
      <c r="G91" s="855" t="s">
        <v>1379</v>
      </c>
      <c r="H91" s="856"/>
      <c r="I91" s="856"/>
      <c r="J91" s="856"/>
      <c r="K91" s="857"/>
      <c r="L91" s="858">
        <v>3</v>
      </c>
      <c r="M91" s="859">
        <v>2676.66</v>
      </c>
      <c r="N91" s="857"/>
      <c r="O91" s="858"/>
      <c r="P91" s="860"/>
    </row>
    <row r="92" spans="1:16" ht="51">
      <c r="A92" s="850" t="s">
        <v>1146</v>
      </c>
      <c r="B92" s="851" t="s">
        <v>1147</v>
      </c>
      <c r="C92" s="851" t="s">
        <v>96</v>
      </c>
      <c r="D92" s="852" t="s">
        <v>1380</v>
      </c>
      <c r="E92" s="853">
        <v>2100</v>
      </c>
      <c r="F92" s="854" t="s">
        <v>1381</v>
      </c>
      <c r="G92" s="855" t="s">
        <v>1382</v>
      </c>
      <c r="H92" s="856"/>
      <c r="I92" s="856"/>
      <c r="J92" s="856"/>
      <c r="K92" s="857"/>
      <c r="L92" s="858">
        <v>1</v>
      </c>
      <c r="M92" s="859">
        <v>1866.67</v>
      </c>
      <c r="N92" s="857"/>
      <c r="O92" s="858"/>
      <c r="P92" s="860"/>
    </row>
    <row r="93" spans="1:16" ht="38.25">
      <c r="A93" s="850" t="s">
        <v>1146</v>
      </c>
      <c r="B93" s="851" t="s">
        <v>1147</v>
      </c>
      <c r="C93" s="851" t="s">
        <v>96</v>
      </c>
      <c r="D93" s="852" t="s">
        <v>1383</v>
      </c>
      <c r="E93" s="853">
        <v>2400</v>
      </c>
      <c r="F93" s="854" t="s">
        <v>1384</v>
      </c>
      <c r="G93" s="855" t="s">
        <v>1385</v>
      </c>
      <c r="H93" s="856"/>
      <c r="I93" s="856"/>
      <c r="J93" s="856"/>
      <c r="K93" s="857"/>
      <c r="L93" s="858">
        <v>1</v>
      </c>
      <c r="M93" s="859">
        <v>3120</v>
      </c>
      <c r="N93" s="857"/>
      <c r="O93" s="858"/>
      <c r="P93" s="860"/>
    </row>
    <row r="94" spans="1:16" ht="12.75">
      <c r="A94" s="850" t="s">
        <v>1146</v>
      </c>
      <c r="B94" s="851" t="s">
        <v>1147</v>
      </c>
      <c r="C94" s="851" t="s">
        <v>96</v>
      </c>
      <c r="D94" s="851" t="s">
        <v>1386</v>
      </c>
      <c r="E94" s="853">
        <v>4500</v>
      </c>
      <c r="F94" s="854" t="s">
        <v>1387</v>
      </c>
      <c r="G94" s="855" t="s">
        <v>1388</v>
      </c>
      <c r="H94" s="856"/>
      <c r="I94" s="856"/>
      <c r="J94" s="856"/>
      <c r="K94" s="857"/>
      <c r="L94" s="858">
        <v>5</v>
      </c>
      <c r="M94" s="859">
        <v>20250</v>
      </c>
      <c r="N94" s="857"/>
      <c r="O94" s="858"/>
      <c r="P94" s="860"/>
    </row>
    <row r="95" spans="1:16" ht="12.75">
      <c r="A95" s="850" t="s">
        <v>1146</v>
      </c>
      <c r="B95" s="851" t="s">
        <v>1147</v>
      </c>
      <c r="C95" s="851" t="s">
        <v>96</v>
      </c>
      <c r="D95" s="852" t="s">
        <v>1389</v>
      </c>
      <c r="E95" s="853">
        <v>2000</v>
      </c>
      <c r="F95" s="854" t="s">
        <v>1390</v>
      </c>
      <c r="G95" s="855" t="s">
        <v>1391</v>
      </c>
      <c r="H95" s="856"/>
      <c r="I95" s="856"/>
      <c r="J95" s="856"/>
      <c r="K95" s="857"/>
      <c r="L95" s="858">
        <v>1</v>
      </c>
      <c r="M95" s="859">
        <v>800</v>
      </c>
      <c r="N95" s="857"/>
      <c r="O95" s="858"/>
      <c r="P95" s="860"/>
    </row>
    <row r="96" spans="1:16" ht="38.25">
      <c r="A96" s="850" t="s">
        <v>1146</v>
      </c>
      <c r="B96" s="851" t="s">
        <v>1147</v>
      </c>
      <c r="C96" s="851" t="s">
        <v>96</v>
      </c>
      <c r="D96" s="852" t="s">
        <v>1204</v>
      </c>
      <c r="E96" s="853">
        <v>1500</v>
      </c>
      <c r="F96" s="854" t="s">
        <v>1392</v>
      </c>
      <c r="G96" s="855" t="s">
        <v>1393</v>
      </c>
      <c r="H96" s="856"/>
      <c r="I96" s="856"/>
      <c r="J96" s="856"/>
      <c r="K96" s="857"/>
      <c r="L96" s="858">
        <v>6</v>
      </c>
      <c r="M96" s="859">
        <v>8866.67</v>
      </c>
      <c r="N96" s="857"/>
      <c r="O96" s="858"/>
      <c r="P96" s="860"/>
    </row>
    <row r="97" spans="1:16" ht="12.75">
      <c r="A97" s="850" t="s">
        <v>1146</v>
      </c>
      <c r="B97" s="851" t="s">
        <v>1147</v>
      </c>
      <c r="C97" s="851" t="s">
        <v>96</v>
      </c>
      <c r="D97" s="864" t="s">
        <v>1193</v>
      </c>
      <c r="E97" s="853">
        <v>1400</v>
      </c>
      <c r="F97" s="854" t="s">
        <v>1394</v>
      </c>
      <c r="G97" s="855" t="s">
        <v>1395</v>
      </c>
      <c r="H97" s="856"/>
      <c r="I97" s="856"/>
      <c r="J97" s="856"/>
      <c r="K97" s="857"/>
      <c r="L97" s="858">
        <v>1</v>
      </c>
      <c r="M97" s="859">
        <v>1773.33</v>
      </c>
      <c r="N97" s="857"/>
      <c r="O97" s="858"/>
      <c r="P97" s="860"/>
    </row>
    <row r="98" spans="1:16" ht="38.25">
      <c r="A98" s="850" t="s">
        <v>1146</v>
      </c>
      <c r="B98" s="851" t="s">
        <v>1147</v>
      </c>
      <c r="C98" s="851" t="s">
        <v>96</v>
      </c>
      <c r="D98" s="852" t="s">
        <v>1396</v>
      </c>
      <c r="E98" s="853">
        <v>1200</v>
      </c>
      <c r="F98" s="861" t="s">
        <v>1397</v>
      </c>
      <c r="G98" s="862" t="s">
        <v>1398</v>
      </c>
      <c r="H98" s="856"/>
      <c r="I98" s="856"/>
      <c r="J98" s="856"/>
      <c r="K98" s="857"/>
      <c r="L98" s="858">
        <v>6</v>
      </c>
      <c r="M98" s="863">
        <v>6906.67</v>
      </c>
      <c r="N98" s="857"/>
      <c r="O98" s="858"/>
      <c r="P98" s="860"/>
    </row>
    <row r="99" spans="1:16" ht="38.25">
      <c r="A99" s="850" t="s">
        <v>1146</v>
      </c>
      <c r="B99" s="851" t="s">
        <v>1147</v>
      </c>
      <c r="C99" s="851" t="s">
        <v>96</v>
      </c>
      <c r="D99" s="852" t="s">
        <v>1399</v>
      </c>
      <c r="E99" s="853">
        <v>1700</v>
      </c>
      <c r="F99" s="854" t="s">
        <v>1400</v>
      </c>
      <c r="G99" s="855" t="s">
        <v>1401</v>
      </c>
      <c r="H99" s="856"/>
      <c r="I99" s="856"/>
      <c r="J99" s="856"/>
      <c r="K99" s="857"/>
      <c r="L99" s="858">
        <v>3</v>
      </c>
      <c r="M99" s="859">
        <v>4136.66</v>
      </c>
      <c r="N99" s="857"/>
      <c r="O99" s="858"/>
      <c r="P99" s="860"/>
    </row>
    <row r="100" spans="1:16" ht="12.75">
      <c r="A100" s="850" t="s">
        <v>1146</v>
      </c>
      <c r="B100" s="851" t="s">
        <v>1147</v>
      </c>
      <c r="C100" s="851" t="s">
        <v>96</v>
      </c>
      <c r="D100" s="852" t="s">
        <v>1193</v>
      </c>
      <c r="E100" s="853">
        <v>1400</v>
      </c>
      <c r="F100" s="854" t="s">
        <v>1402</v>
      </c>
      <c r="G100" s="855" t="s">
        <v>1403</v>
      </c>
      <c r="H100" s="856"/>
      <c r="I100" s="856"/>
      <c r="J100" s="856"/>
      <c r="K100" s="857"/>
      <c r="L100" s="858">
        <v>1</v>
      </c>
      <c r="M100" s="859">
        <v>1680</v>
      </c>
      <c r="N100" s="857"/>
      <c r="O100" s="858"/>
      <c r="P100" s="860"/>
    </row>
    <row r="101" spans="1:16" ht="51">
      <c r="A101" s="850" t="s">
        <v>1146</v>
      </c>
      <c r="B101" s="851" t="s">
        <v>1147</v>
      </c>
      <c r="C101" s="851" t="s">
        <v>96</v>
      </c>
      <c r="D101" s="852" t="s">
        <v>1305</v>
      </c>
      <c r="E101" s="853">
        <v>2100</v>
      </c>
      <c r="F101" s="854" t="s">
        <v>1404</v>
      </c>
      <c r="G101" s="855" t="s">
        <v>1405</v>
      </c>
      <c r="H101" s="856"/>
      <c r="I101" s="856"/>
      <c r="J101" s="856"/>
      <c r="K101" s="857"/>
      <c r="L101" s="858">
        <v>3</v>
      </c>
      <c r="M101" s="859">
        <v>5180</v>
      </c>
      <c r="N101" s="857"/>
      <c r="O101" s="858"/>
      <c r="P101" s="860"/>
    </row>
    <row r="102" spans="1:16" ht="25.5">
      <c r="A102" s="850" t="s">
        <v>1146</v>
      </c>
      <c r="B102" s="851" t="s">
        <v>1147</v>
      </c>
      <c r="C102" s="851" t="s">
        <v>96</v>
      </c>
      <c r="D102" s="864" t="s">
        <v>1406</v>
      </c>
      <c r="E102" s="853">
        <v>1700</v>
      </c>
      <c r="F102" s="854" t="s">
        <v>1407</v>
      </c>
      <c r="G102" s="855" t="s">
        <v>1408</v>
      </c>
      <c r="H102" s="856"/>
      <c r="I102" s="856"/>
      <c r="J102" s="856"/>
      <c r="K102" s="857"/>
      <c r="L102" s="858">
        <v>3</v>
      </c>
      <c r="M102" s="859">
        <v>3910</v>
      </c>
      <c r="N102" s="857"/>
      <c r="O102" s="858"/>
      <c r="P102" s="860"/>
    </row>
    <row r="103" spans="1:16" ht="51">
      <c r="A103" s="850" t="s">
        <v>1146</v>
      </c>
      <c r="B103" s="851" t="s">
        <v>1147</v>
      </c>
      <c r="C103" s="851" t="s">
        <v>96</v>
      </c>
      <c r="D103" s="852" t="s">
        <v>1409</v>
      </c>
      <c r="E103" s="853">
        <v>1400</v>
      </c>
      <c r="F103" s="861" t="s">
        <v>1410</v>
      </c>
      <c r="G103" s="862" t="s">
        <v>1411</v>
      </c>
      <c r="H103" s="856"/>
      <c r="I103" s="856"/>
      <c r="J103" s="856"/>
      <c r="K103" s="857"/>
      <c r="L103" s="858">
        <v>2</v>
      </c>
      <c r="M103" s="863">
        <v>1306.67</v>
      </c>
      <c r="N103" s="857"/>
      <c r="O103" s="858"/>
      <c r="P103" s="860"/>
    </row>
    <row r="104" spans="1:16" ht="38.25">
      <c r="A104" s="850" t="s">
        <v>1146</v>
      </c>
      <c r="B104" s="851" t="s">
        <v>1147</v>
      </c>
      <c r="C104" s="851" t="s">
        <v>96</v>
      </c>
      <c r="D104" s="852" t="s">
        <v>1412</v>
      </c>
      <c r="E104" s="853">
        <v>1200</v>
      </c>
      <c r="F104" s="854" t="s">
        <v>1413</v>
      </c>
      <c r="G104" s="855" t="s">
        <v>1414</v>
      </c>
      <c r="H104" s="856"/>
      <c r="I104" s="856"/>
      <c r="J104" s="856"/>
      <c r="K104" s="857"/>
      <c r="L104" s="858">
        <v>3</v>
      </c>
      <c r="M104" s="859">
        <v>3600</v>
      </c>
      <c r="N104" s="857"/>
      <c r="O104" s="858"/>
      <c r="P104" s="860"/>
    </row>
    <row r="105" spans="1:16" ht="38.25">
      <c r="A105" s="850" t="s">
        <v>1146</v>
      </c>
      <c r="B105" s="851" t="s">
        <v>1147</v>
      </c>
      <c r="C105" s="851" t="s">
        <v>96</v>
      </c>
      <c r="D105" s="852" t="s">
        <v>1218</v>
      </c>
      <c r="E105" s="853">
        <v>1400</v>
      </c>
      <c r="F105" s="854" t="s">
        <v>1415</v>
      </c>
      <c r="G105" s="855" t="s">
        <v>1416</v>
      </c>
      <c r="H105" s="856"/>
      <c r="I105" s="856"/>
      <c r="J105" s="856"/>
      <c r="K105" s="857"/>
      <c r="L105" s="858">
        <v>1</v>
      </c>
      <c r="M105" s="859">
        <v>1773.33</v>
      </c>
      <c r="N105" s="857"/>
      <c r="O105" s="858"/>
      <c r="P105" s="860"/>
    </row>
    <row r="106" spans="1:16" ht="12.75">
      <c r="A106" s="850" t="s">
        <v>1146</v>
      </c>
      <c r="B106" s="851" t="s">
        <v>1147</v>
      </c>
      <c r="C106" s="851" t="s">
        <v>96</v>
      </c>
      <c r="D106" s="852" t="s">
        <v>1193</v>
      </c>
      <c r="E106" s="853">
        <v>1400</v>
      </c>
      <c r="F106" s="854" t="s">
        <v>1417</v>
      </c>
      <c r="G106" s="855" t="s">
        <v>1418</v>
      </c>
      <c r="H106" s="856"/>
      <c r="I106" s="856"/>
      <c r="J106" s="856"/>
      <c r="K106" s="857"/>
      <c r="L106" s="858">
        <v>3</v>
      </c>
      <c r="M106" s="859">
        <v>3453.33</v>
      </c>
      <c r="N106" s="857"/>
      <c r="O106" s="858"/>
      <c r="P106" s="860"/>
    </row>
    <row r="107" spans="1:16" ht="38.25">
      <c r="A107" s="850" t="s">
        <v>1146</v>
      </c>
      <c r="B107" s="851" t="s">
        <v>1147</v>
      </c>
      <c r="C107" s="851" t="s">
        <v>96</v>
      </c>
      <c r="D107" s="852" t="s">
        <v>1399</v>
      </c>
      <c r="E107" s="853">
        <v>1700</v>
      </c>
      <c r="F107" s="854" t="s">
        <v>1419</v>
      </c>
      <c r="G107" s="855" t="s">
        <v>1420</v>
      </c>
      <c r="H107" s="856"/>
      <c r="I107" s="856"/>
      <c r="J107" s="856"/>
      <c r="K107" s="857"/>
      <c r="L107" s="858">
        <v>3</v>
      </c>
      <c r="M107" s="859">
        <v>4193.33</v>
      </c>
      <c r="N107" s="857"/>
      <c r="O107" s="858"/>
      <c r="P107" s="860"/>
    </row>
    <row r="108" spans="1:16" ht="12.75">
      <c r="A108" s="850" t="s">
        <v>1146</v>
      </c>
      <c r="B108" s="851" t="s">
        <v>1147</v>
      </c>
      <c r="C108" s="851" t="s">
        <v>96</v>
      </c>
      <c r="D108" s="852" t="s">
        <v>1421</v>
      </c>
      <c r="E108" s="853">
        <v>1100</v>
      </c>
      <c r="F108" s="854" t="s">
        <v>1422</v>
      </c>
      <c r="G108" s="855" t="s">
        <v>1423</v>
      </c>
      <c r="H108" s="856"/>
      <c r="I108" s="856"/>
      <c r="J108" s="856"/>
      <c r="K108" s="857"/>
      <c r="L108" s="858">
        <v>1</v>
      </c>
      <c r="M108" s="859">
        <v>1466.67</v>
      </c>
      <c r="N108" s="857"/>
      <c r="O108" s="858"/>
      <c r="P108" s="860"/>
    </row>
    <row r="109" spans="1:16" ht="38.25">
      <c r="A109" s="850" t="s">
        <v>1146</v>
      </c>
      <c r="B109" s="851" t="s">
        <v>1147</v>
      </c>
      <c r="C109" s="851" t="s">
        <v>96</v>
      </c>
      <c r="D109" s="852" t="s">
        <v>1302</v>
      </c>
      <c r="E109" s="853">
        <v>1700</v>
      </c>
      <c r="F109" s="854" t="s">
        <v>1424</v>
      </c>
      <c r="G109" s="855" t="s">
        <v>1425</v>
      </c>
      <c r="H109" s="856"/>
      <c r="I109" s="856"/>
      <c r="J109" s="856"/>
      <c r="K109" s="857"/>
      <c r="L109" s="858">
        <v>1</v>
      </c>
      <c r="M109" s="859">
        <v>2210</v>
      </c>
      <c r="N109" s="857"/>
      <c r="O109" s="858"/>
      <c r="P109" s="860"/>
    </row>
    <row r="110" spans="1:16" ht="38.25">
      <c r="A110" s="850" t="s">
        <v>1146</v>
      </c>
      <c r="B110" s="851" t="s">
        <v>1147</v>
      </c>
      <c r="C110" s="851" t="s">
        <v>96</v>
      </c>
      <c r="D110" s="852" t="s">
        <v>1231</v>
      </c>
      <c r="E110" s="853">
        <v>1400</v>
      </c>
      <c r="F110" s="854" t="s">
        <v>1426</v>
      </c>
      <c r="G110" s="855" t="s">
        <v>1427</v>
      </c>
      <c r="H110" s="856"/>
      <c r="I110" s="856"/>
      <c r="J110" s="856"/>
      <c r="K110" s="857"/>
      <c r="L110" s="858">
        <v>1</v>
      </c>
      <c r="M110" s="859">
        <v>1306.67</v>
      </c>
      <c r="N110" s="857"/>
      <c r="O110" s="858"/>
      <c r="P110" s="860"/>
    </row>
    <row r="111" spans="1:16" ht="12.75">
      <c r="A111" s="850" t="s">
        <v>1146</v>
      </c>
      <c r="B111" s="851" t="s">
        <v>1147</v>
      </c>
      <c r="C111" s="851" t="s">
        <v>96</v>
      </c>
      <c r="D111" s="852" t="s">
        <v>1389</v>
      </c>
      <c r="E111" s="853">
        <v>2100</v>
      </c>
      <c r="F111" s="854" t="s">
        <v>1428</v>
      </c>
      <c r="G111" s="855" t="s">
        <v>1429</v>
      </c>
      <c r="H111" s="856"/>
      <c r="I111" s="856"/>
      <c r="J111" s="856"/>
      <c r="K111" s="857"/>
      <c r="L111" s="858">
        <v>3</v>
      </c>
      <c r="M111" s="859">
        <v>5180</v>
      </c>
      <c r="N111" s="857"/>
      <c r="O111" s="858"/>
      <c r="P111" s="860"/>
    </row>
    <row r="112" spans="1:16" ht="38.25">
      <c r="A112" s="850" t="s">
        <v>1146</v>
      </c>
      <c r="B112" s="851" t="s">
        <v>1147</v>
      </c>
      <c r="C112" s="851" t="s">
        <v>96</v>
      </c>
      <c r="D112" s="852" t="s">
        <v>1218</v>
      </c>
      <c r="E112" s="853">
        <v>1400</v>
      </c>
      <c r="F112" s="854" t="s">
        <v>1430</v>
      </c>
      <c r="G112" s="855" t="s">
        <v>1431</v>
      </c>
      <c r="H112" s="856"/>
      <c r="I112" s="856"/>
      <c r="J112" s="856"/>
      <c r="K112" s="857"/>
      <c r="L112" s="858">
        <v>3</v>
      </c>
      <c r="M112" s="859">
        <v>3360</v>
      </c>
      <c r="N112" s="857"/>
      <c r="O112" s="858"/>
      <c r="P112" s="860"/>
    </row>
    <row r="113" spans="1:16" ht="12.75">
      <c r="A113" s="850" t="s">
        <v>1146</v>
      </c>
      <c r="B113" s="851" t="s">
        <v>1147</v>
      </c>
      <c r="C113" s="851" t="s">
        <v>96</v>
      </c>
      <c r="D113" s="864" t="s">
        <v>1193</v>
      </c>
      <c r="E113" s="853">
        <v>1400</v>
      </c>
      <c r="F113" s="861" t="s">
        <v>1432</v>
      </c>
      <c r="G113" s="862" t="s">
        <v>1433</v>
      </c>
      <c r="H113" s="856"/>
      <c r="I113" s="856"/>
      <c r="J113" s="856"/>
      <c r="K113" s="857"/>
      <c r="L113" s="858">
        <v>3</v>
      </c>
      <c r="M113" s="863">
        <v>3453.33</v>
      </c>
      <c r="N113" s="857"/>
      <c r="O113" s="858"/>
      <c r="P113" s="860"/>
    </row>
    <row r="114" spans="1:16" ht="38.25">
      <c r="A114" s="850" t="s">
        <v>1146</v>
      </c>
      <c r="B114" s="851" t="s">
        <v>1147</v>
      </c>
      <c r="C114" s="851" t="s">
        <v>96</v>
      </c>
      <c r="D114" s="852" t="s">
        <v>1434</v>
      </c>
      <c r="E114" s="853">
        <v>3000</v>
      </c>
      <c r="F114" s="854" t="s">
        <v>1435</v>
      </c>
      <c r="G114" s="855" t="s">
        <v>1436</v>
      </c>
      <c r="H114" s="856"/>
      <c r="I114" s="856"/>
      <c r="J114" s="856"/>
      <c r="K114" s="857"/>
      <c r="L114" s="858">
        <v>5</v>
      </c>
      <c r="M114" s="859">
        <v>16700</v>
      </c>
      <c r="N114" s="857"/>
      <c r="O114" s="858"/>
      <c r="P114" s="860"/>
    </row>
    <row r="115" spans="1:16" ht="25.5">
      <c r="A115" s="850" t="s">
        <v>1146</v>
      </c>
      <c r="B115" s="851" t="s">
        <v>1147</v>
      </c>
      <c r="C115" s="851" t="s">
        <v>96</v>
      </c>
      <c r="D115" s="852" t="s">
        <v>1437</v>
      </c>
      <c r="E115" s="853">
        <v>1900</v>
      </c>
      <c r="F115" s="854" t="s">
        <v>1438</v>
      </c>
      <c r="G115" s="855" t="s">
        <v>1439</v>
      </c>
      <c r="H115" s="856"/>
      <c r="I115" s="856"/>
      <c r="J115" s="856"/>
      <c r="K115" s="857"/>
      <c r="L115" s="858">
        <v>6</v>
      </c>
      <c r="M115" s="859">
        <v>8406.67</v>
      </c>
      <c r="N115" s="857"/>
      <c r="O115" s="858"/>
      <c r="P115" s="860"/>
    </row>
    <row r="116" spans="1:16" ht="38.25">
      <c r="A116" s="850" t="s">
        <v>1146</v>
      </c>
      <c r="B116" s="851" t="s">
        <v>1147</v>
      </c>
      <c r="C116" s="851" t="s">
        <v>96</v>
      </c>
      <c r="D116" s="852" t="s">
        <v>1440</v>
      </c>
      <c r="E116" s="853">
        <v>3000</v>
      </c>
      <c r="F116" s="854" t="s">
        <v>1441</v>
      </c>
      <c r="G116" s="855" t="s">
        <v>1442</v>
      </c>
      <c r="H116" s="856"/>
      <c r="I116" s="856"/>
      <c r="J116" s="856"/>
      <c r="K116" s="857"/>
      <c r="L116" s="858">
        <v>6</v>
      </c>
      <c r="M116" s="859">
        <v>17300</v>
      </c>
      <c r="N116" s="857"/>
      <c r="O116" s="858"/>
      <c r="P116" s="860"/>
    </row>
    <row r="117" spans="1:16" ht="38.25">
      <c r="A117" s="850" t="s">
        <v>1146</v>
      </c>
      <c r="B117" s="851" t="s">
        <v>1147</v>
      </c>
      <c r="C117" s="851" t="s">
        <v>96</v>
      </c>
      <c r="D117" s="864" t="s">
        <v>1443</v>
      </c>
      <c r="E117" s="853">
        <v>1100</v>
      </c>
      <c r="F117" s="854" t="s">
        <v>1444</v>
      </c>
      <c r="G117" s="855" t="s">
        <v>1445</v>
      </c>
      <c r="H117" s="856"/>
      <c r="I117" s="856"/>
      <c r="J117" s="856"/>
      <c r="K117" s="857"/>
      <c r="L117" s="858">
        <v>6</v>
      </c>
      <c r="M117" s="859">
        <v>6563.34</v>
      </c>
      <c r="N117" s="857"/>
      <c r="O117" s="858"/>
      <c r="P117" s="860"/>
    </row>
    <row r="118" spans="1:16" ht="63.75">
      <c r="A118" s="850" t="s">
        <v>1146</v>
      </c>
      <c r="B118" s="851" t="s">
        <v>1147</v>
      </c>
      <c r="C118" s="851" t="s">
        <v>96</v>
      </c>
      <c r="D118" s="852" t="s">
        <v>1446</v>
      </c>
      <c r="E118" s="853">
        <v>2500</v>
      </c>
      <c r="F118" s="854" t="s">
        <v>1447</v>
      </c>
      <c r="G118" s="855" t="s">
        <v>1448</v>
      </c>
      <c r="H118" s="856"/>
      <c r="I118" s="856"/>
      <c r="J118" s="856"/>
      <c r="K118" s="857"/>
      <c r="L118" s="858">
        <v>3</v>
      </c>
      <c r="M118" s="859">
        <v>9416.66</v>
      </c>
      <c r="N118" s="857"/>
      <c r="O118" s="858"/>
      <c r="P118" s="860"/>
    </row>
    <row r="119" spans="1:16" ht="51">
      <c r="A119" s="850" t="s">
        <v>1146</v>
      </c>
      <c r="B119" s="851" t="s">
        <v>1147</v>
      </c>
      <c r="C119" s="851" t="s">
        <v>96</v>
      </c>
      <c r="D119" s="852" t="s">
        <v>1449</v>
      </c>
      <c r="E119" s="853">
        <v>5000</v>
      </c>
      <c r="F119" s="854" t="s">
        <v>1450</v>
      </c>
      <c r="G119" s="855" t="s">
        <v>1451</v>
      </c>
      <c r="H119" s="856"/>
      <c r="I119" s="856"/>
      <c r="J119" s="856"/>
      <c r="K119" s="857"/>
      <c r="L119" s="858">
        <v>6</v>
      </c>
      <c r="M119" s="859">
        <v>29666.66</v>
      </c>
      <c r="N119" s="857"/>
      <c r="O119" s="858"/>
      <c r="P119" s="860"/>
    </row>
    <row r="120" spans="1:16" ht="38.25">
      <c r="A120" s="850" t="s">
        <v>1146</v>
      </c>
      <c r="B120" s="851" t="s">
        <v>1147</v>
      </c>
      <c r="C120" s="851" t="s">
        <v>96</v>
      </c>
      <c r="D120" s="864" t="s">
        <v>1218</v>
      </c>
      <c r="E120" s="853">
        <v>1400</v>
      </c>
      <c r="F120" s="854" t="s">
        <v>1452</v>
      </c>
      <c r="G120" s="855" t="s">
        <v>1453</v>
      </c>
      <c r="H120" s="856"/>
      <c r="I120" s="856"/>
      <c r="J120" s="856"/>
      <c r="K120" s="857"/>
      <c r="L120" s="858">
        <v>1</v>
      </c>
      <c r="M120" s="859">
        <v>1820</v>
      </c>
      <c r="N120" s="857"/>
      <c r="O120" s="858"/>
      <c r="P120" s="860"/>
    </row>
    <row r="121" spans="1:16" ht="12.75">
      <c r="A121" s="850" t="s">
        <v>1146</v>
      </c>
      <c r="B121" s="851" t="s">
        <v>1147</v>
      </c>
      <c r="C121" s="851" t="s">
        <v>96</v>
      </c>
      <c r="D121" s="864" t="s">
        <v>1193</v>
      </c>
      <c r="E121" s="853">
        <v>1400</v>
      </c>
      <c r="F121" s="854" t="s">
        <v>1454</v>
      </c>
      <c r="G121" s="855" t="s">
        <v>1455</v>
      </c>
      <c r="H121" s="856"/>
      <c r="I121" s="856"/>
      <c r="J121" s="856"/>
      <c r="K121" s="857"/>
      <c r="L121" s="858">
        <v>3</v>
      </c>
      <c r="M121" s="859">
        <v>3453.33</v>
      </c>
      <c r="N121" s="857"/>
      <c r="O121" s="858"/>
      <c r="P121" s="860"/>
    </row>
    <row r="122" spans="1:16" ht="38.25">
      <c r="A122" s="850" t="s">
        <v>1146</v>
      </c>
      <c r="B122" s="851" t="s">
        <v>1147</v>
      </c>
      <c r="C122" s="851" t="s">
        <v>96</v>
      </c>
      <c r="D122" s="864" t="s">
        <v>1456</v>
      </c>
      <c r="E122" s="853">
        <v>1300</v>
      </c>
      <c r="F122" s="854" t="s">
        <v>1457</v>
      </c>
      <c r="G122" s="855" t="s">
        <v>1458</v>
      </c>
      <c r="H122" s="856"/>
      <c r="I122" s="856"/>
      <c r="J122" s="856"/>
      <c r="K122" s="857"/>
      <c r="L122" s="858">
        <v>3</v>
      </c>
      <c r="M122" s="859">
        <v>3206.67</v>
      </c>
      <c r="N122" s="857"/>
      <c r="O122" s="858"/>
      <c r="P122" s="860"/>
    </row>
    <row r="123" spans="1:16" ht="38.25">
      <c r="A123" s="850" t="s">
        <v>1146</v>
      </c>
      <c r="B123" s="851" t="s">
        <v>1147</v>
      </c>
      <c r="C123" s="851" t="s">
        <v>96</v>
      </c>
      <c r="D123" s="852" t="s">
        <v>1204</v>
      </c>
      <c r="E123" s="853">
        <v>1500</v>
      </c>
      <c r="F123" s="854" t="s">
        <v>1459</v>
      </c>
      <c r="G123" s="855" t="s">
        <v>1460</v>
      </c>
      <c r="H123" s="856"/>
      <c r="I123" s="856"/>
      <c r="J123" s="856"/>
      <c r="K123" s="857"/>
      <c r="L123" s="858">
        <v>6</v>
      </c>
      <c r="M123" s="859">
        <v>9050</v>
      </c>
      <c r="N123" s="857"/>
      <c r="O123" s="858"/>
      <c r="P123" s="860"/>
    </row>
    <row r="124" spans="1:16" ht="51">
      <c r="A124" s="850" t="s">
        <v>1146</v>
      </c>
      <c r="B124" s="851" t="s">
        <v>1147</v>
      </c>
      <c r="C124" s="851" t="s">
        <v>96</v>
      </c>
      <c r="D124" s="852" t="s">
        <v>1461</v>
      </c>
      <c r="E124" s="853">
        <v>1600</v>
      </c>
      <c r="F124" s="861" t="s">
        <v>1462</v>
      </c>
      <c r="G124" s="862" t="s">
        <v>1463</v>
      </c>
      <c r="H124" s="856"/>
      <c r="I124" s="856"/>
      <c r="J124" s="856"/>
      <c r="K124" s="857"/>
      <c r="L124" s="858">
        <v>2</v>
      </c>
      <c r="M124" s="863">
        <v>2986.66</v>
      </c>
      <c r="N124" s="857"/>
      <c r="O124" s="858"/>
      <c r="P124" s="860"/>
    </row>
    <row r="125" spans="1:16" ht="12.75">
      <c r="A125" s="850" t="s">
        <v>1146</v>
      </c>
      <c r="B125" s="851" t="s">
        <v>1147</v>
      </c>
      <c r="C125" s="851" t="s">
        <v>96</v>
      </c>
      <c r="D125" s="864" t="s">
        <v>1248</v>
      </c>
      <c r="E125" s="853">
        <v>1400</v>
      </c>
      <c r="F125" s="854" t="s">
        <v>1464</v>
      </c>
      <c r="G125" s="855" t="s">
        <v>1465</v>
      </c>
      <c r="H125" s="856"/>
      <c r="I125" s="856"/>
      <c r="J125" s="856"/>
      <c r="K125" s="857"/>
      <c r="L125" s="858">
        <v>1</v>
      </c>
      <c r="M125" s="859">
        <v>1306.67</v>
      </c>
      <c r="N125" s="857"/>
      <c r="O125" s="858"/>
      <c r="P125" s="860"/>
    </row>
    <row r="126" spans="1:16" ht="12.75">
      <c r="A126" s="850" t="s">
        <v>1146</v>
      </c>
      <c r="B126" s="851" t="s">
        <v>1147</v>
      </c>
      <c r="C126" s="851" t="s">
        <v>96</v>
      </c>
      <c r="D126" s="856" t="s">
        <v>1466</v>
      </c>
      <c r="E126" s="853">
        <v>3000</v>
      </c>
      <c r="F126" s="854" t="s">
        <v>1467</v>
      </c>
      <c r="G126" s="855" t="s">
        <v>1468</v>
      </c>
      <c r="H126" s="856"/>
      <c r="I126" s="856"/>
      <c r="J126" s="856"/>
      <c r="K126" s="857"/>
      <c r="L126" s="858">
        <v>3</v>
      </c>
      <c r="M126" s="859">
        <v>4800</v>
      </c>
      <c r="N126" s="857"/>
      <c r="O126" s="858"/>
      <c r="P126" s="860"/>
    </row>
    <row r="127" spans="1:16" ht="38.25">
      <c r="A127" s="850" t="s">
        <v>1146</v>
      </c>
      <c r="B127" s="851" t="s">
        <v>1147</v>
      </c>
      <c r="C127" s="851" t="s">
        <v>96</v>
      </c>
      <c r="D127" s="852" t="s">
        <v>1469</v>
      </c>
      <c r="E127" s="853">
        <v>1900</v>
      </c>
      <c r="F127" s="854" t="s">
        <v>1470</v>
      </c>
      <c r="G127" s="855" t="s">
        <v>1471</v>
      </c>
      <c r="H127" s="856"/>
      <c r="I127" s="856"/>
      <c r="J127" s="856"/>
      <c r="K127" s="857"/>
      <c r="L127" s="858">
        <v>3</v>
      </c>
      <c r="M127" s="859">
        <v>4623.34</v>
      </c>
      <c r="N127" s="857"/>
      <c r="O127" s="858"/>
      <c r="P127" s="860"/>
    </row>
    <row r="128" spans="1:16" ht="38.25">
      <c r="A128" s="850" t="s">
        <v>1146</v>
      </c>
      <c r="B128" s="851" t="s">
        <v>1147</v>
      </c>
      <c r="C128" s="851" t="s">
        <v>96</v>
      </c>
      <c r="D128" s="852" t="s">
        <v>1218</v>
      </c>
      <c r="E128" s="853">
        <v>1350</v>
      </c>
      <c r="F128" s="854" t="s">
        <v>1472</v>
      </c>
      <c r="G128" s="855" t="s">
        <v>1473</v>
      </c>
      <c r="H128" s="856"/>
      <c r="I128" s="856"/>
      <c r="J128" s="856"/>
      <c r="K128" s="857"/>
      <c r="L128" s="858">
        <v>1</v>
      </c>
      <c r="M128" s="859">
        <v>1755</v>
      </c>
      <c r="N128" s="857"/>
      <c r="O128" s="858"/>
      <c r="P128" s="860"/>
    </row>
    <row r="129" spans="1:16" ht="12.75">
      <c r="A129" s="850" t="s">
        <v>1146</v>
      </c>
      <c r="B129" s="851" t="s">
        <v>1147</v>
      </c>
      <c r="C129" s="851" t="s">
        <v>96</v>
      </c>
      <c r="D129" s="864" t="s">
        <v>1290</v>
      </c>
      <c r="E129" s="853">
        <v>2400</v>
      </c>
      <c r="F129" s="854" t="s">
        <v>1474</v>
      </c>
      <c r="G129" s="855" t="s">
        <v>1475</v>
      </c>
      <c r="H129" s="856"/>
      <c r="I129" s="856"/>
      <c r="J129" s="856"/>
      <c r="K129" s="857"/>
      <c r="L129" s="858">
        <v>3</v>
      </c>
      <c r="M129" s="859">
        <v>5920</v>
      </c>
      <c r="N129" s="857"/>
      <c r="O129" s="858"/>
      <c r="P129" s="860"/>
    </row>
    <row r="130" spans="1:16" ht="12.75">
      <c r="A130" s="850" t="s">
        <v>1146</v>
      </c>
      <c r="B130" s="851" t="s">
        <v>1147</v>
      </c>
      <c r="C130" s="851" t="s">
        <v>96</v>
      </c>
      <c r="D130" s="852" t="s">
        <v>1386</v>
      </c>
      <c r="E130" s="853">
        <v>2800</v>
      </c>
      <c r="F130" s="854" t="s">
        <v>1476</v>
      </c>
      <c r="G130" s="855" t="s">
        <v>1477</v>
      </c>
      <c r="H130" s="856"/>
      <c r="I130" s="856"/>
      <c r="J130" s="856"/>
      <c r="K130" s="857"/>
      <c r="L130" s="858">
        <v>6</v>
      </c>
      <c r="M130" s="859">
        <v>16800</v>
      </c>
      <c r="N130" s="857"/>
      <c r="O130" s="858"/>
      <c r="P130" s="860"/>
    </row>
    <row r="131" spans="1:16" ht="12.75">
      <c r="A131" s="850" t="s">
        <v>1146</v>
      </c>
      <c r="B131" s="851" t="s">
        <v>1147</v>
      </c>
      <c r="C131" s="851" t="s">
        <v>96</v>
      </c>
      <c r="D131" s="864" t="s">
        <v>1325</v>
      </c>
      <c r="E131" s="853">
        <v>2100</v>
      </c>
      <c r="F131" s="854" t="s">
        <v>1478</v>
      </c>
      <c r="G131" s="855" t="s">
        <v>1479</v>
      </c>
      <c r="H131" s="856"/>
      <c r="I131" s="856"/>
      <c r="J131" s="856"/>
      <c r="K131" s="857"/>
      <c r="L131" s="858">
        <v>3</v>
      </c>
      <c r="M131" s="859">
        <v>4620</v>
      </c>
      <c r="N131" s="857"/>
      <c r="O131" s="858"/>
      <c r="P131" s="860"/>
    </row>
    <row r="132" spans="1:16" ht="38.25">
      <c r="A132" s="850" t="s">
        <v>1146</v>
      </c>
      <c r="B132" s="851" t="s">
        <v>1147</v>
      </c>
      <c r="C132" s="851" t="s">
        <v>96</v>
      </c>
      <c r="D132" s="852" t="s">
        <v>1399</v>
      </c>
      <c r="E132" s="853">
        <v>1700</v>
      </c>
      <c r="F132" s="854" t="s">
        <v>1480</v>
      </c>
      <c r="G132" s="855" t="s">
        <v>1481</v>
      </c>
      <c r="H132" s="856"/>
      <c r="I132" s="856"/>
      <c r="J132" s="856"/>
      <c r="K132" s="857"/>
      <c r="L132" s="858">
        <v>3</v>
      </c>
      <c r="M132" s="859">
        <v>4193.33</v>
      </c>
      <c r="N132" s="857"/>
      <c r="O132" s="858"/>
      <c r="P132" s="860"/>
    </row>
    <row r="133" spans="1:16" ht="38.25">
      <c r="A133" s="850" t="s">
        <v>1146</v>
      </c>
      <c r="B133" s="851" t="s">
        <v>1147</v>
      </c>
      <c r="C133" s="851" t="s">
        <v>96</v>
      </c>
      <c r="D133" s="864" t="s">
        <v>1412</v>
      </c>
      <c r="E133" s="853">
        <v>1500</v>
      </c>
      <c r="F133" s="854" t="s">
        <v>1482</v>
      </c>
      <c r="G133" s="855" t="s">
        <v>1483</v>
      </c>
      <c r="H133" s="856"/>
      <c r="I133" s="856"/>
      <c r="J133" s="856"/>
      <c r="K133" s="857"/>
      <c r="L133" s="858">
        <v>3</v>
      </c>
      <c r="M133" s="859">
        <v>3950</v>
      </c>
      <c r="N133" s="857"/>
      <c r="O133" s="858"/>
      <c r="P133" s="860"/>
    </row>
    <row r="134" spans="1:16" ht="12.75">
      <c r="A134" s="850" t="s">
        <v>1146</v>
      </c>
      <c r="B134" s="851" t="s">
        <v>1147</v>
      </c>
      <c r="C134" s="851" t="s">
        <v>96</v>
      </c>
      <c r="D134" s="852" t="s">
        <v>1193</v>
      </c>
      <c r="E134" s="853">
        <v>1200</v>
      </c>
      <c r="F134" s="854" t="s">
        <v>1484</v>
      </c>
      <c r="G134" s="855" t="s">
        <v>1485</v>
      </c>
      <c r="H134" s="856"/>
      <c r="I134" s="856"/>
      <c r="J134" s="856"/>
      <c r="K134" s="857"/>
      <c r="L134" s="858">
        <v>3</v>
      </c>
      <c r="M134" s="859">
        <v>2960</v>
      </c>
      <c r="N134" s="857"/>
      <c r="O134" s="858"/>
      <c r="P134" s="860"/>
    </row>
    <row r="135" spans="1:16" ht="25.5">
      <c r="A135" s="850" t="s">
        <v>1146</v>
      </c>
      <c r="B135" s="851" t="s">
        <v>1147</v>
      </c>
      <c r="C135" s="851" t="s">
        <v>96</v>
      </c>
      <c r="D135" s="852" t="s">
        <v>1486</v>
      </c>
      <c r="E135" s="853">
        <v>2400</v>
      </c>
      <c r="F135" s="854" t="s">
        <v>1487</v>
      </c>
      <c r="G135" s="855" t="s">
        <v>1488</v>
      </c>
      <c r="H135" s="856"/>
      <c r="I135" s="856"/>
      <c r="J135" s="856"/>
      <c r="K135" s="857"/>
      <c r="L135" s="858">
        <v>6</v>
      </c>
      <c r="M135" s="859">
        <v>15620</v>
      </c>
      <c r="N135" s="857"/>
      <c r="O135" s="858"/>
      <c r="P135" s="860"/>
    </row>
    <row r="136" spans="1:16" ht="12.75">
      <c r="A136" s="850" t="s">
        <v>1146</v>
      </c>
      <c r="B136" s="851" t="s">
        <v>1147</v>
      </c>
      <c r="C136" s="851" t="s">
        <v>96</v>
      </c>
      <c r="D136" s="852" t="s">
        <v>1248</v>
      </c>
      <c r="E136" s="853">
        <v>1350</v>
      </c>
      <c r="F136" s="854" t="s">
        <v>1489</v>
      </c>
      <c r="G136" s="855" t="s">
        <v>1490</v>
      </c>
      <c r="H136" s="856"/>
      <c r="I136" s="856"/>
      <c r="J136" s="856"/>
      <c r="K136" s="857"/>
      <c r="L136" s="858">
        <v>1</v>
      </c>
      <c r="M136" s="859">
        <v>1755</v>
      </c>
      <c r="N136" s="857"/>
      <c r="O136" s="858"/>
      <c r="P136" s="860"/>
    </row>
    <row r="137" spans="1:16" ht="51">
      <c r="A137" s="850" t="s">
        <v>1146</v>
      </c>
      <c r="B137" s="851" t="s">
        <v>1147</v>
      </c>
      <c r="C137" s="851" t="s">
        <v>96</v>
      </c>
      <c r="D137" s="852" t="s">
        <v>1282</v>
      </c>
      <c r="E137" s="853">
        <v>1100</v>
      </c>
      <c r="F137" s="854" t="s">
        <v>1491</v>
      </c>
      <c r="G137" s="855" t="s">
        <v>1492</v>
      </c>
      <c r="H137" s="856"/>
      <c r="I137" s="856"/>
      <c r="J137" s="856"/>
      <c r="K137" s="857"/>
      <c r="L137" s="858">
        <v>3</v>
      </c>
      <c r="M137" s="859">
        <v>2713.33</v>
      </c>
      <c r="N137" s="857"/>
      <c r="O137" s="858"/>
      <c r="P137" s="860"/>
    </row>
    <row r="138" spans="1:16" ht="38.25">
      <c r="A138" s="850" t="s">
        <v>1146</v>
      </c>
      <c r="B138" s="851" t="s">
        <v>1147</v>
      </c>
      <c r="C138" s="851" t="s">
        <v>96</v>
      </c>
      <c r="D138" s="864" t="s">
        <v>1493</v>
      </c>
      <c r="E138" s="853">
        <v>1200</v>
      </c>
      <c r="F138" s="854" t="s">
        <v>1494</v>
      </c>
      <c r="G138" s="855" t="s">
        <v>1495</v>
      </c>
      <c r="H138" s="856"/>
      <c r="I138" s="856"/>
      <c r="J138" s="856"/>
      <c r="K138" s="857"/>
      <c r="L138" s="858">
        <v>3</v>
      </c>
      <c r="M138" s="859">
        <v>3320</v>
      </c>
      <c r="N138" s="857"/>
      <c r="O138" s="858"/>
      <c r="P138" s="860"/>
    </row>
    <row r="139" spans="1:16" ht="38.25">
      <c r="A139" s="850" t="s">
        <v>1146</v>
      </c>
      <c r="B139" s="851" t="s">
        <v>1147</v>
      </c>
      <c r="C139" s="851" t="s">
        <v>96</v>
      </c>
      <c r="D139" s="864" t="s">
        <v>1496</v>
      </c>
      <c r="E139" s="853">
        <v>2100</v>
      </c>
      <c r="F139" s="854" t="s">
        <v>1497</v>
      </c>
      <c r="G139" s="855" t="s">
        <v>1498</v>
      </c>
      <c r="H139" s="856"/>
      <c r="I139" s="856"/>
      <c r="J139" s="856"/>
      <c r="K139" s="857"/>
      <c r="L139" s="858">
        <v>1</v>
      </c>
      <c r="M139" s="859">
        <v>2800</v>
      </c>
      <c r="N139" s="857"/>
      <c r="O139" s="858"/>
      <c r="P139" s="860"/>
    </row>
    <row r="140" spans="1:16" ht="12.75">
      <c r="A140" s="850" t="s">
        <v>1146</v>
      </c>
      <c r="B140" s="851" t="s">
        <v>1147</v>
      </c>
      <c r="C140" s="851" t="s">
        <v>96</v>
      </c>
      <c r="D140" s="852" t="s">
        <v>1499</v>
      </c>
      <c r="E140" s="853">
        <v>1800</v>
      </c>
      <c r="F140" s="854" t="s">
        <v>1500</v>
      </c>
      <c r="G140" s="855" t="s">
        <v>1501</v>
      </c>
      <c r="H140" s="856"/>
      <c r="I140" s="856"/>
      <c r="J140" s="856"/>
      <c r="K140" s="857"/>
      <c r="L140" s="858">
        <v>3</v>
      </c>
      <c r="M140" s="859">
        <v>4980</v>
      </c>
      <c r="N140" s="857"/>
      <c r="O140" s="858"/>
      <c r="P140" s="860"/>
    </row>
    <row r="141" spans="1:16" ht="38.25">
      <c r="A141" s="850" t="s">
        <v>1146</v>
      </c>
      <c r="B141" s="851" t="s">
        <v>1147</v>
      </c>
      <c r="C141" s="851" t="s">
        <v>96</v>
      </c>
      <c r="D141" s="852" t="s">
        <v>1502</v>
      </c>
      <c r="E141" s="853">
        <v>2100</v>
      </c>
      <c r="F141" s="854" t="s">
        <v>1503</v>
      </c>
      <c r="G141" s="855" t="s">
        <v>1504</v>
      </c>
      <c r="H141" s="856"/>
      <c r="I141" s="856"/>
      <c r="J141" s="856"/>
      <c r="K141" s="857"/>
      <c r="L141" s="858">
        <v>3</v>
      </c>
      <c r="M141" s="859">
        <v>3850</v>
      </c>
      <c r="N141" s="857"/>
      <c r="O141" s="858"/>
      <c r="P141" s="860"/>
    </row>
    <row r="142" spans="1:16" ht="12.75">
      <c r="A142" s="850" t="s">
        <v>1146</v>
      </c>
      <c r="B142" s="851" t="s">
        <v>1147</v>
      </c>
      <c r="C142" s="851" t="s">
        <v>96</v>
      </c>
      <c r="D142" s="852" t="s">
        <v>1248</v>
      </c>
      <c r="E142" s="853">
        <v>1400</v>
      </c>
      <c r="F142" s="854" t="s">
        <v>1505</v>
      </c>
      <c r="G142" s="855" t="s">
        <v>1506</v>
      </c>
      <c r="H142" s="856"/>
      <c r="I142" s="856"/>
      <c r="J142" s="856"/>
      <c r="K142" s="857"/>
      <c r="L142" s="858">
        <v>3</v>
      </c>
      <c r="M142" s="859">
        <v>3406.66</v>
      </c>
      <c r="N142" s="857"/>
      <c r="O142" s="858"/>
      <c r="P142" s="860"/>
    </row>
    <row r="143" spans="1:16" ht="38.25">
      <c r="A143" s="850" t="s">
        <v>1146</v>
      </c>
      <c r="B143" s="851" t="s">
        <v>1147</v>
      </c>
      <c r="C143" s="851" t="s">
        <v>96</v>
      </c>
      <c r="D143" s="852" t="s">
        <v>1302</v>
      </c>
      <c r="E143" s="853">
        <v>1700</v>
      </c>
      <c r="F143" s="854" t="s">
        <v>1507</v>
      </c>
      <c r="G143" s="855" t="s">
        <v>1508</v>
      </c>
      <c r="H143" s="856"/>
      <c r="I143" s="856"/>
      <c r="J143" s="856"/>
      <c r="K143" s="857"/>
      <c r="L143" s="858">
        <v>3</v>
      </c>
      <c r="M143" s="859">
        <v>4193.33</v>
      </c>
      <c r="N143" s="857"/>
      <c r="O143" s="858"/>
      <c r="P143" s="860"/>
    </row>
    <row r="144" spans="1:16" ht="51">
      <c r="A144" s="850" t="s">
        <v>1146</v>
      </c>
      <c r="B144" s="851" t="s">
        <v>1147</v>
      </c>
      <c r="C144" s="851" t="s">
        <v>96</v>
      </c>
      <c r="D144" s="864" t="s">
        <v>1509</v>
      </c>
      <c r="E144" s="853">
        <v>1100</v>
      </c>
      <c r="F144" s="854" t="s">
        <v>1510</v>
      </c>
      <c r="G144" s="855" t="s">
        <v>1511</v>
      </c>
      <c r="H144" s="856"/>
      <c r="I144" s="856"/>
      <c r="J144" s="856"/>
      <c r="K144" s="857"/>
      <c r="L144" s="858">
        <v>1</v>
      </c>
      <c r="M144" s="859">
        <v>1393.33</v>
      </c>
      <c r="N144" s="857"/>
      <c r="O144" s="858"/>
      <c r="P144" s="860"/>
    </row>
    <row r="145" spans="1:16" ht="38.25">
      <c r="A145" s="850" t="s">
        <v>1146</v>
      </c>
      <c r="B145" s="851" t="s">
        <v>1147</v>
      </c>
      <c r="C145" s="851" t="s">
        <v>96</v>
      </c>
      <c r="D145" s="852" t="s">
        <v>1218</v>
      </c>
      <c r="E145" s="853">
        <v>1400</v>
      </c>
      <c r="F145" s="854" t="s">
        <v>1512</v>
      </c>
      <c r="G145" s="855" t="s">
        <v>1513</v>
      </c>
      <c r="H145" s="856"/>
      <c r="I145" s="856"/>
      <c r="J145" s="856"/>
      <c r="K145" s="857"/>
      <c r="L145" s="858">
        <v>3</v>
      </c>
      <c r="M145" s="859">
        <v>3453.33</v>
      </c>
      <c r="N145" s="857"/>
      <c r="O145" s="858"/>
      <c r="P145" s="860"/>
    </row>
    <row r="146" spans="1:16" ht="38.25">
      <c r="A146" s="850" t="s">
        <v>1146</v>
      </c>
      <c r="B146" s="851" t="s">
        <v>1147</v>
      </c>
      <c r="C146" s="851" t="s">
        <v>96</v>
      </c>
      <c r="D146" s="852" t="s">
        <v>1346</v>
      </c>
      <c r="E146" s="853">
        <v>1300</v>
      </c>
      <c r="F146" s="854" t="s">
        <v>1514</v>
      </c>
      <c r="G146" s="855" t="s">
        <v>1515</v>
      </c>
      <c r="H146" s="856"/>
      <c r="I146" s="856"/>
      <c r="J146" s="856"/>
      <c r="K146" s="857"/>
      <c r="L146" s="858">
        <v>3</v>
      </c>
      <c r="M146" s="859">
        <v>3206.67</v>
      </c>
      <c r="N146" s="857"/>
      <c r="O146" s="858"/>
      <c r="P146" s="860"/>
    </row>
    <row r="147" spans="1:16" ht="12.75">
      <c r="A147" s="850" t="s">
        <v>1146</v>
      </c>
      <c r="B147" s="851" t="s">
        <v>1147</v>
      </c>
      <c r="C147" s="851" t="s">
        <v>96</v>
      </c>
      <c r="D147" s="856"/>
      <c r="E147" s="853">
        <v>0</v>
      </c>
      <c r="F147" s="854" t="s">
        <v>1516</v>
      </c>
      <c r="G147" s="855" t="s">
        <v>1517</v>
      </c>
      <c r="H147" s="856"/>
      <c r="I147" s="856"/>
      <c r="J147" s="856"/>
      <c r="K147" s="857"/>
      <c r="L147" s="858"/>
      <c r="M147" s="859">
        <v>0</v>
      </c>
      <c r="N147" s="857"/>
      <c r="O147" s="858"/>
      <c r="P147" s="860"/>
    </row>
    <row r="148" spans="1:16" ht="51">
      <c r="A148" s="850" t="s">
        <v>1146</v>
      </c>
      <c r="B148" s="851" t="s">
        <v>1147</v>
      </c>
      <c r="C148" s="851" t="s">
        <v>96</v>
      </c>
      <c r="D148" s="864" t="s">
        <v>1305</v>
      </c>
      <c r="E148" s="853">
        <v>2100</v>
      </c>
      <c r="F148" s="854" t="s">
        <v>1518</v>
      </c>
      <c r="G148" s="855" t="s">
        <v>1519</v>
      </c>
      <c r="H148" s="856"/>
      <c r="I148" s="856"/>
      <c r="J148" s="856"/>
      <c r="K148" s="857"/>
      <c r="L148" s="858">
        <v>6</v>
      </c>
      <c r="M148" s="859">
        <v>11160</v>
      </c>
      <c r="N148" s="857"/>
      <c r="O148" s="858"/>
      <c r="P148" s="860"/>
    </row>
    <row r="149" spans="1:16" ht="38.25">
      <c r="A149" s="850" t="s">
        <v>1146</v>
      </c>
      <c r="B149" s="851" t="s">
        <v>1147</v>
      </c>
      <c r="C149" s="851" t="s">
        <v>96</v>
      </c>
      <c r="D149" s="852" t="s">
        <v>1218</v>
      </c>
      <c r="E149" s="853">
        <v>1400</v>
      </c>
      <c r="F149" s="854" t="s">
        <v>1520</v>
      </c>
      <c r="G149" s="855" t="s">
        <v>1521</v>
      </c>
      <c r="H149" s="856"/>
      <c r="I149" s="856"/>
      <c r="J149" s="856"/>
      <c r="K149" s="857"/>
      <c r="L149" s="858">
        <v>3</v>
      </c>
      <c r="M149" s="859">
        <v>3453.33</v>
      </c>
      <c r="N149" s="857"/>
      <c r="O149" s="858"/>
      <c r="P149" s="860"/>
    </row>
    <row r="150" spans="1:16" ht="38.25">
      <c r="A150" s="850" t="s">
        <v>1146</v>
      </c>
      <c r="B150" s="851" t="s">
        <v>1147</v>
      </c>
      <c r="C150" s="851" t="s">
        <v>96</v>
      </c>
      <c r="D150" s="852" t="s">
        <v>1522</v>
      </c>
      <c r="E150" s="853">
        <v>3000</v>
      </c>
      <c r="F150" s="854" t="s">
        <v>1523</v>
      </c>
      <c r="G150" s="855" t="s">
        <v>1524</v>
      </c>
      <c r="H150" s="856"/>
      <c r="I150" s="856"/>
      <c r="J150" s="856"/>
      <c r="K150" s="857"/>
      <c r="L150" s="858">
        <v>6</v>
      </c>
      <c r="M150" s="859">
        <v>16800</v>
      </c>
      <c r="N150" s="857"/>
      <c r="O150" s="858"/>
      <c r="P150" s="860"/>
    </row>
    <row r="151" spans="1:16" ht="38.25">
      <c r="A151" s="850" t="s">
        <v>1146</v>
      </c>
      <c r="B151" s="851" t="s">
        <v>1147</v>
      </c>
      <c r="C151" s="851" t="s">
        <v>96</v>
      </c>
      <c r="D151" s="852" t="s">
        <v>1218</v>
      </c>
      <c r="E151" s="853">
        <v>1400</v>
      </c>
      <c r="F151" s="854" t="s">
        <v>1525</v>
      </c>
      <c r="G151" s="855" t="s">
        <v>1526</v>
      </c>
      <c r="H151" s="856"/>
      <c r="I151" s="856"/>
      <c r="J151" s="856"/>
      <c r="K151" s="857"/>
      <c r="L151" s="858">
        <v>3</v>
      </c>
      <c r="M151" s="859">
        <v>3453.33</v>
      </c>
      <c r="N151" s="857"/>
      <c r="O151" s="858"/>
      <c r="P151" s="860"/>
    </row>
    <row r="152" spans="1:16" ht="51">
      <c r="A152" s="850" t="s">
        <v>1146</v>
      </c>
      <c r="B152" s="851" t="s">
        <v>1147</v>
      </c>
      <c r="C152" s="851" t="s">
        <v>96</v>
      </c>
      <c r="D152" s="852" t="s">
        <v>1527</v>
      </c>
      <c r="E152" s="853">
        <v>2500</v>
      </c>
      <c r="F152" s="854" t="s">
        <v>1528</v>
      </c>
      <c r="G152" s="855" t="s">
        <v>1529</v>
      </c>
      <c r="H152" s="856"/>
      <c r="I152" s="856"/>
      <c r="J152" s="856"/>
      <c r="K152" s="857"/>
      <c r="L152" s="858">
        <v>2</v>
      </c>
      <c r="M152" s="859">
        <v>4583.33</v>
      </c>
      <c r="N152" s="857"/>
      <c r="O152" s="858"/>
      <c r="P152" s="860"/>
    </row>
    <row r="153" spans="1:16" ht="38.25">
      <c r="A153" s="850" t="s">
        <v>1146</v>
      </c>
      <c r="B153" s="851" t="s">
        <v>1147</v>
      </c>
      <c r="C153" s="851" t="s">
        <v>96</v>
      </c>
      <c r="D153" s="852" t="s">
        <v>1242</v>
      </c>
      <c r="E153" s="853">
        <v>1100</v>
      </c>
      <c r="F153" s="861" t="s">
        <v>1530</v>
      </c>
      <c r="G153" s="862" t="s">
        <v>1531</v>
      </c>
      <c r="H153" s="856"/>
      <c r="I153" s="856"/>
      <c r="J153" s="856"/>
      <c r="K153" s="857"/>
      <c r="L153" s="858">
        <v>2</v>
      </c>
      <c r="M153" s="863">
        <v>1430</v>
      </c>
      <c r="N153" s="857"/>
      <c r="O153" s="858"/>
      <c r="P153" s="860"/>
    </row>
    <row r="154" spans="1:16" ht="38.25">
      <c r="A154" s="850" t="s">
        <v>1146</v>
      </c>
      <c r="B154" s="851" t="s">
        <v>1147</v>
      </c>
      <c r="C154" s="851" t="s">
        <v>96</v>
      </c>
      <c r="D154" s="852" t="s">
        <v>1532</v>
      </c>
      <c r="E154" s="853">
        <v>3000</v>
      </c>
      <c r="F154" s="854" t="s">
        <v>1533</v>
      </c>
      <c r="G154" s="855" t="s">
        <v>1534</v>
      </c>
      <c r="H154" s="856"/>
      <c r="I154" s="856"/>
      <c r="J154" s="856"/>
      <c r="K154" s="857"/>
      <c r="L154" s="858">
        <v>3</v>
      </c>
      <c r="M154" s="859">
        <v>7900</v>
      </c>
      <c r="N154" s="857"/>
      <c r="O154" s="858"/>
      <c r="P154" s="860"/>
    </row>
    <row r="155" spans="1:16" ht="38.25">
      <c r="A155" s="850" t="s">
        <v>1146</v>
      </c>
      <c r="B155" s="851" t="s">
        <v>1147</v>
      </c>
      <c r="C155" s="851" t="s">
        <v>96</v>
      </c>
      <c r="D155" s="852" t="s">
        <v>1535</v>
      </c>
      <c r="E155" s="853">
        <v>1400</v>
      </c>
      <c r="F155" s="861" t="s">
        <v>1536</v>
      </c>
      <c r="G155" s="862" t="s">
        <v>1537</v>
      </c>
      <c r="H155" s="856"/>
      <c r="I155" s="856"/>
      <c r="J155" s="856"/>
      <c r="K155" s="857"/>
      <c r="L155" s="858">
        <v>2</v>
      </c>
      <c r="M155" s="859">
        <v>1820</v>
      </c>
      <c r="N155" s="857"/>
      <c r="O155" s="858"/>
      <c r="P155" s="860"/>
    </row>
    <row r="156" spans="1:16" ht="38.25">
      <c r="A156" s="850" t="s">
        <v>1146</v>
      </c>
      <c r="B156" s="851" t="s">
        <v>1147</v>
      </c>
      <c r="C156" s="851" t="s">
        <v>96</v>
      </c>
      <c r="D156" s="852" t="s">
        <v>1218</v>
      </c>
      <c r="E156" s="853">
        <v>1350</v>
      </c>
      <c r="F156" s="854" t="s">
        <v>1538</v>
      </c>
      <c r="G156" s="855" t="s">
        <v>1539</v>
      </c>
      <c r="H156" s="856"/>
      <c r="I156" s="856"/>
      <c r="J156" s="856"/>
      <c r="K156" s="857"/>
      <c r="L156" s="858">
        <v>3</v>
      </c>
      <c r="M156" s="859">
        <v>3015</v>
      </c>
      <c r="N156" s="857"/>
      <c r="O156" s="858"/>
      <c r="P156" s="860"/>
    </row>
    <row r="157" spans="1:16" ht="38.25">
      <c r="A157" s="850" t="s">
        <v>1146</v>
      </c>
      <c r="B157" s="851" t="s">
        <v>1147</v>
      </c>
      <c r="C157" s="851" t="s">
        <v>96</v>
      </c>
      <c r="D157" s="852" t="s">
        <v>1502</v>
      </c>
      <c r="E157" s="853">
        <v>2100</v>
      </c>
      <c r="F157" s="854" t="s">
        <v>1540</v>
      </c>
      <c r="G157" s="855" t="s">
        <v>1541</v>
      </c>
      <c r="H157" s="856"/>
      <c r="I157" s="856"/>
      <c r="J157" s="856"/>
      <c r="K157" s="857"/>
      <c r="L157" s="858">
        <v>6</v>
      </c>
      <c r="M157" s="859">
        <v>11200</v>
      </c>
      <c r="N157" s="857"/>
      <c r="O157" s="858"/>
      <c r="P157" s="860"/>
    </row>
    <row r="158" spans="1:16" ht="12.75">
      <c r="A158" s="850" t="s">
        <v>1146</v>
      </c>
      <c r="B158" s="851" t="s">
        <v>1147</v>
      </c>
      <c r="C158" s="851" t="s">
        <v>96</v>
      </c>
      <c r="D158" s="852" t="s">
        <v>1245</v>
      </c>
      <c r="E158" s="853">
        <v>2000</v>
      </c>
      <c r="F158" s="854" t="s">
        <v>1542</v>
      </c>
      <c r="G158" s="855" t="s">
        <v>1543</v>
      </c>
      <c r="H158" s="856"/>
      <c r="I158" s="856"/>
      <c r="J158" s="856"/>
      <c r="K158" s="857"/>
      <c r="L158" s="858">
        <v>6</v>
      </c>
      <c r="M158" s="859">
        <v>12000</v>
      </c>
      <c r="N158" s="857"/>
      <c r="O158" s="858"/>
      <c r="P158" s="860"/>
    </row>
    <row r="159" spans="1:16" ht="12.75">
      <c r="A159" s="850" t="s">
        <v>1146</v>
      </c>
      <c r="B159" s="851" t="s">
        <v>1147</v>
      </c>
      <c r="C159" s="851" t="s">
        <v>96</v>
      </c>
      <c r="D159" s="852" t="s">
        <v>1248</v>
      </c>
      <c r="E159" s="853">
        <v>1400</v>
      </c>
      <c r="F159" s="854" t="s">
        <v>1544</v>
      </c>
      <c r="G159" s="855" t="s">
        <v>1545</v>
      </c>
      <c r="H159" s="856"/>
      <c r="I159" s="856"/>
      <c r="J159" s="856"/>
      <c r="K159" s="857"/>
      <c r="L159" s="858">
        <v>1</v>
      </c>
      <c r="M159" s="859">
        <v>1820</v>
      </c>
      <c r="N159" s="857"/>
      <c r="O159" s="858"/>
      <c r="P159" s="860"/>
    </row>
    <row r="160" spans="1:16" ht="38.25">
      <c r="A160" s="850" t="s">
        <v>1146</v>
      </c>
      <c r="B160" s="851" t="s">
        <v>1147</v>
      </c>
      <c r="C160" s="851" t="s">
        <v>96</v>
      </c>
      <c r="D160" s="864" t="s">
        <v>1383</v>
      </c>
      <c r="E160" s="853">
        <v>2700</v>
      </c>
      <c r="F160" s="854" t="s">
        <v>1546</v>
      </c>
      <c r="G160" s="855" t="s">
        <v>1547</v>
      </c>
      <c r="H160" s="856"/>
      <c r="I160" s="856"/>
      <c r="J160" s="856"/>
      <c r="K160" s="857"/>
      <c r="L160" s="858">
        <v>6</v>
      </c>
      <c r="M160" s="859">
        <v>16553.33</v>
      </c>
      <c r="N160" s="857"/>
      <c r="O160" s="858"/>
      <c r="P160" s="860"/>
    </row>
    <row r="161" spans="1:16" ht="12.75">
      <c r="A161" s="850" t="s">
        <v>1146</v>
      </c>
      <c r="B161" s="851" t="s">
        <v>1147</v>
      </c>
      <c r="C161" s="851" t="s">
        <v>96</v>
      </c>
      <c r="D161" s="852" t="s">
        <v>1548</v>
      </c>
      <c r="E161" s="853">
        <v>1100</v>
      </c>
      <c r="F161" s="854" t="s">
        <v>1549</v>
      </c>
      <c r="G161" s="855" t="s">
        <v>1550</v>
      </c>
      <c r="H161" s="856"/>
      <c r="I161" s="856"/>
      <c r="J161" s="856"/>
      <c r="K161" s="857"/>
      <c r="L161" s="858">
        <v>1</v>
      </c>
      <c r="M161" s="859">
        <v>1466.67</v>
      </c>
      <c r="N161" s="857"/>
      <c r="O161" s="858"/>
      <c r="P161" s="860"/>
    </row>
    <row r="162" spans="1:16" ht="25.5">
      <c r="A162" s="850" t="s">
        <v>1146</v>
      </c>
      <c r="B162" s="851" t="s">
        <v>1147</v>
      </c>
      <c r="C162" s="851" t="s">
        <v>96</v>
      </c>
      <c r="D162" s="852" t="s">
        <v>1361</v>
      </c>
      <c r="E162" s="853">
        <v>1500</v>
      </c>
      <c r="F162" s="854" t="s">
        <v>1551</v>
      </c>
      <c r="G162" s="855" t="s">
        <v>1552</v>
      </c>
      <c r="H162" s="856"/>
      <c r="I162" s="856"/>
      <c r="J162" s="856"/>
      <c r="K162" s="857"/>
      <c r="L162" s="858">
        <v>6</v>
      </c>
      <c r="M162" s="859">
        <v>8850</v>
      </c>
      <c r="N162" s="857"/>
      <c r="O162" s="858"/>
      <c r="P162" s="860"/>
    </row>
    <row r="163" spans="1:16" ht="38.25">
      <c r="A163" s="850" t="s">
        <v>1146</v>
      </c>
      <c r="B163" s="851" t="s">
        <v>1147</v>
      </c>
      <c r="C163" s="851" t="s">
        <v>96</v>
      </c>
      <c r="D163" s="852" t="s">
        <v>1218</v>
      </c>
      <c r="E163" s="853">
        <v>1400</v>
      </c>
      <c r="F163" s="854" t="s">
        <v>1553</v>
      </c>
      <c r="G163" s="855" t="s">
        <v>1554</v>
      </c>
      <c r="H163" s="856"/>
      <c r="I163" s="856"/>
      <c r="J163" s="856"/>
      <c r="K163" s="857"/>
      <c r="L163" s="858">
        <v>1</v>
      </c>
      <c r="M163" s="859">
        <v>1866.67</v>
      </c>
      <c r="N163" s="857"/>
      <c r="O163" s="858"/>
      <c r="P163" s="860"/>
    </row>
    <row r="164" spans="1:16" ht="38.25">
      <c r="A164" s="850" t="s">
        <v>1146</v>
      </c>
      <c r="B164" s="851" t="s">
        <v>1147</v>
      </c>
      <c r="C164" s="851" t="s">
        <v>96</v>
      </c>
      <c r="D164" s="852" t="s">
        <v>1399</v>
      </c>
      <c r="E164" s="853">
        <v>1700</v>
      </c>
      <c r="F164" s="854" t="s">
        <v>1555</v>
      </c>
      <c r="G164" s="855" t="s">
        <v>1556</v>
      </c>
      <c r="H164" s="856"/>
      <c r="I164" s="856"/>
      <c r="J164" s="856"/>
      <c r="K164" s="857"/>
      <c r="L164" s="858">
        <v>1</v>
      </c>
      <c r="M164" s="859">
        <v>2210</v>
      </c>
      <c r="N164" s="857"/>
      <c r="O164" s="858"/>
      <c r="P164" s="860"/>
    </row>
    <row r="165" spans="1:16" ht="38.25">
      <c r="A165" s="850" t="s">
        <v>1146</v>
      </c>
      <c r="B165" s="851" t="s">
        <v>1147</v>
      </c>
      <c r="C165" s="851" t="s">
        <v>96</v>
      </c>
      <c r="D165" s="852" t="s">
        <v>1218</v>
      </c>
      <c r="E165" s="853">
        <v>1400</v>
      </c>
      <c r="F165" s="854" t="s">
        <v>1557</v>
      </c>
      <c r="G165" s="855" t="s">
        <v>1558</v>
      </c>
      <c r="H165" s="856"/>
      <c r="I165" s="856"/>
      <c r="J165" s="856"/>
      <c r="K165" s="857"/>
      <c r="L165" s="858">
        <v>3</v>
      </c>
      <c r="M165" s="859">
        <v>3406.66</v>
      </c>
      <c r="N165" s="857"/>
      <c r="O165" s="858"/>
      <c r="P165" s="860"/>
    </row>
    <row r="166" spans="1:16" ht="51">
      <c r="A166" s="850" t="s">
        <v>1146</v>
      </c>
      <c r="B166" s="851" t="s">
        <v>1147</v>
      </c>
      <c r="C166" s="851" t="s">
        <v>96</v>
      </c>
      <c r="D166" s="852" t="s">
        <v>1282</v>
      </c>
      <c r="E166" s="853">
        <v>1100</v>
      </c>
      <c r="F166" s="854" t="s">
        <v>1559</v>
      </c>
      <c r="G166" s="855" t="s">
        <v>1560</v>
      </c>
      <c r="H166" s="856"/>
      <c r="I166" s="856"/>
      <c r="J166" s="856"/>
      <c r="K166" s="857"/>
      <c r="L166" s="858">
        <v>1</v>
      </c>
      <c r="M166" s="859">
        <v>2676.66</v>
      </c>
      <c r="N166" s="857"/>
      <c r="O166" s="858"/>
      <c r="P166" s="860"/>
    </row>
    <row r="167" spans="1:16" ht="12.75">
      <c r="A167" s="850" t="s">
        <v>1146</v>
      </c>
      <c r="B167" s="851" t="s">
        <v>1147</v>
      </c>
      <c r="C167" s="851" t="s">
        <v>96</v>
      </c>
      <c r="D167" s="852" t="s">
        <v>1248</v>
      </c>
      <c r="E167" s="853">
        <v>1400</v>
      </c>
      <c r="F167" s="854" t="s">
        <v>1561</v>
      </c>
      <c r="G167" s="855" t="s">
        <v>1562</v>
      </c>
      <c r="H167" s="856"/>
      <c r="I167" s="856"/>
      <c r="J167" s="856"/>
      <c r="K167" s="857"/>
      <c r="L167" s="858">
        <v>6</v>
      </c>
      <c r="M167" s="859">
        <v>7953.33</v>
      </c>
      <c r="N167" s="857"/>
      <c r="O167" s="858"/>
      <c r="P167" s="860"/>
    </row>
    <row r="168" spans="1:16" ht="12.75">
      <c r="A168" s="850" t="s">
        <v>1146</v>
      </c>
      <c r="B168" s="851" t="s">
        <v>1147</v>
      </c>
      <c r="C168" s="851" t="s">
        <v>96</v>
      </c>
      <c r="D168" s="852" t="s">
        <v>1193</v>
      </c>
      <c r="E168" s="853">
        <v>1400</v>
      </c>
      <c r="F168" s="854" t="s">
        <v>1563</v>
      </c>
      <c r="G168" s="855" t="s">
        <v>1564</v>
      </c>
      <c r="H168" s="856"/>
      <c r="I168" s="856"/>
      <c r="J168" s="856"/>
      <c r="K168" s="857"/>
      <c r="L168" s="858">
        <v>1</v>
      </c>
      <c r="M168" s="859">
        <v>3453.33</v>
      </c>
      <c r="N168" s="857"/>
      <c r="O168" s="858"/>
      <c r="P168" s="860"/>
    </row>
    <row r="169" spans="1:16" ht="63.75">
      <c r="A169" s="850" t="s">
        <v>1146</v>
      </c>
      <c r="B169" s="851" t="s">
        <v>1147</v>
      </c>
      <c r="C169" s="851" t="s">
        <v>96</v>
      </c>
      <c r="D169" s="852" t="s">
        <v>1565</v>
      </c>
      <c r="E169" s="853">
        <v>1400</v>
      </c>
      <c r="F169" s="861" t="s">
        <v>1566</v>
      </c>
      <c r="G169" s="862" t="s">
        <v>1567</v>
      </c>
      <c r="H169" s="856"/>
      <c r="I169" s="856"/>
      <c r="J169" s="856"/>
      <c r="K169" s="857"/>
      <c r="L169" s="858">
        <v>2</v>
      </c>
      <c r="M169" s="859">
        <v>1820</v>
      </c>
      <c r="N169" s="857"/>
      <c r="O169" s="858"/>
      <c r="P169" s="860"/>
    </row>
    <row r="170" spans="1:16" ht="38.25">
      <c r="A170" s="850" t="s">
        <v>1146</v>
      </c>
      <c r="B170" s="851" t="s">
        <v>1147</v>
      </c>
      <c r="C170" s="851" t="s">
        <v>96</v>
      </c>
      <c r="D170" s="852" t="s">
        <v>1349</v>
      </c>
      <c r="E170" s="853">
        <v>1350</v>
      </c>
      <c r="F170" s="854" t="s">
        <v>1568</v>
      </c>
      <c r="G170" s="855" t="s">
        <v>1569</v>
      </c>
      <c r="H170" s="856"/>
      <c r="I170" s="856"/>
      <c r="J170" s="856"/>
      <c r="K170" s="857"/>
      <c r="L170" s="858">
        <v>1</v>
      </c>
      <c r="M170" s="859">
        <v>3330</v>
      </c>
      <c r="N170" s="857"/>
      <c r="O170" s="858"/>
      <c r="P170" s="860"/>
    </row>
    <row r="171" spans="1:16" ht="25.5">
      <c r="A171" s="850" t="s">
        <v>1146</v>
      </c>
      <c r="B171" s="851" t="s">
        <v>1147</v>
      </c>
      <c r="C171" s="851" t="s">
        <v>96</v>
      </c>
      <c r="D171" s="852" t="s">
        <v>1570</v>
      </c>
      <c r="E171" s="853">
        <v>2100</v>
      </c>
      <c r="F171" s="854" t="s">
        <v>1571</v>
      </c>
      <c r="G171" s="855" t="s">
        <v>1572</v>
      </c>
      <c r="H171" s="856"/>
      <c r="I171" s="856"/>
      <c r="J171" s="856"/>
      <c r="K171" s="857"/>
      <c r="L171" s="858">
        <v>1</v>
      </c>
      <c r="M171" s="859">
        <v>4760</v>
      </c>
      <c r="N171" s="857"/>
      <c r="O171" s="858"/>
      <c r="P171" s="860"/>
    </row>
    <row r="172" spans="1:16" ht="12.75">
      <c r="A172" s="850" t="s">
        <v>1146</v>
      </c>
      <c r="B172" s="851" t="s">
        <v>1147</v>
      </c>
      <c r="C172" s="851" t="s">
        <v>96</v>
      </c>
      <c r="D172" s="852" t="s">
        <v>1573</v>
      </c>
      <c r="E172" s="853">
        <v>1100</v>
      </c>
      <c r="F172" s="854" t="s">
        <v>1574</v>
      </c>
      <c r="G172" s="855" t="s">
        <v>1575</v>
      </c>
      <c r="H172" s="856"/>
      <c r="I172" s="856"/>
      <c r="J172" s="856"/>
      <c r="K172" s="857"/>
      <c r="L172" s="858">
        <v>1</v>
      </c>
      <c r="M172" s="859">
        <v>2713.33</v>
      </c>
      <c r="N172" s="857"/>
      <c r="O172" s="858"/>
      <c r="P172" s="860"/>
    </row>
    <row r="173" spans="1:16" ht="25.5">
      <c r="A173" s="850" t="s">
        <v>1146</v>
      </c>
      <c r="B173" s="851" t="s">
        <v>1147</v>
      </c>
      <c r="C173" s="851" t="s">
        <v>96</v>
      </c>
      <c r="D173" s="864" t="s">
        <v>1576</v>
      </c>
      <c r="E173" s="853">
        <v>1200</v>
      </c>
      <c r="F173" s="854" t="s">
        <v>1577</v>
      </c>
      <c r="G173" s="855" t="s">
        <v>1578</v>
      </c>
      <c r="H173" s="856"/>
      <c r="I173" s="856"/>
      <c r="J173" s="856"/>
      <c r="K173" s="857"/>
      <c r="L173" s="858">
        <v>5</v>
      </c>
      <c r="M173" s="859">
        <v>5520</v>
      </c>
      <c r="N173" s="857"/>
      <c r="O173" s="858"/>
      <c r="P173" s="860"/>
    </row>
    <row r="174" spans="1:16" ht="51">
      <c r="A174" s="850" t="s">
        <v>1146</v>
      </c>
      <c r="B174" s="851" t="s">
        <v>1147</v>
      </c>
      <c r="C174" s="851" t="s">
        <v>96</v>
      </c>
      <c r="D174" s="852" t="s">
        <v>1579</v>
      </c>
      <c r="E174" s="853">
        <v>1200</v>
      </c>
      <c r="F174" s="861" t="s">
        <v>1580</v>
      </c>
      <c r="G174" s="862" t="s">
        <v>1581</v>
      </c>
      <c r="H174" s="856"/>
      <c r="I174" s="856"/>
      <c r="J174" s="856"/>
      <c r="K174" s="857"/>
      <c r="L174" s="858">
        <v>2</v>
      </c>
      <c r="M174" s="859">
        <v>2320</v>
      </c>
      <c r="N174" s="857"/>
      <c r="O174" s="858"/>
      <c r="P174" s="860"/>
    </row>
    <row r="175" spans="1:16" ht="38.25">
      <c r="A175" s="850" t="s">
        <v>1146</v>
      </c>
      <c r="B175" s="851" t="s">
        <v>1147</v>
      </c>
      <c r="C175" s="851" t="s">
        <v>96</v>
      </c>
      <c r="D175" s="852" t="s">
        <v>1175</v>
      </c>
      <c r="E175" s="853">
        <v>1300</v>
      </c>
      <c r="F175" s="861" t="s">
        <v>1582</v>
      </c>
      <c r="G175" s="862" t="s">
        <v>1583</v>
      </c>
      <c r="H175" s="856"/>
      <c r="I175" s="856"/>
      <c r="J175" s="856"/>
      <c r="K175" s="857"/>
      <c r="L175" s="858">
        <v>4</v>
      </c>
      <c r="M175" s="863">
        <v>5113.33</v>
      </c>
      <c r="N175" s="857"/>
      <c r="O175" s="858"/>
      <c r="P175" s="860"/>
    </row>
    <row r="176" spans="1:16" ht="38.25">
      <c r="A176" s="850" t="s">
        <v>1146</v>
      </c>
      <c r="B176" s="851" t="s">
        <v>1147</v>
      </c>
      <c r="C176" s="851" t="s">
        <v>96</v>
      </c>
      <c r="D176" s="852" t="s">
        <v>1584</v>
      </c>
      <c r="E176" s="853">
        <v>1400</v>
      </c>
      <c r="F176" s="854" t="s">
        <v>1585</v>
      </c>
      <c r="G176" s="855" t="s">
        <v>1586</v>
      </c>
      <c r="H176" s="856"/>
      <c r="I176" s="856"/>
      <c r="J176" s="856"/>
      <c r="K176" s="857"/>
      <c r="L176" s="858">
        <v>1</v>
      </c>
      <c r="M176" s="859">
        <v>1866.67</v>
      </c>
      <c r="N176" s="857"/>
      <c r="O176" s="858"/>
      <c r="P176" s="860"/>
    </row>
    <row r="177" spans="1:16" ht="12.75">
      <c r="A177" s="850" t="s">
        <v>1146</v>
      </c>
      <c r="B177" s="851" t="s">
        <v>1147</v>
      </c>
      <c r="C177" s="851" t="s">
        <v>96</v>
      </c>
      <c r="D177" s="852" t="s">
        <v>1587</v>
      </c>
      <c r="E177" s="853">
        <v>1700</v>
      </c>
      <c r="F177" s="861" t="s">
        <v>1588</v>
      </c>
      <c r="G177" s="862" t="s">
        <v>1589</v>
      </c>
      <c r="H177" s="856"/>
      <c r="I177" s="856"/>
      <c r="J177" s="856"/>
      <c r="K177" s="857"/>
      <c r="L177" s="858">
        <v>6</v>
      </c>
      <c r="M177" s="863">
        <v>9163.34</v>
      </c>
      <c r="N177" s="857"/>
      <c r="O177" s="858"/>
      <c r="P177" s="860"/>
    </row>
    <row r="178" spans="1:16" ht="38.25">
      <c r="A178" s="850" t="s">
        <v>1146</v>
      </c>
      <c r="B178" s="851" t="s">
        <v>1147</v>
      </c>
      <c r="C178" s="851" t="s">
        <v>96</v>
      </c>
      <c r="D178" s="852" t="s">
        <v>1535</v>
      </c>
      <c r="E178" s="853">
        <v>1400</v>
      </c>
      <c r="F178" s="861" t="s">
        <v>1590</v>
      </c>
      <c r="G178" s="862" t="s">
        <v>1591</v>
      </c>
      <c r="H178" s="856"/>
      <c r="I178" s="856"/>
      <c r="J178" s="856"/>
      <c r="K178" s="857"/>
      <c r="L178" s="858">
        <v>2</v>
      </c>
      <c r="M178" s="863">
        <v>1866.67</v>
      </c>
      <c r="N178" s="857"/>
      <c r="O178" s="858"/>
      <c r="P178" s="860"/>
    </row>
    <row r="179" spans="1:16" ht="38.25">
      <c r="A179" s="850" t="s">
        <v>1146</v>
      </c>
      <c r="B179" s="851" t="s">
        <v>1147</v>
      </c>
      <c r="C179" s="851" t="s">
        <v>96</v>
      </c>
      <c r="D179" s="852" t="s">
        <v>1204</v>
      </c>
      <c r="E179" s="853">
        <v>1500</v>
      </c>
      <c r="F179" s="854" t="s">
        <v>1592</v>
      </c>
      <c r="G179" s="855" t="s">
        <v>1593</v>
      </c>
      <c r="H179" s="856"/>
      <c r="I179" s="856"/>
      <c r="J179" s="856"/>
      <c r="K179" s="857"/>
      <c r="L179" s="858">
        <v>6</v>
      </c>
      <c r="M179" s="859">
        <v>7820</v>
      </c>
      <c r="N179" s="857"/>
      <c r="O179" s="858"/>
      <c r="P179" s="860"/>
    </row>
    <row r="180" spans="1:16" ht="38.25">
      <c r="A180" s="850" t="s">
        <v>1146</v>
      </c>
      <c r="B180" s="851" t="s">
        <v>1147</v>
      </c>
      <c r="C180" s="851" t="s">
        <v>96</v>
      </c>
      <c r="D180" s="864" t="s">
        <v>1594</v>
      </c>
      <c r="E180" s="853">
        <v>1000</v>
      </c>
      <c r="F180" s="854" t="s">
        <v>1595</v>
      </c>
      <c r="G180" s="855" t="s">
        <v>1596</v>
      </c>
      <c r="H180" s="856"/>
      <c r="I180" s="856"/>
      <c r="J180" s="856"/>
      <c r="K180" s="857"/>
      <c r="L180" s="858">
        <v>3</v>
      </c>
      <c r="M180" s="859">
        <v>2966.67</v>
      </c>
      <c r="N180" s="857"/>
      <c r="O180" s="858"/>
      <c r="P180" s="860"/>
    </row>
    <row r="181" spans="1:16" ht="51">
      <c r="A181" s="850" t="s">
        <v>1146</v>
      </c>
      <c r="B181" s="851" t="s">
        <v>1147</v>
      </c>
      <c r="C181" s="851" t="s">
        <v>96</v>
      </c>
      <c r="D181" s="865" t="s">
        <v>1148</v>
      </c>
      <c r="E181" s="866">
        <v>1900</v>
      </c>
      <c r="F181" s="851">
        <v>45617171</v>
      </c>
      <c r="G181" s="867" t="s">
        <v>1150</v>
      </c>
      <c r="H181" s="856"/>
      <c r="I181" s="856"/>
      <c r="J181" s="856"/>
      <c r="K181" s="857"/>
      <c r="L181" s="857"/>
      <c r="M181" s="856"/>
      <c r="N181" s="857"/>
      <c r="O181" s="858">
        <v>6</v>
      </c>
      <c r="P181" s="859">
        <v>11210</v>
      </c>
    </row>
    <row r="182" spans="1:16" ht="38.25">
      <c r="A182" s="850" t="s">
        <v>1146</v>
      </c>
      <c r="B182" s="851" t="s">
        <v>1147</v>
      </c>
      <c r="C182" s="851" t="s">
        <v>96</v>
      </c>
      <c r="D182" s="865" t="s">
        <v>1151</v>
      </c>
      <c r="E182" s="866">
        <v>1100</v>
      </c>
      <c r="F182" s="851">
        <v>72870814</v>
      </c>
      <c r="G182" s="867" t="s">
        <v>1597</v>
      </c>
      <c r="H182" s="856"/>
      <c r="I182" s="856"/>
      <c r="J182" s="856"/>
      <c r="K182" s="857"/>
      <c r="L182" s="857"/>
      <c r="M182" s="856"/>
      <c r="N182" s="857"/>
      <c r="O182" s="858">
        <v>3</v>
      </c>
      <c r="P182" s="859">
        <v>3300</v>
      </c>
    </row>
    <row r="183" spans="1:16" ht="38.25">
      <c r="A183" s="850" t="s">
        <v>1146</v>
      </c>
      <c r="B183" s="851" t="s">
        <v>1147</v>
      </c>
      <c r="C183" s="851" t="s">
        <v>96</v>
      </c>
      <c r="D183" s="865" t="s">
        <v>1469</v>
      </c>
      <c r="E183" s="866">
        <v>2100</v>
      </c>
      <c r="F183" s="851">
        <v>41304711</v>
      </c>
      <c r="G183" s="867" t="s">
        <v>1156</v>
      </c>
      <c r="H183" s="856"/>
      <c r="I183" s="856"/>
      <c r="J183" s="856"/>
      <c r="K183" s="857"/>
      <c r="L183" s="857"/>
      <c r="M183" s="856"/>
      <c r="N183" s="857"/>
      <c r="O183" s="858">
        <v>3</v>
      </c>
      <c r="P183" s="859">
        <v>6370</v>
      </c>
    </row>
    <row r="184" spans="1:16" ht="25.5">
      <c r="A184" s="850" t="s">
        <v>1146</v>
      </c>
      <c r="B184" s="851" t="s">
        <v>1147</v>
      </c>
      <c r="C184" s="851" t="s">
        <v>96</v>
      </c>
      <c r="D184" s="865" t="s">
        <v>1157</v>
      </c>
      <c r="E184" s="866">
        <v>1400</v>
      </c>
      <c r="F184" s="851">
        <v>44938990</v>
      </c>
      <c r="G184" s="867" t="s">
        <v>1159</v>
      </c>
      <c r="H184" s="856"/>
      <c r="I184" s="856"/>
      <c r="J184" s="856"/>
      <c r="K184" s="857"/>
      <c r="L184" s="857"/>
      <c r="M184" s="856"/>
      <c r="N184" s="857"/>
      <c r="O184" s="858">
        <v>6</v>
      </c>
      <c r="P184" s="859">
        <v>8306.67</v>
      </c>
    </row>
    <row r="185" spans="1:16" ht="25.5">
      <c r="A185" s="850" t="s">
        <v>1146</v>
      </c>
      <c r="B185" s="851" t="s">
        <v>1147</v>
      </c>
      <c r="C185" s="851" t="s">
        <v>96</v>
      </c>
      <c r="D185" s="865" t="s">
        <v>1163</v>
      </c>
      <c r="E185" s="866">
        <v>1400</v>
      </c>
      <c r="F185" s="851">
        <v>47549983</v>
      </c>
      <c r="G185" s="867" t="s">
        <v>1598</v>
      </c>
      <c r="H185" s="856"/>
      <c r="I185" s="856"/>
      <c r="J185" s="856"/>
      <c r="K185" s="857"/>
      <c r="L185" s="857"/>
      <c r="M185" s="856"/>
      <c r="N185" s="857"/>
      <c r="O185" s="858">
        <v>3</v>
      </c>
      <c r="P185" s="859">
        <v>4200</v>
      </c>
    </row>
    <row r="186" spans="1:16" ht="12.75">
      <c r="A186" s="850" t="s">
        <v>1146</v>
      </c>
      <c r="B186" s="851" t="s">
        <v>1147</v>
      </c>
      <c r="C186" s="851" t="s">
        <v>96</v>
      </c>
      <c r="D186" s="865" t="s">
        <v>1169</v>
      </c>
      <c r="E186" s="866">
        <v>2100</v>
      </c>
      <c r="F186" s="851">
        <v>71431390</v>
      </c>
      <c r="G186" s="867" t="s">
        <v>1171</v>
      </c>
      <c r="H186" s="856"/>
      <c r="I186" s="856"/>
      <c r="J186" s="856"/>
      <c r="K186" s="857"/>
      <c r="L186" s="857"/>
      <c r="M186" s="856"/>
      <c r="N186" s="857"/>
      <c r="O186" s="858">
        <v>6</v>
      </c>
      <c r="P186" s="859">
        <v>12600</v>
      </c>
    </row>
    <row r="187" spans="1:16" ht="38.25">
      <c r="A187" s="850" t="s">
        <v>1146</v>
      </c>
      <c r="B187" s="851" t="s">
        <v>1147</v>
      </c>
      <c r="C187" s="851" t="s">
        <v>96</v>
      </c>
      <c r="D187" s="865" t="s">
        <v>1172</v>
      </c>
      <c r="E187" s="866">
        <v>1700</v>
      </c>
      <c r="F187" s="851">
        <v>41807624</v>
      </c>
      <c r="G187" s="867" t="s">
        <v>1174</v>
      </c>
      <c r="H187" s="856"/>
      <c r="I187" s="856"/>
      <c r="J187" s="856"/>
      <c r="K187" s="857"/>
      <c r="L187" s="857"/>
      <c r="M187" s="856"/>
      <c r="N187" s="857"/>
      <c r="O187" s="858">
        <v>6</v>
      </c>
      <c r="P187" s="859">
        <v>10143.33</v>
      </c>
    </row>
    <row r="188" spans="1:16" ht="12.75">
      <c r="A188" s="850" t="s">
        <v>1146</v>
      </c>
      <c r="B188" s="851" t="s">
        <v>1147</v>
      </c>
      <c r="C188" s="851" t="s">
        <v>96</v>
      </c>
      <c r="D188" s="865" t="s">
        <v>1181</v>
      </c>
      <c r="E188" s="866">
        <v>2700</v>
      </c>
      <c r="F188" s="851">
        <v>40355964</v>
      </c>
      <c r="G188" s="867" t="s">
        <v>1183</v>
      </c>
      <c r="H188" s="856"/>
      <c r="I188" s="856"/>
      <c r="J188" s="856"/>
      <c r="K188" s="857"/>
      <c r="L188" s="857"/>
      <c r="M188" s="856"/>
      <c r="N188" s="857"/>
      <c r="O188" s="858">
        <v>6</v>
      </c>
      <c r="P188" s="859">
        <v>16200</v>
      </c>
    </row>
    <row r="189" spans="1:16" ht="12.75">
      <c r="A189" s="850" t="s">
        <v>1146</v>
      </c>
      <c r="B189" s="851" t="s">
        <v>1147</v>
      </c>
      <c r="C189" s="851" t="s">
        <v>96</v>
      </c>
      <c r="D189" s="865" t="s">
        <v>1184</v>
      </c>
      <c r="E189" s="866">
        <v>2100</v>
      </c>
      <c r="F189" s="851">
        <v>45333117</v>
      </c>
      <c r="G189" s="867" t="s">
        <v>1186</v>
      </c>
      <c r="H189" s="856"/>
      <c r="I189" s="856"/>
      <c r="J189" s="856"/>
      <c r="K189" s="857"/>
      <c r="L189" s="857"/>
      <c r="M189" s="856"/>
      <c r="N189" s="857"/>
      <c r="O189" s="858">
        <v>5</v>
      </c>
      <c r="P189" s="859">
        <v>10500</v>
      </c>
    </row>
    <row r="190" spans="1:16" ht="51">
      <c r="A190" s="850" t="s">
        <v>1146</v>
      </c>
      <c r="B190" s="851" t="s">
        <v>1147</v>
      </c>
      <c r="C190" s="851" t="s">
        <v>96</v>
      </c>
      <c r="D190" s="865" t="s">
        <v>1187</v>
      </c>
      <c r="E190" s="866">
        <v>2100</v>
      </c>
      <c r="F190" s="851">
        <v>80660569</v>
      </c>
      <c r="G190" s="867" t="s">
        <v>1599</v>
      </c>
      <c r="H190" s="856"/>
      <c r="I190" s="856"/>
      <c r="J190" s="856"/>
      <c r="K190" s="857"/>
      <c r="L190" s="857"/>
      <c r="M190" s="856"/>
      <c r="N190" s="857"/>
      <c r="O190" s="858">
        <v>3</v>
      </c>
      <c r="P190" s="859">
        <v>6300</v>
      </c>
    </row>
    <row r="191" spans="1:16" ht="12.75">
      <c r="A191" s="850" t="s">
        <v>1146</v>
      </c>
      <c r="B191" s="851" t="s">
        <v>1147</v>
      </c>
      <c r="C191" s="851" t="s">
        <v>96</v>
      </c>
      <c r="D191" s="865" t="s">
        <v>1193</v>
      </c>
      <c r="E191" s="866">
        <v>1400</v>
      </c>
      <c r="F191" s="851">
        <v>47804024</v>
      </c>
      <c r="G191" s="867" t="s">
        <v>1195</v>
      </c>
      <c r="H191" s="856"/>
      <c r="I191" s="856"/>
      <c r="J191" s="856"/>
      <c r="K191" s="857"/>
      <c r="L191" s="857"/>
      <c r="M191" s="856"/>
      <c r="N191" s="857"/>
      <c r="O191" s="858">
        <v>6</v>
      </c>
      <c r="P191" s="859">
        <v>8400</v>
      </c>
    </row>
    <row r="192" spans="1:16" ht="25.5">
      <c r="A192" s="850" t="s">
        <v>1146</v>
      </c>
      <c r="B192" s="851" t="s">
        <v>1147</v>
      </c>
      <c r="C192" s="851" t="s">
        <v>96</v>
      </c>
      <c r="D192" s="865" t="s">
        <v>1199</v>
      </c>
      <c r="E192" s="866">
        <v>1400</v>
      </c>
      <c r="F192" s="851">
        <v>71469917</v>
      </c>
      <c r="G192" s="867" t="s">
        <v>1201</v>
      </c>
      <c r="H192" s="856"/>
      <c r="I192" s="856"/>
      <c r="J192" s="856"/>
      <c r="K192" s="857"/>
      <c r="L192" s="857"/>
      <c r="M192" s="856"/>
      <c r="N192" s="857"/>
      <c r="O192" s="858">
        <v>6</v>
      </c>
      <c r="P192" s="859">
        <v>8400</v>
      </c>
    </row>
    <row r="193" spans="1:16" ht="38.25">
      <c r="A193" s="850" t="s">
        <v>1146</v>
      </c>
      <c r="B193" s="851" t="s">
        <v>1147</v>
      </c>
      <c r="C193" s="851" t="s">
        <v>96</v>
      </c>
      <c r="D193" s="865" t="s">
        <v>1377</v>
      </c>
      <c r="E193" s="866">
        <v>1100</v>
      </c>
      <c r="F193" s="851">
        <v>44406322</v>
      </c>
      <c r="G193" s="867" t="s">
        <v>1600</v>
      </c>
      <c r="H193" s="856"/>
      <c r="I193" s="856"/>
      <c r="J193" s="856"/>
      <c r="K193" s="857"/>
      <c r="L193" s="857"/>
      <c r="M193" s="856"/>
      <c r="N193" s="857"/>
      <c r="O193" s="858">
        <v>6</v>
      </c>
      <c r="P193" s="859">
        <v>6600</v>
      </c>
    </row>
    <row r="194" spans="1:16" ht="25.5">
      <c r="A194" s="850" t="s">
        <v>1146</v>
      </c>
      <c r="B194" s="851" t="s">
        <v>1147</v>
      </c>
      <c r="C194" s="851" t="s">
        <v>96</v>
      </c>
      <c r="D194" s="865" t="s">
        <v>1166</v>
      </c>
      <c r="E194" s="866">
        <v>3000</v>
      </c>
      <c r="F194" s="851">
        <v>70883266</v>
      </c>
      <c r="G194" s="867" t="s">
        <v>1601</v>
      </c>
      <c r="H194" s="856"/>
      <c r="I194" s="856"/>
      <c r="J194" s="856"/>
      <c r="K194" s="857"/>
      <c r="L194" s="857"/>
      <c r="M194" s="856"/>
      <c r="N194" s="857"/>
      <c r="O194" s="858">
        <v>5</v>
      </c>
      <c r="P194" s="859">
        <v>12400</v>
      </c>
    </row>
    <row r="195" spans="1:16" ht="12.75">
      <c r="A195" s="850" t="s">
        <v>1146</v>
      </c>
      <c r="B195" s="851" t="s">
        <v>1147</v>
      </c>
      <c r="C195" s="851" t="s">
        <v>96</v>
      </c>
      <c r="D195" s="865" t="s">
        <v>1193</v>
      </c>
      <c r="E195" s="866">
        <v>1400</v>
      </c>
      <c r="F195" s="851">
        <v>42722564</v>
      </c>
      <c r="G195" s="867" t="s">
        <v>1203</v>
      </c>
      <c r="H195" s="856"/>
      <c r="I195" s="856"/>
      <c r="J195" s="856"/>
      <c r="K195" s="857"/>
      <c r="L195" s="857"/>
      <c r="M195" s="856"/>
      <c r="N195" s="857"/>
      <c r="O195" s="858">
        <v>6</v>
      </c>
      <c r="P195" s="859">
        <v>8400</v>
      </c>
    </row>
    <row r="196" spans="1:16" ht="38.25">
      <c r="A196" s="850" t="s">
        <v>1146</v>
      </c>
      <c r="B196" s="851" t="s">
        <v>1147</v>
      </c>
      <c r="C196" s="851" t="s">
        <v>96</v>
      </c>
      <c r="D196" s="865" t="s">
        <v>1204</v>
      </c>
      <c r="E196" s="866">
        <v>1400</v>
      </c>
      <c r="F196" s="851">
        <v>15580564</v>
      </c>
      <c r="G196" s="867" t="s">
        <v>1206</v>
      </c>
      <c r="H196" s="856"/>
      <c r="I196" s="856"/>
      <c r="J196" s="856"/>
      <c r="K196" s="857"/>
      <c r="L196" s="857"/>
      <c r="M196" s="856"/>
      <c r="N196" s="857"/>
      <c r="O196" s="858">
        <v>6</v>
      </c>
      <c r="P196" s="859">
        <v>8400</v>
      </c>
    </row>
    <row r="197" spans="1:16" ht="12.75">
      <c r="A197" s="850" t="s">
        <v>1146</v>
      </c>
      <c r="B197" s="851" t="s">
        <v>1147</v>
      </c>
      <c r="C197" s="851" t="s">
        <v>96</v>
      </c>
      <c r="D197" s="865" t="s">
        <v>1193</v>
      </c>
      <c r="E197" s="866">
        <v>1400</v>
      </c>
      <c r="F197" s="851">
        <v>46270279</v>
      </c>
      <c r="G197" s="867" t="s">
        <v>1213</v>
      </c>
      <c r="H197" s="856"/>
      <c r="I197" s="856"/>
      <c r="J197" s="856"/>
      <c r="K197" s="857"/>
      <c r="L197" s="857"/>
      <c r="M197" s="856"/>
      <c r="N197" s="857"/>
      <c r="O197" s="858">
        <v>6</v>
      </c>
      <c r="P197" s="859">
        <v>8400</v>
      </c>
    </row>
    <row r="198" spans="1:16" ht="25.5">
      <c r="A198" s="850" t="s">
        <v>1146</v>
      </c>
      <c r="B198" s="851" t="s">
        <v>1147</v>
      </c>
      <c r="C198" s="851" t="s">
        <v>96</v>
      </c>
      <c r="D198" s="865" t="s">
        <v>1266</v>
      </c>
      <c r="E198" s="866">
        <v>2100</v>
      </c>
      <c r="F198" s="851">
        <v>4339103</v>
      </c>
      <c r="G198" s="867" t="s">
        <v>1602</v>
      </c>
      <c r="H198" s="856"/>
      <c r="I198" s="856"/>
      <c r="J198" s="856"/>
      <c r="K198" s="857"/>
      <c r="L198" s="857"/>
      <c r="M198" s="856"/>
      <c r="N198" s="857"/>
      <c r="O198" s="858">
        <v>6</v>
      </c>
      <c r="P198" s="859">
        <v>12600</v>
      </c>
    </row>
    <row r="199" spans="1:16" ht="25.5">
      <c r="A199" s="850" t="s">
        <v>1146</v>
      </c>
      <c r="B199" s="851" t="s">
        <v>1147</v>
      </c>
      <c r="C199" s="851" t="s">
        <v>96</v>
      </c>
      <c r="D199" s="865" t="s">
        <v>1603</v>
      </c>
      <c r="E199" s="866">
        <v>1700</v>
      </c>
      <c r="F199" s="851">
        <v>70254814</v>
      </c>
      <c r="G199" s="867" t="s">
        <v>1604</v>
      </c>
      <c r="H199" s="856"/>
      <c r="I199" s="856"/>
      <c r="J199" s="856"/>
      <c r="K199" s="857"/>
      <c r="L199" s="857"/>
      <c r="M199" s="856"/>
      <c r="N199" s="857"/>
      <c r="O199" s="858">
        <v>3</v>
      </c>
      <c r="P199" s="859">
        <v>5100</v>
      </c>
    </row>
    <row r="200" spans="1:16" ht="38.25">
      <c r="A200" s="850" t="s">
        <v>1146</v>
      </c>
      <c r="B200" s="851" t="s">
        <v>1147</v>
      </c>
      <c r="C200" s="851" t="s">
        <v>96</v>
      </c>
      <c r="D200" s="865" t="s">
        <v>1151</v>
      </c>
      <c r="E200" s="866">
        <v>1100</v>
      </c>
      <c r="F200" s="851">
        <v>43312974</v>
      </c>
      <c r="G200" s="867" t="s">
        <v>1605</v>
      </c>
      <c r="H200" s="856"/>
      <c r="I200" s="856"/>
      <c r="J200" s="856"/>
      <c r="K200" s="857"/>
      <c r="L200" s="857"/>
      <c r="M200" s="856"/>
      <c r="N200" s="857"/>
      <c r="O200" s="858">
        <v>3</v>
      </c>
      <c r="P200" s="859">
        <v>3300</v>
      </c>
    </row>
    <row r="201" spans="1:16" ht="25.5">
      <c r="A201" s="850" t="s">
        <v>1146</v>
      </c>
      <c r="B201" s="851" t="s">
        <v>1147</v>
      </c>
      <c r="C201" s="851" t="s">
        <v>96</v>
      </c>
      <c r="D201" s="865" t="s">
        <v>1199</v>
      </c>
      <c r="E201" s="866">
        <v>1200</v>
      </c>
      <c r="F201" s="851">
        <v>73698174</v>
      </c>
      <c r="G201" s="867" t="s">
        <v>1217</v>
      </c>
      <c r="H201" s="856"/>
      <c r="I201" s="856"/>
      <c r="J201" s="856"/>
      <c r="K201" s="857"/>
      <c r="L201" s="857"/>
      <c r="M201" s="856"/>
      <c r="N201" s="857"/>
      <c r="O201" s="858">
        <v>5</v>
      </c>
      <c r="P201" s="859">
        <v>4960</v>
      </c>
    </row>
    <row r="202" spans="1:16" ht="12.75">
      <c r="A202" s="850" t="s">
        <v>1146</v>
      </c>
      <c r="B202" s="851" t="s">
        <v>1147</v>
      </c>
      <c r="C202" s="851" t="s">
        <v>96</v>
      </c>
      <c r="D202" s="865" t="s">
        <v>1193</v>
      </c>
      <c r="E202" s="866">
        <v>1400</v>
      </c>
      <c r="F202" s="851">
        <v>71796435</v>
      </c>
      <c r="G202" s="867" t="s">
        <v>1225</v>
      </c>
      <c r="H202" s="856"/>
      <c r="I202" s="856"/>
      <c r="J202" s="856"/>
      <c r="K202" s="857"/>
      <c r="L202" s="857"/>
      <c r="M202" s="856"/>
      <c r="N202" s="857"/>
      <c r="O202" s="858">
        <v>6</v>
      </c>
      <c r="P202" s="859">
        <v>8400</v>
      </c>
    </row>
    <row r="203" spans="1:16" ht="12.75">
      <c r="A203" s="850" t="s">
        <v>1146</v>
      </c>
      <c r="B203" s="851" t="s">
        <v>1147</v>
      </c>
      <c r="C203" s="851" t="s">
        <v>96</v>
      </c>
      <c r="D203" s="865" t="s">
        <v>1193</v>
      </c>
      <c r="E203" s="866">
        <v>1400</v>
      </c>
      <c r="F203" s="850" t="s">
        <v>1226</v>
      </c>
      <c r="G203" s="867" t="s">
        <v>1227</v>
      </c>
      <c r="H203" s="856"/>
      <c r="I203" s="856"/>
      <c r="J203" s="856"/>
      <c r="K203" s="857"/>
      <c r="L203" s="857"/>
      <c r="M203" s="856"/>
      <c r="N203" s="857"/>
      <c r="O203" s="858">
        <v>6</v>
      </c>
      <c r="P203" s="859">
        <v>8400</v>
      </c>
    </row>
    <row r="204" spans="1:16" ht="63.75">
      <c r="A204" s="850" t="s">
        <v>1146</v>
      </c>
      <c r="B204" s="851" t="s">
        <v>1147</v>
      </c>
      <c r="C204" s="851" t="s">
        <v>96</v>
      </c>
      <c r="D204" s="865" t="s">
        <v>1228</v>
      </c>
      <c r="E204" s="866">
        <v>1100</v>
      </c>
      <c r="F204" s="851">
        <v>41476622</v>
      </c>
      <c r="G204" s="867" t="s">
        <v>1230</v>
      </c>
      <c r="H204" s="856"/>
      <c r="I204" s="856"/>
      <c r="J204" s="856"/>
      <c r="K204" s="857"/>
      <c r="L204" s="857"/>
      <c r="M204" s="856"/>
      <c r="N204" s="857"/>
      <c r="O204" s="858">
        <v>3</v>
      </c>
      <c r="P204" s="859">
        <v>2676.67</v>
      </c>
    </row>
    <row r="205" spans="1:16" ht="38.25">
      <c r="A205" s="850" t="s">
        <v>1146</v>
      </c>
      <c r="B205" s="851" t="s">
        <v>1147</v>
      </c>
      <c r="C205" s="851" t="s">
        <v>96</v>
      </c>
      <c r="D205" s="865" t="s">
        <v>1231</v>
      </c>
      <c r="E205" s="866">
        <v>1350</v>
      </c>
      <c r="F205" s="851">
        <v>47086296</v>
      </c>
      <c r="G205" s="867" t="s">
        <v>1233</v>
      </c>
      <c r="H205" s="856"/>
      <c r="I205" s="856"/>
      <c r="J205" s="856"/>
      <c r="K205" s="857"/>
      <c r="L205" s="857"/>
      <c r="M205" s="856"/>
      <c r="N205" s="857"/>
      <c r="O205" s="858">
        <v>6</v>
      </c>
      <c r="P205" s="859">
        <v>8100</v>
      </c>
    </row>
    <row r="206" spans="1:16" ht="12.75">
      <c r="A206" s="850" t="s">
        <v>1146</v>
      </c>
      <c r="B206" s="851" t="s">
        <v>1147</v>
      </c>
      <c r="C206" s="851" t="s">
        <v>96</v>
      </c>
      <c r="D206" s="865" t="s">
        <v>1290</v>
      </c>
      <c r="E206" s="866">
        <v>2400</v>
      </c>
      <c r="F206" s="851">
        <v>46417996</v>
      </c>
      <c r="G206" s="867" t="s">
        <v>1606</v>
      </c>
      <c r="H206" s="856"/>
      <c r="I206" s="856"/>
      <c r="J206" s="856"/>
      <c r="K206" s="857"/>
      <c r="L206" s="857"/>
      <c r="M206" s="856"/>
      <c r="N206" s="857"/>
      <c r="O206" s="858">
        <v>6</v>
      </c>
      <c r="P206" s="859">
        <v>14400</v>
      </c>
    </row>
    <row r="207" spans="1:16" ht="12.75">
      <c r="A207" s="850" t="s">
        <v>1146</v>
      </c>
      <c r="B207" s="851" t="s">
        <v>1147</v>
      </c>
      <c r="C207" s="851" t="s">
        <v>96</v>
      </c>
      <c r="D207" s="865" t="s">
        <v>1234</v>
      </c>
      <c r="E207" s="866">
        <v>2000</v>
      </c>
      <c r="F207" s="851">
        <v>72076085</v>
      </c>
      <c r="G207" s="867" t="s">
        <v>1236</v>
      </c>
      <c r="H207" s="856"/>
      <c r="I207" s="856"/>
      <c r="J207" s="856"/>
      <c r="K207" s="857"/>
      <c r="L207" s="857"/>
      <c r="M207" s="856"/>
      <c r="N207" s="857"/>
      <c r="O207" s="858">
        <v>6</v>
      </c>
      <c r="P207" s="859">
        <v>11933.33</v>
      </c>
    </row>
    <row r="208" spans="1:16" ht="38.25">
      <c r="A208" s="850" t="s">
        <v>1146</v>
      </c>
      <c r="B208" s="851" t="s">
        <v>1147</v>
      </c>
      <c r="C208" s="851" t="s">
        <v>96</v>
      </c>
      <c r="D208" s="865" t="s">
        <v>1151</v>
      </c>
      <c r="E208" s="866">
        <v>1100</v>
      </c>
      <c r="F208" s="851">
        <v>10684871</v>
      </c>
      <c r="G208" s="867" t="s">
        <v>1607</v>
      </c>
      <c r="H208" s="856"/>
      <c r="I208" s="856"/>
      <c r="J208" s="856"/>
      <c r="K208" s="857"/>
      <c r="L208" s="857"/>
      <c r="M208" s="856"/>
      <c r="N208" s="857"/>
      <c r="O208" s="858">
        <v>3</v>
      </c>
      <c r="P208" s="859">
        <v>3300</v>
      </c>
    </row>
    <row r="209" spans="1:16" ht="12.75">
      <c r="A209" s="850" t="s">
        <v>1146</v>
      </c>
      <c r="B209" s="851" t="s">
        <v>1147</v>
      </c>
      <c r="C209" s="851" t="s">
        <v>96</v>
      </c>
      <c r="D209" s="865" t="s">
        <v>1608</v>
      </c>
      <c r="E209" s="866">
        <v>2100</v>
      </c>
      <c r="F209" s="851">
        <v>71288639</v>
      </c>
      <c r="G209" s="867" t="s">
        <v>1609</v>
      </c>
      <c r="H209" s="856"/>
      <c r="I209" s="856"/>
      <c r="J209" s="856"/>
      <c r="K209" s="857"/>
      <c r="L209" s="857"/>
      <c r="M209" s="856"/>
      <c r="N209" s="857"/>
      <c r="O209" s="858">
        <v>6</v>
      </c>
      <c r="P209" s="859">
        <v>12600</v>
      </c>
    </row>
    <row r="210" spans="1:16" ht="38.25">
      <c r="A210" s="850" t="s">
        <v>1146</v>
      </c>
      <c r="B210" s="851" t="s">
        <v>1147</v>
      </c>
      <c r="C210" s="851" t="s">
        <v>96</v>
      </c>
      <c r="D210" s="865" t="s">
        <v>1242</v>
      </c>
      <c r="E210" s="866">
        <v>1100</v>
      </c>
      <c r="F210" s="851">
        <v>19830372</v>
      </c>
      <c r="G210" s="867" t="s">
        <v>1610</v>
      </c>
      <c r="H210" s="856"/>
      <c r="I210" s="856"/>
      <c r="J210" s="856"/>
      <c r="K210" s="857"/>
      <c r="L210" s="857"/>
      <c r="M210" s="856"/>
      <c r="N210" s="857"/>
      <c r="O210" s="858">
        <v>3</v>
      </c>
      <c r="P210" s="859">
        <v>3300</v>
      </c>
    </row>
    <row r="211" spans="1:16" ht="12.75">
      <c r="A211" s="850" t="s">
        <v>1146</v>
      </c>
      <c r="B211" s="851" t="s">
        <v>1147</v>
      </c>
      <c r="C211" s="851" t="s">
        <v>96</v>
      </c>
      <c r="D211" s="865" t="s">
        <v>1611</v>
      </c>
      <c r="E211" s="866">
        <v>2800</v>
      </c>
      <c r="F211" s="851">
        <v>70890921</v>
      </c>
      <c r="G211" s="867" t="s">
        <v>1247</v>
      </c>
      <c r="H211" s="856"/>
      <c r="I211" s="856"/>
      <c r="J211" s="856"/>
      <c r="K211" s="857"/>
      <c r="L211" s="857"/>
      <c r="M211" s="856"/>
      <c r="N211" s="857"/>
      <c r="O211" s="858">
        <v>6</v>
      </c>
      <c r="P211" s="859">
        <v>16800</v>
      </c>
    </row>
    <row r="212" spans="1:16" ht="38.25">
      <c r="A212" s="850" t="s">
        <v>1146</v>
      </c>
      <c r="B212" s="851" t="s">
        <v>1147</v>
      </c>
      <c r="C212" s="851" t="s">
        <v>96</v>
      </c>
      <c r="D212" s="865" t="s">
        <v>1302</v>
      </c>
      <c r="E212" s="866">
        <v>1700</v>
      </c>
      <c r="F212" s="851">
        <v>47053868</v>
      </c>
      <c r="G212" s="867" t="s">
        <v>1612</v>
      </c>
      <c r="H212" s="856"/>
      <c r="I212" s="856"/>
      <c r="J212" s="856"/>
      <c r="K212" s="857"/>
      <c r="L212" s="857"/>
      <c r="M212" s="856"/>
      <c r="N212" s="857"/>
      <c r="O212" s="858">
        <v>1</v>
      </c>
      <c r="P212" s="859">
        <v>1700</v>
      </c>
    </row>
    <row r="213" spans="1:16" ht="12.75">
      <c r="A213" s="850" t="s">
        <v>1146</v>
      </c>
      <c r="B213" s="851" t="s">
        <v>1147</v>
      </c>
      <c r="C213" s="851" t="s">
        <v>96</v>
      </c>
      <c r="D213" s="865" t="s">
        <v>1248</v>
      </c>
      <c r="E213" s="866">
        <v>1400</v>
      </c>
      <c r="F213" s="850" t="s">
        <v>1249</v>
      </c>
      <c r="G213" s="867" t="s">
        <v>1250</v>
      </c>
      <c r="H213" s="856"/>
      <c r="I213" s="856"/>
      <c r="J213" s="856"/>
      <c r="K213" s="857"/>
      <c r="L213" s="857"/>
      <c r="M213" s="856"/>
      <c r="N213" s="857"/>
      <c r="O213" s="858">
        <v>6</v>
      </c>
      <c r="P213" s="859">
        <v>8400</v>
      </c>
    </row>
    <row r="214" spans="1:16" ht="38.25">
      <c r="A214" s="850" t="s">
        <v>1146</v>
      </c>
      <c r="B214" s="851" t="s">
        <v>1147</v>
      </c>
      <c r="C214" s="851" t="s">
        <v>96</v>
      </c>
      <c r="D214" s="865" t="s">
        <v>1204</v>
      </c>
      <c r="E214" s="866">
        <v>1400</v>
      </c>
      <c r="F214" s="851">
        <v>80489531</v>
      </c>
      <c r="G214" s="867" t="s">
        <v>1252</v>
      </c>
      <c r="H214" s="856"/>
      <c r="I214" s="856"/>
      <c r="J214" s="856"/>
      <c r="K214" s="857"/>
      <c r="L214" s="857"/>
      <c r="M214" s="856"/>
      <c r="N214" s="857"/>
      <c r="O214" s="858">
        <v>6</v>
      </c>
      <c r="P214" s="859">
        <v>8400</v>
      </c>
    </row>
    <row r="215" spans="1:16" ht="38.25">
      <c r="A215" s="850" t="s">
        <v>1146</v>
      </c>
      <c r="B215" s="851" t="s">
        <v>1147</v>
      </c>
      <c r="C215" s="851" t="s">
        <v>96</v>
      </c>
      <c r="D215" s="865" t="s">
        <v>1204</v>
      </c>
      <c r="E215" s="866">
        <v>1400</v>
      </c>
      <c r="F215" s="850" t="s">
        <v>1613</v>
      </c>
      <c r="G215" s="867" t="s">
        <v>1614</v>
      </c>
      <c r="H215" s="856"/>
      <c r="I215" s="856"/>
      <c r="J215" s="856"/>
      <c r="K215" s="857"/>
      <c r="L215" s="857"/>
      <c r="M215" s="856"/>
      <c r="N215" s="857"/>
      <c r="O215" s="858">
        <v>6</v>
      </c>
      <c r="P215" s="859">
        <v>8400</v>
      </c>
    </row>
    <row r="216" spans="1:16" ht="38.25">
      <c r="A216" s="850" t="s">
        <v>1146</v>
      </c>
      <c r="B216" s="851" t="s">
        <v>1147</v>
      </c>
      <c r="C216" s="851" t="s">
        <v>96</v>
      </c>
      <c r="D216" s="865" t="s">
        <v>1218</v>
      </c>
      <c r="E216" s="866">
        <v>1400</v>
      </c>
      <c r="F216" s="851">
        <v>70248347</v>
      </c>
      <c r="G216" s="867" t="s">
        <v>1259</v>
      </c>
      <c r="H216" s="856"/>
      <c r="I216" s="856"/>
      <c r="J216" s="856"/>
      <c r="K216" s="857"/>
      <c r="L216" s="857"/>
      <c r="M216" s="856"/>
      <c r="N216" s="857"/>
      <c r="O216" s="858">
        <v>6</v>
      </c>
      <c r="P216" s="859">
        <v>8400</v>
      </c>
    </row>
    <row r="217" spans="1:16" ht="25.5">
      <c r="A217" s="850" t="s">
        <v>1146</v>
      </c>
      <c r="B217" s="851" t="s">
        <v>1147</v>
      </c>
      <c r="C217" s="851" t="s">
        <v>96</v>
      </c>
      <c r="D217" s="865" t="s">
        <v>1260</v>
      </c>
      <c r="E217" s="866">
        <v>1700</v>
      </c>
      <c r="F217" s="851">
        <v>42550186</v>
      </c>
      <c r="G217" s="867" t="s">
        <v>1262</v>
      </c>
      <c r="H217" s="856"/>
      <c r="I217" s="856"/>
      <c r="J217" s="856"/>
      <c r="K217" s="857"/>
      <c r="L217" s="857"/>
      <c r="M217" s="856"/>
      <c r="N217" s="857"/>
      <c r="O217" s="858">
        <v>6</v>
      </c>
      <c r="P217" s="859">
        <v>10200</v>
      </c>
    </row>
    <row r="218" spans="1:16" ht="25.5">
      <c r="A218" s="850" t="s">
        <v>1146</v>
      </c>
      <c r="B218" s="851" t="s">
        <v>1147</v>
      </c>
      <c r="C218" s="851" t="s">
        <v>96</v>
      </c>
      <c r="D218" s="865" t="s">
        <v>1266</v>
      </c>
      <c r="E218" s="866">
        <v>2100</v>
      </c>
      <c r="F218" s="851">
        <v>44778833</v>
      </c>
      <c r="G218" s="867" t="s">
        <v>1268</v>
      </c>
      <c r="H218" s="856"/>
      <c r="I218" s="856"/>
      <c r="J218" s="856"/>
      <c r="K218" s="857"/>
      <c r="L218" s="857"/>
      <c r="M218" s="856"/>
      <c r="N218" s="857"/>
      <c r="O218" s="858">
        <v>6</v>
      </c>
      <c r="P218" s="859">
        <v>12600</v>
      </c>
    </row>
    <row r="219" spans="1:16" ht="25.5">
      <c r="A219" s="850" t="s">
        <v>1146</v>
      </c>
      <c r="B219" s="851" t="s">
        <v>1147</v>
      </c>
      <c r="C219" s="851" t="s">
        <v>96</v>
      </c>
      <c r="D219" s="865" t="s">
        <v>1163</v>
      </c>
      <c r="E219" s="866">
        <v>1400</v>
      </c>
      <c r="F219" s="851">
        <v>70976835</v>
      </c>
      <c r="G219" s="867" t="s">
        <v>1615</v>
      </c>
      <c r="H219" s="856"/>
      <c r="I219" s="856"/>
      <c r="J219" s="856"/>
      <c r="K219" s="857"/>
      <c r="L219" s="857"/>
      <c r="M219" s="856"/>
      <c r="N219" s="857"/>
      <c r="O219" s="858">
        <v>3</v>
      </c>
      <c r="P219" s="859">
        <v>4200</v>
      </c>
    </row>
    <row r="220" spans="1:16" ht="12.75">
      <c r="A220" s="850" t="s">
        <v>1146</v>
      </c>
      <c r="B220" s="851" t="s">
        <v>1147</v>
      </c>
      <c r="C220" s="851" t="s">
        <v>96</v>
      </c>
      <c r="D220" s="865" t="s">
        <v>1193</v>
      </c>
      <c r="E220" s="866">
        <v>1200</v>
      </c>
      <c r="F220" s="851">
        <v>44112943</v>
      </c>
      <c r="G220" s="867" t="s">
        <v>1278</v>
      </c>
      <c r="H220" s="856"/>
      <c r="I220" s="856"/>
      <c r="J220" s="856"/>
      <c r="K220" s="857"/>
      <c r="L220" s="857"/>
      <c r="M220" s="856"/>
      <c r="N220" s="857"/>
      <c r="O220" s="858">
        <v>6</v>
      </c>
      <c r="P220" s="859">
        <v>7200</v>
      </c>
    </row>
    <row r="221" spans="1:16" ht="38.25">
      <c r="A221" s="850" t="s">
        <v>1146</v>
      </c>
      <c r="B221" s="851" t="s">
        <v>1147</v>
      </c>
      <c r="C221" s="851" t="s">
        <v>96</v>
      </c>
      <c r="D221" s="865" t="s">
        <v>1440</v>
      </c>
      <c r="E221" s="866">
        <v>3500</v>
      </c>
      <c r="F221" s="851">
        <v>46258662</v>
      </c>
      <c r="G221" s="867" t="s">
        <v>1616</v>
      </c>
      <c r="H221" s="856"/>
      <c r="I221" s="856"/>
      <c r="J221" s="856"/>
      <c r="K221" s="857"/>
      <c r="L221" s="857"/>
      <c r="M221" s="856"/>
      <c r="N221" s="857"/>
      <c r="O221" s="858">
        <v>1</v>
      </c>
      <c r="P221" s="859">
        <v>3300</v>
      </c>
    </row>
    <row r="222" spans="1:16" ht="38.25">
      <c r="A222" s="850" t="s">
        <v>1146</v>
      </c>
      <c r="B222" s="851" t="s">
        <v>1147</v>
      </c>
      <c r="C222" s="851" t="s">
        <v>96</v>
      </c>
      <c r="D222" s="865" t="s">
        <v>1502</v>
      </c>
      <c r="E222" s="866">
        <v>2100</v>
      </c>
      <c r="F222" s="851">
        <v>41279768</v>
      </c>
      <c r="G222" s="867" t="s">
        <v>1617</v>
      </c>
      <c r="H222" s="856"/>
      <c r="I222" s="856"/>
      <c r="J222" s="856"/>
      <c r="K222" s="857"/>
      <c r="L222" s="857"/>
      <c r="M222" s="856"/>
      <c r="N222" s="857"/>
      <c r="O222" s="858">
        <v>6</v>
      </c>
      <c r="P222" s="859">
        <v>12600</v>
      </c>
    </row>
    <row r="223" spans="1:16" ht="51">
      <c r="A223" s="850" t="s">
        <v>1146</v>
      </c>
      <c r="B223" s="851" t="s">
        <v>1147</v>
      </c>
      <c r="C223" s="851" t="s">
        <v>96</v>
      </c>
      <c r="D223" s="865" t="s">
        <v>1449</v>
      </c>
      <c r="E223" s="866">
        <v>4500</v>
      </c>
      <c r="F223" s="850" t="s">
        <v>1618</v>
      </c>
      <c r="G223" s="867" t="s">
        <v>1619</v>
      </c>
      <c r="H223" s="856"/>
      <c r="I223" s="856"/>
      <c r="J223" s="856"/>
      <c r="K223" s="857"/>
      <c r="L223" s="857"/>
      <c r="M223" s="856"/>
      <c r="N223" s="857"/>
      <c r="O223" s="858">
        <v>6</v>
      </c>
      <c r="P223" s="859">
        <v>27000</v>
      </c>
    </row>
    <row r="224" spans="1:16" ht="51">
      <c r="A224" s="850" t="s">
        <v>1146</v>
      </c>
      <c r="B224" s="851" t="s">
        <v>1147</v>
      </c>
      <c r="C224" s="851" t="s">
        <v>96</v>
      </c>
      <c r="D224" s="865" t="s">
        <v>1282</v>
      </c>
      <c r="E224" s="866">
        <v>1100</v>
      </c>
      <c r="F224" s="851">
        <v>42759938</v>
      </c>
      <c r="G224" s="867" t="s">
        <v>1284</v>
      </c>
      <c r="H224" s="856"/>
      <c r="I224" s="856"/>
      <c r="J224" s="856"/>
      <c r="K224" s="857"/>
      <c r="L224" s="857"/>
      <c r="M224" s="856"/>
      <c r="N224" s="857"/>
      <c r="O224" s="858">
        <v>6</v>
      </c>
      <c r="P224" s="859">
        <v>6600</v>
      </c>
    </row>
    <row r="225" spans="1:16" ht="51">
      <c r="A225" s="850" t="s">
        <v>1146</v>
      </c>
      <c r="B225" s="851" t="s">
        <v>1147</v>
      </c>
      <c r="C225" s="851" t="s">
        <v>96</v>
      </c>
      <c r="D225" s="865" t="s">
        <v>1305</v>
      </c>
      <c r="E225" s="866">
        <v>2100</v>
      </c>
      <c r="F225" s="851">
        <v>40977948</v>
      </c>
      <c r="G225" s="867" t="s">
        <v>1620</v>
      </c>
      <c r="H225" s="856"/>
      <c r="I225" s="856"/>
      <c r="J225" s="856"/>
      <c r="K225" s="857"/>
      <c r="L225" s="857"/>
      <c r="M225" s="856"/>
      <c r="N225" s="857"/>
      <c r="O225" s="858">
        <v>1</v>
      </c>
      <c r="P225" s="859">
        <v>2100</v>
      </c>
    </row>
    <row r="226" spans="1:16" ht="25.5">
      <c r="A226" s="850" t="s">
        <v>1146</v>
      </c>
      <c r="B226" s="851" t="s">
        <v>1147</v>
      </c>
      <c r="C226" s="851" t="s">
        <v>96</v>
      </c>
      <c r="D226" s="865" t="s">
        <v>1199</v>
      </c>
      <c r="E226" s="866">
        <v>1800</v>
      </c>
      <c r="F226" s="850" t="s">
        <v>1288</v>
      </c>
      <c r="G226" s="867" t="s">
        <v>1289</v>
      </c>
      <c r="H226" s="856"/>
      <c r="I226" s="856"/>
      <c r="J226" s="856"/>
      <c r="K226" s="857"/>
      <c r="L226" s="857"/>
      <c r="M226" s="856"/>
      <c r="N226" s="857"/>
      <c r="O226" s="858">
        <v>6</v>
      </c>
      <c r="P226" s="859">
        <v>10800</v>
      </c>
    </row>
    <row r="227" spans="1:16" ht="12.75">
      <c r="A227" s="850" t="s">
        <v>1146</v>
      </c>
      <c r="B227" s="851" t="s">
        <v>1147</v>
      </c>
      <c r="C227" s="851" t="s">
        <v>96</v>
      </c>
      <c r="D227" s="865" t="s">
        <v>1290</v>
      </c>
      <c r="E227" s="866">
        <v>2400</v>
      </c>
      <c r="F227" s="851">
        <v>42993937</v>
      </c>
      <c r="G227" s="867" t="s">
        <v>1292</v>
      </c>
      <c r="H227" s="856"/>
      <c r="I227" s="856"/>
      <c r="J227" s="856"/>
      <c r="K227" s="857"/>
      <c r="L227" s="857"/>
      <c r="M227" s="856"/>
      <c r="N227" s="857"/>
      <c r="O227" s="858">
        <v>6</v>
      </c>
      <c r="P227" s="859">
        <v>14400</v>
      </c>
    </row>
    <row r="228" spans="1:16" ht="51">
      <c r="A228" s="850" t="s">
        <v>1146</v>
      </c>
      <c r="B228" s="851" t="s">
        <v>1147</v>
      </c>
      <c r="C228" s="851" t="s">
        <v>96</v>
      </c>
      <c r="D228" s="865" t="s">
        <v>1293</v>
      </c>
      <c r="E228" s="866">
        <v>1700</v>
      </c>
      <c r="F228" s="850" t="s">
        <v>1294</v>
      </c>
      <c r="G228" s="867" t="s">
        <v>1621</v>
      </c>
      <c r="H228" s="856"/>
      <c r="I228" s="856"/>
      <c r="J228" s="856"/>
      <c r="K228" s="857"/>
      <c r="L228" s="857"/>
      <c r="M228" s="856"/>
      <c r="N228" s="857"/>
      <c r="O228" s="858">
        <v>3</v>
      </c>
      <c r="P228" s="859">
        <v>5100</v>
      </c>
    </row>
    <row r="229" spans="1:16" ht="25.5">
      <c r="A229" s="850" t="s">
        <v>1146</v>
      </c>
      <c r="B229" s="851" t="s">
        <v>1147</v>
      </c>
      <c r="C229" s="851" t="s">
        <v>96</v>
      </c>
      <c r="D229" s="865" t="s">
        <v>1296</v>
      </c>
      <c r="E229" s="866">
        <v>1700</v>
      </c>
      <c r="F229" s="851">
        <v>47305374</v>
      </c>
      <c r="G229" s="867" t="s">
        <v>1298</v>
      </c>
      <c r="H229" s="856"/>
      <c r="I229" s="856"/>
      <c r="J229" s="856"/>
      <c r="K229" s="857"/>
      <c r="L229" s="857"/>
      <c r="M229" s="856"/>
      <c r="N229" s="857"/>
      <c r="O229" s="858">
        <v>6</v>
      </c>
      <c r="P229" s="859">
        <v>10200</v>
      </c>
    </row>
    <row r="230" spans="1:16" ht="38.25">
      <c r="A230" s="850" t="s">
        <v>1146</v>
      </c>
      <c r="B230" s="851" t="s">
        <v>1147</v>
      </c>
      <c r="C230" s="851" t="s">
        <v>96</v>
      </c>
      <c r="D230" s="865" t="s">
        <v>1302</v>
      </c>
      <c r="E230" s="866">
        <v>1700</v>
      </c>
      <c r="F230" s="851">
        <v>45482002</v>
      </c>
      <c r="G230" s="867" t="s">
        <v>1304</v>
      </c>
      <c r="H230" s="856"/>
      <c r="I230" s="856"/>
      <c r="J230" s="856"/>
      <c r="K230" s="857"/>
      <c r="L230" s="857"/>
      <c r="M230" s="856"/>
      <c r="N230" s="857"/>
      <c r="O230" s="858">
        <v>1</v>
      </c>
      <c r="P230" s="859">
        <v>1700</v>
      </c>
    </row>
    <row r="231" spans="1:16" ht="25.5">
      <c r="A231" s="850" t="s">
        <v>1146</v>
      </c>
      <c r="B231" s="851" t="s">
        <v>1147</v>
      </c>
      <c r="C231" s="851" t="s">
        <v>96</v>
      </c>
      <c r="D231" s="865" t="s">
        <v>1314</v>
      </c>
      <c r="E231" s="866">
        <v>3500</v>
      </c>
      <c r="F231" s="850" t="s">
        <v>1315</v>
      </c>
      <c r="G231" s="867" t="s">
        <v>1316</v>
      </c>
      <c r="H231" s="856"/>
      <c r="I231" s="856"/>
      <c r="J231" s="856"/>
      <c r="K231" s="857"/>
      <c r="L231" s="857"/>
      <c r="M231" s="856"/>
      <c r="N231" s="857"/>
      <c r="O231" s="858">
        <v>6</v>
      </c>
      <c r="P231" s="859">
        <v>21000</v>
      </c>
    </row>
    <row r="232" spans="1:16" ht="38.25">
      <c r="A232" s="850" t="s">
        <v>1146</v>
      </c>
      <c r="B232" s="851" t="s">
        <v>1147</v>
      </c>
      <c r="C232" s="851" t="s">
        <v>96</v>
      </c>
      <c r="D232" s="865" t="s">
        <v>1231</v>
      </c>
      <c r="E232" s="866">
        <v>1400</v>
      </c>
      <c r="F232" s="851">
        <v>43753184</v>
      </c>
      <c r="G232" s="867" t="s">
        <v>1318</v>
      </c>
      <c r="H232" s="856"/>
      <c r="I232" s="856"/>
      <c r="J232" s="856"/>
      <c r="K232" s="857"/>
      <c r="L232" s="857"/>
      <c r="M232" s="856"/>
      <c r="N232" s="857"/>
      <c r="O232" s="858">
        <v>6</v>
      </c>
      <c r="P232" s="859">
        <v>8400</v>
      </c>
    </row>
    <row r="233" spans="1:16" ht="25.5">
      <c r="A233" s="850" t="s">
        <v>1146</v>
      </c>
      <c r="B233" s="851" t="s">
        <v>1147</v>
      </c>
      <c r="C233" s="851" t="s">
        <v>96</v>
      </c>
      <c r="D233" s="865" t="s">
        <v>1319</v>
      </c>
      <c r="E233" s="866">
        <v>1100</v>
      </c>
      <c r="F233" s="851">
        <v>45970445</v>
      </c>
      <c r="G233" s="867" t="s">
        <v>1622</v>
      </c>
      <c r="H233" s="856"/>
      <c r="I233" s="856"/>
      <c r="J233" s="856"/>
      <c r="K233" s="857"/>
      <c r="L233" s="857"/>
      <c r="M233" s="856"/>
      <c r="N233" s="857"/>
      <c r="O233" s="858">
        <v>1</v>
      </c>
      <c r="P233" s="859">
        <v>1100</v>
      </c>
    </row>
    <row r="234" spans="1:16" ht="51">
      <c r="A234" s="850" t="s">
        <v>1146</v>
      </c>
      <c r="B234" s="851" t="s">
        <v>1147</v>
      </c>
      <c r="C234" s="851" t="s">
        <v>96</v>
      </c>
      <c r="D234" s="865" t="s">
        <v>1305</v>
      </c>
      <c r="E234" s="866">
        <v>2100</v>
      </c>
      <c r="F234" s="851">
        <v>46732761</v>
      </c>
      <c r="G234" s="867" t="s">
        <v>1623</v>
      </c>
      <c r="H234" s="856"/>
      <c r="I234" s="856"/>
      <c r="J234" s="856"/>
      <c r="K234" s="857"/>
      <c r="L234" s="857"/>
      <c r="M234" s="856"/>
      <c r="N234" s="857"/>
      <c r="O234" s="858">
        <v>6</v>
      </c>
      <c r="P234" s="859">
        <v>12530</v>
      </c>
    </row>
    <row r="235" spans="1:16" ht="25.5">
      <c r="A235" s="850" t="s">
        <v>1146</v>
      </c>
      <c r="B235" s="851" t="s">
        <v>1147</v>
      </c>
      <c r="C235" s="851" t="s">
        <v>96</v>
      </c>
      <c r="D235" s="865" t="s">
        <v>1166</v>
      </c>
      <c r="E235" s="866">
        <v>3500</v>
      </c>
      <c r="F235" s="851">
        <v>45707161</v>
      </c>
      <c r="G235" s="867" t="s">
        <v>1624</v>
      </c>
      <c r="H235" s="856"/>
      <c r="I235" s="856"/>
      <c r="J235" s="856"/>
      <c r="K235" s="857"/>
      <c r="L235" s="857"/>
      <c r="M235" s="856"/>
      <c r="N235" s="857"/>
      <c r="O235" s="858">
        <v>2</v>
      </c>
      <c r="P235" s="859">
        <v>5950</v>
      </c>
    </row>
    <row r="236" spans="1:16" ht="12.75">
      <c r="A236" s="850" t="s">
        <v>1146</v>
      </c>
      <c r="B236" s="851" t="s">
        <v>1147</v>
      </c>
      <c r="C236" s="851" t="s">
        <v>96</v>
      </c>
      <c r="D236" s="865" t="s">
        <v>1325</v>
      </c>
      <c r="E236" s="866">
        <v>2100</v>
      </c>
      <c r="F236" s="851">
        <v>20430888</v>
      </c>
      <c r="G236" s="867" t="s">
        <v>1327</v>
      </c>
      <c r="H236" s="856"/>
      <c r="I236" s="856"/>
      <c r="J236" s="856"/>
      <c r="K236" s="857"/>
      <c r="L236" s="857"/>
      <c r="M236" s="856"/>
      <c r="N236" s="857"/>
      <c r="O236" s="858">
        <v>1</v>
      </c>
      <c r="P236" s="859">
        <v>2100</v>
      </c>
    </row>
    <row r="237" spans="1:16" ht="12.75">
      <c r="A237" s="850" t="s">
        <v>1146</v>
      </c>
      <c r="B237" s="851" t="s">
        <v>1147</v>
      </c>
      <c r="C237" s="851" t="s">
        <v>96</v>
      </c>
      <c r="D237" s="865" t="s">
        <v>1193</v>
      </c>
      <c r="E237" s="866">
        <v>1400</v>
      </c>
      <c r="F237" s="851">
        <v>46947943</v>
      </c>
      <c r="G237" s="867" t="s">
        <v>1329</v>
      </c>
      <c r="H237" s="856"/>
      <c r="I237" s="856"/>
      <c r="J237" s="856"/>
      <c r="K237" s="857"/>
      <c r="L237" s="857"/>
      <c r="M237" s="856"/>
      <c r="N237" s="857"/>
      <c r="O237" s="858">
        <v>6</v>
      </c>
      <c r="P237" s="859">
        <v>8400</v>
      </c>
    </row>
    <row r="238" spans="1:16" ht="51">
      <c r="A238" s="850" t="s">
        <v>1146</v>
      </c>
      <c r="B238" s="851" t="s">
        <v>1147</v>
      </c>
      <c r="C238" s="851" t="s">
        <v>96</v>
      </c>
      <c r="D238" s="865" t="s">
        <v>1305</v>
      </c>
      <c r="E238" s="866">
        <v>2100</v>
      </c>
      <c r="F238" s="851">
        <v>46511801</v>
      </c>
      <c r="G238" s="867" t="s">
        <v>1336</v>
      </c>
      <c r="H238" s="856"/>
      <c r="I238" s="856"/>
      <c r="J238" s="856"/>
      <c r="K238" s="857"/>
      <c r="L238" s="857"/>
      <c r="M238" s="856"/>
      <c r="N238" s="857"/>
      <c r="O238" s="858">
        <v>6</v>
      </c>
      <c r="P238" s="859">
        <v>12600</v>
      </c>
    </row>
    <row r="239" spans="1:16" ht="63.75">
      <c r="A239" s="850" t="s">
        <v>1146</v>
      </c>
      <c r="B239" s="851" t="s">
        <v>1147</v>
      </c>
      <c r="C239" s="851" t="s">
        <v>96</v>
      </c>
      <c r="D239" s="865" t="s">
        <v>1337</v>
      </c>
      <c r="E239" s="866">
        <v>1100</v>
      </c>
      <c r="F239" s="851">
        <v>20646287</v>
      </c>
      <c r="G239" s="867" t="s">
        <v>1339</v>
      </c>
      <c r="H239" s="856"/>
      <c r="I239" s="856"/>
      <c r="J239" s="856"/>
      <c r="K239" s="857"/>
      <c r="L239" s="857"/>
      <c r="M239" s="856"/>
      <c r="N239" s="857"/>
      <c r="O239" s="858">
        <v>6</v>
      </c>
      <c r="P239" s="859">
        <v>6600</v>
      </c>
    </row>
    <row r="240" spans="1:16" ht="38.25">
      <c r="A240" s="850" t="s">
        <v>1146</v>
      </c>
      <c r="B240" s="851" t="s">
        <v>1147</v>
      </c>
      <c r="C240" s="851" t="s">
        <v>96</v>
      </c>
      <c r="D240" s="865" t="s">
        <v>1302</v>
      </c>
      <c r="E240" s="866">
        <v>1700</v>
      </c>
      <c r="F240" s="851">
        <v>43909223</v>
      </c>
      <c r="G240" s="867" t="s">
        <v>1343</v>
      </c>
      <c r="H240" s="856"/>
      <c r="I240" s="856"/>
      <c r="J240" s="856"/>
      <c r="K240" s="857"/>
      <c r="L240" s="857"/>
      <c r="M240" s="856"/>
      <c r="N240" s="857"/>
      <c r="O240" s="858">
        <v>6</v>
      </c>
      <c r="P240" s="859">
        <v>10200</v>
      </c>
    </row>
    <row r="241" spans="1:16" ht="38.25">
      <c r="A241" s="850" t="s">
        <v>1146</v>
      </c>
      <c r="B241" s="851" t="s">
        <v>1147</v>
      </c>
      <c r="C241" s="851" t="s">
        <v>96</v>
      </c>
      <c r="D241" s="865" t="s">
        <v>1204</v>
      </c>
      <c r="E241" s="866">
        <v>1400</v>
      </c>
      <c r="F241" s="851">
        <v>23272809</v>
      </c>
      <c r="G241" s="867" t="s">
        <v>1625</v>
      </c>
      <c r="H241" s="856"/>
      <c r="I241" s="856"/>
      <c r="J241" s="856"/>
      <c r="K241" s="857"/>
      <c r="L241" s="857"/>
      <c r="M241" s="856"/>
      <c r="N241" s="857"/>
      <c r="O241" s="858">
        <v>6</v>
      </c>
      <c r="P241" s="859">
        <v>8400</v>
      </c>
    </row>
    <row r="242" spans="1:16" ht="51">
      <c r="A242" s="850" t="s">
        <v>1146</v>
      </c>
      <c r="B242" s="851" t="s">
        <v>1147</v>
      </c>
      <c r="C242" s="851" t="s">
        <v>96</v>
      </c>
      <c r="D242" s="865" t="s">
        <v>1626</v>
      </c>
      <c r="E242" s="866">
        <v>1100</v>
      </c>
      <c r="F242" s="850" t="s">
        <v>1344</v>
      </c>
      <c r="G242" s="867" t="s">
        <v>1345</v>
      </c>
      <c r="H242" s="856"/>
      <c r="I242" s="856"/>
      <c r="J242" s="856"/>
      <c r="K242" s="857"/>
      <c r="L242" s="857"/>
      <c r="M242" s="856"/>
      <c r="N242" s="857"/>
      <c r="O242" s="858">
        <v>6</v>
      </c>
      <c r="P242" s="859">
        <v>6600</v>
      </c>
    </row>
    <row r="243" spans="1:16" ht="38.25">
      <c r="A243" s="850" t="s">
        <v>1146</v>
      </c>
      <c r="B243" s="851" t="s">
        <v>1147</v>
      </c>
      <c r="C243" s="851" t="s">
        <v>96</v>
      </c>
      <c r="D243" s="865" t="s">
        <v>1346</v>
      </c>
      <c r="E243" s="866">
        <v>1200</v>
      </c>
      <c r="F243" s="851">
        <v>41074688</v>
      </c>
      <c r="G243" s="867" t="s">
        <v>1348</v>
      </c>
      <c r="H243" s="856"/>
      <c r="I243" s="856"/>
      <c r="J243" s="856"/>
      <c r="K243" s="857"/>
      <c r="L243" s="857"/>
      <c r="M243" s="856"/>
      <c r="N243" s="857"/>
      <c r="O243" s="858">
        <v>6</v>
      </c>
      <c r="P243" s="859">
        <v>7200</v>
      </c>
    </row>
    <row r="244" spans="1:16" ht="12.75">
      <c r="A244" s="850" t="s">
        <v>1146</v>
      </c>
      <c r="B244" s="851" t="s">
        <v>1147</v>
      </c>
      <c r="C244" s="851" t="s">
        <v>96</v>
      </c>
      <c r="D244" s="865" t="s">
        <v>1193</v>
      </c>
      <c r="E244" s="866">
        <v>1400</v>
      </c>
      <c r="F244" s="851">
        <v>41490988</v>
      </c>
      <c r="G244" s="867" t="s">
        <v>1353</v>
      </c>
      <c r="H244" s="856"/>
      <c r="I244" s="856"/>
      <c r="J244" s="856"/>
      <c r="K244" s="857"/>
      <c r="L244" s="857"/>
      <c r="M244" s="856"/>
      <c r="N244" s="857"/>
      <c r="O244" s="858">
        <v>1</v>
      </c>
      <c r="P244" s="859">
        <v>1400</v>
      </c>
    </row>
    <row r="245" spans="1:16" ht="12.75">
      <c r="A245" s="850" t="s">
        <v>1146</v>
      </c>
      <c r="B245" s="851" t="s">
        <v>1147</v>
      </c>
      <c r="C245" s="851" t="s">
        <v>96</v>
      </c>
      <c r="D245" s="865" t="s">
        <v>1193</v>
      </c>
      <c r="E245" s="866">
        <v>1400</v>
      </c>
      <c r="F245" s="851">
        <v>46984346</v>
      </c>
      <c r="G245" s="867" t="s">
        <v>1357</v>
      </c>
      <c r="H245" s="856"/>
      <c r="I245" s="856"/>
      <c r="J245" s="856"/>
      <c r="K245" s="857"/>
      <c r="L245" s="857"/>
      <c r="M245" s="856"/>
      <c r="N245" s="857"/>
      <c r="O245" s="858">
        <v>6</v>
      </c>
      <c r="P245" s="859">
        <v>8400</v>
      </c>
    </row>
    <row r="246" spans="1:16" ht="38.25">
      <c r="A246" s="850" t="s">
        <v>1146</v>
      </c>
      <c r="B246" s="851" t="s">
        <v>1147</v>
      </c>
      <c r="C246" s="851" t="s">
        <v>96</v>
      </c>
      <c r="D246" s="865" t="s">
        <v>1627</v>
      </c>
      <c r="E246" s="866">
        <v>1100</v>
      </c>
      <c r="F246" s="850" t="s">
        <v>1359</v>
      </c>
      <c r="G246" s="867" t="s">
        <v>1628</v>
      </c>
      <c r="H246" s="856"/>
      <c r="I246" s="856"/>
      <c r="J246" s="856"/>
      <c r="K246" s="857"/>
      <c r="L246" s="857"/>
      <c r="M246" s="856"/>
      <c r="N246" s="857"/>
      <c r="O246" s="858">
        <v>3</v>
      </c>
      <c r="P246" s="859">
        <v>3666.67</v>
      </c>
    </row>
    <row r="247" spans="1:16" ht="12.75">
      <c r="A247" s="850" t="s">
        <v>1146</v>
      </c>
      <c r="B247" s="851" t="s">
        <v>1147</v>
      </c>
      <c r="C247" s="851" t="s">
        <v>96</v>
      </c>
      <c r="D247" s="865" t="s">
        <v>1169</v>
      </c>
      <c r="E247" s="866">
        <v>1900</v>
      </c>
      <c r="F247" s="850" t="s">
        <v>1365</v>
      </c>
      <c r="G247" s="867" t="s">
        <v>1366</v>
      </c>
      <c r="H247" s="856"/>
      <c r="I247" s="856"/>
      <c r="J247" s="856"/>
      <c r="K247" s="857"/>
      <c r="L247" s="857"/>
      <c r="M247" s="856"/>
      <c r="N247" s="857"/>
      <c r="O247" s="858">
        <v>6</v>
      </c>
      <c r="P247" s="859">
        <v>11400</v>
      </c>
    </row>
    <row r="248" spans="1:16" ht="25.5">
      <c r="A248" s="850" t="s">
        <v>1146</v>
      </c>
      <c r="B248" s="851" t="s">
        <v>1147</v>
      </c>
      <c r="C248" s="851" t="s">
        <v>96</v>
      </c>
      <c r="D248" s="865" t="s">
        <v>1370</v>
      </c>
      <c r="E248" s="866">
        <v>3500</v>
      </c>
      <c r="F248" s="850" t="s">
        <v>1371</v>
      </c>
      <c r="G248" s="867" t="s">
        <v>1372</v>
      </c>
      <c r="H248" s="856"/>
      <c r="I248" s="856"/>
      <c r="J248" s="856"/>
      <c r="K248" s="857"/>
      <c r="L248" s="857"/>
      <c r="M248" s="856"/>
      <c r="N248" s="857"/>
      <c r="O248" s="858">
        <v>6</v>
      </c>
      <c r="P248" s="859">
        <v>21000</v>
      </c>
    </row>
    <row r="249" spans="1:16" ht="38.25">
      <c r="A249" s="850" t="s">
        <v>1146</v>
      </c>
      <c r="B249" s="851" t="s">
        <v>1147</v>
      </c>
      <c r="C249" s="851" t="s">
        <v>96</v>
      </c>
      <c r="D249" s="865" t="s">
        <v>1302</v>
      </c>
      <c r="E249" s="866">
        <v>1700</v>
      </c>
      <c r="F249" s="851">
        <v>41977263</v>
      </c>
      <c r="G249" s="867" t="s">
        <v>1376</v>
      </c>
      <c r="H249" s="856"/>
      <c r="I249" s="856"/>
      <c r="J249" s="856"/>
      <c r="K249" s="857"/>
      <c r="L249" s="857"/>
      <c r="M249" s="856"/>
      <c r="N249" s="857"/>
      <c r="O249" s="858">
        <v>6</v>
      </c>
      <c r="P249" s="859">
        <v>10200</v>
      </c>
    </row>
    <row r="250" spans="1:16" ht="51">
      <c r="A250" s="850" t="s">
        <v>1146</v>
      </c>
      <c r="B250" s="851" t="s">
        <v>1147</v>
      </c>
      <c r="C250" s="851" t="s">
        <v>96</v>
      </c>
      <c r="D250" s="865" t="s">
        <v>1380</v>
      </c>
      <c r="E250" s="866">
        <v>2000</v>
      </c>
      <c r="F250" s="851">
        <v>40575288</v>
      </c>
      <c r="G250" s="867" t="s">
        <v>1382</v>
      </c>
      <c r="H250" s="856"/>
      <c r="I250" s="856"/>
      <c r="J250" s="856"/>
      <c r="K250" s="857"/>
      <c r="L250" s="857"/>
      <c r="M250" s="856"/>
      <c r="N250" s="857"/>
      <c r="O250" s="858">
        <v>6</v>
      </c>
      <c r="P250" s="859">
        <v>11933.33</v>
      </c>
    </row>
    <row r="251" spans="1:16" ht="25.5">
      <c r="A251" s="850" t="s">
        <v>1146</v>
      </c>
      <c r="B251" s="851" t="s">
        <v>1147</v>
      </c>
      <c r="C251" s="851" t="s">
        <v>96</v>
      </c>
      <c r="D251" s="865" t="s">
        <v>1322</v>
      </c>
      <c r="E251" s="866">
        <v>2100</v>
      </c>
      <c r="F251" s="851">
        <v>43913417</v>
      </c>
      <c r="G251" s="867" t="s">
        <v>1629</v>
      </c>
      <c r="H251" s="856"/>
      <c r="I251" s="856"/>
      <c r="J251" s="856"/>
      <c r="K251" s="857"/>
      <c r="L251" s="857"/>
      <c r="M251" s="856"/>
      <c r="N251" s="857"/>
      <c r="O251" s="858">
        <v>6</v>
      </c>
      <c r="P251" s="859">
        <v>12390</v>
      </c>
    </row>
    <row r="252" spans="1:16" ht="51">
      <c r="A252" s="850" t="s">
        <v>1146</v>
      </c>
      <c r="B252" s="851" t="s">
        <v>1147</v>
      </c>
      <c r="C252" s="851" t="s">
        <v>96</v>
      </c>
      <c r="D252" s="865" t="s">
        <v>1409</v>
      </c>
      <c r="E252" s="866">
        <v>1400</v>
      </c>
      <c r="F252" s="851">
        <v>44431841</v>
      </c>
      <c r="G252" s="867" t="s">
        <v>1630</v>
      </c>
      <c r="H252" s="856"/>
      <c r="I252" s="856"/>
      <c r="J252" s="856"/>
      <c r="K252" s="857"/>
      <c r="L252" s="857"/>
      <c r="M252" s="856"/>
      <c r="N252" s="857"/>
      <c r="O252" s="858">
        <v>3</v>
      </c>
      <c r="P252" s="859">
        <v>4200</v>
      </c>
    </row>
    <row r="253" spans="1:16" ht="38.25">
      <c r="A253" s="850" t="s">
        <v>1146</v>
      </c>
      <c r="B253" s="851" t="s">
        <v>1147</v>
      </c>
      <c r="C253" s="851" t="s">
        <v>96</v>
      </c>
      <c r="D253" s="865" t="s">
        <v>1204</v>
      </c>
      <c r="E253" s="866">
        <v>1400</v>
      </c>
      <c r="F253" s="850" t="s">
        <v>1392</v>
      </c>
      <c r="G253" s="867" t="s">
        <v>1393</v>
      </c>
      <c r="H253" s="856"/>
      <c r="I253" s="856"/>
      <c r="J253" s="856"/>
      <c r="K253" s="857"/>
      <c r="L253" s="857"/>
      <c r="M253" s="856"/>
      <c r="N253" s="857"/>
      <c r="O253" s="858">
        <v>6</v>
      </c>
      <c r="P253" s="859">
        <v>8400</v>
      </c>
    </row>
    <row r="254" spans="1:16" ht="12.75">
      <c r="A254" s="850" t="s">
        <v>1146</v>
      </c>
      <c r="B254" s="851" t="s">
        <v>1147</v>
      </c>
      <c r="C254" s="851" t="s">
        <v>96</v>
      </c>
      <c r="D254" s="865" t="s">
        <v>1389</v>
      </c>
      <c r="E254" s="866">
        <v>2000</v>
      </c>
      <c r="F254" s="851">
        <v>46564823</v>
      </c>
      <c r="G254" s="867" t="s">
        <v>1631</v>
      </c>
      <c r="H254" s="856"/>
      <c r="I254" s="856"/>
      <c r="J254" s="856"/>
      <c r="K254" s="857"/>
      <c r="L254" s="857"/>
      <c r="M254" s="856"/>
      <c r="N254" s="857"/>
      <c r="O254" s="858">
        <v>6</v>
      </c>
      <c r="P254" s="859">
        <v>12000</v>
      </c>
    </row>
    <row r="255" spans="1:16" ht="12.75">
      <c r="A255" s="850" t="s">
        <v>1146</v>
      </c>
      <c r="B255" s="851" t="s">
        <v>1147</v>
      </c>
      <c r="C255" s="851" t="s">
        <v>96</v>
      </c>
      <c r="D255" s="865" t="s">
        <v>1193</v>
      </c>
      <c r="E255" s="866">
        <v>1400</v>
      </c>
      <c r="F255" s="851">
        <v>43359771</v>
      </c>
      <c r="G255" s="867" t="s">
        <v>1395</v>
      </c>
      <c r="H255" s="856"/>
      <c r="I255" s="856"/>
      <c r="J255" s="856"/>
      <c r="K255" s="857"/>
      <c r="L255" s="857"/>
      <c r="M255" s="856"/>
      <c r="N255" s="857"/>
      <c r="O255" s="858">
        <v>6</v>
      </c>
      <c r="P255" s="859">
        <v>8400</v>
      </c>
    </row>
    <row r="256" spans="1:16" ht="38.25">
      <c r="A256" s="850" t="s">
        <v>1146</v>
      </c>
      <c r="B256" s="851" t="s">
        <v>1147</v>
      </c>
      <c r="C256" s="851" t="s">
        <v>96</v>
      </c>
      <c r="D256" s="865" t="s">
        <v>1396</v>
      </c>
      <c r="E256" s="866">
        <v>1100</v>
      </c>
      <c r="F256" s="851">
        <v>80202104</v>
      </c>
      <c r="G256" s="867" t="s">
        <v>1632</v>
      </c>
      <c r="H256" s="856"/>
      <c r="I256" s="856"/>
      <c r="J256" s="856"/>
      <c r="K256" s="857"/>
      <c r="L256" s="857"/>
      <c r="M256" s="856"/>
      <c r="N256" s="857"/>
      <c r="O256" s="858">
        <v>3</v>
      </c>
      <c r="P256" s="859">
        <v>3300</v>
      </c>
    </row>
    <row r="257" spans="1:16" ht="12.75">
      <c r="A257" s="850" t="s">
        <v>1146</v>
      </c>
      <c r="B257" s="851" t="s">
        <v>1147</v>
      </c>
      <c r="C257" s="851" t="s">
        <v>96</v>
      </c>
      <c r="D257" s="865" t="s">
        <v>1193</v>
      </c>
      <c r="E257" s="866">
        <v>1400</v>
      </c>
      <c r="F257" s="851">
        <v>44280229</v>
      </c>
      <c r="G257" s="867" t="s">
        <v>1403</v>
      </c>
      <c r="H257" s="856"/>
      <c r="I257" s="856"/>
      <c r="J257" s="856"/>
      <c r="K257" s="857"/>
      <c r="L257" s="857"/>
      <c r="M257" s="856"/>
      <c r="N257" s="857"/>
      <c r="O257" s="858">
        <v>6</v>
      </c>
      <c r="P257" s="859">
        <v>8400</v>
      </c>
    </row>
    <row r="258" spans="1:16" ht="25.5">
      <c r="A258" s="850" t="s">
        <v>1146</v>
      </c>
      <c r="B258" s="851" t="s">
        <v>1147</v>
      </c>
      <c r="C258" s="851" t="s">
        <v>96</v>
      </c>
      <c r="D258" s="865" t="s">
        <v>1406</v>
      </c>
      <c r="E258" s="866">
        <v>1700</v>
      </c>
      <c r="F258" s="850" t="s">
        <v>1407</v>
      </c>
      <c r="G258" s="867" t="s">
        <v>1408</v>
      </c>
      <c r="H258" s="856"/>
      <c r="I258" s="856"/>
      <c r="J258" s="856"/>
      <c r="K258" s="857"/>
      <c r="L258" s="857"/>
      <c r="M258" s="856"/>
      <c r="N258" s="857"/>
      <c r="O258" s="858">
        <v>1</v>
      </c>
      <c r="P258" s="859">
        <v>1700</v>
      </c>
    </row>
    <row r="259" spans="1:16" ht="25.5">
      <c r="A259" s="850" t="s">
        <v>1146</v>
      </c>
      <c r="B259" s="851" t="s">
        <v>1147</v>
      </c>
      <c r="C259" s="851" t="s">
        <v>96</v>
      </c>
      <c r="D259" s="865" t="s">
        <v>1319</v>
      </c>
      <c r="E259" s="866">
        <v>1100</v>
      </c>
      <c r="F259" s="851">
        <v>70971607</v>
      </c>
      <c r="G259" s="867" t="s">
        <v>1633</v>
      </c>
      <c r="H259" s="856"/>
      <c r="I259" s="856"/>
      <c r="J259" s="856"/>
      <c r="K259" s="857"/>
      <c r="L259" s="857"/>
      <c r="M259" s="856"/>
      <c r="N259" s="857"/>
      <c r="O259" s="858">
        <v>6</v>
      </c>
      <c r="P259" s="859">
        <v>6600</v>
      </c>
    </row>
    <row r="260" spans="1:16" ht="51">
      <c r="A260" s="850" t="s">
        <v>1146</v>
      </c>
      <c r="B260" s="851" t="s">
        <v>1147</v>
      </c>
      <c r="C260" s="851" t="s">
        <v>96</v>
      </c>
      <c r="D260" s="865" t="s">
        <v>1409</v>
      </c>
      <c r="E260" s="866">
        <v>1400</v>
      </c>
      <c r="F260" s="851">
        <v>72963617</v>
      </c>
      <c r="G260" s="867" t="s">
        <v>1634</v>
      </c>
      <c r="H260" s="856"/>
      <c r="I260" s="856"/>
      <c r="J260" s="856"/>
      <c r="K260" s="857"/>
      <c r="L260" s="857"/>
      <c r="M260" s="856"/>
      <c r="N260" s="857"/>
      <c r="O260" s="858">
        <v>3</v>
      </c>
      <c r="P260" s="859">
        <v>4200</v>
      </c>
    </row>
    <row r="261" spans="1:16" ht="38.25">
      <c r="A261" s="850" t="s">
        <v>1146</v>
      </c>
      <c r="B261" s="851" t="s">
        <v>1147</v>
      </c>
      <c r="C261" s="851" t="s">
        <v>96</v>
      </c>
      <c r="D261" s="865" t="s">
        <v>1218</v>
      </c>
      <c r="E261" s="866">
        <v>1400</v>
      </c>
      <c r="F261" s="851">
        <v>43318042</v>
      </c>
      <c r="G261" s="867" t="s">
        <v>1416</v>
      </c>
      <c r="H261" s="856"/>
      <c r="I261" s="856"/>
      <c r="J261" s="856"/>
      <c r="K261" s="857"/>
      <c r="L261" s="857"/>
      <c r="M261" s="856"/>
      <c r="N261" s="857"/>
      <c r="O261" s="858">
        <v>6</v>
      </c>
      <c r="P261" s="859">
        <v>8400</v>
      </c>
    </row>
    <row r="262" spans="1:16" ht="12.75">
      <c r="A262" s="850" t="s">
        <v>1146</v>
      </c>
      <c r="B262" s="851" t="s">
        <v>1147</v>
      </c>
      <c r="C262" s="851" t="s">
        <v>96</v>
      </c>
      <c r="D262" s="865" t="s">
        <v>1193</v>
      </c>
      <c r="E262" s="866">
        <v>1400</v>
      </c>
      <c r="F262" s="851">
        <v>72386600</v>
      </c>
      <c r="G262" s="867" t="s">
        <v>1418</v>
      </c>
      <c r="H262" s="856"/>
      <c r="I262" s="856"/>
      <c r="J262" s="856"/>
      <c r="K262" s="857"/>
      <c r="L262" s="857"/>
      <c r="M262" s="856"/>
      <c r="N262" s="857"/>
      <c r="O262" s="858">
        <v>6</v>
      </c>
      <c r="P262" s="859">
        <v>8400</v>
      </c>
    </row>
    <row r="263" spans="1:16" ht="25.5">
      <c r="A263" s="850" t="s">
        <v>1146</v>
      </c>
      <c r="B263" s="851" t="s">
        <v>1147</v>
      </c>
      <c r="C263" s="851" t="s">
        <v>96</v>
      </c>
      <c r="D263" s="865" t="s">
        <v>1635</v>
      </c>
      <c r="E263" s="866">
        <v>2000</v>
      </c>
      <c r="F263" s="851">
        <v>71925175</v>
      </c>
      <c r="G263" s="867" t="s">
        <v>1636</v>
      </c>
      <c r="H263" s="856"/>
      <c r="I263" s="856"/>
      <c r="J263" s="856"/>
      <c r="K263" s="857"/>
      <c r="L263" s="857"/>
      <c r="M263" s="856"/>
      <c r="N263" s="857"/>
      <c r="O263" s="858">
        <v>2</v>
      </c>
      <c r="P263" s="859">
        <v>3866.67</v>
      </c>
    </row>
    <row r="264" spans="1:16" ht="12.75">
      <c r="A264" s="850" t="s">
        <v>1146</v>
      </c>
      <c r="B264" s="851" t="s">
        <v>1147</v>
      </c>
      <c r="C264" s="851" t="s">
        <v>96</v>
      </c>
      <c r="D264" s="865" t="s">
        <v>1421</v>
      </c>
      <c r="E264" s="866">
        <v>1100</v>
      </c>
      <c r="F264" s="851">
        <v>41465901</v>
      </c>
      <c r="G264" s="867" t="s">
        <v>1423</v>
      </c>
      <c r="H264" s="856"/>
      <c r="I264" s="856"/>
      <c r="J264" s="856"/>
      <c r="K264" s="857"/>
      <c r="L264" s="857"/>
      <c r="M264" s="856"/>
      <c r="N264" s="857"/>
      <c r="O264" s="858">
        <v>6</v>
      </c>
      <c r="P264" s="859">
        <v>6600</v>
      </c>
    </row>
    <row r="265" spans="1:16" ht="38.25">
      <c r="A265" s="850" t="s">
        <v>1146</v>
      </c>
      <c r="B265" s="851" t="s">
        <v>1147</v>
      </c>
      <c r="C265" s="851" t="s">
        <v>96</v>
      </c>
      <c r="D265" s="865" t="s">
        <v>1302</v>
      </c>
      <c r="E265" s="866">
        <v>1700</v>
      </c>
      <c r="F265" s="851">
        <v>71775105</v>
      </c>
      <c r="G265" s="867" t="s">
        <v>1425</v>
      </c>
      <c r="H265" s="856"/>
      <c r="I265" s="856"/>
      <c r="J265" s="856"/>
      <c r="K265" s="857"/>
      <c r="L265" s="857"/>
      <c r="M265" s="856"/>
      <c r="N265" s="857"/>
      <c r="O265" s="858">
        <v>1</v>
      </c>
      <c r="P265" s="859">
        <v>1700</v>
      </c>
    </row>
    <row r="266" spans="1:16" ht="12.75">
      <c r="A266" s="850" t="s">
        <v>1146</v>
      </c>
      <c r="B266" s="851" t="s">
        <v>1147</v>
      </c>
      <c r="C266" s="851" t="s">
        <v>96</v>
      </c>
      <c r="D266" s="865" t="s">
        <v>1389</v>
      </c>
      <c r="E266" s="866">
        <v>2100</v>
      </c>
      <c r="F266" s="850" t="s">
        <v>1428</v>
      </c>
      <c r="G266" s="867" t="s">
        <v>1429</v>
      </c>
      <c r="H266" s="856"/>
      <c r="I266" s="856"/>
      <c r="J266" s="856"/>
      <c r="K266" s="857"/>
      <c r="L266" s="857"/>
      <c r="M266" s="856"/>
      <c r="N266" s="857"/>
      <c r="O266" s="858">
        <v>6</v>
      </c>
      <c r="P266" s="859">
        <v>12600</v>
      </c>
    </row>
    <row r="267" spans="1:16" ht="38.25">
      <c r="A267" s="850" t="s">
        <v>1146</v>
      </c>
      <c r="B267" s="851" t="s">
        <v>1147</v>
      </c>
      <c r="C267" s="851" t="s">
        <v>96</v>
      </c>
      <c r="D267" s="865" t="s">
        <v>1218</v>
      </c>
      <c r="E267" s="866">
        <v>1400</v>
      </c>
      <c r="F267" s="851">
        <v>40938395</v>
      </c>
      <c r="G267" s="867" t="s">
        <v>1431</v>
      </c>
      <c r="H267" s="856"/>
      <c r="I267" s="856"/>
      <c r="J267" s="856"/>
      <c r="K267" s="857"/>
      <c r="L267" s="857"/>
      <c r="M267" s="856"/>
      <c r="N267" s="857"/>
      <c r="O267" s="858">
        <v>6</v>
      </c>
      <c r="P267" s="859">
        <v>8400</v>
      </c>
    </row>
    <row r="268" spans="1:16" ht="38.25">
      <c r="A268" s="850" t="s">
        <v>1146</v>
      </c>
      <c r="B268" s="851" t="s">
        <v>1147</v>
      </c>
      <c r="C268" s="851" t="s">
        <v>96</v>
      </c>
      <c r="D268" s="865" t="s">
        <v>1434</v>
      </c>
      <c r="E268" s="866">
        <v>3500</v>
      </c>
      <c r="F268" s="851">
        <v>41075410</v>
      </c>
      <c r="G268" s="867" t="s">
        <v>1436</v>
      </c>
      <c r="H268" s="856"/>
      <c r="I268" s="856"/>
      <c r="J268" s="856"/>
      <c r="K268" s="857"/>
      <c r="L268" s="857"/>
      <c r="M268" s="856"/>
      <c r="N268" s="857"/>
      <c r="O268" s="858">
        <v>6</v>
      </c>
      <c r="P268" s="859">
        <v>21000</v>
      </c>
    </row>
    <row r="269" spans="1:16" ht="38.25">
      <c r="A269" s="850" t="s">
        <v>1146</v>
      </c>
      <c r="B269" s="851" t="s">
        <v>1147</v>
      </c>
      <c r="C269" s="851" t="s">
        <v>96</v>
      </c>
      <c r="D269" s="865" t="s">
        <v>1443</v>
      </c>
      <c r="E269" s="866">
        <v>1100</v>
      </c>
      <c r="F269" s="850" t="s">
        <v>1444</v>
      </c>
      <c r="G269" s="867" t="s">
        <v>1445</v>
      </c>
      <c r="H269" s="856"/>
      <c r="I269" s="856"/>
      <c r="J269" s="856"/>
      <c r="K269" s="857"/>
      <c r="L269" s="857"/>
      <c r="M269" s="856"/>
      <c r="N269" s="857"/>
      <c r="O269" s="858">
        <v>6</v>
      </c>
      <c r="P269" s="859">
        <v>6600</v>
      </c>
    </row>
    <row r="270" spans="1:16" ht="25.5">
      <c r="A270" s="850" t="s">
        <v>1146</v>
      </c>
      <c r="B270" s="851" t="s">
        <v>1147</v>
      </c>
      <c r="C270" s="851" t="s">
        <v>96</v>
      </c>
      <c r="D270" s="865" t="s">
        <v>1603</v>
      </c>
      <c r="E270" s="866">
        <v>1400</v>
      </c>
      <c r="F270" s="851">
        <v>41172881</v>
      </c>
      <c r="G270" s="867" t="s">
        <v>1637</v>
      </c>
      <c r="H270" s="856"/>
      <c r="I270" s="856"/>
      <c r="J270" s="856"/>
      <c r="K270" s="857"/>
      <c r="L270" s="857"/>
      <c r="M270" s="856"/>
      <c r="N270" s="857"/>
      <c r="O270" s="858">
        <v>6</v>
      </c>
      <c r="P270" s="859">
        <v>8400</v>
      </c>
    </row>
    <row r="271" spans="1:16" ht="38.25">
      <c r="A271" s="850" t="s">
        <v>1146</v>
      </c>
      <c r="B271" s="851" t="s">
        <v>1147</v>
      </c>
      <c r="C271" s="851" t="s">
        <v>96</v>
      </c>
      <c r="D271" s="865" t="s">
        <v>1218</v>
      </c>
      <c r="E271" s="866">
        <v>1400</v>
      </c>
      <c r="F271" s="851">
        <v>45758314</v>
      </c>
      <c r="G271" s="867" t="s">
        <v>1453</v>
      </c>
      <c r="H271" s="856"/>
      <c r="I271" s="856"/>
      <c r="J271" s="856"/>
      <c r="K271" s="857"/>
      <c r="L271" s="857"/>
      <c r="M271" s="856"/>
      <c r="N271" s="857"/>
      <c r="O271" s="858">
        <v>6</v>
      </c>
      <c r="P271" s="859">
        <v>8213.33</v>
      </c>
    </row>
    <row r="272" spans="1:16" ht="51">
      <c r="A272" s="850" t="s">
        <v>1146</v>
      </c>
      <c r="B272" s="851" t="s">
        <v>1147</v>
      </c>
      <c r="C272" s="851" t="s">
        <v>96</v>
      </c>
      <c r="D272" s="865" t="s">
        <v>1638</v>
      </c>
      <c r="E272" s="866">
        <v>1500</v>
      </c>
      <c r="F272" s="850" t="s">
        <v>1639</v>
      </c>
      <c r="G272" s="867" t="s">
        <v>1640</v>
      </c>
      <c r="H272" s="856"/>
      <c r="I272" s="856"/>
      <c r="J272" s="856"/>
      <c r="K272" s="857"/>
      <c r="L272" s="857"/>
      <c r="M272" s="856"/>
      <c r="N272" s="857"/>
      <c r="O272" s="858">
        <v>1</v>
      </c>
      <c r="P272" s="859">
        <v>700</v>
      </c>
    </row>
    <row r="273" spans="1:16" ht="38.25">
      <c r="A273" s="850" t="s">
        <v>1146</v>
      </c>
      <c r="B273" s="851" t="s">
        <v>1147</v>
      </c>
      <c r="C273" s="851" t="s">
        <v>96</v>
      </c>
      <c r="D273" s="865" t="s">
        <v>1204</v>
      </c>
      <c r="E273" s="866">
        <v>1400</v>
      </c>
      <c r="F273" s="850" t="s">
        <v>1459</v>
      </c>
      <c r="G273" s="867" t="s">
        <v>1460</v>
      </c>
      <c r="H273" s="856"/>
      <c r="I273" s="856"/>
      <c r="J273" s="856"/>
      <c r="K273" s="857"/>
      <c r="L273" s="857"/>
      <c r="M273" s="856"/>
      <c r="N273" s="857"/>
      <c r="O273" s="858">
        <v>6</v>
      </c>
      <c r="P273" s="859">
        <v>8400</v>
      </c>
    </row>
    <row r="274" spans="1:16" ht="12.75">
      <c r="A274" s="850" t="s">
        <v>1146</v>
      </c>
      <c r="B274" s="851" t="s">
        <v>1147</v>
      </c>
      <c r="C274" s="851" t="s">
        <v>96</v>
      </c>
      <c r="D274" s="865" t="s">
        <v>1248</v>
      </c>
      <c r="E274" s="866">
        <v>1400</v>
      </c>
      <c r="F274" s="851">
        <v>40306983</v>
      </c>
      <c r="G274" s="867" t="s">
        <v>1465</v>
      </c>
      <c r="H274" s="856"/>
      <c r="I274" s="856"/>
      <c r="J274" s="856"/>
      <c r="K274" s="857"/>
      <c r="L274" s="857"/>
      <c r="M274" s="856"/>
      <c r="N274" s="857"/>
      <c r="O274" s="858">
        <v>6</v>
      </c>
      <c r="P274" s="859">
        <v>8353.33</v>
      </c>
    </row>
    <row r="275" spans="1:16" ht="38.25">
      <c r="A275" s="850" t="s">
        <v>1146</v>
      </c>
      <c r="B275" s="851" t="s">
        <v>1147</v>
      </c>
      <c r="C275" s="851" t="s">
        <v>96</v>
      </c>
      <c r="D275" s="865" t="s">
        <v>1466</v>
      </c>
      <c r="E275" s="866">
        <v>3000</v>
      </c>
      <c r="F275" s="850" t="s">
        <v>1467</v>
      </c>
      <c r="G275" s="867" t="s">
        <v>1468</v>
      </c>
      <c r="H275" s="856"/>
      <c r="I275" s="856"/>
      <c r="J275" s="856"/>
      <c r="K275" s="857"/>
      <c r="L275" s="857"/>
      <c r="M275" s="856"/>
      <c r="N275" s="857"/>
      <c r="O275" s="858">
        <v>5</v>
      </c>
      <c r="P275" s="859">
        <v>15000</v>
      </c>
    </row>
    <row r="276" spans="1:16" ht="38.25">
      <c r="A276" s="850" t="s">
        <v>1146</v>
      </c>
      <c r="B276" s="851" t="s">
        <v>1147</v>
      </c>
      <c r="C276" s="851" t="s">
        <v>96</v>
      </c>
      <c r="D276" s="865" t="s">
        <v>1469</v>
      </c>
      <c r="E276" s="866">
        <v>1900</v>
      </c>
      <c r="F276" s="851">
        <v>45428675</v>
      </c>
      <c r="G276" s="867" t="s">
        <v>1471</v>
      </c>
      <c r="H276" s="856"/>
      <c r="I276" s="856"/>
      <c r="J276" s="856"/>
      <c r="K276" s="857"/>
      <c r="L276" s="857"/>
      <c r="M276" s="856"/>
      <c r="N276" s="857"/>
      <c r="O276" s="858">
        <v>6</v>
      </c>
      <c r="P276" s="859">
        <v>11336.67</v>
      </c>
    </row>
    <row r="277" spans="1:16" ht="38.25">
      <c r="A277" s="850" t="s">
        <v>1146</v>
      </c>
      <c r="B277" s="851" t="s">
        <v>1147</v>
      </c>
      <c r="C277" s="851" t="s">
        <v>96</v>
      </c>
      <c r="D277" s="865" t="s">
        <v>1218</v>
      </c>
      <c r="E277" s="866">
        <v>1350</v>
      </c>
      <c r="F277" s="851">
        <v>73099005</v>
      </c>
      <c r="G277" s="867" t="s">
        <v>1473</v>
      </c>
      <c r="H277" s="856"/>
      <c r="I277" s="856"/>
      <c r="J277" s="856"/>
      <c r="K277" s="857"/>
      <c r="L277" s="857"/>
      <c r="M277" s="856"/>
      <c r="N277" s="857"/>
      <c r="O277" s="858">
        <v>6</v>
      </c>
      <c r="P277" s="859">
        <v>8055</v>
      </c>
    </row>
    <row r="278" spans="1:16" ht="12.75">
      <c r="A278" s="850" t="s">
        <v>1146</v>
      </c>
      <c r="B278" s="851" t="s">
        <v>1147</v>
      </c>
      <c r="C278" s="851" t="s">
        <v>96</v>
      </c>
      <c r="D278" s="865" t="s">
        <v>1386</v>
      </c>
      <c r="E278" s="866">
        <v>3500</v>
      </c>
      <c r="F278" s="851">
        <v>40601562</v>
      </c>
      <c r="G278" s="867" t="s">
        <v>1477</v>
      </c>
      <c r="H278" s="856"/>
      <c r="I278" s="856"/>
      <c r="J278" s="856"/>
      <c r="K278" s="857"/>
      <c r="L278" s="857"/>
      <c r="M278" s="856"/>
      <c r="N278" s="857"/>
      <c r="O278" s="858">
        <v>6</v>
      </c>
      <c r="P278" s="859">
        <v>21000</v>
      </c>
    </row>
    <row r="279" spans="1:16" ht="12.75">
      <c r="A279" s="850" t="s">
        <v>1146</v>
      </c>
      <c r="B279" s="851" t="s">
        <v>1147</v>
      </c>
      <c r="C279" s="851" t="s">
        <v>96</v>
      </c>
      <c r="D279" s="865" t="s">
        <v>1325</v>
      </c>
      <c r="E279" s="866">
        <v>2100</v>
      </c>
      <c r="F279" s="851">
        <v>75269597</v>
      </c>
      <c r="G279" s="867" t="s">
        <v>1479</v>
      </c>
      <c r="H279" s="856"/>
      <c r="I279" s="856"/>
      <c r="J279" s="856"/>
      <c r="K279" s="857"/>
      <c r="L279" s="857"/>
      <c r="M279" s="856"/>
      <c r="N279" s="857"/>
      <c r="O279" s="858">
        <v>1</v>
      </c>
      <c r="P279" s="859">
        <v>2100</v>
      </c>
    </row>
    <row r="280" spans="1:16" ht="38.25">
      <c r="A280" s="850" t="s">
        <v>1146</v>
      </c>
      <c r="B280" s="851" t="s">
        <v>1147</v>
      </c>
      <c r="C280" s="851" t="s">
        <v>96</v>
      </c>
      <c r="D280" s="865" t="s">
        <v>1399</v>
      </c>
      <c r="E280" s="866">
        <v>1700</v>
      </c>
      <c r="F280" s="850" t="s">
        <v>1480</v>
      </c>
      <c r="G280" s="867" t="s">
        <v>1481</v>
      </c>
      <c r="H280" s="856"/>
      <c r="I280" s="856"/>
      <c r="J280" s="856"/>
      <c r="K280" s="857"/>
      <c r="L280" s="857"/>
      <c r="M280" s="856"/>
      <c r="N280" s="857"/>
      <c r="O280" s="858">
        <v>6</v>
      </c>
      <c r="P280" s="859">
        <v>10200</v>
      </c>
    </row>
    <row r="281" spans="1:16" ht="12.75">
      <c r="A281" s="850" t="s">
        <v>1146</v>
      </c>
      <c r="B281" s="851" t="s">
        <v>1147</v>
      </c>
      <c r="C281" s="851" t="s">
        <v>96</v>
      </c>
      <c r="D281" s="865" t="s">
        <v>1193</v>
      </c>
      <c r="E281" s="866">
        <v>1200</v>
      </c>
      <c r="F281" s="851">
        <v>76327128</v>
      </c>
      <c r="G281" s="867" t="s">
        <v>1485</v>
      </c>
      <c r="H281" s="856"/>
      <c r="I281" s="856"/>
      <c r="J281" s="856"/>
      <c r="K281" s="857"/>
      <c r="L281" s="857"/>
      <c r="M281" s="856"/>
      <c r="N281" s="857"/>
      <c r="O281" s="858">
        <v>6</v>
      </c>
      <c r="P281" s="859">
        <v>7200</v>
      </c>
    </row>
    <row r="282" spans="1:16" ht="25.5">
      <c r="A282" s="850" t="s">
        <v>1146</v>
      </c>
      <c r="B282" s="851" t="s">
        <v>1147</v>
      </c>
      <c r="C282" s="851" t="s">
        <v>96</v>
      </c>
      <c r="D282" s="865" t="s">
        <v>1486</v>
      </c>
      <c r="E282" s="866">
        <v>2400</v>
      </c>
      <c r="F282" s="851">
        <v>40599096</v>
      </c>
      <c r="G282" s="867" t="s">
        <v>1488</v>
      </c>
      <c r="H282" s="856"/>
      <c r="I282" s="856"/>
      <c r="J282" s="856"/>
      <c r="K282" s="857"/>
      <c r="L282" s="857"/>
      <c r="M282" s="856"/>
      <c r="N282" s="857"/>
      <c r="O282" s="858">
        <v>6</v>
      </c>
      <c r="P282" s="859">
        <v>14400</v>
      </c>
    </row>
    <row r="283" spans="1:16" ht="25.5">
      <c r="A283" s="850" t="s">
        <v>1146</v>
      </c>
      <c r="B283" s="851" t="s">
        <v>1147</v>
      </c>
      <c r="C283" s="851" t="s">
        <v>96</v>
      </c>
      <c r="D283" s="865" t="s">
        <v>1308</v>
      </c>
      <c r="E283" s="866">
        <v>2100</v>
      </c>
      <c r="F283" s="851">
        <v>43302969</v>
      </c>
      <c r="G283" s="867" t="s">
        <v>1641</v>
      </c>
      <c r="H283" s="856"/>
      <c r="I283" s="856"/>
      <c r="J283" s="856"/>
      <c r="K283" s="857"/>
      <c r="L283" s="857"/>
      <c r="M283" s="856"/>
      <c r="N283" s="857"/>
      <c r="O283" s="858">
        <v>6</v>
      </c>
      <c r="P283" s="859">
        <v>12600</v>
      </c>
    </row>
    <row r="284" spans="1:16" ht="25.5">
      <c r="A284" s="850" t="s">
        <v>1146</v>
      </c>
      <c r="B284" s="851" t="s">
        <v>1147</v>
      </c>
      <c r="C284" s="851" t="s">
        <v>96</v>
      </c>
      <c r="D284" s="865" t="s">
        <v>1253</v>
      </c>
      <c r="E284" s="866">
        <v>1900</v>
      </c>
      <c r="F284" s="851">
        <v>44850663</v>
      </c>
      <c r="G284" s="867" t="s">
        <v>1642</v>
      </c>
      <c r="H284" s="856"/>
      <c r="I284" s="856"/>
      <c r="J284" s="856"/>
      <c r="K284" s="857"/>
      <c r="L284" s="857"/>
      <c r="M284" s="856"/>
      <c r="N284" s="857"/>
      <c r="O284" s="858">
        <v>6</v>
      </c>
      <c r="P284" s="859">
        <v>11336.67</v>
      </c>
    </row>
    <row r="285" spans="1:16" ht="38.25">
      <c r="A285" s="850" t="s">
        <v>1146</v>
      </c>
      <c r="B285" s="851" t="s">
        <v>1147</v>
      </c>
      <c r="C285" s="851" t="s">
        <v>96</v>
      </c>
      <c r="D285" s="865" t="s">
        <v>1496</v>
      </c>
      <c r="E285" s="866">
        <v>2100</v>
      </c>
      <c r="F285" s="851">
        <v>70090568</v>
      </c>
      <c r="G285" s="867" t="s">
        <v>1498</v>
      </c>
      <c r="H285" s="856"/>
      <c r="I285" s="856"/>
      <c r="J285" s="856"/>
      <c r="K285" s="857"/>
      <c r="L285" s="857"/>
      <c r="M285" s="856"/>
      <c r="N285" s="857"/>
      <c r="O285" s="858">
        <v>6</v>
      </c>
      <c r="P285" s="859">
        <v>12600</v>
      </c>
    </row>
    <row r="286" spans="1:16" ht="38.25">
      <c r="A286" s="850" t="s">
        <v>1146</v>
      </c>
      <c r="B286" s="851" t="s">
        <v>1147</v>
      </c>
      <c r="C286" s="851" t="s">
        <v>96</v>
      </c>
      <c r="D286" s="865" t="s">
        <v>1302</v>
      </c>
      <c r="E286" s="866">
        <v>1700</v>
      </c>
      <c r="F286" s="851">
        <v>44505747</v>
      </c>
      <c r="G286" s="867" t="s">
        <v>1508</v>
      </c>
      <c r="H286" s="856"/>
      <c r="I286" s="856"/>
      <c r="J286" s="856"/>
      <c r="K286" s="857"/>
      <c r="L286" s="857"/>
      <c r="M286" s="856"/>
      <c r="N286" s="857"/>
      <c r="O286" s="858">
        <v>6</v>
      </c>
      <c r="P286" s="859">
        <v>10200</v>
      </c>
    </row>
    <row r="287" spans="1:16" ht="51">
      <c r="A287" s="850" t="s">
        <v>1146</v>
      </c>
      <c r="B287" s="851" t="s">
        <v>1147</v>
      </c>
      <c r="C287" s="851" t="s">
        <v>96</v>
      </c>
      <c r="D287" s="865" t="s">
        <v>1643</v>
      </c>
      <c r="E287" s="866">
        <v>1100</v>
      </c>
      <c r="F287" s="851">
        <v>46826674</v>
      </c>
      <c r="G287" s="867" t="s">
        <v>1511</v>
      </c>
      <c r="H287" s="856"/>
      <c r="I287" s="856"/>
      <c r="J287" s="856"/>
      <c r="K287" s="857"/>
      <c r="L287" s="857"/>
      <c r="M287" s="856"/>
      <c r="N287" s="857"/>
      <c r="O287" s="858">
        <v>6</v>
      </c>
      <c r="P287" s="859">
        <v>6600</v>
      </c>
    </row>
    <row r="288" spans="1:16" ht="38.25">
      <c r="A288" s="850" t="s">
        <v>1146</v>
      </c>
      <c r="B288" s="851" t="s">
        <v>1147</v>
      </c>
      <c r="C288" s="851" t="s">
        <v>96</v>
      </c>
      <c r="D288" s="865" t="s">
        <v>1218</v>
      </c>
      <c r="E288" s="866">
        <v>1400</v>
      </c>
      <c r="F288" s="851">
        <v>70221580</v>
      </c>
      <c r="G288" s="867" t="s">
        <v>1513</v>
      </c>
      <c r="H288" s="856"/>
      <c r="I288" s="856"/>
      <c r="J288" s="856"/>
      <c r="K288" s="857"/>
      <c r="L288" s="857"/>
      <c r="M288" s="856"/>
      <c r="N288" s="857"/>
      <c r="O288" s="858">
        <v>6</v>
      </c>
      <c r="P288" s="859">
        <v>8400</v>
      </c>
    </row>
    <row r="289" spans="1:16" ht="38.25">
      <c r="A289" s="850" t="s">
        <v>1146</v>
      </c>
      <c r="B289" s="851" t="s">
        <v>1147</v>
      </c>
      <c r="C289" s="851" t="s">
        <v>96</v>
      </c>
      <c r="D289" s="865" t="s">
        <v>1346</v>
      </c>
      <c r="E289" s="866">
        <v>1350</v>
      </c>
      <c r="F289" s="851">
        <v>46887312</v>
      </c>
      <c r="G289" s="867" t="s">
        <v>1515</v>
      </c>
      <c r="H289" s="856"/>
      <c r="I289" s="856"/>
      <c r="J289" s="856"/>
      <c r="K289" s="857"/>
      <c r="L289" s="857"/>
      <c r="M289" s="856"/>
      <c r="N289" s="857"/>
      <c r="O289" s="858">
        <v>6</v>
      </c>
      <c r="P289" s="859">
        <v>8010</v>
      </c>
    </row>
    <row r="290" spans="1:16" ht="38.25">
      <c r="A290" s="850" t="s">
        <v>1146</v>
      </c>
      <c r="B290" s="851" t="s">
        <v>1147</v>
      </c>
      <c r="C290" s="851" t="s">
        <v>96</v>
      </c>
      <c r="D290" s="865" t="s">
        <v>1279</v>
      </c>
      <c r="E290" s="866">
        <v>3500</v>
      </c>
      <c r="F290" s="851">
        <v>43319059</v>
      </c>
      <c r="G290" s="867" t="s">
        <v>1517</v>
      </c>
      <c r="H290" s="856"/>
      <c r="I290" s="856"/>
      <c r="J290" s="856"/>
      <c r="K290" s="857"/>
      <c r="L290" s="857"/>
      <c r="M290" s="856"/>
      <c r="N290" s="857"/>
      <c r="O290" s="858">
        <v>6</v>
      </c>
      <c r="P290" s="859">
        <v>20900</v>
      </c>
    </row>
    <row r="291" spans="1:16" ht="51">
      <c r="A291" s="850" t="s">
        <v>1146</v>
      </c>
      <c r="B291" s="851" t="s">
        <v>1147</v>
      </c>
      <c r="C291" s="851" t="s">
        <v>96</v>
      </c>
      <c r="D291" s="865" t="s">
        <v>1305</v>
      </c>
      <c r="E291" s="866">
        <v>2100</v>
      </c>
      <c r="F291" s="851">
        <v>42443785</v>
      </c>
      <c r="G291" s="867" t="s">
        <v>1519</v>
      </c>
      <c r="H291" s="856"/>
      <c r="I291" s="856"/>
      <c r="J291" s="856"/>
      <c r="K291" s="857"/>
      <c r="L291" s="857"/>
      <c r="M291" s="856"/>
      <c r="N291" s="857"/>
      <c r="O291" s="858">
        <v>6</v>
      </c>
      <c r="P291" s="859">
        <v>12460</v>
      </c>
    </row>
    <row r="292" spans="1:16" ht="12.75">
      <c r="A292" s="850" t="s">
        <v>1146</v>
      </c>
      <c r="B292" s="851" t="s">
        <v>1147</v>
      </c>
      <c r="C292" s="851" t="s">
        <v>96</v>
      </c>
      <c r="D292" s="865" t="s">
        <v>1193</v>
      </c>
      <c r="E292" s="866">
        <v>1400</v>
      </c>
      <c r="F292" s="851">
        <v>47496578</v>
      </c>
      <c r="G292" s="867" t="s">
        <v>1521</v>
      </c>
      <c r="H292" s="856"/>
      <c r="I292" s="856"/>
      <c r="J292" s="856"/>
      <c r="K292" s="857"/>
      <c r="L292" s="857"/>
      <c r="M292" s="856"/>
      <c r="N292" s="857"/>
      <c r="O292" s="858">
        <v>1</v>
      </c>
      <c r="P292" s="859">
        <v>280</v>
      </c>
    </row>
    <row r="293" spans="1:16" ht="38.25">
      <c r="A293" s="850" t="s">
        <v>1146</v>
      </c>
      <c r="B293" s="851" t="s">
        <v>1147</v>
      </c>
      <c r="C293" s="851" t="s">
        <v>96</v>
      </c>
      <c r="D293" s="865" t="s">
        <v>1522</v>
      </c>
      <c r="E293" s="866">
        <v>3500</v>
      </c>
      <c r="F293" s="851">
        <v>45001889</v>
      </c>
      <c r="G293" s="867" t="s">
        <v>1524</v>
      </c>
      <c r="H293" s="856"/>
      <c r="I293" s="856"/>
      <c r="J293" s="856"/>
      <c r="K293" s="857"/>
      <c r="L293" s="857"/>
      <c r="M293" s="856"/>
      <c r="N293" s="857"/>
      <c r="O293" s="858">
        <v>6</v>
      </c>
      <c r="P293" s="859">
        <v>21000</v>
      </c>
    </row>
    <row r="294" spans="1:16" ht="38.25">
      <c r="A294" s="850" t="s">
        <v>1146</v>
      </c>
      <c r="B294" s="851" t="s">
        <v>1147</v>
      </c>
      <c r="C294" s="851" t="s">
        <v>96</v>
      </c>
      <c r="D294" s="865" t="s">
        <v>1218</v>
      </c>
      <c r="E294" s="866">
        <v>1400</v>
      </c>
      <c r="F294" s="851">
        <v>48074618</v>
      </c>
      <c r="G294" s="867" t="s">
        <v>1526</v>
      </c>
      <c r="H294" s="856"/>
      <c r="I294" s="856"/>
      <c r="J294" s="856"/>
      <c r="K294" s="857"/>
      <c r="L294" s="857"/>
      <c r="M294" s="856"/>
      <c r="N294" s="857"/>
      <c r="O294" s="858">
        <v>4</v>
      </c>
      <c r="P294" s="859">
        <v>3826.66</v>
      </c>
    </row>
    <row r="295" spans="1:16" ht="51">
      <c r="A295" s="850" t="s">
        <v>1146</v>
      </c>
      <c r="B295" s="851" t="s">
        <v>1147</v>
      </c>
      <c r="C295" s="851" t="s">
        <v>96</v>
      </c>
      <c r="D295" s="865" t="s">
        <v>1527</v>
      </c>
      <c r="E295" s="866">
        <v>2700</v>
      </c>
      <c r="F295" s="851">
        <v>41754697</v>
      </c>
      <c r="G295" s="867" t="s">
        <v>1529</v>
      </c>
      <c r="H295" s="856"/>
      <c r="I295" s="856"/>
      <c r="J295" s="856"/>
      <c r="K295" s="857"/>
      <c r="L295" s="857"/>
      <c r="M295" s="856"/>
      <c r="N295" s="857"/>
      <c r="O295" s="858">
        <v>6</v>
      </c>
      <c r="P295" s="859">
        <v>16200</v>
      </c>
    </row>
    <row r="296" spans="1:16" ht="38.25">
      <c r="A296" s="850" t="s">
        <v>1146</v>
      </c>
      <c r="B296" s="851" t="s">
        <v>1147</v>
      </c>
      <c r="C296" s="851" t="s">
        <v>96</v>
      </c>
      <c r="D296" s="865" t="s">
        <v>1242</v>
      </c>
      <c r="E296" s="866">
        <v>1100</v>
      </c>
      <c r="F296" s="850" t="s">
        <v>1530</v>
      </c>
      <c r="G296" s="867" t="s">
        <v>1644</v>
      </c>
      <c r="H296" s="856"/>
      <c r="I296" s="856"/>
      <c r="J296" s="856"/>
      <c r="K296" s="857"/>
      <c r="L296" s="857"/>
      <c r="M296" s="856"/>
      <c r="N296" s="857"/>
      <c r="O296" s="858">
        <v>3</v>
      </c>
      <c r="P296" s="859">
        <v>3300</v>
      </c>
    </row>
    <row r="297" spans="1:16" ht="25.5">
      <c r="A297" s="850" t="s">
        <v>1146</v>
      </c>
      <c r="B297" s="851" t="s">
        <v>1147</v>
      </c>
      <c r="C297" s="851" t="s">
        <v>96</v>
      </c>
      <c r="D297" s="865" t="s">
        <v>1645</v>
      </c>
      <c r="E297" s="866">
        <v>1000</v>
      </c>
      <c r="F297" s="851">
        <v>46163087</v>
      </c>
      <c r="G297" s="867" t="s">
        <v>1646</v>
      </c>
      <c r="H297" s="856"/>
      <c r="I297" s="856"/>
      <c r="J297" s="856"/>
      <c r="K297" s="857"/>
      <c r="L297" s="857"/>
      <c r="M297" s="856"/>
      <c r="N297" s="857"/>
      <c r="O297" s="858">
        <v>1</v>
      </c>
      <c r="P297" s="859">
        <v>1000</v>
      </c>
    </row>
    <row r="298" spans="1:16" ht="38.25">
      <c r="A298" s="850" t="s">
        <v>1146</v>
      </c>
      <c r="B298" s="851" t="s">
        <v>1147</v>
      </c>
      <c r="C298" s="851" t="s">
        <v>96</v>
      </c>
      <c r="D298" s="865" t="s">
        <v>1532</v>
      </c>
      <c r="E298" s="866">
        <v>3500</v>
      </c>
      <c r="F298" s="851">
        <v>20905075</v>
      </c>
      <c r="G298" s="867" t="s">
        <v>1534</v>
      </c>
      <c r="H298" s="856"/>
      <c r="I298" s="856"/>
      <c r="J298" s="856"/>
      <c r="K298" s="857"/>
      <c r="L298" s="857"/>
      <c r="M298" s="856"/>
      <c r="N298" s="857"/>
      <c r="O298" s="858">
        <v>6</v>
      </c>
      <c r="P298" s="859">
        <v>20500</v>
      </c>
    </row>
    <row r="299" spans="1:16" ht="38.25">
      <c r="A299" s="850" t="s">
        <v>1146</v>
      </c>
      <c r="B299" s="851" t="s">
        <v>1147</v>
      </c>
      <c r="C299" s="851" t="s">
        <v>96</v>
      </c>
      <c r="D299" s="865" t="s">
        <v>1535</v>
      </c>
      <c r="E299" s="866">
        <v>1400</v>
      </c>
      <c r="F299" s="851">
        <v>42426859</v>
      </c>
      <c r="G299" s="867" t="s">
        <v>1647</v>
      </c>
      <c r="H299" s="856"/>
      <c r="I299" s="856"/>
      <c r="J299" s="856"/>
      <c r="K299" s="857"/>
      <c r="L299" s="857"/>
      <c r="M299" s="856"/>
      <c r="N299" s="857"/>
      <c r="O299" s="858">
        <v>3</v>
      </c>
      <c r="P299" s="859">
        <v>4200</v>
      </c>
    </row>
    <row r="300" spans="1:16" ht="38.25">
      <c r="A300" s="850" t="s">
        <v>1146</v>
      </c>
      <c r="B300" s="851" t="s">
        <v>1147</v>
      </c>
      <c r="C300" s="851" t="s">
        <v>96</v>
      </c>
      <c r="D300" s="865" t="s">
        <v>1218</v>
      </c>
      <c r="E300" s="866">
        <v>1350</v>
      </c>
      <c r="F300" s="851">
        <v>46785479</v>
      </c>
      <c r="G300" s="867" t="s">
        <v>1539</v>
      </c>
      <c r="H300" s="856"/>
      <c r="I300" s="856"/>
      <c r="J300" s="856"/>
      <c r="K300" s="857"/>
      <c r="L300" s="857"/>
      <c r="M300" s="856"/>
      <c r="N300" s="857"/>
      <c r="O300" s="858">
        <v>6</v>
      </c>
      <c r="P300" s="859">
        <v>8100</v>
      </c>
    </row>
    <row r="301" spans="1:16" ht="38.25">
      <c r="A301" s="850" t="s">
        <v>1146</v>
      </c>
      <c r="B301" s="851" t="s">
        <v>1147</v>
      </c>
      <c r="C301" s="851" t="s">
        <v>96</v>
      </c>
      <c r="D301" s="865" t="s">
        <v>1502</v>
      </c>
      <c r="E301" s="866">
        <v>2100</v>
      </c>
      <c r="F301" s="851">
        <v>40483957</v>
      </c>
      <c r="G301" s="867" t="s">
        <v>1541</v>
      </c>
      <c r="H301" s="856"/>
      <c r="I301" s="856"/>
      <c r="J301" s="856"/>
      <c r="K301" s="857"/>
      <c r="L301" s="857"/>
      <c r="M301" s="856"/>
      <c r="N301" s="857"/>
      <c r="O301" s="858">
        <v>6</v>
      </c>
      <c r="P301" s="859">
        <v>12600</v>
      </c>
    </row>
    <row r="302" spans="1:16" ht="12.75">
      <c r="A302" s="850" t="s">
        <v>1146</v>
      </c>
      <c r="B302" s="851" t="s">
        <v>1147</v>
      </c>
      <c r="C302" s="851" t="s">
        <v>96</v>
      </c>
      <c r="D302" s="865" t="s">
        <v>1196</v>
      </c>
      <c r="E302" s="866">
        <v>2800</v>
      </c>
      <c r="F302" s="851">
        <v>73495407</v>
      </c>
      <c r="G302" s="867" t="s">
        <v>1543</v>
      </c>
      <c r="H302" s="856"/>
      <c r="I302" s="856"/>
      <c r="J302" s="856"/>
      <c r="K302" s="857"/>
      <c r="L302" s="857"/>
      <c r="M302" s="856"/>
      <c r="N302" s="857"/>
      <c r="O302" s="858">
        <v>6</v>
      </c>
      <c r="P302" s="859">
        <v>16800</v>
      </c>
    </row>
    <row r="303" spans="1:16" ht="12.75">
      <c r="A303" s="850" t="s">
        <v>1146</v>
      </c>
      <c r="B303" s="851" t="s">
        <v>1147</v>
      </c>
      <c r="C303" s="851" t="s">
        <v>96</v>
      </c>
      <c r="D303" s="865" t="s">
        <v>1248</v>
      </c>
      <c r="E303" s="866">
        <v>1400</v>
      </c>
      <c r="F303" s="851">
        <v>46653903</v>
      </c>
      <c r="G303" s="867" t="s">
        <v>1545</v>
      </c>
      <c r="H303" s="856"/>
      <c r="I303" s="856"/>
      <c r="J303" s="856"/>
      <c r="K303" s="857"/>
      <c r="L303" s="857"/>
      <c r="M303" s="856"/>
      <c r="N303" s="857"/>
      <c r="O303" s="858">
        <v>6</v>
      </c>
      <c r="P303" s="859">
        <v>8353.33</v>
      </c>
    </row>
    <row r="304" spans="1:16" ht="38.25">
      <c r="A304" s="850" t="s">
        <v>1146</v>
      </c>
      <c r="B304" s="851" t="s">
        <v>1147</v>
      </c>
      <c r="C304" s="851" t="s">
        <v>96</v>
      </c>
      <c r="D304" s="865" t="s">
        <v>1383</v>
      </c>
      <c r="E304" s="866">
        <v>2700</v>
      </c>
      <c r="F304" s="851">
        <v>40992355</v>
      </c>
      <c r="G304" s="867" t="s">
        <v>1547</v>
      </c>
      <c r="H304" s="856"/>
      <c r="I304" s="856"/>
      <c r="J304" s="856"/>
      <c r="K304" s="857"/>
      <c r="L304" s="857"/>
      <c r="M304" s="856"/>
      <c r="N304" s="857"/>
      <c r="O304" s="858">
        <v>6</v>
      </c>
      <c r="P304" s="859">
        <v>16200</v>
      </c>
    </row>
    <row r="305" spans="1:16" ht="12.75">
      <c r="A305" s="850" t="s">
        <v>1146</v>
      </c>
      <c r="B305" s="851" t="s">
        <v>1147</v>
      </c>
      <c r="C305" s="851" t="s">
        <v>96</v>
      </c>
      <c r="D305" s="865" t="s">
        <v>1548</v>
      </c>
      <c r="E305" s="866">
        <v>1100</v>
      </c>
      <c r="F305" s="850" t="s">
        <v>1549</v>
      </c>
      <c r="G305" s="867" t="s">
        <v>1550</v>
      </c>
      <c r="H305" s="856"/>
      <c r="I305" s="856"/>
      <c r="J305" s="856"/>
      <c r="K305" s="857"/>
      <c r="L305" s="857"/>
      <c r="M305" s="856"/>
      <c r="N305" s="857"/>
      <c r="O305" s="858">
        <v>6</v>
      </c>
      <c r="P305" s="859">
        <v>6600</v>
      </c>
    </row>
    <row r="306" spans="1:16" ht="25.5">
      <c r="A306" s="850" t="s">
        <v>1146</v>
      </c>
      <c r="B306" s="851" t="s">
        <v>1147</v>
      </c>
      <c r="C306" s="851" t="s">
        <v>96</v>
      </c>
      <c r="D306" s="865" t="s">
        <v>1361</v>
      </c>
      <c r="E306" s="866">
        <v>1500</v>
      </c>
      <c r="F306" s="851">
        <v>71574680</v>
      </c>
      <c r="G306" s="867" t="s">
        <v>1552</v>
      </c>
      <c r="H306" s="856"/>
      <c r="I306" s="856"/>
      <c r="J306" s="856"/>
      <c r="K306" s="857"/>
      <c r="L306" s="857"/>
      <c r="M306" s="856"/>
      <c r="N306" s="857"/>
      <c r="O306" s="858">
        <v>2</v>
      </c>
      <c r="P306" s="859">
        <v>2400</v>
      </c>
    </row>
    <row r="307" spans="1:16" ht="38.25">
      <c r="A307" s="850" t="s">
        <v>1146</v>
      </c>
      <c r="B307" s="851" t="s">
        <v>1147</v>
      </c>
      <c r="C307" s="851" t="s">
        <v>96</v>
      </c>
      <c r="D307" s="865" t="s">
        <v>1218</v>
      </c>
      <c r="E307" s="866">
        <v>1400</v>
      </c>
      <c r="F307" s="851">
        <v>70933791</v>
      </c>
      <c r="G307" s="867" t="s">
        <v>1554</v>
      </c>
      <c r="H307" s="856"/>
      <c r="I307" s="856"/>
      <c r="J307" s="856"/>
      <c r="K307" s="857"/>
      <c r="L307" s="857"/>
      <c r="M307" s="856"/>
      <c r="N307" s="857"/>
      <c r="O307" s="858">
        <v>6</v>
      </c>
      <c r="P307" s="859">
        <v>8400</v>
      </c>
    </row>
    <row r="308" spans="1:16" ht="38.25">
      <c r="A308" s="850" t="s">
        <v>1146</v>
      </c>
      <c r="B308" s="851" t="s">
        <v>1147</v>
      </c>
      <c r="C308" s="851" t="s">
        <v>96</v>
      </c>
      <c r="D308" s="865" t="s">
        <v>1399</v>
      </c>
      <c r="E308" s="866">
        <v>1700</v>
      </c>
      <c r="F308" s="850" t="s">
        <v>1555</v>
      </c>
      <c r="G308" s="867" t="s">
        <v>1556</v>
      </c>
      <c r="H308" s="856"/>
      <c r="I308" s="856"/>
      <c r="J308" s="856"/>
      <c r="K308" s="857"/>
      <c r="L308" s="857"/>
      <c r="M308" s="856"/>
      <c r="N308" s="857"/>
      <c r="O308" s="858">
        <v>6</v>
      </c>
      <c r="P308" s="859">
        <v>10143.33</v>
      </c>
    </row>
    <row r="309" spans="1:16" ht="38.25">
      <c r="A309" s="850" t="s">
        <v>1146</v>
      </c>
      <c r="B309" s="851" t="s">
        <v>1147</v>
      </c>
      <c r="C309" s="851" t="s">
        <v>96</v>
      </c>
      <c r="D309" s="865" t="s">
        <v>1218</v>
      </c>
      <c r="E309" s="866">
        <v>1400</v>
      </c>
      <c r="F309" s="851">
        <v>44431833</v>
      </c>
      <c r="G309" s="867" t="s">
        <v>1558</v>
      </c>
      <c r="H309" s="856"/>
      <c r="I309" s="856"/>
      <c r="J309" s="856"/>
      <c r="K309" s="857"/>
      <c r="L309" s="857"/>
      <c r="M309" s="856"/>
      <c r="N309" s="857"/>
      <c r="O309" s="858">
        <v>6</v>
      </c>
      <c r="P309" s="859">
        <v>8400</v>
      </c>
    </row>
    <row r="310" spans="1:16" ht="51">
      <c r="A310" s="850" t="s">
        <v>1146</v>
      </c>
      <c r="B310" s="851" t="s">
        <v>1147</v>
      </c>
      <c r="C310" s="851" t="s">
        <v>96</v>
      </c>
      <c r="D310" s="865" t="s">
        <v>1282</v>
      </c>
      <c r="E310" s="866">
        <v>1100</v>
      </c>
      <c r="F310" s="851">
        <v>43650553</v>
      </c>
      <c r="G310" s="867" t="s">
        <v>1560</v>
      </c>
      <c r="H310" s="856"/>
      <c r="I310" s="856"/>
      <c r="J310" s="856"/>
      <c r="K310" s="857"/>
      <c r="L310" s="857"/>
      <c r="M310" s="856"/>
      <c r="N310" s="857"/>
      <c r="O310" s="858">
        <v>6</v>
      </c>
      <c r="P310" s="859">
        <v>6600</v>
      </c>
    </row>
    <row r="311" spans="1:16" ht="12.75">
      <c r="A311" s="850" t="s">
        <v>1146</v>
      </c>
      <c r="B311" s="851" t="s">
        <v>1147</v>
      </c>
      <c r="C311" s="851" t="s">
        <v>96</v>
      </c>
      <c r="D311" s="865" t="s">
        <v>1248</v>
      </c>
      <c r="E311" s="866">
        <v>1400</v>
      </c>
      <c r="F311" s="851">
        <v>80077461</v>
      </c>
      <c r="G311" s="867" t="s">
        <v>1562</v>
      </c>
      <c r="H311" s="856"/>
      <c r="I311" s="856"/>
      <c r="J311" s="856"/>
      <c r="K311" s="857"/>
      <c r="L311" s="857"/>
      <c r="M311" s="856"/>
      <c r="N311" s="857"/>
      <c r="O311" s="858">
        <v>6</v>
      </c>
      <c r="P311" s="859">
        <v>8400</v>
      </c>
    </row>
    <row r="312" spans="1:16" ht="12.75">
      <c r="A312" s="850" t="s">
        <v>1146</v>
      </c>
      <c r="B312" s="851" t="s">
        <v>1147</v>
      </c>
      <c r="C312" s="851" t="s">
        <v>96</v>
      </c>
      <c r="D312" s="865" t="s">
        <v>1193</v>
      </c>
      <c r="E312" s="866">
        <v>1400</v>
      </c>
      <c r="F312" s="851">
        <v>72645053</v>
      </c>
      <c r="G312" s="867" t="s">
        <v>1648</v>
      </c>
      <c r="H312" s="856"/>
      <c r="I312" s="856"/>
      <c r="J312" s="856"/>
      <c r="K312" s="857"/>
      <c r="L312" s="857"/>
      <c r="M312" s="856"/>
      <c r="N312" s="857"/>
      <c r="O312" s="858">
        <v>6</v>
      </c>
      <c r="P312" s="859">
        <v>8400</v>
      </c>
    </row>
    <row r="313" spans="1:16" ht="51">
      <c r="A313" s="850" t="s">
        <v>1146</v>
      </c>
      <c r="B313" s="851" t="s">
        <v>1147</v>
      </c>
      <c r="C313" s="851" t="s">
        <v>96</v>
      </c>
      <c r="D313" s="865" t="s">
        <v>1305</v>
      </c>
      <c r="E313" s="866">
        <v>1400</v>
      </c>
      <c r="F313" s="851">
        <v>44501817</v>
      </c>
      <c r="G313" s="867" t="s">
        <v>1569</v>
      </c>
      <c r="H313" s="856"/>
      <c r="I313" s="856"/>
      <c r="J313" s="856"/>
      <c r="K313" s="857"/>
      <c r="L313" s="857"/>
      <c r="M313" s="856"/>
      <c r="N313" s="857"/>
      <c r="O313" s="858">
        <v>2</v>
      </c>
      <c r="P313" s="859">
        <v>3866.67</v>
      </c>
    </row>
    <row r="314" spans="1:16" ht="25.5">
      <c r="A314" s="850" t="s">
        <v>1146</v>
      </c>
      <c r="B314" s="851" t="s">
        <v>1147</v>
      </c>
      <c r="C314" s="851" t="s">
        <v>96</v>
      </c>
      <c r="D314" s="865" t="s">
        <v>1319</v>
      </c>
      <c r="E314" s="866">
        <v>1400</v>
      </c>
      <c r="F314" s="851">
        <v>73948231</v>
      </c>
      <c r="G314" s="867" t="s">
        <v>1649</v>
      </c>
      <c r="H314" s="856"/>
      <c r="I314" s="856"/>
      <c r="J314" s="856"/>
      <c r="K314" s="857"/>
      <c r="L314" s="857"/>
      <c r="M314" s="856"/>
      <c r="N314" s="857"/>
      <c r="O314" s="858">
        <v>1</v>
      </c>
      <c r="P314" s="859">
        <v>1400</v>
      </c>
    </row>
    <row r="315" spans="1:16" ht="25.5">
      <c r="A315" s="850" t="s">
        <v>1146</v>
      </c>
      <c r="B315" s="851" t="s">
        <v>1147</v>
      </c>
      <c r="C315" s="851" t="s">
        <v>96</v>
      </c>
      <c r="D315" s="865" t="s">
        <v>1650</v>
      </c>
      <c r="E315" s="866">
        <v>2100</v>
      </c>
      <c r="F315" s="851">
        <v>21271042</v>
      </c>
      <c r="G315" s="867" t="s">
        <v>1572</v>
      </c>
      <c r="H315" s="856"/>
      <c r="I315" s="856"/>
      <c r="J315" s="856"/>
      <c r="K315" s="857"/>
      <c r="L315" s="857"/>
      <c r="M315" s="856"/>
      <c r="N315" s="857"/>
      <c r="O315" s="858">
        <v>6</v>
      </c>
      <c r="P315" s="859">
        <v>12600</v>
      </c>
    </row>
    <row r="316" spans="1:16" ht="12.75">
      <c r="A316" s="850" t="s">
        <v>1146</v>
      </c>
      <c r="B316" s="851" t="s">
        <v>1147</v>
      </c>
      <c r="C316" s="851" t="s">
        <v>96</v>
      </c>
      <c r="D316" s="865" t="s">
        <v>1573</v>
      </c>
      <c r="E316" s="866">
        <v>1100</v>
      </c>
      <c r="F316" s="851">
        <v>47531137</v>
      </c>
      <c r="G316" s="867" t="s">
        <v>1575</v>
      </c>
      <c r="H316" s="856"/>
      <c r="I316" s="856"/>
      <c r="J316" s="856"/>
      <c r="K316" s="857"/>
      <c r="L316" s="857"/>
      <c r="M316" s="856"/>
      <c r="N316" s="857"/>
      <c r="O316" s="858">
        <v>6</v>
      </c>
      <c r="P316" s="859">
        <v>6600</v>
      </c>
    </row>
    <row r="317" spans="1:16" ht="25.5">
      <c r="A317" s="850" t="s">
        <v>1146</v>
      </c>
      <c r="B317" s="851" t="s">
        <v>1147</v>
      </c>
      <c r="C317" s="851" t="s">
        <v>96</v>
      </c>
      <c r="D317" s="865" t="s">
        <v>1361</v>
      </c>
      <c r="E317" s="866">
        <v>1500</v>
      </c>
      <c r="F317" s="851">
        <v>47726139</v>
      </c>
      <c r="G317" s="867" t="s">
        <v>1651</v>
      </c>
      <c r="H317" s="856"/>
      <c r="I317" s="856"/>
      <c r="J317" s="856"/>
      <c r="K317" s="857"/>
      <c r="L317" s="857"/>
      <c r="M317" s="856"/>
      <c r="N317" s="857"/>
      <c r="O317" s="858">
        <v>6</v>
      </c>
      <c r="P317" s="859">
        <v>8900</v>
      </c>
    </row>
    <row r="318" spans="1:16" ht="38.25">
      <c r="A318" s="850" t="s">
        <v>1146</v>
      </c>
      <c r="B318" s="851" t="s">
        <v>1147</v>
      </c>
      <c r="C318" s="851" t="s">
        <v>96</v>
      </c>
      <c r="D318" s="865" t="s">
        <v>1346</v>
      </c>
      <c r="E318" s="866">
        <v>1500</v>
      </c>
      <c r="F318" s="851">
        <v>40550113</v>
      </c>
      <c r="G318" s="867" t="s">
        <v>1652</v>
      </c>
      <c r="H318" s="856"/>
      <c r="I318" s="856"/>
      <c r="J318" s="856"/>
      <c r="K318" s="857"/>
      <c r="L318" s="857"/>
      <c r="M318" s="856"/>
      <c r="N318" s="857"/>
      <c r="O318" s="858">
        <v>5</v>
      </c>
      <c r="P318" s="859">
        <v>6500</v>
      </c>
    </row>
    <row r="319" spans="1:16" ht="38.25">
      <c r="A319" s="850" t="s">
        <v>1146</v>
      </c>
      <c r="B319" s="851" t="s">
        <v>1147</v>
      </c>
      <c r="C319" s="851" t="s">
        <v>96</v>
      </c>
      <c r="D319" s="865" t="s">
        <v>1440</v>
      </c>
      <c r="E319" s="866">
        <v>3500</v>
      </c>
      <c r="F319" s="850" t="s">
        <v>1653</v>
      </c>
      <c r="G319" s="867" t="s">
        <v>1654</v>
      </c>
      <c r="H319" s="856"/>
      <c r="I319" s="856"/>
      <c r="J319" s="856"/>
      <c r="K319" s="857"/>
      <c r="L319" s="857"/>
      <c r="M319" s="856"/>
      <c r="N319" s="857"/>
      <c r="O319" s="858">
        <v>2</v>
      </c>
      <c r="P319" s="859">
        <v>6000</v>
      </c>
    </row>
    <row r="320" spans="1:16" ht="38.25">
      <c r="A320" s="850" t="s">
        <v>1146</v>
      </c>
      <c r="B320" s="851" t="s">
        <v>1147</v>
      </c>
      <c r="C320" s="851" t="s">
        <v>96</v>
      </c>
      <c r="D320" s="865" t="s">
        <v>1584</v>
      </c>
      <c r="E320" s="866">
        <v>1400</v>
      </c>
      <c r="F320" s="851">
        <v>41926919</v>
      </c>
      <c r="G320" s="867" t="s">
        <v>1586</v>
      </c>
      <c r="H320" s="856"/>
      <c r="I320" s="856"/>
      <c r="J320" s="856"/>
      <c r="K320" s="857"/>
      <c r="L320" s="857"/>
      <c r="M320" s="856"/>
      <c r="N320" s="857"/>
      <c r="O320" s="858">
        <v>6</v>
      </c>
      <c r="P320" s="859">
        <v>8400</v>
      </c>
    </row>
    <row r="321" spans="1:16" ht="12.75">
      <c r="A321" s="850" t="s">
        <v>1146</v>
      </c>
      <c r="B321" s="851" t="s">
        <v>1147</v>
      </c>
      <c r="C321" s="851" t="s">
        <v>96</v>
      </c>
      <c r="D321" s="865" t="s">
        <v>1655</v>
      </c>
      <c r="E321" s="866">
        <v>2200</v>
      </c>
      <c r="F321" s="851">
        <v>41952186</v>
      </c>
      <c r="G321" s="867" t="s">
        <v>1656</v>
      </c>
      <c r="H321" s="856"/>
      <c r="I321" s="856"/>
      <c r="J321" s="856"/>
      <c r="K321" s="857"/>
      <c r="L321" s="857"/>
      <c r="M321" s="856"/>
      <c r="N321" s="857"/>
      <c r="O321" s="858">
        <v>3</v>
      </c>
      <c r="P321" s="859">
        <v>6600</v>
      </c>
    </row>
    <row r="322" spans="1:16" ht="25.5">
      <c r="A322" s="850" t="s">
        <v>1146</v>
      </c>
      <c r="B322" s="851" t="s">
        <v>1147</v>
      </c>
      <c r="C322" s="851" t="s">
        <v>96</v>
      </c>
      <c r="D322" s="865" t="s">
        <v>1603</v>
      </c>
      <c r="E322" s="866">
        <v>1400</v>
      </c>
      <c r="F322" s="851">
        <v>70890407</v>
      </c>
      <c r="G322" s="867" t="s">
        <v>1657</v>
      </c>
      <c r="H322" s="856"/>
      <c r="I322" s="856"/>
      <c r="J322" s="856"/>
      <c r="K322" s="857"/>
      <c r="L322" s="857"/>
      <c r="M322" s="856"/>
      <c r="N322" s="857"/>
      <c r="O322" s="858">
        <v>6</v>
      </c>
      <c r="P322" s="859">
        <v>8400</v>
      </c>
    </row>
    <row r="323" spans="1:16" ht="12.75">
      <c r="A323" s="850" t="s">
        <v>1146</v>
      </c>
      <c r="B323" s="851" t="s">
        <v>1147</v>
      </c>
      <c r="C323" s="851" t="s">
        <v>96</v>
      </c>
      <c r="D323" s="865" t="s">
        <v>1248</v>
      </c>
      <c r="E323" s="866">
        <v>1400</v>
      </c>
      <c r="F323" s="851">
        <v>41274213</v>
      </c>
      <c r="G323" s="867" t="s">
        <v>1658</v>
      </c>
      <c r="H323" s="856"/>
      <c r="I323" s="856"/>
      <c r="J323" s="856"/>
      <c r="K323" s="857"/>
      <c r="L323" s="857"/>
      <c r="M323" s="856"/>
      <c r="N323" s="857"/>
      <c r="O323" s="858">
        <v>6</v>
      </c>
      <c r="P323" s="859">
        <v>8400</v>
      </c>
    </row>
    <row r="326" ht="13.5" thickBot="1">
      <c r="A326" s="869" t="s">
        <v>664</v>
      </c>
    </row>
    <row r="327" spans="1:16" ht="13.5" thickBot="1">
      <c r="A327" s="1645" t="s">
        <v>140</v>
      </c>
      <c r="B327" s="1646"/>
      <c r="C327" s="1646"/>
      <c r="D327" s="1646"/>
      <c r="E327" s="1647"/>
      <c r="F327" s="1648" t="s">
        <v>141</v>
      </c>
      <c r="G327" s="1649"/>
      <c r="H327" s="1650"/>
      <c r="I327" s="1650"/>
      <c r="J327" s="1651"/>
      <c r="K327" s="1642" t="s">
        <v>362</v>
      </c>
      <c r="L327" s="1643"/>
      <c r="M327" s="1644"/>
      <c r="N327" s="1642" t="s">
        <v>363</v>
      </c>
      <c r="O327" s="1643"/>
      <c r="P327" s="1644"/>
    </row>
    <row r="328" spans="1:16" ht="71.25" customHeight="1" thickBot="1">
      <c r="A328" s="841" t="s">
        <v>99</v>
      </c>
      <c r="B328" s="842" t="s">
        <v>8</v>
      </c>
      <c r="C328" s="842" t="s">
        <v>95</v>
      </c>
      <c r="D328" s="843" t="s">
        <v>100</v>
      </c>
      <c r="E328" s="844" t="s">
        <v>121</v>
      </c>
      <c r="F328" s="841" t="s">
        <v>128</v>
      </c>
      <c r="G328" s="843" t="s">
        <v>129</v>
      </c>
      <c r="H328" s="843" t="s">
        <v>143</v>
      </c>
      <c r="I328" s="842" t="s">
        <v>144</v>
      </c>
      <c r="J328" s="845" t="s">
        <v>133</v>
      </c>
      <c r="K328" s="846" t="s">
        <v>130</v>
      </c>
      <c r="L328" s="847" t="s">
        <v>131</v>
      </c>
      <c r="M328" s="848" t="s">
        <v>132</v>
      </c>
      <c r="N328" s="846" t="s">
        <v>130</v>
      </c>
      <c r="O328" s="847" t="s">
        <v>131</v>
      </c>
      <c r="P328" s="848" t="s">
        <v>132</v>
      </c>
    </row>
    <row r="329" spans="1:16" ht="12.75">
      <c r="A329" s="870" t="s">
        <v>1659</v>
      </c>
      <c r="B329" s="871" t="s">
        <v>1660</v>
      </c>
      <c r="C329" s="870" t="s">
        <v>1661</v>
      </c>
      <c r="D329" s="872" t="s">
        <v>1662</v>
      </c>
      <c r="E329" s="873">
        <v>3000</v>
      </c>
      <c r="F329" s="871">
        <v>71123243</v>
      </c>
      <c r="G329" s="874" t="s">
        <v>1663</v>
      </c>
      <c r="H329" s="875" t="s">
        <v>1664</v>
      </c>
      <c r="I329" s="875" t="s">
        <v>1665</v>
      </c>
      <c r="J329" s="876"/>
      <c r="K329" s="871">
        <v>1</v>
      </c>
      <c r="L329" s="870">
        <v>12</v>
      </c>
      <c r="M329" s="873">
        <f>+E329*L329</f>
        <v>36000</v>
      </c>
      <c r="N329" s="871">
        <v>1</v>
      </c>
      <c r="O329" s="870">
        <v>6</v>
      </c>
      <c r="P329" s="873">
        <f>+E329*O329</f>
        <v>18000</v>
      </c>
    </row>
    <row r="330" spans="1:16" ht="38.25">
      <c r="A330" s="870" t="s">
        <v>1659</v>
      </c>
      <c r="B330" s="871" t="s">
        <v>1660</v>
      </c>
      <c r="C330" s="870" t="s">
        <v>1661</v>
      </c>
      <c r="D330" s="872" t="s">
        <v>1666</v>
      </c>
      <c r="E330" s="873">
        <v>1200</v>
      </c>
      <c r="F330" s="877" t="s">
        <v>1667</v>
      </c>
      <c r="G330" s="874" t="s">
        <v>1668</v>
      </c>
      <c r="H330" s="875" t="s">
        <v>1669</v>
      </c>
      <c r="I330" s="875" t="s">
        <v>1670</v>
      </c>
      <c r="J330" s="876"/>
      <c r="K330" s="871">
        <v>1</v>
      </c>
      <c r="L330" s="870">
        <v>12</v>
      </c>
      <c r="M330" s="873">
        <f>+E330*L330</f>
        <v>14400</v>
      </c>
      <c r="N330" s="871">
        <v>1</v>
      </c>
      <c r="O330" s="870">
        <v>6</v>
      </c>
      <c r="P330" s="873">
        <f>+E330*O330</f>
        <v>7200</v>
      </c>
    </row>
    <row r="331" spans="1:16" ht="25.5">
      <c r="A331" s="870" t="s">
        <v>1659</v>
      </c>
      <c r="B331" s="871" t="s">
        <v>1660</v>
      </c>
      <c r="C331" s="870" t="s">
        <v>1661</v>
      </c>
      <c r="D331" s="872" t="s">
        <v>1671</v>
      </c>
      <c r="E331" s="873">
        <v>1200</v>
      </c>
      <c r="F331" s="877">
        <v>45820197</v>
      </c>
      <c r="G331" s="874" t="s">
        <v>1672</v>
      </c>
      <c r="H331" s="875" t="s">
        <v>1673</v>
      </c>
      <c r="I331" s="875" t="s">
        <v>1670</v>
      </c>
      <c r="J331" s="876"/>
      <c r="K331" s="871">
        <v>1</v>
      </c>
      <c r="L331" s="870">
        <v>12</v>
      </c>
      <c r="M331" s="873">
        <f>+E331*L331</f>
        <v>14400</v>
      </c>
      <c r="N331" s="871">
        <v>1</v>
      </c>
      <c r="O331" s="870">
        <v>6</v>
      </c>
      <c r="P331" s="873">
        <f>+E331*O331</f>
        <v>7200</v>
      </c>
    </row>
    <row r="332" spans="1:16" ht="38.25">
      <c r="A332" s="870" t="s">
        <v>1659</v>
      </c>
      <c r="B332" s="871" t="s">
        <v>1660</v>
      </c>
      <c r="C332" s="870" t="s">
        <v>1661</v>
      </c>
      <c r="D332" s="872" t="s">
        <v>1674</v>
      </c>
      <c r="E332" s="873">
        <v>1200</v>
      </c>
      <c r="F332" s="877">
        <v>43834139</v>
      </c>
      <c r="G332" s="874" t="s">
        <v>1675</v>
      </c>
      <c r="H332" s="875" t="s">
        <v>1676</v>
      </c>
      <c r="I332" s="875" t="s">
        <v>1665</v>
      </c>
      <c r="J332" s="876"/>
      <c r="K332" s="871">
        <v>1</v>
      </c>
      <c r="L332" s="870">
        <v>12</v>
      </c>
      <c r="M332" s="873">
        <f>+E332*L332</f>
        <v>14400</v>
      </c>
      <c r="N332" s="871">
        <v>1</v>
      </c>
      <c r="O332" s="870">
        <v>6</v>
      </c>
      <c r="P332" s="873">
        <f>+E332*O332</f>
        <v>7200</v>
      </c>
    </row>
    <row r="333" spans="1:16" ht="25.5">
      <c r="A333" s="870" t="s">
        <v>1659</v>
      </c>
      <c r="B333" s="871" t="s">
        <v>1660</v>
      </c>
      <c r="C333" s="870" t="s">
        <v>1661</v>
      </c>
      <c r="D333" s="872" t="s">
        <v>1677</v>
      </c>
      <c r="E333" s="873">
        <v>1500</v>
      </c>
      <c r="F333" s="871">
        <v>433974774</v>
      </c>
      <c r="G333" s="874" t="s">
        <v>1678</v>
      </c>
      <c r="H333" s="875" t="s">
        <v>1679</v>
      </c>
      <c r="I333" s="875" t="s">
        <v>1665</v>
      </c>
      <c r="J333" s="876"/>
      <c r="K333" s="871">
        <v>1</v>
      </c>
      <c r="L333" s="870">
        <v>12</v>
      </c>
      <c r="M333" s="873">
        <f>+E333*L333</f>
        <v>18000</v>
      </c>
      <c r="N333" s="871">
        <v>1</v>
      </c>
      <c r="O333" s="870">
        <v>6</v>
      </c>
      <c r="P333" s="873">
        <f>+E333*O333</f>
        <v>9000</v>
      </c>
    </row>
    <row r="334" ht="12.75">
      <c r="A334" s="803" t="s">
        <v>404</v>
      </c>
    </row>
    <row r="336" spans="1:16" ht="13.5">
      <c r="A336" s="739" t="s">
        <v>582</v>
      </c>
      <c r="B336" s="738"/>
      <c r="C336" s="738"/>
      <c r="D336" s="738"/>
      <c r="E336" s="880"/>
      <c r="F336" s="738"/>
      <c r="G336" s="738"/>
      <c r="H336" s="738"/>
      <c r="I336" s="738"/>
      <c r="J336" s="738"/>
      <c r="K336" s="738"/>
      <c r="L336" s="738"/>
      <c r="M336" s="738"/>
      <c r="N336" s="738"/>
      <c r="O336" s="738"/>
      <c r="P336" s="880"/>
    </row>
    <row r="337" spans="1:16" ht="14.25" thickBot="1">
      <c r="A337" s="739" t="s">
        <v>2718</v>
      </c>
      <c r="B337" s="769"/>
      <c r="C337" s="769"/>
      <c r="D337" s="769"/>
      <c r="E337" s="881"/>
      <c r="F337" s="769"/>
      <c r="G337" s="769"/>
      <c r="H337" s="769"/>
      <c r="I337" s="769"/>
      <c r="J337" s="769"/>
      <c r="K337" s="828"/>
      <c r="L337" s="828"/>
      <c r="M337" s="769"/>
      <c r="N337" s="769"/>
      <c r="O337" s="769"/>
      <c r="P337" s="881"/>
    </row>
    <row r="338" spans="1:16" ht="14.25" thickBot="1">
      <c r="A338" s="1631" t="s">
        <v>140</v>
      </c>
      <c r="B338" s="1632"/>
      <c r="C338" s="1632"/>
      <c r="D338" s="1632"/>
      <c r="E338" s="1633"/>
      <c r="F338" s="1634" t="s">
        <v>141</v>
      </c>
      <c r="G338" s="1635"/>
      <c r="H338" s="1636"/>
      <c r="I338" s="1636"/>
      <c r="J338" s="1637"/>
      <c r="K338" s="1638" t="s">
        <v>362</v>
      </c>
      <c r="L338" s="1639"/>
      <c r="M338" s="1640"/>
      <c r="N338" s="1638" t="s">
        <v>363</v>
      </c>
      <c r="O338" s="1639"/>
      <c r="P338" s="1640"/>
    </row>
    <row r="339" spans="1:16" ht="87.75" thickBot="1">
      <c r="A339" s="829" t="s">
        <v>99</v>
      </c>
      <c r="B339" s="830" t="s">
        <v>8</v>
      </c>
      <c r="C339" s="830" t="s">
        <v>95</v>
      </c>
      <c r="D339" s="831" t="s">
        <v>100</v>
      </c>
      <c r="E339" s="882" t="s">
        <v>121</v>
      </c>
      <c r="F339" s="829" t="s">
        <v>128</v>
      </c>
      <c r="G339" s="831" t="s">
        <v>129</v>
      </c>
      <c r="H339" s="831" t="s">
        <v>143</v>
      </c>
      <c r="I339" s="830" t="s">
        <v>144</v>
      </c>
      <c r="J339" s="832" t="s">
        <v>133</v>
      </c>
      <c r="K339" s="833" t="s">
        <v>130</v>
      </c>
      <c r="L339" s="834" t="s">
        <v>131</v>
      </c>
      <c r="M339" s="835" t="s">
        <v>132</v>
      </c>
      <c r="N339" s="833" t="s">
        <v>130</v>
      </c>
      <c r="O339" s="834" t="s">
        <v>131</v>
      </c>
      <c r="P339" s="883" t="s">
        <v>132</v>
      </c>
    </row>
    <row r="340" spans="1:16" ht="13.5">
      <c r="A340" s="884"/>
      <c r="B340" s="885"/>
      <c r="C340" s="885" t="s">
        <v>96</v>
      </c>
      <c r="D340" s="886"/>
      <c r="E340" s="887"/>
      <c r="F340" s="888"/>
      <c r="G340" s="889"/>
      <c r="H340" s="889"/>
      <c r="I340" s="890"/>
      <c r="J340" s="891"/>
      <c r="K340" s="892"/>
      <c r="L340" s="893"/>
      <c r="M340" s="894"/>
      <c r="N340" s="892"/>
      <c r="O340" s="893"/>
      <c r="P340" s="895"/>
    </row>
    <row r="341" spans="1:16" ht="40.5">
      <c r="A341" s="1289" t="s">
        <v>1680</v>
      </c>
      <c r="B341" s="1290" t="s">
        <v>33</v>
      </c>
      <c r="C341" s="1290" t="s">
        <v>1681</v>
      </c>
      <c r="D341" s="1291" t="s">
        <v>1682</v>
      </c>
      <c r="E341" s="1292">
        <v>3500</v>
      </c>
      <c r="F341" s="1293">
        <v>4082551</v>
      </c>
      <c r="G341" s="1291" t="s">
        <v>1683</v>
      </c>
      <c r="H341" s="1291" t="s">
        <v>1684</v>
      </c>
      <c r="I341" s="1290" t="s">
        <v>1685</v>
      </c>
      <c r="J341" s="1291" t="s">
        <v>1684</v>
      </c>
      <c r="K341" s="1294"/>
      <c r="L341" s="1295">
        <v>0</v>
      </c>
      <c r="M341" s="1296"/>
      <c r="N341" s="1294"/>
      <c r="O341" s="1295">
        <v>0</v>
      </c>
      <c r="P341" s="1292"/>
    </row>
    <row r="342" spans="1:16" ht="40.5">
      <c r="A342" s="1289" t="s">
        <v>1680</v>
      </c>
      <c r="B342" s="1290" t="s">
        <v>33</v>
      </c>
      <c r="C342" s="1290" t="s">
        <v>1681</v>
      </c>
      <c r="D342" s="1291" t="s">
        <v>1686</v>
      </c>
      <c r="E342" s="1292">
        <v>3260</v>
      </c>
      <c r="F342" s="1293">
        <v>40332955</v>
      </c>
      <c r="G342" s="1291" t="s">
        <v>1687</v>
      </c>
      <c r="H342" s="1291" t="s">
        <v>1688</v>
      </c>
      <c r="I342" s="1290" t="s">
        <v>1685</v>
      </c>
      <c r="J342" s="1291" t="s">
        <v>1688</v>
      </c>
      <c r="K342" s="1294"/>
      <c r="L342" s="1295">
        <v>0</v>
      </c>
      <c r="M342" s="1296"/>
      <c r="N342" s="1294"/>
      <c r="O342" s="1295">
        <v>0</v>
      </c>
      <c r="P342" s="1292"/>
    </row>
    <row r="343" spans="1:16" ht="40.5">
      <c r="A343" s="1289" t="s">
        <v>1680</v>
      </c>
      <c r="B343" s="1290" t="s">
        <v>33</v>
      </c>
      <c r="C343" s="1290" t="s">
        <v>1681</v>
      </c>
      <c r="D343" s="1291" t="s">
        <v>1689</v>
      </c>
      <c r="E343" s="1292">
        <v>2700</v>
      </c>
      <c r="F343" s="1293">
        <v>40277940</v>
      </c>
      <c r="G343" s="1291" t="s">
        <v>1690</v>
      </c>
      <c r="H343" s="1291" t="s">
        <v>1691</v>
      </c>
      <c r="I343" s="1290" t="s">
        <v>1685</v>
      </c>
      <c r="J343" s="1291" t="s">
        <v>1691</v>
      </c>
      <c r="K343" s="1294"/>
      <c r="L343" s="1295">
        <v>0</v>
      </c>
      <c r="M343" s="1296"/>
      <c r="N343" s="1297"/>
      <c r="O343" s="1295">
        <v>0</v>
      </c>
      <c r="P343" s="1292"/>
    </row>
    <row r="344" spans="1:16" ht="40.5">
      <c r="A344" s="1289" t="s">
        <v>1680</v>
      </c>
      <c r="B344" s="1290" t="s">
        <v>33</v>
      </c>
      <c r="C344" s="1290" t="s">
        <v>1681</v>
      </c>
      <c r="D344" s="1291" t="s">
        <v>1689</v>
      </c>
      <c r="E344" s="1292">
        <v>2700</v>
      </c>
      <c r="F344" s="1293">
        <v>71216636</v>
      </c>
      <c r="G344" s="1291" t="s">
        <v>1692</v>
      </c>
      <c r="H344" s="1291" t="s">
        <v>1693</v>
      </c>
      <c r="I344" s="1290" t="s">
        <v>1685</v>
      </c>
      <c r="J344" s="1291" t="s">
        <v>1693</v>
      </c>
      <c r="K344" s="1294"/>
      <c r="L344" s="1295">
        <v>0</v>
      </c>
      <c r="M344" s="1296"/>
      <c r="N344" s="1297"/>
      <c r="O344" s="1295">
        <v>0</v>
      </c>
      <c r="P344" s="1292"/>
    </row>
    <row r="345" spans="1:16" ht="40.5">
      <c r="A345" s="1289" t="s">
        <v>1680</v>
      </c>
      <c r="B345" s="1290" t="s">
        <v>33</v>
      </c>
      <c r="C345" s="1290" t="s">
        <v>1681</v>
      </c>
      <c r="D345" s="1291" t="s">
        <v>1689</v>
      </c>
      <c r="E345" s="1292">
        <v>2700</v>
      </c>
      <c r="F345" s="1293">
        <v>40446883</v>
      </c>
      <c r="G345" s="1291" t="s">
        <v>1694</v>
      </c>
      <c r="H345" s="1291" t="s">
        <v>1691</v>
      </c>
      <c r="I345" s="1290" t="s">
        <v>1685</v>
      </c>
      <c r="J345" s="1291" t="s">
        <v>1691</v>
      </c>
      <c r="K345" s="1294"/>
      <c r="L345" s="1295">
        <v>0</v>
      </c>
      <c r="M345" s="1296"/>
      <c r="N345" s="1297"/>
      <c r="O345" s="1295">
        <v>0</v>
      </c>
      <c r="P345" s="1292"/>
    </row>
    <row r="346" spans="1:16" ht="40.5">
      <c r="A346" s="1289" t="s">
        <v>1680</v>
      </c>
      <c r="B346" s="1290" t="s">
        <v>33</v>
      </c>
      <c r="C346" s="1290" t="s">
        <v>1681</v>
      </c>
      <c r="D346" s="1291" t="s">
        <v>1689</v>
      </c>
      <c r="E346" s="1292">
        <v>2700</v>
      </c>
      <c r="F346" s="1293">
        <v>43221964</v>
      </c>
      <c r="G346" s="1291" t="s">
        <v>1695</v>
      </c>
      <c r="H346" s="1291" t="s">
        <v>1688</v>
      </c>
      <c r="I346" s="1290" t="s">
        <v>1685</v>
      </c>
      <c r="J346" s="1291" t="s">
        <v>1688</v>
      </c>
      <c r="K346" s="1294"/>
      <c r="L346" s="1295">
        <v>0</v>
      </c>
      <c r="M346" s="1296"/>
      <c r="N346" s="1297"/>
      <c r="O346" s="1295">
        <v>0</v>
      </c>
      <c r="P346" s="1292"/>
    </row>
    <row r="347" spans="1:16" ht="40.5">
      <c r="A347" s="1289" t="s">
        <v>1680</v>
      </c>
      <c r="B347" s="1290" t="s">
        <v>33</v>
      </c>
      <c r="C347" s="1290" t="s">
        <v>1681</v>
      </c>
      <c r="D347" s="1291" t="s">
        <v>1689</v>
      </c>
      <c r="E347" s="1292">
        <v>2700</v>
      </c>
      <c r="F347" s="1293">
        <v>6812046</v>
      </c>
      <c r="G347" s="1291" t="s">
        <v>1696</v>
      </c>
      <c r="H347" s="1291" t="s">
        <v>1697</v>
      </c>
      <c r="I347" s="1290" t="s">
        <v>1685</v>
      </c>
      <c r="J347" s="1291" t="s">
        <v>1697</v>
      </c>
      <c r="K347" s="1294"/>
      <c r="L347" s="1295">
        <v>0</v>
      </c>
      <c r="M347" s="1296"/>
      <c r="N347" s="1297"/>
      <c r="O347" s="1295">
        <v>0</v>
      </c>
      <c r="P347" s="1292"/>
    </row>
    <row r="348" spans="1:16" ht="40.5">
      <c r="A348" s="1289" t="s">
        <v>1680</v>
      </c>
      <c r="B348" s="1290" t="s">
        <v>33</v>
      </c>
      <c r="C348" s="1290" t="s">
        <v>1681</v>
      </c>
      <c r="D348" s="1291" t="s">
        <v>1689</v>
      </c>
      <c r="E348" s="1292">
        <v>2700</v>
      </c>
      <c r="F348" s="1293">
        <v>72958353</v>
      </c>
      <c r="G348" s="1291" t="s">
        <v>1698</v>
      </c>
      <c r="H348" s="1291" t="s">
        <v>1697</v>
      </c>
      <c r="I348" s="1290" t="s">
        <v>1685</v>
      </c>
      <c r="J348" s="1291" t="s">
        <v>1697</v>
      </c>
      <c r="K348" s="1294"/>
      <c r="L348" s="1295">
        <v>0</v>
      </c>
      <c r="M348" s="1296"/>
      <c r="N348" s="1297"/>
      <c r="O348" s="1295">
        <v>0</v>
      </c>
      <c r="P348" s="1298"/>
    </row>
    <row r="349" spans="1:16" ht="41.25" thickBot="1">
      <c r="A349" s="1289" t="s">
        <v>1680</v>
      </c>
      <c r="B349" s="1290" t="s">
        <v>33</v>
      </c>
      <c r="C349" s="1290" t="s">
        <v>1681</v>
      </c>
      <c r="D349" s="1291" t="s">
        <v>1699</v>
      </c>
      <c r="E349" s="1292">
        <v>3000</v>
      </c>
      <c r="F349" s="1293">
        <v>42330280</v>
      </c>
      <c r="G349" s="1291" t="s">
        <v>1700</v>
      </c>
      <c r="H349" s="1291" t="s">
        <v>1701</v>
      </c>
      <c r="I349" s="1290" t="s">
        <v>1685</v>
      </c>
      <c r="J349" s="1291" t="s">
        <v>1701</v>
      </c>
      <c r="K349" s="1294"/>
      <c r="L349" s="1295">
        <v>0</v>
      </c>
      <c r="M349" s="1296"/>
      <c r="N349" s="1297"/>
      <c r="O349" s="1354">
        <v>0</v>
      </c>
      <c r="P349" s="1298"/>
    </row>
    <row r="350" spans="1:16" ht="40.5">
      <c r="A350" s="1289" t="s">
        <v>1680</v>
      </c>
      <c r="B350" s="1290" t="s">
        <v>33</v>
      </c>
      <c r="C350" s="1290" t="s">
        <v>1702</v>
      </c>
      <c r="D350" s="1291" t="s">
        <v>1703</v>
      </c>
      <c r="E350" s="1292">
        <v>2500</v>
      </c>
      <c r="F350" s="1293">
        <v>46270297</v>
      </c>
      <c r="G350" s="1291" t="s">
        <v>1704</v>
      </c>
      <c r="H350" s="1291" t="s">
        <v>1705</v>
      </c>
      <c r="I350" s="1290" t="s">
        <v>1685</v>
      </c>
      <c r="J350" s="1291" t="s">
        <v>1705</v>
      </c>
      <c r="K350" s="1294"/>
      <c r="L350" s="1295">
        <v>12</v>
      </c>
      <c r="M350" s="1301"/>
      <c r="N350" s="1355" t="s">
        <v>1706</v>
      </c>
      <c r="O350" s="1356">
        <v>12</v>
      </c>
      <c r="P350" s="1357">
        <v>31885.8</v>
      </c>
    </row>
    <row r="351" spans="1:16" ht="40.5">
      <c r="A351" s="1289" t="s">
        <v>1680</v>
      </c>
      <c r="B351" s="1290" t="s">
        <v>33</v>
      </c>
      <c r="C351" s="1290" t="s">
        <v>1702</v>
      </c>
      <c r="D351" s="1291" t="s">
        <v>1707</v>
      </c>
      <c r="E351" s="1292">
        <v>2500</v>
      </c>
      <c r="F351" s="1293">
        <v>22516495</v>
      </c>
      <c r="G351" s="1291" t="s">
        <v>1708</v>
      </c>
      <c r="H351" s="1291" t="s">
        <v>1705</v>
      </c>
      <c r="I351" s="1290" t="s">
        <v>1685</v>
      </c>
      <c r="J351" s="1291" t="s">
        <v>1705</v>
      </c>
      <c r="K351" s="1294"/>
      <c r="L351" s="1295">
        <v>12</v>
      </c>
      <c r="M351" s="1301"/>
      <c r="N351" s="1358" t="s">
        <v>1709</v>
      </c>
      <c r="O351" s="1299">
        <v>12</v>
      </c>
      <c r="P351" s="1359">
        <v>31885.8</v>
      </c>
    </row>
    <row r="352" spans="1:16" ht="40.5">
      <c r="A352" s="1289" t="s">
        <v>1680</v>
      </c>
      <c r="B352" s="1290" t="s">
        <v>33</v>
      </c>
      <c r="C352" s="1290" t="s">
        <v>1702</v>
      </c>
      <c r="D352" s="1291" t="s">
        <v>1710</v>
      </c>
      <c r="E352" s="1292">
        <v>2500</v>
      </c>
      <c r="F352" s="1293">
        <v>40830813</v>
      </c>
      <c r="G352" s="1291" t="s">
        <v>1711</v>
      </c>
      <c r="H352" s="1291" t="s">
        <v>1705</v>
      </c>
      <c r="I352" s="1290" t="s">
        <v>1685</v>
      </c>
      <c r="J352" s="1291" t="s">
        <v>1705</v>
      </c>
      <c r="K352" s="1294"/>
      <c r="L352" s="1295">
        <v>12</v>
      </c>
      <c r="M352" s="1301"/>
      <c r="N352" s="1358" t="s">
        <v>1712</v>
      </c>
      <c r="O352" s="1299">
        <v>12</v>
      </c>
      <c r="P352" s="1359">
        <v>31885.8</v>
      </c>
    </row>
    <row r="353" spans="1:16" ht="27">
      <c r="A353" s="1289" t="s">
        <v>1680</v>
      </c>
      <c r="B353" s="1290" t="s">
        <v>33</v>
      </c>
      <c r="C353" s="1290" t="s">
        <v>1702</v>
      </c>
      <c r="D353" s="1291" t="s">
        <v>1713</v>
      </c>
      <c r="E353" s="1292">
        <v>2500</v>
      </c>
      <c r="F353" s="1293">
        <v>7644942</v>
      </c>
      <c r="G353" s="1291" t="s">
        <v>1714</v>
      </c>
      <c r="H353" s="1291" t="s">
        <v>1705</v>
      </c>
      <c r="I353" s="1290" t="s">
        <v>1685</v>
      </c>
      <c r="J353" s="1291" t="s">
        <v>1705</v>
      </c>
      <c r="K353" s="1294"/>
      <c r="L353" s="1295">
        <v>12</v>
      </c>
      <c r="M353" s="1301"/>
      <c r="N353" s="1360" t="s">
        <v>1715</v>
      </c>
      <c r="O353" s="1361">
        <v>12</v>
      </c>
      <c r="P353" s="1362">
        <v>31885.8</v>
      </c>
    </row>
    <row r="354" spans="1:16" ht="40.5">
      <c r="A354" s="1289" t="s">
        <v>1680</v>
      </c>
      <c r="B354" s="1290" t="s">
        <v>33</v>
      </c>
      <c r="C354" s="1290" t="s">
        <v>1702</v>
      </c>
      <c r="D354" s="1291" t="s">
        <v>1716</v>
      </c>
      <c r="E354" s="1292">
        <v>2500</v>
      </c>
      <c r="F354" s="1293">
        <v>4078155</v>
      </c>
      <c r="G354" s="1291" t="s">
        <v>1717</v>
      </c>
      <c r="H354" s="1291" t="s">
        <v>1718</v>
      </c>
      <c r="I354" s="1290" t="s">
        <v>1685</v>
      </c>
      <c r="J354" s="1291" t="s">
        <v>1718</v>
      </c>
      <c r="K354" s="1294"/>
      <c r="L354" s="1295">
        <v>12</v>
      </c>
      <c r="M354" s="1301"/>
      <c r="N354" s="1363" t="s">
        <v>1719</v>
      </c>
      <c r="O354" s="1301">
        <v>12</v>
      </c>
      <c r="P354" s="1292">
        <v>31885.8</v>
      </c>
    </row>
    <row r="355" spans="1:16" ht="54">
      <c r="A355" s="1289" t="s">
        <v>1680</v>
      </c>
      <c r="B355" s="1290" t="s">
        <v>33</v>
      </c>
      <c r="C355" s="1290" t="s">
        <v>1720</v>
      </c>
      <c r="D355" s="1291" t="s">
        <v>1721</v>
      </c>
      <c r="E355" s="1292">
        <v>3800</v>
      </c>
      <c r="F355" s="1293">
        <v>46596030</v>
      </c>
      <c r="G355" s="1291" t="s">
        <v>1722</v>
      </c>
      <c r="H355" s="1291" t="s">
        <v>1705</v>
      </c>
      <c r="I355" s="1290" t="s">
        <v>1685</v>
      </c>
      <c r="J355" s="1291" t="s">
        <v>1705</v>
      </c>
      <c r="K355" s="1294"/>
      <c r="L355" s="1295">
        <v>0</v>
      </c>
      <c r="M355" s="1301"/>
      <c r="N355" s="1297"/>
      <c r="O355" s="1300"/>
      <c r="P355" s="1292"/>
    </row>
    <row r="356" spans="1:16" ht="67.5">
      <c r="A356" s="1289" t="s">
        <v>1680</v>
      </c>
      <c r="B356" s="1290" t="s">
        <v>33</v>
      </c>
      <c r="C356" s="1290" t="s">
        <v>1723</v>
      </c>
      <c r="D356" s="1291" t="s">
        <v>1724</v>
      </c>
      <c r="E356" s="1292">
        <v>3000</v>
      </c>
      <c r="F356" s="1293">
        <v>4071246</v>
      </c>
      <c r="G356" s="1291" t="s">
        <v>1725</v>
      </c>
      <c r="H356" s="1291" t="s">
        <v>1726</v>
      </c>
      <c r="I356" s="1290" t="s">
        <v>1685</v>
      </c>
      <c r="J356" s="1291" t="s">
        <v>1727</v>
      </c>
      <c r="K356" s="1294"/>
      <c r="L356" s="1295">
        <v>0</v>
      </c>
      <c r="M356" s="1301"/>
      <c r="N356" s="1294"/>
      <c r="O356" s="1300"/>
      <c r="P356" s="1292"/>
    </row>
    <row r="357" spans="1:16" ht="27">
      <c r="A357" s="1289" t="s">
        <v>1680</v>
      </c>
      <c r="B357" s="1290" t="s">
        <v>33</v>
      </c>
      <c r="C357" s="1290" t="s">
        <v>1728</v>
      </c>
      <c r="D357" s="1291" t="s">
        <v>1729</v>
      </c>
      <c r="E357" s="1292">
        <v>3000</v>
      </c>
      <c r="F357" s="1293">
        <v>4020399</v>
      </c>
      <c r="G357" s="1291" t="s">
        <v>1730</v>
      </c>
      <c r="H357" s="1291" t="s">
        <v>1731</v>
      </c>
      <c r="I357" s="1290" t="s">
        <v>1685</v>
      </c>
      <c r="J357" s="1291" t="s">
        <v>1731</v>
      </c>
      <c r="K357" s="1294"/>
      <c r="L357" s="1295">
        <v>12</v>
      </c>
      <c r="M357" s="1301"/>
      <c r="N357" s="1294"/>
      <c r="O357" s="1295">
        <v>12</v>
      </c>
      <c r="P357" s="1292"/>
    </row>
    <row r="358" spans="1:16" ht="67.5">
      <c r="A358" s="1289" t="s">
        <v>1680</v>
      </c>
      <c r="B358" s="1290" t="s">
        <v>33</v>
      </c>
      <c r="C358" s="1290" t="s">
        <v>1732</v>
      </c>
      <c r="D358" s="1291" t="s">
        <v>1733</v>
      </c>
      <c r="E358" s="1292">
        <v>2600</v>
      </c>
      <c r="F358" s="1293">
        <v>40459488</v>
      </c>
      <c r="G358" s="1291" t="s">
        <v>1734</v>
      </c>
      <c r="H358" s="1291" t="s">
        <v>1718</v>
      </c>
      <c r="I358" s="1290" t="s">
        <v>1685</v>
      </c>
      <c r="J358" s="1291" t="s">
        <v>1718</v>
      </c>
      <c r="K358" s="1294"/>
      <c r="L358" s="1295">
        <v>0</v>
      </c>
      <c r="M358" s="1301"/>
      <c r="N358" s="1294"/>
      <c r="O358" s="1295">
        <v>9</v>
      </c>
      <c r="P358" s="1292"/>
    </row>
    <row r="359" spans="1:16" ht="40.5">
      <c r="A359" s="1289" t="s">
        <v>1680</v>
      </c>
      <c r="B359" s="1290" t="s">
        <v>33</v>
      </c>
      <c r="C359" s="1290" t="s">
        <v>1732</v>
      </c>
      <c r="D359" s="1291" t="s">
        <v>1735</v>
      </c>
      <c r="E359" s="1292">
        <v>1150</v>
      </c>
      <c r="F359" s="1293">
        <v>70257883</v>
      </c>
      <c r="G359" s="1291" t="s">
        <v>1736</v>
      </c>
      <c r="H359" s="1291" t="s">
        <v>1737</v>
      </c>
      <c r="I359" s="1291" t="s">
        <v>1737</v>
      </c>
      <c r="J359" s="1291" t="s">
        <v>1737</v>
      </c>
      <c r="K359" s="1294"/>
      <c r="L359" s="1295">
        <v>12</v>
      </c>
      <c r="M359" s="1301"/>
      <c r="N359" s="1294"/>
      <c r="O359" s="1295">
        <v>12</v>
      </c>
      <c r="P359" s="1292"/>
    </row>
    <row r="360" spans="1:16" ht="40.5">
      <c r="A360" s="1289" t="s">
        <v>1680</v>
      </c>
      <c r="B360" s="1290" t="s">
        <v>33</v>
      </c>
      <c r="C360" s="1290" t="s">
        <v>1732</v>
      </c>
      <c r="D360" s="1291" t="s">
        <v>1735</v>
      </c>
      <c r="E360" s="1292">
        <v>1150</v>
      </c>
      <c r="F360" s="1293">
        <v>4065566</v>
      </c>
      <c r="G360" s="1291" t="s">
        <v>1738</v>
      </c>
      <c r="H360" s="1291" t="s">
        <v>1737</v>
      </c>
      <c r="I360" s="1291" t="s">
        <v>1737</v>
      </c>
      <c r="J360" s="1291" t="s">
        <v>1737</v>
      </c>
      <c r="K360" s="1294"/>
      <c r="L360" s="1295">
        <v>12</v>
      </c>
      <c r="M360" s="1301"/>
      <c r="N360" s="1294"/>
      <c r="O360" s="1295">
        <v>12</v>
      </c>
      <c r="P360" s="1292"/>
    </row>
    <row r="361" spans="1:16" ht="40.5">
      <c r="A361" s="1289" t="s">
        <v>1680</v>
      </c>
      <c r="B361" s="1290" t="s">
        <v>33</v>
      </c>
      <c r="C361" s="1290" t="s">
        <v>1732</v>
      </c>
      <c r="D361" s="1291" t="s">
        <v>1735</v>
      </c>
      <c r="E361" s="1292">
        <v>1150</v>
      </c>
      <c r="F361" s="1293">
        <v>80544286</v>
      </c>
      <c r="G361" s="1291" t="s">
        <v>1739</v>
      </c>
      <c r="H361" s="1291" t="s">
        <v>1737</v>
      </c>
      <c r="I361" s="1291" t="s">
        <v>1737</v>
      </c>
      <c r="J361" s="1291" t="s">
        <v>1737</v>
      </c>
      <c r="K361" s="1294"/>
      <c r="L361" s="1295">
        <v>12</v>
      </c>
      <c r="M361" s="1301"/>
      <c r="N361" s="1294"/>
      <c r="O361" s="1295">
        <v>12</v>
      </c>
      <c r="P361" s="1292"/>
    </row>
    <row r="362" spans="1:16" ht="40.5">
      <c r="A362" s="1289" t="s">
        <v>1680</v>
      </c>
      <c r="B362" s="1290" t="s">
        <v>33</v>
      </c>
      <c r="C362" s="1290" t="s">
        <v>1732</v>
      </c>
      <c r="D362" s="1291" t="s">
        <v>1735</v>
      </c>
      <c r="E362" s="1292">
        <v>1150</v>
      </c>
      <c r="F362" s="1293">
        <v>77474545</v>
      </c>
      <c r="G362" s="1291" t="s">
        <v>1740</v>
      </c>
      <c r="H362" s="1291" t="s">
        <v>1737</v>
      </c>
      <c r="I362" s="1291" t="s">
        <v>1737</v>
      </c>
      <c r="J362" s="1291" t="s">
        <v>1737</v>
      </c>
      <c r="K362" s="1294"/>
      <c r="L362" s="1295">
        <v>12</v>
      </c>
      <c r="M362" s="1301"/>
      <c r="N362" s="1294"/>
      <c r="O362" s="1295">
        <v>12</v>
      </c>
      <c r="P362" s="1292"/>
    </row>
    <row r="363" spans="1:16" ht="40.5">
      <c r="A363" s="1289" t="s">
        <v>1680</v>
      </c>
      <c r="B363" s="1290" t="s">
        <v>33</v>
      </c>
      <c r="C363" s="1290" t="s">
        <v>1732</v>
      </c>
      <c r="D363" s="1291" t="s">
        <v>1735</v>
      </c>
      <c r="E363" s="1292">
        <v>1150</v>
      </c>
      <c r="F363" s="1293">
        <v>41682366</v>
      </c>
      <c r="G363" s="1291" t="s">
        <v>1741</v>
      </c>
      <c r="H363" s="1291" t="s">
        <v>1742</v>
      </c>
      <c r="I363" s="1291" t="s">
        <v>1742</v>
      </c>
      <c r="J363" s="1291" t="s">
        <v>1742</v>
      </c>
      <c r="K363" s="1294"/>
      <c r="L363" s="1295">
        <v>12</v>
      </c>
      <c r="M363" s="1301"/>
      <c r="N363" s="1294"/>
      <c r="O363" s="1295">
        <v>12</v>
      </c>
      <c r="P363" s="1292"/>
    </row>
    <row r="364" spans="1:16" ht="40.5">
      <c r="A364" s="1289" t="s">
        <v>1680</v>
      </c>
      <c r="B364" s="1290" t="s">
        <v>33</v>
      </c>
      <c r="C364" s="1290" t="s">
        <v>1732</v>
      </c>
      <c r="D364" s="1291" t="s">
        <v>1735</v>
      </c>
      <c r="E364" s="1292">
        <v>1150</v>
      </c>
      <c r="F364" s="1293">
        <v>4222996</v>
      </c>
      <c r="G364" s="1291" t="s">
        <v>1743</v>
      </c>
      <c r="H364" s="1291" t="s">
        <v>1742</v>
      </c>
      <c r="I364" s="1291" t="s">
        <v>1742</v>
      </c>
      <c r="J364" s="1291" t="s">
        <v>1742</v>
      </c>
      <c r="K364" s="1294"/>
      <c r="L364" s="1295">
        <v>12</v>
      </c>
      <c r="M364" s="1301"/>
      <c r="N364" s="1294"/>
      <c r="O364" s="1295">
        <v>12</v>
      </c>
      <c r="P364" s="1292"/>
    </row>
    <row r="365" spans="1:16" ht="40.5">
      <c r="A365" s="1289" t="s">
        <v>1680</v>
      </c>
      <c r="B365" s="1290" t="s">
        <v>33</v>
      </c>
      <c r="C365" s="1290" t="s">
        <v>1732</v>
      </c>
      <c r="D365" s="1291" t="s">
        <v>1735</v>
      </c>
      <c r="E365" s="1292">
        <v>1150</v>
      </c>
      <c r="F365" s="1293">
        <v>4067313</v>
      </c>
      <c r="G365" s="1291" t="s">
        <v>1744</v>
      </c>
      <c r="H365" s="1291" t="s">
        <v>1745</v>
      </c>
      <c r="I365" s="1291" t="s">
        <v>1745</v>
      </c>
      <c r="J365" s="1291" t="s">
        <v>1745</v>
      </c>
      <c r="K365" s="1294"/>
      <c r="L365" s="1295">
        <v>12</v>
      </c>
      <c r="M365" s="1301"/>
      <c r="N365" s="1294"/>
      <c r="O365" s="1295">
        <v>12</v>
      </c>
      <c r="P365" s="1292"/>
    </row>
    <row r="366" spans="1:16" ht="40.5">
      <c r="A366" s="1289" t="s">
        <v>1680</v>
      </c>
      <c r="B366" s="1290" t="s">
        <v>33</v>
      </c>
      <c r="C366" s="1290" t="s">
        <v>1732</v>
      </c>
      <c r="D366" s="1291" t="s">
        <v>1735</v>
      </c>
      <c r="E366" s="1292">
        <v>1150</v>
      </c>
      <c r="F366" s="1293">
        <v>80219515</v>
      </c>
      <c r="G366" s="1291" t="s">
        <v>1746</v>
      </c>
      <c r="H366" s="1291" t="s">
        <v>1742</v>
      </c>
      <c r="I366" s="1291" t="s">
        <v>1742</v>
      </c>
      <c r="J366" s="1291" t="s">
        <v>1742</v>
      </c>
      <c r="K366" s="1294"/>
      <c r="L366" s="1295">
        <v>12</v>
      </c>
      <c r="M366" s="1301"/>
      <c r="N366" s="1294"/>
      <c r="O366" s="1295">
        <v>12</v>
      </c>
      <c r="P366" s="1292"/>
    </row>
    <row r="367" spans="1:16" ht="81">
      <c r="A367" s="1289" t="s">
        <v>1680</v>
      </c>
      <c r="B367" s="1290" t="s">
        <v>33</v>
      </c>
      <c r="C367" s="1290" t="s">
        <v>1747</v>
      </c>
      <c r="D367" s="1291" t="s">
        <v>1748</v>
      </c>
      <c r="E367" s="1292">
        <v>4000</v>
      </c>
      <c r="F367" s="1293">
        <v>4220964</v>
      </c>
      <c r="G367" s="1291" t="s">
        <v>1749</v>
      </c>
      <c r="H367" s="1291" t="s">
        <v>1750</v>
      </c>
      <c r="I367" s="1290" t="s">
        <v>1685</v>
      </c>
      <c r="J367" s="1291" t="s">
        <v>1750</v>
      </c>
      <c r="K367" s="1294"/>
      <c r="L367" s="1300"/>
      <c r="M367" s="1301"/>
      <c r="N367" s="1294"/>
      <c r="O367" s="1295">
        <v>4</v>
      </c>
      <c r="P367" s="1292"/>
    </row>
    <row r="368" spans="1:16" ht="27">
      <c r="A368" s="1289" t="s">
        <v>1680</v>
      </c>
      <c r="B368" s="1290" t="s">
        <v>33</v>
      </c>
      <c r="C368" s="1290" t="s">
        <v>1751</v>
      </c>
      <c r="D368" s="1291" t="s">
        <v>1752</v>
      </c>
      <c r="E368" s="1292">
        <v>1800</v>
      </c>
      <c r="F368" s="1293">
        <v>42780082</v>
      </c>
      <c r="G368" s="1291" t="s">
        <v>1753</v>
      </c>
      <c r="H368" s="1291" t="s">
        <v>1754</v>
      </c>
      <c r="I368" s="1290" t="s">
        <v>1685</v>
      </c>
      <c r="J368" s="1291" t="s">
        <v>1754</v>
      </c>
      <c r="K368" s="1294"/>
      <c r="L368" s="1295">
        <v>12</v>
      </c>
      <c r="M368" s="1301"/>
      <c r="N368" s="1294"/>
      <c r="O368" s="1295">
        <v>12</v>
      </c>
      <c r="P368" s="1292"/>
    </row>
    <row r="369" spans="1:16" ht="27">
      <c r="A369" s="1289" t="s">
        <v>1680</v>
      </c>
      <c r="B369" s="1290" t="s">
        <v>33</v>
      </c>
      <c r="C369" s="1290" t="s">
        <v>1751</v>
      </c>
      <c r="D369" s="1291" t="s">
        <v>1752</v>
      </c>
      <c r="E369" s="1292">
        <v>1500</v>
      </c>
      <c r="F369" s="1293">
        <v>73010646</v>
      </c>
      <c r="G369" s="1291" t="s">
        <v>1755</v>
      </c>
      <c r="H369" s="1291" t="s">
        <v>1756</v>
      </c>
      <c r="I369" s="1290" t="s">
        <v>1685</v>
      </c>
      <c r="J369" s="1291" t="s">
        <v>1756</v>
      </c>
      <c r="K369" s="1294"/>
      <c r="L369" s="1295">
        <v>12</v>
      </c>
      <c r="M369" s="1301"/>
      <c r="N369" s="1294"/>
      <c r="O369" s="1295">
        <v>12</v>
      </c>
      <c r="P369" s="1292"/>
    </row>
    <row r="370" spans="1:16" ht="27">
      <c r="A370" s="1289" t="s">
        <v>1680</v>
      </c>
      <c r="B370" s="1290" t="s">
        <v>33</v>
      </c>
      <c r="C370" s="1290" t="s">
        <v>1751</v>
      </c>
      <c r="D370" s="1291" t="s">
        <v>1752</v>
      </c>
      <c r="E370" s="1292">
        <v>1500</v>
      </c>
      <c r="F370" s="1293">
        <v>4073737</v>
      </c>
      <c r="G370" s="1291" t="s">
        <v>1757</v>
      </c>
      <c r="H370" s="1291"/>
      <c r="I370" s="1290" t="s">
        <v>1685</v>
      </c>
      <c r="J370" s="1301"/>
      <c r="K370" s="1294"/>
      <c r="L370" s="1300"/>
      <c r="M370" s="1301"/>
      <c r="N370" s="1294"/>
      <c r="O370" s="1295"/>
      <c r="P370" s="1292"/>
    </row>
    <row r="371" spans="1:16" ht="27">
      <c r="A371" s="1289" t="s">
        <v>1680</v>
      </c>
      <c r="B371" s="1290" t="s">
        <v>33</v>
      </c>
      <c r="C371" s="1290" t="s">
        <v>1751</v>
      </c>
      <c r="D371" s="1291" t="s">
        <v>1752</v>
      </c>
      <c r="E371" s="1292">
        <v>2100</v>
      </c>
      <c r="F371" s="1293">
        <v>40387767</v>
      </c>
      <c r="G371" s="1291" t="s">
        <v>1758</v>
      </c>
      <c r="H371" s="1291" t="s">
        <v>1759</v>
      </c>
      <c r="I371" s="1290" t="s">
        <v>1685</v>
      </c>
      <c r="J371" s="1291" t="s">
        <v>1759</v>
      </c>
      <c r="K371" s="1294"/>
      <c r="L371" s="1300"/>
      <c r="M371" s="1301"/>
      <c r="N371" s="1294"/>
      <c r="O371" s="1295"/>
      <c r="P371" s="1292"/>
    </row>
    <row r="372" spans="1:16" ht="27">
      <c r="A372" s="1289" t="s">
        <v>1680</v>
      </c>
      <c r="B372" s="1290" t="s">
        <v>33</v>
      </c>
      <c r="C372" s="1290" t="s">
        <v>1751</v>
      </c>
      <c r="D372" s="1291" t="s">
        <v>1760</v>
      </c>
      <c r="E372" s="1292">
        <v>1500</v>
      </c>
      <c r="F372" s="1293">
        <v>40790822</v>
      </c>
      <c r="G372" s="1291" t="s">
        <v>1761</v>
      </c>
      <c r="H372" s="1291" t="s">
        <v>1762</v>
      </c>
      <c r="I372" s="1290" t="s">
        <v>1685</v>
      </c>
      <c r="J372" s="1291" t="s">
        <v>1762</v>
      </c>
      <c r="K372" s="1294"/>
      <c r="L372" s="1295">
        <v>12</v>
      </c>
      <c r="M372" s="1301"/>
      <c r="N372" s="1294"/>
      <c r="O372" s="1295">
        <v>12</v>
      </c>
      <c r="P372" s="1292"/>
    </row>
    <row r="373" spans="1:16" ht="40.5">
      <c r="A373" s="1289" t="s">
        <v>1680</v>
      </c>
      <c r="B373" s="1290" t="s">
        <v>33</v>
      </c>
      <c r="C373" s="1290" t="s">
        <v>1751</v>
      </c>
      <c r="D373" s="1291" t="s">
        <v>1763</v>
      </c>
      <c r="E373" s="1292">
        <v>1800</v>
      </c>
      <c r="F373" s="1293">
        <v>4078705</v>
      </c>
      <c r="G373" s="1291" t="s">
        <v>1764</v>
      </c>
      <c r="H373" s="1291" t="s">
        <v>1727</v>
      </c>
      <c r="I373" s="1290" t="s">
        <v>1685</v>
      </c>
      <c r="J373" s="1291" t="s">
        <v>1727</v>
      </c>
      <c r="K373" s="1294"/>
      <c r="L373" s="1295">
        <v>12</v>
      </c>
      <c r="M373" s="1301"/>
      <c r="N373" s="1294"/>
      <c r="O373" s="1295">
        <v>10</v>
      </c>
      <c r="P373" s="1292"/>
    </row>
    <row r="374" spans="1:16" ht="27">
      <c r="A374" s="1289" t="s">
        <v>1680</v>
      </c>
      <c r="B374" s="1290" t="s">
        <v>33</v>
      </c>
      <c r="C374" s="1290" t="s">
        <v>1751</v>
      </c>
      <c r="D374" s="1291" t="s">
        <v>1752</v>
      </c>
      <c r="E374" s="1292">
        <v>1500</v>
      </c>
      <c r="F374" s="1293">
        <v>47552711</v>
      </c>
      <c r="G374" s="1291" t="s">
        <v>1765</v>
      </c>
      <c r="H374" s="1291" t="s">
        <v>1762</v>
      </c>
      <c r="I374" s="1290" t="s">
        <v>1685</v>
      </c>
      <c r="J374" s="1291" t="s">
        <v>1762</v>
      </c>
      <c r="K374" s="1294"/>
      <c r="L374" s="1295">
        <v>1</v>
      </c>
      <c r="M374" s="1301"/>
      <c r="N374" s="1294"/>
      <c r="O374" s="1295">
        <v>12</v>
      </c>
      <c r="P374" s="1292"/>
    </row>
    <row r="375" spans="1:16" ht="27">
      <c r="A375" s="1289"/>
      <c r="B375" s="1290"/>
      <c r="C375" s="1302" t="s">
        <v>1766</v>
      </c>
      <c r="D375" s="1291"/>
      <c r="E375" s="1292"/>
      <c r="F375" s="1293"/>
      <c r="G375" s="1291"/>
      <c r="H375" s="1291"/>
      <c r="I375" s="1290"/>
      <c r="J375" s="1301"/>
      <c r="K375" s="1294"/>
      <c r="L375" s="1295"/>
      <c r="M375" s="1301"/>
      <c r="N375" s="1294"/>
      <c r="O375" s="1295"/>
      <c r="P375" s="1292"/>
    </row>
    <row r="376" spans="1:16" ht="27">
      <c r="A376" s="1289" t="s">
        <v>1680</v>
      </c>
      <c r="B376" s="1290" t="s">
        <v>33</v>
      </c>
      <c r="C376" s="1290" t="s">
        <v>1767</v>
      </c>
      <c r="D376" s="1291" t="s">
        <v>1752</v>
      </c>
      <c r="E376" s="1292">
        <v>2500</v>
      </c>
      <c r="F376" s="1293">
        <v>43342697</v>
      </c>
      <c r="G376" s="1291" t="s">
        <v>1768</v>
      </c>
      <c r="H376" s="1291" t="s">
        <v>1769</v>
      </c>
      <c r="I376" s="1290" t="s">
        <v>1685</v>
      </c>
      <c r="J376" s="1291" t="s">
        <v>1769</v>
      </c>
      <c r="K376" s="1294"/>
      <c r="L376" s="1295">
        <v>0</v>
      </c>
      <c r="M376" s="1301"/>
      <c r="N376" s="1294"/>
      <c r="O376" s="1295">
        <v>4</v>
      </c>
      <c r="P376" s="1364">
        <f>+E376*12</f>
        <v>30000</v>
      </c>
    </row>
    <row r="377" spans="1:16" ht="27">
      <c r="A377" s="1289" t="s">
        <v>1680</v>
      </c>
      <c r="B377" s="1290" t="s">
        <v>33</v>
      </c>
      <c r="C377" s="1290" t="s">
        <v>1770</v>
      </c>
      <c r="D377" s="1291" t="s">
        <v>1752</v>
      </c>
      <c r="E377" s="1292">
        <v>1500</v>
      </c>
      <c r="F377" s="1293"/>
      <c r="G377" s="1291" t="s">
        <v>1771</v>
      </c>
      <c r="H377" s="1291" t="s">
        <v>1701</v>
      </c>
      <c r="I377" s="1290" t="s">
        <v>1685</v>
      </c>
      <c r="J377" s="1301"/>
      <c r="K377" s="1294"/>
      <c r="L377" s="1295"/>
      <c r="M377" s="1301"/>
      <c r="N377" s="1294"/>
      <c r="O377" s="1295"/>
      <c r="P377" s="1364">
        <f>+E377*12</f>
        <v>18000</v>
      </c>
    </row>
    <row r="378" spans="1:16" ht="27">
      <c r="A378" s="1289" t="s">
        <v>1680</v>
      </c>
      <c r="B378" s="1290" t="s">
        <v>33</v>
      </c>
      <c r="C378" s="1290" t="s">
        <v>1770</v>
      </c>
      <c r="D378" s="1291" t="s">
        <v>1752</v>
      </c>
      <c r="E378" s="1292">
        <v>1000</v>
      </c>
      <c r="F378" s="1293"/>
      <c r="G378" s="1291" t="s">
        <v>1772</v>
      </c>
      <c r="H378" s="1291"/>
      <c r="I378" s="1290" t="s">
        <v>1685</v>
      </c>
      <c r="J378" s="1301"/>
      <c r="K378" s="1294"/>
      <c r="L378" s="1295"/>
      <c r="M378" s="1301"/>
      <c r="N378" s="1294"/>
      <c r="O378" s="1295"/>
      <c r="P378" s="1364">
        <f aca="true" t="shared" si="0" ref="P378:P389">+E378*12</f>
        <v>12000</v>
      </c>
    </row>
    <row r="379" spans="1:16" ht="27">
      <c r="A379" s="1289" t="s">
        <v>1680</v>
      </c>
      <c r="B379" s="1290" t="s">
        <v>33</v>
      </c>
      <c r="C379" s="1290" t="s">
        <v>1770</v>
      </c>
      <c r="D379" s="1291" t="s">
        <v>1752</v>
      </c>
      <c r="E379" s="1292">
        <v>1500</v>
      </c>
      <c r="F379" s="1293"/>
      <c r="G379" s="1291" t="s">
        <v>1773</v>
      </c>
      <c r="H379" s="1291"/>
      <c r="I379" s="1290" t="s">
        <v>1685</v>
      </c>
      <c r="J379" s="1301"/>
      <c r="K379" s="1294"/>
      <c r="L379" s="1295"/>
      <c r="M379" s="1301"/>
      <c r="N379" s="1294"/>
      <c r="O379" s="1295"/>
      <c r="P379" s="1364">
        <f t="shared" si="0"/>
        <v>18000</v>
      </c>
    </row>
    <row r="380" spans="1:16" ht="27">
      <c r="A380" s="1289" t="s">
        <v>1680</v>
      </c>
      <c r="B380" s="1290" t="s">
        <v>33</v>
      </c>
      <c r="C380" s="1290" t="s">
        <v>1770</v>
      </c>
      <c r="D380" s="1291" t="s">
        <v>1752</v>
      </c>
      <c r="E380" s="1292">
        <v>1500</v>
      </c>
      <c r="F380" s="1293"/>
      <c r="G380" s="1291" t="s">
        <v>1774</v>
      </c>
      <c r="H380" s="1291"/>
      <c r="I380" s="1290" t="s">
        <v>1685</v>
      </c>
      <c r="J380" s="1301"/>
      <c r="K380" s="1294"/>
      <c r="L380" s="1295"/>
      <c r="M380" s="1301"/>
      <c r="N380" s="1294"/>
      <c r="O380" s="1295"/>
      <c r="P380" s="1364">
        <f t="shared" si="0"/>
        <v>18000</v>
      </c>
    </row>
    <row r="381" spans="1:16" ht="27">
      <c r="A381" s="1289" t="s">
        <v>1680</v>
      </c>
      <c r="B381" s="1290" t="s">
        <v>33</v>
      </c>
      <c r="C381" s="1290" t="s">
        <v>1770</v>
      </c>
      <c r="D381" s="1291" t="s">
        <v>1752</v>
      </c>
      <c r="E381" s="1292">
        <v>1300</v>
      </c>
      <c r="F381" s="1293"/>
      <c r="G381" s="1291" t="s">
        <v>1775</v>
      </c>
      <c r="H381" s="1291"/>
      <c r="I381" s="1290" t="s">
        <v>1685</v>
      </c>
      <c r="J381" s="1301"/>
      <c r="K381" s="1294"/>
      <c r="L381" s="1295"/>
      <c r="M381" s="1301"/>
      <c r="N381" s="1294"/>
      <c r="O381" s="1295"/>
      <c r="P381" s="1364">
        <f t="shared" si="0"/>
        <v>15600</v>
      </c>
    </row>
    <row r="382" spans="1:16" ht="27">
      <c r="A382" s="1289" t="s">
        <v>1680</v>
      </c>
      <c r="B382" s="1290" t="s">
        <v>33</v>
      </c>
      <c r="C382" s="1290" t="s">
        <v>1770</v>
      </c>
      <c r="D382" s="1291" t="s">
        <v>1752</v>
      </c>
      <c r="E382" s="1292">
        <v>1800</v>
      </c>
      <c r="F382" s="1293">
        <v>73830017</v>
      </c>
      <c r="G382" s="1291" t="s">
        <v>1776</v>
      </c>
      <c r="H382" s="1291" t="s">
        <v>1701</v>
      </c>
      <c r="I382" s="1290" t="s">
        <v>1685</v>
      </c>
      <c r="J382" s="1291" t="s">
        <v>1701</v>
      </c>
      <c r="K382" s="1294"/>
      <c r="L382" s="1295">
        <v>0</v>
      </c>
      <c r="M382" s="1301"/>
      <c r="N382" s="1294"/>
      <c r="O382" s="1295"/>
      <c r="P382" s="1364">
        <f t="shared" si="0"/>
        <v>21600</v>
      </c>
    </row>
    <row r="383" spans="1:16" ht="27">
      <c r="A383" s="1289" t="s">
        <v>1680</v>
      </c>
      <c r="B383" s="1290" t="s">
        <v>33</v>
      </c>
      <c r="C383" s="1290" t="s">
        <v>1770</v>
      </c>
      <c r="D383" s="1291" t="s">
        <v>1752</v>
      </c>
      <c r="E383" s="1292">
        <v>1500</v>
      </c>
      <c r="F383" s="1293"/>
      <c r="G383" s="1291" t="s">
        <v>1777</v>
      </c>
      <c r="H383" s="1291"/>
      <c r="I383" s="1290" t="s">
        <v>1685</v>
      </c>
      <c r="J383" s="1301"/>
      <c r="K383" s="1294"/>
      <c r="L383" s="1295"/>
      <c r="M383" s="1301"/>
      <c r="N383" s="1294"/>
      <c r="O383" s="1295"/>
      <c r="P383" s="1364">
        <f t="shared" si="0"/>
        <v>18000</v>
      </c>
    </row>
    <row r="384" spans="1:16" ht="27">
      <c r="A384" s="1289" t="s">
        <v>1680</v>
      </c>
      <c r="B384" s="1290" t="s">
        <v>33</v>
      </c>
      <c r="C384" s="1290" t="s">
        <v>1770</v>
      </c>
      <c r="D384" s="1291" t="s">
        <v>1752</v>
      </c>
      <c r="E384" s="1292">
        <v>1500</v>
      </c>
      <c r="F384" s="1293">
        <v>42286730</v>
      </c>
      <c r="G384" s="1291" t="s">
        <v>1778</v>
      </c>
      <c r="H384" s="1291" t="s">
        <v>1779</v>
      </c>
      <c r="I384" s="1290" t="s">
        <v>1685</v>
      </c>
      <c r="J384" s="1301" t="s">
        <v>1780</v>
      </c>
      <c r="K384" s="1294"/>
      <c r="L384" s="1295">
        <v>11</v>
      </c>
      <c r="M384" s="1301"/>
      <c r="N384" s="1294"/>
      <c r="O384" s="1295">
        <v>12</v>
      </c>
      <c r="P384" s="1364">
        <f t="shared" si="0"/>
        <v>18000</v>
      </c>
    </row>
    <row r="385" spans="1:16" ht="27">
      <c r="A385" s="1289" t="s">
        <v>1680</v>
      </c>
      <c r="B385" s="1290" t="s">
        <v>33</v>
      </c>
      <c r="C385" s="1290" t="s">
        <v>1770</v>
      </c>
      <c r="D385" s="1291" t="s">
        <v>1752</v>
      </c>
      <c r="E385" s="1292">
        <v>1800</v>
      </c>
      <c r="F385" s="1293"/>
      <c r="G385" s="1291" t="s">
        <v>1781</v>
      </c>
      <c r="H385" s="1291" t="s">
        <v>1759</v>
      </c>
      <c r="I385" s="1290" t="s">
        <v>1685</v>
      </c>
      <c r="J385" s="1291" t="s">
        <v>1759</v>
      </c>
      <c r="K385" s="1294"/>
      <c r="L385" s="1295"/>
      <c r="M385" s="1301"/>
      <c r="N385" s="1294"/>
      <c r="O385" s="1295"/>
      <c r="P385" s="1364">
        <f t="shared" si="0"/>
        <v>21600</v>
      </c>
    </row>
    <row r="386" spans="1:16" ht="27">
      <c r="A386" s="1289" t="s">
        <v>1680</v>
      </c>
      <c r="B386" s="1290" t="s">
        <v>33</v>
      </c>
      <c r="C386" s="1290" t="s">
        <v>1770</v>
      </c>
      <c r="D386" s="1291" t="s">
        <v>1752</v>
      </c>
      <c r="E386" s="1292">
        <v>1500</v>
      </c>
      <c r="F386" s="1290"/>
      <c r="G386" s="1291" t="s">
        <v>1782</v>
      </c>
      <c r="H386" s="1291"/>
      <c r="I386" s="1290" t="s">
        <v>1685</v>
      </c>
      <c r="J386" s="1301"/>
      <c r="K386" s="1294"/>
      <c r="L386" s="1295"/>
      <c r="M386" s="1301"/>
      <c r="N386" s="1294"/>
      <c r="O386" s="1295"/>
      <c r="P386" s="1364">
        <f t="shared" si="0"/>
        <v>18000</v>
      </c>
    </row>
    <row r="387" spans="1:16" ht="27">
      <c r="A387" s="1289" t="s">
        <v>1680</v>
      </c>
      <c r="B387" s="1290" t="s">
        <v>33</v>
      </c>
      <c r="C387" s="1290" t="s">
        <v>1770</v>
      </c>
      <c r="D387" s="1291" t="s">
        <v>1752</v>
      </c>
      <c r="E387" s="1292">
        <v>1500</v>
      </c>
      <c r="F387" s="1290"/>
      <c r="G387" s="1291" t="s">
        <v>1783</v>
      </c>
      <c r="H387" s="1291"/>
      <c r="I387" s="1290" t="s">
        <v>1685</v>
      </c>
      <c r="J387" s="1301"/>
      <c r="K387" s="1294"/>
      <c r="L387" s="1295"/>
      <c r="M387" s="1301"/>
      <c r="N387" s="1294"/>
      <c r="O387" s="1295"/>
      <c r="P387" s="1364">
        <f t="shared" si="0"/>
        <v>18000</v>
      </c>
    </row>
    <row r="388" spans="1:16" ht="27">
      <c r="A388" s="1289" t="s">
        <v>1680</v>
      </c>
      <c r="B388" s="1290" t="s">
        <v>33</v>
      </c>
      <c r="C388" s="1290" t="s">
        <v>1770</v>
      </c>
      <c r="D388" s="1291" t="s">
        <v>1752</v>
      </c>
      <c r="E388" s="1292">
        <v>1500</v>
      </c>
      <c r="F388" s="1290"/>
      <c r="G388" s="1291" t="s">
        <v>1784</v>
      </c>
      <c r="H388" s="1291"/>
      <c r="I388" s="1290" t="s">
        <v>1685</v>
      </c>
      <c r="J388" s="1301"/>
      <c r="K388" s="1294"/>
      <c r="L388" s="1295"/>
      <c r="M388" s="1301"/>
      <c r="N388" s="1294"/>
      <c r="O388" s="1295"/>
      <c r="P388" s="1364">
        <f t="shared" si="0"/>
        <v>18000</v>
      </c>
    </row>
    <row r="389" spans="1:16" ht="27.75" thickBot="1">
      <c r="A389" s="1289" t="s">
        <v>1680</v>
      </c>
      <c r="B389" s="1290" t="s">
        <v>33</v>
      </c>
      <c r="C389" s="1290" t="s">
        <v>1770</v>
      </c>
      <c r="D389" s="1291" t="s">
        <v>1752</v>
      </c>
      <c r="E389" s="1292">
        <v>1500</v>
      </c>
      <c r="F389" s="1290">
        <v>70693411</v>
      </c>
      <c r="G389" s="1291" t="s">
        <v>1785</v>
      </c>
      <c r="H389" s="1291" t="s">
        <v>1718</v>
      </c>
      <c r="I389" s="1290" t="s">
        <v>1685</v>
      </c>
      <c r="J389" s="1291" t="s">
        <v>1718</v>
      </c>
      <c r="K389" s="1294"/>
      <c r="L389" s="1300"/>
      <c r="M389" s="1301"/>
      <c r="N389" s="1365"/>
      <c r="O389" s="1366">
        <v>1</v>
      </c>
      <c r="P389" s="1367">
        <f t="shared" si="0"/>
        <v>18000</v>
      </c>
    </row>
    <row r="390" spans="1:16" ht="14.25" thickBot="1">
      <c r="A390" s="896"/>
      <c r="B390" s="897"/>
      <c r="C390" s="897"/>
      <c r="D390" s="898"/>
      <c r="E390" s="899"/>
      <c r="F390" s="897"/>
      <c r="G390" s="898"/>
      <c r="H390" s="898"/>
      <c r="I390" s="900"/>
      <c r="J390" s="901"/>
      <c r="K390" s="902"/>
      <c r="L390" s="903"/>
      <c r="M390" s="904"/>
      <c r="N390" s="902"/>
      <c r="O390" s="903"/>
      <c r="P390" s="899"/>
    </row>
    <row r="391" spans="1:16" ht="13.5">
      <c r="A391" s="905"/>
      <c r="B391" s="905"/>
      <c r="C391" s="905"/>
      <c r="D391" s="891"/>
      <c r="E391" s="906"/>
      <c r="F391" s="905"/>
      <c r="G391" s="891"/>
      <c r="H391" s="891"/>
      <c r="I391" s="891"/>
      <c r="J391" s="891"/>
      <c r="K391" s="907"/>
      <c r="L391" s="907"/>
      <c r="M391" s="891"/>
      <c r="N391" s="907"/>
      <c r="O391" s="907"/>
      <c r="P391" s="906"/>
    </row>
    <row r="392" ht="13.5" thickBot="1">
      <c r="A392" s="789" t="s">
        <v>1908</v>
      </c>
    </row>
    <row r="393" spans="1:18" ht="14.25" thickBot="1">
      <c r="A393" s="1631" t="s">
        <v>99</v>
      </c>
      <c r="B393" s="1632"/>
      <c r="C393" s="1632"/>
      <c r="D393" s="1632"/>
      <c r="E393" s="1633"/>
      <c r="F393" s="1634" t="s">
        <v>141</v>
      </c>
      <c r="G393" s="1641"/>
      <c r="H393" s="1641"/>
      <c r="I393" s="1635"/>
      <c r="J393" s="1636"/>
      <c r="K393" s="1636"/>
      <c r="L393" s="1637"/>
      <c r="M393" s="1638" t="s">
        <v>1909</v>
      </c>
      <c r="N393" s="1639"/>
      <c r="O393" s="1640"/>
      <c r="P393" s="1638" t="s">
        <v>1910</v>
      </c>
      <c r="Q393" s="1639"/>
      <c r="R393" s="1640"/>
    </row>
    <row r="394" spans="1:18" ht="34.5" customHeight="1">
      <c r="A394" s="1303" t="s">
        <v>99</v>
      </c>
      <c r="B394" s="1304" t="s">
        <v>8</v>
      </c>
      <c r="C394" s="1304" t="s">
        <v>95</v>
      </c>
      <c r="D394" s="1305" t="s">
        <v>100</v>
      </c>
      <c r="E394" s="1306" t="s">
        <v>121</v>
      </c>
      <c r="F394" s="1307" t="s">
        <v>128</v>
      </c>
      <c r="G394" s="1305" t="s">
        <v>1786</v>
      </c>
      <c r="H394" s="1305" t="s">
        <v>1787</v>
      </c>
      <c r="I394" s="1305" t="s">
        <v>1788</v>
      </c>
      <c r="J394" s="1305" t="s">
        <v>143</v>
      </c>
      <c r="K394" s="1304" t="s">
        <v>144</v>
      </c>
      <c r="L394" s="1308" t="s">
        <v>133</v>
      </c>
      <c r="M394" s="1309" t="s">
        <v>130</v>
      </c>
      <c r="N394" s="1310" t="s">
        <v>131</v>
      </c>
      <c r="O394" s="1311" t="s">
        <v>132</v>
      </c>
      <c r="P394" s="1309" t="s">
        <v>130</v>
      </c>
      <c r="Q394" s="1310" t="s">
        <v>131</v>
      </c>
      <c r="R394" s="1312" t="s">
        <v>132</v>
      </c>
    </row>
    <row r="395" spans="1:18" ht="40.5">
      <c r="A395" s="1313" t="s">
        <v>1789</v>
      </c>
      <c r="B395" s="1313" t="s">
        <v>1790</v>
      </c>
      <c r="C395" s="1313" t="s">
        <v>1791</v>
      </c>
      <c r="D395" s="1313" t="s">
        <v>1792</v>
      </c>
      <c r="E395" s="1313">
        <v>2500</v>
      </c>
      <c r="F395" s="1313" t="s">
        <v>1793</v>
      </c>
      <c r="G395" s="1314" t="s">
        <v>1794</v>
      </c>
      <c r="H395" s="1314" t="s">
        <v>1795</v>
      </c>
      <c r="I395" s="1314" t="s">
        <v>1796</v>
      </c>
      <c r="J395" s="1314" t="s">
        <v>1792</v>
      </c>
      <c r="K395" s="1314" t="s">
        <v>1797</v>
      </c>
      <c r="L395" s="1313" t="s">
        <v>1798</v>
      </c>
      <c r="M395" s="1315">
        <v>1</v>
      </c>
      <c r="N395" s="1315">
        <v>12</v>
      </c>
      <c r="O395" s="1316">
        <v>30600</v>
      </c>
      <c r="P395" s="1315">
        <v>1</v>
      </c>
      <c r="Q395" s="1315">
        <v>12</v>
      </c>
      <c r="R395" s="1316">
        <v>30600</v>
      </c>
    </row>
    <row r="396" spans="1:18" ht="27">
      <c r="A396" s="1313" t="s">
        <v>1789</v>
      </c>
      <c r="B396" s="1313" t="s">
        <v>1790</v>
      </c>
      <c r="C396" s="1313" t="s">
        <v>1791</v>
      </c>
      <c r="D396" s="1313" t="s">
        <v>1799</v>
      </c>
      <c r="E396" s="1313">
        <v>1300</v>
      </c>
      <c r="F396" s="1313" t="s">
        <v>1800</v>
      </c>
      <c r="G396" s="1314" t="s">
        <v>1801</v>
      </c>
      <c r="H396" s="1314" t="s">
        <v>1802</v>
      </c>
      <c r="I396" s="1314" t="s">
        <v>1803</v>
      </c>
      <c r="J396" s="1314" t="s">
        <v>1799</v>
      </c>
      <c r="K396" s="1314" t="s">
        <v>1804</v>
      </c>
      <c r="L396" s="1313" t="s">
        <v>1805</v>
      </c>
      <c r="M396" s="1315">
        <v>1</v>
      </c>
      <c r="N396" s="1315">
        <v>12</v>
      </c>
      <c r="O396" s="1316">
        <v>16200</v>
      </c>
      <c r="P396" s="1315">
        <v>1</v>
      </c>
      <c r="Q396" s="1315">
        <v>12</v>
      </c>
      <c r="R396" s="1316">
        <v>16200</v>
      </c>
    </row>
    <row r="397" spans="1:18" ht="40.5">
      <c r="A397" s="1313" t="s">
        <v>1789</v>
      </c>
      <c r="B397" s="1313" t="s">
        <v>1790</v>
      </c>
      <c r="C397" s="1313" t="s">
        <v>1791</v>
      </c>
      <c r="D397" s="1313" t="s">
        <v>1603</v>
      </c>
      <c r="E397" s="1313">
        <v>1700</v>
      </c>
      <c r="F397" s="1313">
        <v>71266551</v>
      </c>
      <c r="G397" s="1317" t="s">
        <v>1806</v>
      </c>
      <c r="H397" s="1314" t="s">
        <v>1807</v>
      </c>
      <c r="I397" s="1314" t="s">
        <v>1808</v>
      </c>
      <c r="J397" s="1314" t="s">
        <v>1603</v>
      </c>
      <c r="K397" s="1314" t="s">
        <v>1804</v>
      </c>
      <c r="L397" s="1313" t="s">
        <v>1805</v>
      </c>
      <c r="M397" s="1315">
        <v>1</v>
      </c>
      <c r="N397" s="1315">
        <v>12</v>
      </c>
      <c r="O397" s="1316">
        <v>21000</v>
      </c>
      <c r="P397" s="1315">
        <v>1</v>
      </c>
      <c r="Q397" s="1315">
        <v>12</v>
      </c>
      <c r="R397" s="1316">
        <v>21000</v>
      </c>
    </row>
    <row r="398" spans="1:18" ht="27">
      <c r="A398" s="1313" t="s">
        <v>1789</v>
      </c>
      <c r="B398" s="1313" t="s">
        <v>1790</v>
      </c>
      <c r="C398" s="1313" t="s">
        <v>1791</v>
      </c>
      <c r="D398" s="1313" t="s">
        <v>1809</v>
      </c>
      <c r="E398" s="1313">
        <v>1300</v>
      </c>
      <c r="F398" s="1313" t="s">
        <v>1810</v>
      </c>
      <c r="G398" s="1317" t="s">
        <v>1811</v>
      </c>
      <c r="H398" s="1314" t="s">
        <v>1812</v>
      </c>
      <c r="I398" s="1314" t="s">
        <v>1813</v>
      </c>
      <c r="J398" s="1314" t="s">
        <v>1809</v>
      </c>
      <c r="K398" s="1314" t="s">
        <v>1804</v>
      </c>
      <c r="L398" s="1313" t="s">
        <v>1805</v>
      </c>
      <c r="M398" s="1315">
        <v>1</v>
      </c>
      <c r="N398" s="1315">
        <v>12</v>
      </c>
      <c r="O398" s="1316">
        <v>16200</v>
      </c>
      <c r="P398" s="1315">
        <v>1</v>
      </c>
      <c r="Q398" s="1315">
        <v>12</v>
      </c>
      <c r="R398" s="1316">
        <v>16200</v>
      </c>
    </row>
    <row r="399" spans="1:18" ht="27">
      <c r="A399" s="1313" t="s">
        <v>1789</v>
      </c>
      <c r="B399" s="1313" t="s">
        <v>1790</v>
      </c>
      <c r="C399" s="1313" t="s">
        <v>1791</v>
      </c>
      <c r="D399" s="1313" t="s">
        <v>1799</v>
      </c>
      <c r="E399" s="1313">
        <v>1300</v>
      </c>
      <c r="F399" s="1313">
        <v>70769947</v>
      </c>
      <c r="G399" s="1317" t="s">
        <v>1814</v>
      </c>
      <c r="H399" s="1314" t="s">
        <v>1815</v>
      </c>
      <c r="I399" s="1314" t="s">
        <v>1816</v>
      </c>
      <c r="J399" s="1314" t="s">
        <v>1799</v>
      </c>
      <c r="K399" s="1314" t="s">
        <v>1804</v>
      </c>
      <c r="L399" s="1313" t="s">
        <v>1805</v>
      </c>
      <c r="M399" s="1315">
        <v>1</v>
      </c>
      <c r="N399" s="1315">
        <v>12</v>
      </c>
      <c r="O399" s="1316">
        <v>16200</v>
      </c>
      <c r="P399" s="1315">
        <v>1</v>
      </c>
      <c r="Q399" s="1315">
        <v>12</v>
      </c>
      <c r="R399" s="1316">
        <v>16200</v>
      </c>
    </row>
    <row r="400" spans="1:18" ht="40.5">
      <c r="A400" s="1313" t="s">
        <v>1789</v>
      </c>
      <c r="B400" s="1313" t="s">
        <v>1790</v>
      </c>
      <c r="C400" s="1313" t="s">
        <v>1791</v>
      </c>
      <c r="D400" s="1313" t="s">
        <v>1603</v>
      </c>
      <c r="E400" s="1313">
        <v>1700</v>
      </c>
      <c r="F400" s="1313" t="s">
        <v>1817</v>
      </c>
      <c r="G400" s="1317" t="s">
        <v>1818</v>
      </c>
      <c r="H400" s="1314" t="s">
        <v>1819</v>
      </c>
      <c r="I400" s="1314" t="s">
        <v>1820</v>
      </c>
      <c r="J400" s="1314" t="s">
        <v>1603</v>
      </c>
      <c r="K400" s="1314" t="s">
        <v>1804</v>
      </c>
      <c r="L400" s="1313" t="s">
        <v>1805</v>
      </c>
      <c r="M400" s="1315">
        <v>1</v>
      </c>
      <c r="N400" s="1315">
        <v>12</v>
      </c>
      <c r="O400" s="1316">
        <v>21000</v>
      </c>
      <c r="P400" s="1315">
        <v>1</v>
      </c>
      <c r="Q400" s="1315">
        <v>12</v>
      </c>
      <c r="R400" s="1316">
        <v>21000</v>
      </c>
    </row>
    <row r="401" spans="1:18" ht="40.5">
      <c r="A401" s="1313" t="s">
        <v>1789</v>
      </c>
      <c r="B401" s="1313" t="s">
        <v>1790</v>
      </c>
      <c r="C401" s="1313" t="s">
        <v>1791</v>
      </c>
      <c r="D401" s="1313" t="s">
        <v>1199</v>
      </c>
      <c r="E401" s="1313">
        <v>1900</v>
      </c>
      <c r="F401" s="1313">
        <v>42680638</v>
      </c>
      <c r="G401" s="1317" t="s">
        <v>1821</v>
      </c>
      <c r="H401" s="1314" t="s">
        <v>1822</v>
      </c>
      <c r="I401" s="1314" t="s">
        <v>1823</v>
      </c>
      <c r="J401" s="1314" t="s">
        <v>1199</v>
      </c>
      <c r="K401" s="1314" t="s">
        <v>1804</v>
      </c>
      <c r="L401" s="1313" t="s">
        <v>1805</v>
      </c>
      <c r="M401" s="1315">
        <v>1</v>
      </c>
      <c r="N401" s="1315">
        <v>12</v>
      </c>
      <c r="O401" s="1316">
        <v>23400</v>
      </c>
      <c r="P401" s="1315">
        <v>1</v>
      </c>
      <c r="Q401" s="1315">
        <v>12</v>
      </c>
      <c r="R401" s="1316">
        <v>23400</v>
      </c>
    </row>
    <row r="402" spans="1:18" ht="40.5">
      <c r="A402" s="1313" t="s">
        <v>1789</v>
      </c>
      <c r="B402" s="1313" t="s">
        <v>1790</v>
      </c>
      <c r="C402" s="1313" t="s">
        <v>1791</v>
      </c>
      <c r="D402" s="1313" t="s">
        <v>1199</v>
      </c>
      <c r="E402" s="1313">
        <v>1900</v>
      </c>
      <c r="F402" s="1313">
        <v>47038729</v>
      </c>
      <c r="G402" s="1317" t="s">
        <v>1824</v>
      </c>
      <c r="H402" s="1314" t="s">
        <v>1825</v>
      </c>
      <c r="I402" s="1314" t="s">
        <v>1826</v>
      </c>
      <c r="J402" s="1314" t="s">
        <v>1199</v>
      </c>
      <c r="K402" s="1314" t="s">
        <v>1804</v>
      </c>
      <c r="L402" s="1313" t="s">
        <v>1805</v>
      </c>
      <c r="M402" s="1315">
        <v>1</v>
      </c>
      <c r="N402" s="1315">
        <v>12</v>
      </c>
      <c r="O402" s="1316">
        <v>23400</v>
      </c>
      <c r="P402" s="1315">
        <v>1</v>
      </c>
      <c r="Q402" s="1315">
        <v>12</v>
      </c>
      <c r="R402" s="1316">
        <v>23400</v>
      </c>
    </row>
    <row r="403" spans="1:18" ht="40.5">
      <c r="A403" s="1313" t="s">
        <v>1789</v>
      </c>
      <c r="B403" s="1313" t="s">
        <v>1790</v>
      </c>
      <c r="C403" s="1313" t="s">
        <v>1791</v>
      </c>
      <c r="D403" s="1313" t="s">
        <v>1603</v>
      </c>
      <c r="E403" s="1313">
        <v>1700</v>
      </c>
      <c r="F403" s="1313" t="s">
        <v>1827</v>
      </c>
      <c r="G403" s="1314" t="s">
        <v>1828</v>
      </c>
      <c r="H403" s="1314" t="s">
        <v>1829</v>
      </c>
      <c r="I403" s="1314" t="s">
        <v>1830</v>
      </c>
      <c r="J403" s="1314" t="s">
        <v>1603</v>
      </c>
      <c r="K403" s="1314" t="s">
        <v>1804</v>
      </c>
      <c r="L403" s="1313" t="s">
        <v>1805</v>
      </c>
      <c r="M403" s="1315">
        <v>1</v>
      </c>
      <c r="N403" s="1315">
        <v>12</v>
      </c>
      <c r="O403" s="1316">
        <v>21000</v>
      </c>
      <c r="P403" s="1315">
        <v>1</v>
      </c>
      <c r="Q403" s="1315">
        <v>12</v>
      </c>
      <c r="R403" s="1316">
        <v>21000</v>
      </c>
    </row>
    <row r="404" spans="1:18" ht="40.5">
      <c r="A404" s="1313" t="s">
        <v>1789</v>
      </c>
      <c r="B404" s="1313" t="s">
        <v>1790</v>
      </c>
      <c r="C404" s="1313" t="s">
        <v>1791</v>
      </c>
      <c r="D404" s="1313" t="s">
        <v>1831</v>
      </c>
      <c r="E404" s="1313">
        <v>2500</v>
      </c>
      <c r="F404" s="1313" t="s">
        <v>1832</v>
      </c>
      <c r="G404" s="1314" t="s">
        <v>1833</v>
      </c>
      <c r="H404" s="1314" t="s">
        <v>1834</v>
      </c>
      <c r="I404" s="1314" t="s">
        <v>1835</v>
      </c>
      <c r="J404" s="1314" t="s">
        <v>1831</v>
      </c>
      <c r="K404" s="1314" t="s">
        <v>1797</v>
      </c>
      <c r="L404" s="1313" t="s">
        <v>1798</v>
      </c>
      <c r="M404" s="1315">
        <v>1</v>
      </c>
      <c r="N404" s="1315">
        <v>12</v>
      </c>
      <c r="O404" s="1316">
        <v>30600</v>
      </c>
      <c r="P404" s="1315">
        <v>1</v>
      </c>
      <c r="Q404" s="1315">
        <v>12</v>
      </c>
      <c r="R404" s="1316">
        <v>30600</v>
      </c>
    </row>
    <row r="405" spans="1:18" ht="27">
      <c r="A405" s="1313" t="s">
        <v>1789</v>
      </c>
      <c r="B405" s="1313" t="s">
        <v>1790</v>
      </c>
      <c r="C405" s="1313" t="s">
        <v>1791</v>
      </c>
      <c r="D405" s="1313" t="s">
        <v>1799</v>
      </c>
      <c r="E405" s="1313">
        <v>1300</v>
      </c>
      <c r="F405" s="1313" t="s">
        <v>1836</v>
      </c>
      <c r="G405" s="1314" t="s">
        <v>1837</v>
      </c>
      <c r="H405" s="1314" t="s">
        <v>1838</v>
      </c>
      <c r="I405" s="1314" t="s">
        <v>1839</v>
      </c>
      <c r="J405" s="1314" t="s">
        <v>1799</v>
      </c>
      <c r="K405" s="1314" t="s">
        <v>1804</v>
      </c>
      <c r="L405" s="1313" t="s">
        <v>1805</v>
      </c>
      <c r="M405" s="1315">
        <v>1</v>
      </c>
      <c r="N405" s="1315">
        <v>12</v>
      </c>
      <c r="O405" s="1316">
        <v>16200</v>
      </c>
      <c r="P405" s="1315">
        <v>1</v>
      </c>
      <c r="Q405" s="1315">
        <v>12</v>
      </c>
      <c r="R405" s="1316">
        <v>16200</v>
      </c>
    </row>
    <row r="406" spans="1:18" ht="40.5">
      <c r="A406" s="1313" t="s">
        <v>1789</v>
      </c>
      <c r="B406" s="1313" t="s">
        <v>1790</v>
      </c>
      <c r="C406" s="1313" t="s">
        <v>1791</v>
      </c>
      <c r="D406" s="1313" t="s">
        <v>1319</v>
      </c>
      <c r="E406" s="1313">
        <v>1300</v>
      </c>
      <c r="F406" s="1313" t="s">
        <v>1840</v>
      </c>
      <c r="G406" s="1314" t="s">
        <v>1841</v>
      </c>
      <c r="H406" s="1314" t="s">
        <v>1842</v>
      </c>
      <c r="I406" s="1314" t="s">
        <v>1843</v>
      </c>
      <c r="J406" s="1314" t="s">
        <v>1319</v>
      </c>
      <c r="K406" s="1314" t="s">
        <v>1844</v>
      </c>
      <c r="L406" s="1313" t="s">
        <v>1845</v>
      </c>
      <c r="M406" s="1315">
        <v>1</v>
      </c>
      <c r="N406" s="1315">
        <v>12</v>
      </c>
      <c r="O406" s="1316">
        <v>16200</v>
      </c>
      <c r="P406" s="1315">
        <v>1</v>
      </c>
      <c r="Q406" s="1315">
        <v>12</v>
      </c>
      <c r="R406" s="1316">
        <v>16200</v>
      </c>
    </row>
    <row r="407" spans="1:18" ht="40.5">
      <c r="A407" s="1313" t="s">
        <v>1789</v>
      </c>
      <c r="B407" s="1313" t="s">
        <v>1790</v>
      </c>
      <c r="C407" s="1313" t="s">
        <v>1791</v>
      </c>
      <c r="D407" s="1313" t="s">
        <v>1319</v>
      </c>
      <c r="E407" s="1313">
        <v>1300</v>
      </c>
      <c r="F407" s="1313" t="s">
        <v>1846</v>
      </c>
      <c r="G407" s="1314" t="s">
        <v>1847</v>
      </c>
      <c r="H407" s="1314" t="s">
        <v>1848</v>
      </c>
      <c r="I407" s="1314" t="s">
        <v>1849</v>
      </c>
      <c r="J407" s="1314" t="s">
        <v>1319</v>
      </c>
      <c r="K407" s="1314" t="s">
        <v>1844</v>
      </c>
      <c r="L407" s="1313" t="s">
        <v>1845</v>
      </c>
      <c r="M407" s="1315">
        <v>1</v>
      </c>
      <c r="N407" s="1315">
        <v>12</v>
      </c>
      <c r="O407" s="1316">
        <v>16200</v>
      </c>
      <c r="P407" s="1315">
        <v>1</v>
      </c>
      <c r="Q407" s="1315">
        <v>12</v>
      </c>
      <c r="R407" s="1316">
        <v>16200</v>
      </c>
    </row>
    <row r="408" spans="1:18" ht="40.5">
      <c r="A408" s="1313" t="s">
        <v>1789</v>
      </c>
      <c r="B408" s="1313" t="s">
        <v>1790</v>
      </c>
      <c r="C408" s="1313" t="s">
        <v>1791</v>
      </c>
      <c r="D408" s="1313" t="s">
        <v>1319</v>
      </c>
      <c r="E408" s="1313">
        <v>1300</v>
      </c>
      <c r="F408" s="1313" t="s">
        <v>1850</v>
      </c>
      <c r="G408" s="1314" t="s">
        <v>1851</v>
      </c>
      <c r="H408" s="1314" t="s">
        <v>1852</v>
      </c>
      <c r="I408" s="1314" t="s">
        <v>1853</v>
      </c>
      <c r="J408" s="1314" t="s">
        <v>1319</v>
      </c>
      <c r="K408" s="1314" t="s">
        <v>1844</v>
      </c>
      <c r="L408" s="1313" t="s">
        <v>1845</v>
      </c>
      <c r="M408" s="1315">
        <v>1</v>
      </c>
      <c r="N408" s="1315">
        <v>12</v>
      </c>
      <c r="O408" s="1316">
        <v>16200</v>
      </c>
      <c r="P408" s="1315">
        <v>1</v>
      </c>
      <c r="Q408" s="1315">
        <v>12</v>
      </c>
      <c r="R408" s="1316">
        <v>16200</v>
      </c>
    </row>
    <row r="409" spans="1:18" ht="40.5">
      <c r="A409" s="1313" t="s">
        <v>1789</v>
      </c>
      <c r="B409" s="1313" t="s">
        <v>1790</v>
      </c>
      <c r="C409" s="1313" t="s">
        <v>1791</v>
      </c>
      <c r="D409" s="1313" t="s">
        <v>1319</v>
      </c>
      <c r="E409" s="1313">
        <v>1093</v>
      </c>
      <c r="F409" s="1313" t="s">
        <v>1854</v>
      </c>
      <c r="G409" s="1314" t="s">
        <v>1855</v>
      </c>
      <c r="H409" s="1314" t="s">
        <v>1856</v>
      </c>
      <c r="I409" s="1314" t="s">
        <v>1857</v>
      </c>
      <c r="J409" s="1314" t="s">
        <v>1319</v>
      </c>
      <c r="K409" s="1314" t="s">
        <v>1844</v>
      </c>
      <c r="L409" s="1313" t="s">
        <v>1845</v>
      </c>
      <c r="M409" s="1315">
        <v>1</v>
      </c>
      <c r="N409" s="1315">
        <v>12</v>
      </c>
      <c r="O409" s="1316">
        <v>13716</v>
      </c>
      <c r="P409" s="1315">
        <v>1</v>
      </c>
      <c r="Q409" s="1315">
        <v>12</v>
      </c>
      <c r="R409" s="1316">
        <v>13716</v>
      </c>
    </row>
    <row r="410" spans="1:18" ht="40.5">
      <c r="A410" s="1313" t="s">
        <v>1789</v>
      </c>
      <c r="B410" s="1313" t="s">
        <v>1790</v>
      </c>
      <c r="C410" s="1313" t="s">
        <v>1791</v>
      </c>
      <c r="D410" s="1313" t="s">
        <v>1603</v>
      </c>
      <c r="E410" s="1313">
        <v>1700</v>
      </c>
      <c r="F410" s="1313" t="s">
        <v>1858</v>
      </c>
      <c r="G410" s="1314" t="s">
        <v>1859</v>
      </c>
      <c r="H410" s="1314" t="s">
        <v>1860</v>
      </c>
      <c r="I410" s="1314" t="s">
        <v>1861</v>
      </c>
      <c r="J410" s="1314" t="s">
        <v>1603</v>
      </c>
      <c r="K410" s="1314" t="s">
        <v>1804</v>
      </c>
      <c r="L410" s="1313" t="s">
        <v>1805</v>
      </c>
      <c r="M410" s="1315">
        <v>1</v>
      </c>
      <c r="N410" s="1315">
        <v>12</v>
      </c>
      <c r="O410" s="1316">
        <v>21000</v>
      </c>
      <c r="P410" s="1315">
        <v>1</v>
      </c>
      <c r="Q410" s="1315">
        <v>12</v>
      </c>
      <c r="R410" s="1316">
        <v>21000</v>
      </c>
    </row>
    <row r="411" spans="1:18" ht="27">
      <c r="A411" s="1313" t="s">
        <v>1789</v>
      </c>
      <c r="B411" s="1313" t="s">
        <v>1790</v>
      </c>
      <c r="C411" s="1313" t="s">
        <v>1791</v>
      </c>
      <c r="D411" s="1313" t="s">
        <v>1809</v>
      </c>
      <c r="E411" s="1313">
        <v>1300</v>
      </c>
      <c r="F411" s="1313" t="s">
        <v>1862</v>
      </c>
      <c r="G411" s="1314" t="s">
        <v>1863</v>
      </c>
      <c r="H411" s="1314" t="s">
        <v>1794</v>
      </c>
      <c r="I411" s="1314" t="s">
        <v>1864</v>
      </c>
      <c r="J411" s="1314" t="s">
        <v>1809</v>
      </c>
      <c r="K411" s="1314" t="s">
        <v>1804</v>
      </c>
      <c r="L411" s="1313" t="s">
        <v>1805</v>
      </c>
      <c r="M411" s="1315">
        <v>1</v>
      </c>
      <c r="N411" s="1315">
        <v>12</v>
      </c>
      <c r="O411" s="1316">
        <v>16200</v>
      </c>
      <c r="P411" s="1315">
        <v>1</v>
      </c>
      <c r="Q411" s="1315">
        <v>12</v>
      </c>
      <c r="R411" s="1316">
        <v>16200</v>
      </c>
    </row>
    <row r="412" spans="1:18" ht="40.5">
      <c r="A412" s="1313" t="s">
        <v>1789</v>
      </c>
      <c r="B412" s="1313" t="s">
        <v>1790</v>
      </c>
      <c r="C412" s="1313" t="s">
        <v>1791</v>
      </c>
      <c r="D412" s="1313" t="s">
        <v>1199</v>
      </c>
      <c r="E412" s="1313">
        <v>1900</v>
      </c>
      <c r="F412" s="1313" t="s">
        <v>1865</v>
      </c>
      <c r="G412" s="1314" t="s">
        <v>1866</v>
      </c>
      <c r="H412" s="1314" t="s">
        <v>1867</v>
      </c>
      <c r="I412" s="1314" t="s">
        <v>1868</v>
      </c>
      <c r="J412" s="1314" t="s">
        <v>1199</v>
      </c>
      <c r="K412" s="1314" t="s">
        <v>1804</v>
      </c>
      <c r="L412" s="1313" t="s">
        <v>1805</v>
      </c>
      <c r="M412" s="1315">
        <v>1</v>
      </c>
      <c r="N412" s="1315">
        <v>12</v>
      </c>
      <c r="O412" s="1316">
        <v>23400</v>
      </c>
      <c r="P412" s="1315">
        <v>1</v>
      </c>
      <c r="Q412" s="1315">
        <v>12</v>
      </c>
      <c r="R412" s="1316">
        <v>23400</v>
      </c>
    </row>
    <row r="413" spans="1:18" ht="40.5">
      <c r="A413" s="1313" t="s">
        <v>1789</v>
      </c>
      <c r="B413" s="1313" t="s">
        <v>1790</v>
      </c>
      <c r="C413" s="1313" t="s">
        <v>1791</v>
      </c>
      <c r="D413" s="1313" t="s">
        <v>1603</v>
      </c>
      <c r="E413" s="1313">
        <v>1700</v>
      </c>
      <c r="F413" s="1313" t="s">
        <v>1869</v>
      </c>
      <c r="G413" s="1314" t="s">
        <v>1870</v>
      </c>
      <c r="H413" s="1314" t="s">
        <v>1871</v>
      </c>
      <c r="I413" s="1314" t="s">
        <v>1872</v>
      </c>
      <c r="J413" s="1314" t="s">
        <v>1603</v>
      </c>
      <c r="K413" s="1314" t="s">
        <v>1804</v>
      </c>
      <c r="L413" s="1313" t="s">
        <v>1805</v>
      </c>
      <c r="M413" s="1315">
        <v>1</v>
      </c>
      <c r="N413" s="1315">
        <v>12</v>
      </c>
      <c r="O413" s="1316">
        <v>21000</v>
      </c>
      <c r="P413" s="1315">
        <v>1</v>
      </c>
      <c r="Q413" s="1315">
        <v>12</v>
      </c>
      <c r="R413" s="1316">
        <v>21000</v>
      </c>
    </row>
    <row r="414" spans="1:18" ht="40.5">
      <c r="A414" s="1313" t="s">
        <v>1789</v>
      </c>
      <c r="B414" s="1313" t="s">
        <v>1790</v>
      </c>
      <c r="C414" s="1313" t="s">
        <v>1791</v>
      </c>
      <c r="D414" s="1313" t="s">
        <v>1603</v>
      </c>
      <c r="E414" s="1313">
        <v>1700</v>
      </c>
      <c r="F414" s="1313" t="s">
        <v>1873</v>
      </c>
      <c r="G414" s="1314" t="s">
        <v>1874</v>
      </c>
      <c r="H414" s="1314" t="s">
        <v>1871</v>
      </c>
      <c r="I414" s="1314" t="s">
        <v>1875</v>
      </c>
      <c r="J414" s="1314" t="s">
        <v>1603</v>
      </c>
      <c r="K414" s="1314" t="s">
        <v>1804</v>
      </c>
      <c r="L414" s="1313" t="s">
        <v>1805</v>
      </c>
      <c r="M414" s="1315">
        <v>1</v>
      </c>
      <c r="N414" s="1315">
        <v>12</v>
      </c>
      <c r="O414" s="1316">
        <v>21000</v>
      </c>
      <c r="P414" s="1315">
        <v>1</v>
      </c>
      <c r="Q414" s="1315">
        <v>12</v>
      </c>
      <c r="R414" s="1316">
        <v>21000</v>
      </c>
    </row>
    <row r="415" spans="1:18" ht="40.5">
      <c r="A415" s="1313" t="s">
        <v>1789</v>
      </c>
      <c r="B415" s="1313" t="s">
        <v>1790</v>
      </c>
      <c r="C415" s="1313" t="s">
        <v>1791</v>
      </c>
      <c r="D415" s="1313" t="s">
        <v>1603</v>
      </c>
      <c r="E415" s="1313">
        <v>1700</v>
      </c>
      <c r="F415" s="1313" t="s">
        <v>1876</v>
      </c>
      <c r="G415" s="1314" t="s">
        <v>1877</v>
      </c>
      <c r="H415" s="1314" t="s">
        <v>1878</v>
      </c>
      <c r="I415" s="1314" t="s">
        <v>1879</v>
      </c>
      <c r="J415" s="1314" t="s">
        <v>1603</v>
      </c>
      <c r="K415" s="1314" t="s">
        <v>1804</v>
      </c>
      <c r="L415" s="1313" t="s">
        <v>1805</v>
      </c>
      <c r="M415" s="1315">
        <v>1</v>
      </c>
      <c r="N415" s="1315">
        <v>12</v>
      </c>
      <c r="O415" s="1316">
        <v>21000</v>
      </c>
      <c r="P415" s="1315">
        <v>1</v>
      </c>
      <c r="Q415" s="1315">
        <v>12</v>
      </c>
      <c r="R415" s="1316">
        <v>21000</v>
      </c>
    </row>
    <row r="416" spans="1:18" ht="40.5">
      <c r="A416" s="1313" t="s">
        <v>1789</v>
      </c>
      <c r="B416" s="1313" t="s">
        <v>1790</v>
      </c>
      <c r="C416" s="1313" t="s">
        <v>1791</v>
      </c>
      <c r="D416" s="1313" t="s">
        <v>1199</v>
      </c>
      <c r="E416" s="1313">
        <v>1900</v>
      </c>
      <c r="F416" s="1313" t="s">
        <v>1880</v>
      </c>
      <c r="G416" s="1314" t="s">
        <v>1881</v>
      </c>
      <c r="H416" s="1314" t="s">
        <v>1882</v>
      </c>
      <c r="I416" s="1314" t="s">
        <v>1883</v>
      </c>
      <c r="J416" s="1314" t="s">
        <v>1199</v>
      </c>
      <c r="K416" s="1314" t="s">
        <v>1804</v>
      </c>
      <c r="L416" s="1313" t="s">
        <v>1805</v>
      </c>
      <c r="M416" s="1315">
        <v>1</v>
      </c>
      <c r="N416" s="1315">
        <v>12</v>
      </c>
      <c r="O416" s="1316">
        <v>23400</v>
      </c>
      <c r="P416" s="1315">
        <v>1</v>
      </c>
      <c r="Q416" s="1315">
        <v>12</v>
      </c>
      <c r="R416" s="1316">
        <v>23400</v>
      </c>
    </row>
    <row r="417" spans="1:18" ht="40.5">
      <c r="A417" s="1313" t="s">
        <v>1789</v>
      </c>
      <c r="B417" s="1313" t="s">
        <v>1790</v>
      </c>
      <c r="C417" s="1313" t="s">
        <v>1791</v>
      </c>
      <c r="D417" s="1313" t="s">
        <v>1792</v>
      </c>
      <c r="E417" s="1313">
        <v>2500</v>
      </c>
      <c r="F417" s="1313" t="s">
        <v>1884</v>
      </c>
      <c r="G417" s="1314" t="s">
        <v>1885</v>
      </c>
      <c r="H417" s="1314" t="s">
        <v>1886</v>
      </c>
      <c r="I417" s="1314" t="s">
        <v>1887</v>
      </c>
      <c r="J417" s="1314" t="s">
        <v>1792</v>
      </c>
      <c r="K417" s="1314" t="s">
        <v>1797</v>
      </c>
      <c r="L417" s="1313" t="s">
        <v>1798</v>
      </c>
      <c r="M417" s="1315">
        <v>1</v>
      </c>
      <c r="N417" s="1315">
        <v>12</v>
      </c>
      <c r="O417" s="1316">
        <v>30600</v>
      </c>
      <c r="P417" s="1315">
        <v>1</v>
      </c>
      <c r="Q417" s="1315">
        <v>12</v>
      </c>
      <c r="R417" s="1316">
        <v>30600</v>
      </c>
    </row>
    <row r="418" spans="1:18" ht="40.5">
      <c r="A418" s="1313" t="s">
        <v>1789</v>
      </c>
      <c r="B418" s="1313" t="s">
        <v>1790</v>
      </c>
      <c r="C418" s="1313" t="s">
        <v>1791</v>
      </c>
      <c r="D418" s="1313" t="s">
        <v>1603</v>
      </c>
      <c r="E418" s="1313">
        <v>1700</v>
      </c>
      <c r="F418" s="1313" t="s">
        <v>1888</v>
      </c>
      <c r="G418" s="1314" t="s">
        <v>1889</v>
      </c>
      <c r="H418" s="1314" t="s">
        <v>1890</v>
      </c>
      <c r="I418" s="1314" t="s">
        <v>1891</v>
      </c>
      <c r="J418" s="1314" t="s">
        <v>1603</v>
      </c>
      <c r="K418" s="1314" t="s">
        <v>1804</v>
      </c>
      <c r="L418" s="1313" t="s">
        <v>1805</v>
      </c>
      <c r="M418" s="1315">
        <v>1</v>
      </c>
      <c r="N418" s="1315">
        <v>12</v>
      </c>
      <c r="O418" s="1316">
        <v>21000</v>
      </c>
      <c r="P418" s="1315">
        <v>1</v>
      </c>
      <c r="Q418" s="1315">
        <v>12</v>
      </c>
      <c r="R418" s="1316">
        <v>21000</v>
      </c>
    </row>
    <row r="419" spans="1:18" ht="40.5">
      <c r="A419" s="1313" t="s">
        <v>1789</v>
      </c>
      <c r="B419" s="1313" t="s">
        <v>1790</v>
      </c>
      <c r="C419" s="1313" t="s">
        <v>1791</v>
      </c>
      <c r="D419" s="1313" t="s">
        <v>1319</v>
      </c>
      <c r="E419" s="1313">
        <v>1093</v>
      </c>
      <c r="F419" s="1313" t="s">
        <v>1892</v>
      </c>
      <c r="G419" s="1314" t="s">
        <v>1893</v>
      </c>
      <c r="H419" s="1314" t="s">
        <v>1894</v>
      </c>
      <c r="I419" s="1314" t="s">
        <v>1895</v>
      </c>
      <c r="J419" s="1314" t="s">
        <v>1319</v>
      </c>
      <c r="K419" s="1314" t="s">
        <v>1844</v>
      </c>
      <c r="L419" s="1313" t="s">
        <v>1845</v>
      </c>
      <c r="M419" s="1315">
        <v>1</v>
      </c>
      <c r="N419" s="1315">
        <v>12</v>
      </c>
      <c r="O419" s="1316">
        <v>13716</v>
      </c>
      <c r="P419" s="1315">
        <v>1</v>
      </c>
      <c r="Q419" s="1315">
        <v>12</v>
      </c>
      <c r="R419" s="1316">
        <v>13716</v>
      </c>
    </row>
    <row r="420" spans="1:18" ht="40.5">
      <c r="A420" s="1313" t="s">
        <v>1789</v>
      </c>
      <c r="B420" s="1313" t="s">
        <v>1790</v>
      </c>
      <c r="C420" s="1313" t="s">
        <v>1791</v>
      </c>
      <c r="D420" s="1313" t="s">
        <v>1603</v>
      </c>
      <c r="E420" s="1313">
        <v>1700</v>
      </c>
      <c r="F420" s="1313" t="s">
        <v>1896</v>
      </c>
      <c r="G420" s="1314" t="s">
        <v>1897</v>
      </c>
      <c r="H420" s="1314" t="s">
        <v>1898</v>
      </c>
      <c r="I420" s="1314" t="s">
        <v>1899</v>
      </c>
      <c r="J420" s="1314" t="s">
        <v>1603</v>
      </c>
      <c r="K420" s="1314" t="s">
        <v>1804</v>
      </c>
      <c r="L420" s="1313" t="s">
        <v>1805</v>
      </c>
      <c r="M420" s="1315">
        <v>1</v>
      </c>
      <c r="N420" s="1315">
        <v>12</v>
      </c>
      <c r="O420" s="1316">
        <v>21000</v>
      </c>
      <c r="P420" s="1315">
        <v>1</v>
      </c>
      <c r="Q420" s="1315">
        <v>12</v>
      </c>
      <c r="R420" s="1316">
        <v>21000</v>
      </c>
    </row>
    <row r="421" spans="1:18" ht="40.5">
      <c r="A421" s="1313" t="s">
        <v>1789</v>
      </c>
      <c r="B421" s="1313" t="s">
        <v>1790</v>
      </c>
      <c r="C421" s="1313" t="s">
        <v>1791</v>
      </c>
      <c r="D421" s="1313" t="s">
        <v>1603</v>
      </c>
      <c r="E421" s="1313">
        <v>1700</v>
      </c>
      <c r="F421" s="1313" t="s">
        <v>1900</v>
      </c>
      <c r="G421" s="1314" t="s">
        <v>1901</v>
      </c>
      <c r="H421" s="1314" t="s">
        <v>1828</v>
      </c>
      <c r="I421" s="1314" t="s">
        <v>1902</v>
      </c>
      <c r="J421" s="1314" t="s">
        <v>1603</v>
      </c>
      <c r="K421" s="1314" t="s">
        <v>1804</v>
      </c>
      <c r="L421" s="1313" t="s">
        <v>1805</v>
      </c>
      <c r="M421" s="1315">
        <v>1</v>
      </c>
      <c r="N421" s="1315">
        <v>12</v>
      </c>
      <c r="O421" s="1316">
        <v>21000</v>
      </c>
      <c r="P421" s="1315">
        <v>1</v>
      </c>
      <c r="Q421" s="1315">
        <v>12</v>
      </c>
      <c r="R421" s="1316">
        <v>21000</v>
      </c>
    </row>
    <row r="422" spans="1:18" ht="40.5">
      <c r="A422" s="1313" t="s">
        <v>1789</v>
      </c>
      <c r="B422" s="1313" t="s">
        <v>1790</v>
      </c>
      <c r="C422" s="1313" t="s">
        <v>1791</v>
      </c>
      <c r="D422" s="1313" t="s">
        <v>1603</v>
      </c>
      <c r="E422" s="1313">
        <v>1700</v>
      </c>
      <c r="F422" s="1313" t="s">
        <v>1903</v>
      </c>
      <c r="G422" s="1314" t="s">
        <v>1794</v>
      </c>
      <c r="H422" s="1314" t="s">
        <v>1795</v>
      </c>
      <c r="I422" s="1314" t="s">
        <v>1904</v>
      </c>
      <c r="J422" s="1314" t="s">
        <v>1603</v>
      </c>
      <c r="K422" s="1314" t="s">
        <v>1804</v>
      </c>
      <c r="L422" s="1313" t="s">
        <v>1805</v>
      </c>
      <c r="M422" s="1315">
        <v>1</v>
      </c>
      <c r="N422" s="1315">
        <v>12</v>
      </c>
      <c r="O422" s="1316">
        <v>21000</v>
      </c>
      <c r="P422" s="1315">
        <v>1</v>
      </c>
      <c r="Q422" s="1315">
        <v>12</v>
      </c>
      <c r="R422" s="1316">
        <v>21000</v>
      </c>
    </row>
    <row r="423" spans="1:18" ht="40.5">
      <c r="A423" s="1313" t="s">
        <v>1789</v>
      </c>
      <c r="B423" s="1313" t="s">
        <v>1790</v>
      </c>
      <c r="C423" s="1313" t="s">
        <v>1791</v>
      </c>
      <c r="D423" s="1313" t="s">
        <v>1319</v>
      </c>
      <c r="E423" s="1313">
        <v>1300</v>
      </c>
      <c r="F423" s="1313" t="s">
        <v>1905</v>
      </c>
      <c r="G423" s="1313" t="s">
        <v>1870</v>
      </c>
      <c r="H423" s="1313" t="s">
        <v>1906</v>
      </c>
      <c r="I423" s="1313" t="s">
        <v>1907</v>
      </c>
      <c r="J423" s="1313" t="s">
        <v>1319</v>
      </c>
      <c r="K423" s="1313" t="s">
        <v>1844</v>
      </c>
      <c r="L423" s="1313" t="s">
        <v>1845</v>
      </c>
      <c r="M423" s="1315">
        <v>1</v>
      </c>
      <c r="N423" s="1315">
        <v>12</v>
      </c>
      <c r="O423" s="1316">
        <v>16200</v>
      </c>
      <c r="P423" s="1315">
        <v>1</v>
      </c>
      <c r="Q423" s="1315">
        <v>12</v>
      </c>
      <c r="R423" s="1316">
        <v>16200</v>
      </c>
    </row>
    <row r="425" ht="13.5" thickBot="1">
      <c r="A425" s="789" t="s">
        <v>1963</v>
      </c>
    </row>
    <row r="426" spans="1:16" ht="13.5" thickBot="1">
      <c r="A426" s="1624" t="s">
        <v>140</v>
      </c>
      <c r="B426" s="1625"/>
      <c r="C426" s="1625"/>
      <c r="D426" s="1625"/>
      <c r="E426" s="1626"/>
      <c r="F426" s="1627" t="s">
        <v>141</v>
      </c>
      <c r="G426" s="1628"/>
      <c r="H426" s="1629"/>
      <c r="I426" s="1629"/>
      <c r="J426" s="1630"/>
      <c r="K426" s="1621" t="s">
        <v>1909</v>
      </c>
      <c r="L426" s="1622"/>
      <c r="M426" s="1623"/>
      <c r="N426" s="1621" t="s">
        <v>1910</v>
      </c>
      <c r="O426" s="1622"/>
      <c r="P426" s="1623"/>
    </row>
    <row r="427" spans="1:16" ht="98.25" thickBot="1">
      <c r="A427" s="404" t="s">
        <v>99</v>
      </c>
      <c r="B427" s="190" t="s">
        <v>8</v>
      </c>
      <c r="C427" s="908" t="s">
        <v>95</v>
      </c>
      <c r="D427" s="909" t="s">
        <v>100</v>
      </c>
      <c r="E427" s="910" t="s">
        <v>121</v>
      </c>
      <c r="F427" s="911" t="s">
        <v>128</v>
      </c>
      <c r="G427" s="909" t="s">
        <v>129</v>
      </c>
      <c r="H427" s="909" t="s">
        <v>143</v>
      </c>
      <c r="I427" s="908" t="s">
        <v>144</v>
      </c>
      <c r="J427" s="912" t="s">
        <v>133</v>
      </c>
      <c r="K427" s="913" t="s">
        <v>130</v>
      </c>
      <c r="L427" s="914" t="s">
        <v>131</v>
      </c>
      <c r="M427" s="915" t="s">
        <v>132</v>
      </c>
      <c r="N427" s="913" t="s">
        <v>130</v>
      </c>
      <c r="O427" s="914" t="s">
        <v>131</v>
      </c>
      <c r="P427" s="915" t="s">
        <v>132</v>
      </c>
    </row>
    <row r="428" spans="1:16" ht="25.5" thickBot="1">
      <c r="A428" s="1284" t="s">
        <v>1911</v>
      </c>
      <c r="B428" s="1268" t="s">
        <v>1912</v>
      </c>
      <c r="C428" s="1047" t="s">
        <v>96</v>
      </c>
      <c r="D428" s="1047" t="s">
        <v>1913</v>
      </c>
      <c r="E428" s="1047" t="s">
        <v>1914</v>
      </c>
      <c r="F428" s="1047">
        <v>41303590</v>
      </c>
      <c r="G428" s="1327" t="s">
        <v>1915</v>
      </c>
      <c r="H428" s="1327" t="s">
        <v>1916</v>
      </c>
      <c r="I428" s="1327" t="s">
        <v>1917</v>
      </c>
      <c r="J428" s="1327" t="s">
        <v>1916</v>
      </c>
      <c r="K428" s="1328">
        <v>1</v>
      </c>
      <c r="L428" s="1328">
        <v>12</v>
      </c>
      <c r="M428" s="1321" t="s">
        <v>1918</v>
      </c>
      <c r="N428" s="1328">
        <v>1</v>
      </c>
      <c r="O428" s="1328">
        <v>12</v>
      </c>
      <c r="P428" s="1329" t="s">
        <v>1918</v>
      </c>
    </row>
    <row r="429" spans="1:16" ht="37.5" thickBot="1">
      <c r="A429" s="1284" t="s">
        <v>1911</v>
      </c>
      <c r="B429" s="1268" t="s">
        <v>1912</v>
      </c>
      <c r="C429" s="1047" t="s">
        <v>96</v>
      </c>
      <c r="D429" s="1047" t="s">
        <v>1919</v>
      </c>
      <c r="E429" s="1321">
        <v>1800</v>
      </c>
      <c r="F429" s="1047">
        <v>46907358</v>
      </c>
      <c r="G429" s="1047" t="s">
        <v>1920</v>
      </c>
      <c r="H429" s="1047" t="s">
        <v>1921</v>
      </c>
      <c r="I429" s="1047" t="s">
        <v>1917</v>
      </c>
      <c r="J429" s="1047" t="s">
        <v>1921</v>
      </c>
      <c r="K429" s="1328">
        <v>1</v>
      </c>
      <c r="L429" s="1328">
        <v>12</v>
      </c>
      <c r="M429" s="1321" t="s">
        <v>1922</v>
      </c>
      <c r="N429" s="1328">
        <v>1</v>
      </c>
      <c r="O429" s="1328">
        <v>12</v>
      </c>
      <c r="P429" s="1329" t="s">
        <v>1918</v>
      </c>
    </row>
    <row r="430" spans="1:16" ht="25.5" thickBot="1">
      <c r="A430" s="1284" t="s">
        <v>1911</v>
      </c>
      <c r="B430" s="1268" t="s">
        <v>1912</v>
      </c>
      <c r="C430" s="1047" t="s">
        <v>96</v>
      </c>
      <c r="D430" s="1047" t="s">
        <v>1923</v>
      </c>
      <c r="E430" s="1047" t="s">
        <v>1914</v>
      </c>
      <c r="F430" s="1047">
        <v>70890912</v>
      </c>
      <c r="G430" s="1047" t="s">
        <v>1924</v>
      </c>
      <c r="H430" s="1047" t="s">
        <v>1925</v>
      </c>
      <c r="I430" s="1047" t="s">
        <v>1917</v>
      </c>
      <c r="J430" s="1047" t="s">
        <v>1925</v>
      </c>
      <c r="K430" s="1328">
        <v>1</v>
      </c>
      <c r="L430" s="1328">
        <v>12</v>
      </c>
      <c r="M430" s="1321" t="s">
        <v>1926</v>
      </c>
      <c r="N430" s="1328">
        <v>1</v>
      </c>
      <c r="O430" s="1328">
        <v>12</v>
      </c>
      <c r="P430" s="1329" t="s">
        <v>1922</v>
      </c>
    </row>
    <row r="431" spans="1:16" ht="13.5" thickBot="1">
      <c r="A431" s="1284" t="s">
        <v>1911</v>
      </c>
      <c r="B431" s="1268" t="s">
        <v>1912</v>
      </c>
      <c r="C431" s="1047" t="s">
        <v>96</v>
      </c>
      <c r="D431" s="1047" t="s">
        <v>1809</v>
      </c>
      <c r="E431" s="1321">
        <v>1800</v>
      </c>
      <c r="F431" s="1047">
        <v>42882079</v>
      </c>
      <c r="G431" s="1047" t="s">
        <v>1927</v>
      </c>
      <c r="H431" s="1047" t="s">
        <v>1928</v>
      </c>
      <c r="I431" s="1047" t="s">
        <v>1917</v>
      </c>
      <c r="J431" s="1047" t="s">
        <v>1929</v>
      </c>
      <c r="K431" s="1328">
        <v>1</v>
      </c>
      <c r="L431" s="1328">
        <v>12</v>
      </c>
      <c r="M431" s="1321">
        <v>21600</v>
      </c>
      <c r="N431" s="1328">
        <v>1</v>
      </c>
      <c r="O431" s="1328">
        <v>12</v>
      </c>
      <c r="P431" s="1329" t="s">
        <v>1918</v>
      </c>
    </row>
    <row r="432" spans="1:16" ht="13.5" thickBot="1">
      <c r="A432" s="1284" t="s">
        <v>1911</v>
      </c>
      <c r="B432" s="1268" t="s">
        <v>1912</v>
      </c>
      <c r="C432" s="1047" t="s">
        <v>96</v>
      </c>
      <c r="D432" s="1047" t="s">
        <v>1930</v>
      </c>
      <c r="E432" s="1321">
        <v>2750</v>
      </c>
      <c r="F432" s="1047">
        <v>72621213</v>
      </c>
      <c r="G432" s="1047" t="s">
        <v>1931</v>
      </c>
      <c r="H432" s="1047" t="s">
        <v>1932</v>
      </c>
      <c r="I432" s="1047" t="s">
        <v>1917</v>
      </c>
      <c r="J432" s="1047" t="s">
        <v>1932</v>
      </c>
      <c r="K432" s="1325"/>
      <c r="L432" s="1325"/>
      <c r="M432" s="1047"/>
      <c r="N432" s="1328">
        <v>1</v>
      </c>
      <c r="O432" s="1328">
        <v>5</v>
      </c>
      <c r="P432" s="1329">
        <v>13750</v>
      </c>
    </row>
    <row r="433" spans="1:16" ht="49.5" thickBot="1">
      <c r="A433" s="1284" t="s">
        <v>1911</v>
      </c>
      <c r="B433" s="1268" t="s">
        <v>1912</v>
      </c>
      <c r="C433" s="1047" t="s">
        <v>96</v>
      </c>
      <c r="D433" s="1047" t="s">
        <v>1933</v>
      </c>
      <c r="E433" s="1047" t="s">
        <v>1934</v>
      </c>
      <c r="F433" s="1047">
        <v>76914405</v>
      </c>
      <c r="G433" s="1047" t="s">
        <v>1935</v>
      </c>
      <c r="H433" s="1047" t="s">
        <v>1916</v>
      </c>
      <c r="I433" s="1047" t="s">
        <v>1917</v>
      </c>
      <c r="J433" s="1047" t="s">
        <v>1936</v>
      </c>
      <c r="K433" s="1325"/>
      <c r="L433" s="1325"/>
      <c r="M433" s="1047"/>
      <c r="N433" s="1328">
        <v>1</v>
      </c>
      <c r="O433" s="1328">
        <v>5</v>
      </c>
      <c r="P433" s="1329">
        <v>6250</v>
      </c>
    </row>
    <row r="434" spans="1:16" ht="25.5" thickBot="1">
      <c r="A434" s="1284" t="s">
        <v>1911</v>
      </c>
      <c r="B434" s="1268" t="s">
        <v>1912</v>
      </c>
      <c r="C434" s="1047" t="s">
        <v>96</v>
      </c>
      <c r="D434" s="1047" t="s">
        <v>1937</v>
      </c>
      <c r="E434" s="1321">
        <v>2000</v>
      </c>
      <c r="F434" s="1047">
        <v>72959756</v>
      </c>
      <c r="G434" s="1047" t="s">
        <v>1938</v>
      </c>
      <c r="H434" s="1047" t="s">
        <v>1925</v>
      </c>
      <c r="I434" s="1047" t="s">
        <v>1917</v>
      </c>
      <c r="J434" s="1047" t="s">
        <v>1925</v>
      </c>
      <c r="K434" s="1325"/>
      <c r="L434" s="1325"/>
      <c r="M434" s="1047"/>
      <c r="N434" s="1328">
        <v>1</v>
      </c>
      <c r="O434" s="1328">
        <v>5</v>
      </c>
      <c r="P434" s="1329">
        <v>10000</v>
      </c>
    </row>
    <row r="435" spans="1:16" ht="25.5" thickBot="1">
      <c r="A435" s="1284" t="s">
        <v>1911</v>
      </c>
      <c r="B435" s="1268" t="s">
        <v>1912</v>
      </c>
      <c r="C435" s="1047" t="s">
        <v>96</v>
      </c>
      <c r="D435" s="1047" t="s">
        <v>1939</v>
      </c>
      <c r="E435" s="1250" t="s">
        <v>1940</v>
      </c>
      <c r="F435" s="1047">
        <v>41896111</v>
      </c>
      <c r="G435" s="1047" t="s">
        <v>1941</v>
      </c>
      <c r="H435" s="1047" t="s">
        <v>1942</v>
      </c>
      <c r="I435" s="1047" t="s">
        <v>1943</v>
      </c>
      <c r="J435" s="1047" t="s">
        <v>1942</v>
      </c>
      <c r="K435" s="1328">
        <v>1</v>
      </c>
      <c r="L435" s="1328">
        <v>12</v>
      </c>
      <c r="M435" s="1321">
        <v>13800</v>
      </c>
      <c r="N435" s="1328">
        <v>1</v>
      </c>
      <c r="O435" s="1328">
        <v>12</v>
      </c>
      <c r="P435" s="1329">
        <v>13800</v>
      </c>
    </row>
    <row r="436" spans="1:16" ht="25.5" thickBot="1">
      <c r="A436" s="1284" t="s">
        <v>1911</v>
      </c>
      <c r="B436" s="1268" t="s">
        <v>1912</v>
      </c>
      <c r="C436" s="1047" t="s">
        <v>96</v>
      </c>
      <c r="D436" s="1047" t="s">
        <v>1939</v>
      </c>
      <c r="E436" s="1250" t="s">
        <v>1940</v>
      </c>
      <c r="F436" s="1047">
        <v>80214305</v>
      </c>
      <c r="G436" s="1047" t="s">
        <v>1944</v>
      </c>
      <c r="H436" s="1047" t="s">
        <v>1942</v>
      </c>
      <c r="I436" s="1047" t="s">
        <v>1943</v>
      </c>
      <c r="J436" s="1047" t="s">
        <v>1942</v>
      </c>
      <c r="K436" s="1328">
        <v>1</v>
      </c>
      <c r="L436" s="1328">
        <v>12</v>
      </c>
      <c r="M436" s="1321">
        <v>13800</v>
      </c>
      <c r="N436" s="1328">
        <v>1</v>
      </c>
      <c r="O436" s="1328">
        <v>12</v>
      </c>
      <c r="P436" s="1329">
        <v>13800</v>
      </c>
    </row>
    <row r="437" spans="1:16" ht="25.5" thickBot="1">
      <c r="A437" s="1284" t="s">
        <v>1911</v>
      </c>
      <c r="B437" s="1268" t="s">
        <v>1912</v>
      </c>
      <c r="C437" s="1047" t="s">
        <v>96</v>
      </c>
      <c r="D437" s="1047" t="s">
        <v>1939</v>
      </c>
      <c r="E437" s="1250" t="s">
        <v>1940</v>
      </c>
      <c r="F437" s="1047">
        <v>4567044</v>
      </c>
      <c r="G437" s="1047" t="s">
        <v>1945</v>
      </c>
      <c r="H437" s="1047" t="s">
        <v>1942</v>
      </c>
      <c r="I437" s="1047" t="s">
        <v>1943</v>
      </c>
      <c r="J437" s="1047" t="s">
        <v>1942</v>
      </c>
      <c r="K437" s="1328">
        <v>1</v>
      </c>
      <c r="L437" s="1328">
        <v>12</v>
      </c>
      <c r="M437" s="1321">
        <v>13800</v>
      </c>
      <c r="N437" s="1328">
        <v>1</v>
      </c>
      <c r="O437" s="1328">
        <v>12</v>
      </c>
      <c r="P437" s="1329">
        <v>13800</v>
      </c>
    </row>
    <row r="438" spans="1:16" ht="25.5" thickBot="1">
      <c r="A438" s="1284" t="s">
        <v>1911</v>
      </c>
      <c r="B438" s="1268" t="s">
        <v>1912</v>
      </c>
      <c r="C438" s="1047" t="s">
        <v>96</v>
      </c>
      <c r="D438" s="1047" t="s">
        <v>1946</v>
      </c>
      <c r="E438" s="1321" t="s">
        <v>1934</v>
      </c>
      <c r="F438" s="1047">
        <v>72104510</v>
      </c>
      <c r="G438" s="1047" t="s">
        <v>1947</v>
      </c>
      <c r="H438" s="1047" t="s">
        <v>1948</v>
      </c>
      <c r="I438" s="1047" t="s">
        <v>1917</v>
      </c>
      <c r="J438" s="1047" t="s">
        <v>1948</v>
      </c>
      <c r="K438" s="1325"/>
      <c r="L438" s="1325"/>
      <c r="M438" s="1047"/>
      <c r="N438" s="1328">
        <v>1</v>
      </c>
      <c r="O438" s="1328">
        <v>5</v>
      </c>
      <c r="P438" s="1329">
        <v>6250</v>
      </c>
    </row>
    <row r="439" spans="1:16" ht="25.5" thickBot="1">
      <c r="A439" s="1284" t="s">
        <v>1911</v>
      </c>
      <c r="B439" s="1268" t="s">
        <v>1912</v>
      </c>
      <c r="C439" s="1047" t="s">
        <v>96</v>
      </c>
      <c r="D439" s="1047" t="s">
        <v>1946</v>
      </c>
      <c r="E439" s="1321" t="s">
        <v>1934</v>
      </c>
      <c r="F439" s="1047">
        <v>42953607</v>
      </c>
      <c r="G439" s="1047" t="s">
        <v>1949</v>
      </c>
      <c r="H439" s="1047" t="s">
        <v>1950</v>
      </c>
      <c r="I439" s="1047" t="s">
        <v>1951</v>
      </c>
      <c r="J439" s="1047" t="s">
        <v>1950</v>
      </c>
      <c r="K439" s="1325"/>
      <c r="L439" s="1325"/>
      <c r="M439" s="1047"/>
      <c r="N439" s="1328">
        <v>1</v>
      </c>
      <c r="O439" s="1328">
        <v>5</v>
      </c>
      <c r="P439" s="1329">
        <v>6250</v>
      </c>
    </row>
    <row r="440" spans="1:16" ht="25.5" thickBot="1">
      <c r="A440" s="1284" t="s">
        <v>1911</v>
      </c>
      <c r="B440" s="1268" t="s">
        <v>1912</v>
      </c>
      <c r="C440" s="1047" t="s">
        <v>1952</v>
      </c>
      <c r="D440" s="1047" t="s">
        <v>1953</v>
      </c>
      <c r="E440" s="1047" t="s">
        <v>1934</v>
      </c>
      <c r="F440" s="1047">
        <v>60085938</v>
      </c>
      <c r="G440" s="1047" t="s">
        <v>1954</v>
      </c>
      <c r="H440" s="1047" t="s">
        <v>1955</v>
      </c>
      <c r="I440" s="1047" t="s">
        <v>1917</v>
      </c>
      <c r="J440" s="1047" t="s">
        <v>1956</v>
      </c>
      <c r="K440" s="1325"/>
      <c r="L440" s="1325"/>
      <c r="M440" s="1047"/>
      <c r="N440" s="1328">
        <v>1</v>
      </c>
      <c r="O440" s="1328">
        <v>4</v>
      </c>
      <c r="P440" s="1329">
        <v>5000</v>
      </c>
    </row>
    <row r="441" spans="1:16" ht="25.5" thickBot="1">
      <c r="A441" s="1330" t="s">
        <v>1911</v>
      </c>
      <c r="B441" s="1322" t="s">
        <v>1912</v>
      </c>
      <c r="C441" s="1323" t="s">
        <v>1952</v>
      </c>
      <c r="D441" s="1323" t="s">
        <v>1957</v>
      </c>
      <c r="E441" s="1323" t="s">
        <v>1958</v>
      </c>
      <c r="F441" s="1323">
        <v>46372656</v>
      </c>
      <c r="G441" s="1323" t="s">
        <v>1959</v>
      </c>
      <c r="H441" s="1323" t="s">
        <v>1960</v>
      </c>
      <c r="I441" s="1323" t="s">
        <v>1961</v>
      </c>
      <c r="J441" s="1323" t="s">
        <v>1962</v>
      </c>
      <c r="K441" s="1326"/>
      <c r="L441" s="1326"/>
      <c r="M441" s="1323"/>
      <c r="N441" s="1331">
        <v>1</v>
      </c>
      <c r="O441" s="1331">
        <v>3</v>
      </c>
      <c r="P441" s="1332">
        <v>7500</v>
      </c>
    </row>
    <row r="442" spans="1:16" ht="13.5" thickBot="1">
      <c r="A442" s="3" t="s">
        <v>404</v>
      </c>
      <c r="B442" s="3"/>
      <c r="C442" s="3"/>
      <c r="D442" s="3"/>
      <c r="E442" s="3"/>
      <c r="F442" s="3"/>
      <c r="G442" s="3"/>
      <c r="H442" s="3"/>
      <c r="I442" s="3"/>
      <c r="J442" s="3"/>
      <c r="K442" s="49"/>
      <c r="L442" s="49"/>
      <c r="M442" s="3"/>
      <c r="N442" s="3"/>
      <c r="O442" s="3"/>
      <c r="P442" s="917">
        <f>SUM(P428:P441)</f>
        <v>96400</v>
      </c>
    </row>
    <row r="443" spans="1:16" ht="12.75">
      <c r="A443" s="3"/>
      <c r="B443" s="3"/>
      <c r="C443" s="3"/>
      <c r="D443" s="3"/>
      <c r="E443" s="3"/>
      <c r="F443" s="3"/>
      <c r="G443" s="3"/>
      <c r="H443" s="3"/>
      <c r="I443" s="3"/>
      <c r="J443" s="3"/>
      <c r="K443" s="49"/>
      <c r="L443" s="49"/>
      <c r="M443" s="3"/>
      <c r="N443" s="3"/>
      <c r="O443" s="3"/>
      <c r="P443" s="641"/>
    </row>
    <row r="444" spans="1:16" ht="13.5" thickBot="1">
      <c r="A444" s="15" t="s">
        <v>1972</v>
      </c>
      <c r="B444" s="3"/>
      <c r="C444" s="3"/>
      <c r="D444" s="3"/>
      <c r="E444" s="3"/>
      <c r="F444" s="3"/>
      <c r="G444" s="3"/>
      <c r="H444" s="3"/>
      <c r="I444" s="3"/>
      <c r="J444" s="3"/>
      <c r="K444" s="49"/>
      <c r="L444" s="49"/>
      <c r="M444" s="3"/>
      <c r="N444" s="3"/>
      <c r="O444" s="3"/>
      <c r="P444" s="641"/>
    </row>
    <row r="445" spans="1:19" ht="13.5" thickBot="1">
      <c r="A445" s="1624" t="s">
        <v>140</v>
      </c>
      <c r="B445" s="1625"/>
      <c r="C445" s="1625"/>
      <c r="D445" s="1625"/>
      <c r="E445" s="1626"/>
      <c r="F445" s="1627" t="s">
        <v>141</v>
      </c>
      <c r="G445" s="1628"/>
      <c r="H445" s="1629"/>
      <c r="I445" s="1629"/>
      <c r="J445" s="1630"/>
      <c r="K445" s="1621" t="s">
        <v>1909</v>
      </c>
      <c r="L445" s="1622"/>
      <c r="M445" s="1623"/>
      <c r="N445" s="1621" t="s">
        <v>141</v>
      </c>
      <c r="O445" s="1622"/>
      <c r="P445" s="1623"/>
      <c r="Q445" s="1621" t="s">
        <v>363</v>
      </c>
      <c r="R445" s="1622"/>
      <c r="S445" s="1623"/>
    </row>
    <row r="446" spans="1:19" ht="98.25" thickBot="1">
      <c r="A446" s="911" t="s">
        <v>99</v>
      </c>
      <c r="B446" s="908" t="s">
        <v>8</v>
      </c>
      <c r="C446" s="908" t="s">
        <v>95</v>
      </c>
      <c r="D446" s="909" t="s">
        <v>100</v>
      </c>
      <c r="E446" s="406" t="s">
        <v>121</v>
      </c>
      <c r="F446" s="404" t="s">
        <v>128</v>
      </c>
      <c r="G446" s="405" t="s">
        <v>129</v>
      </c>
      <c r="H446" s="405" t="s">
        <v>143</v>
      </c>
      <c r="I446" s="190" t="s">
        <v>144</v>
      </c>
      <c r="J446" s="403" t="s">
        <v>133</v>
      </c>
      <c r="K446" s="192" t="s">
        <v>130</v>
      </c>
      <c r="L446" s="193" t="s">
        <v>131</v>
      </c>
      <c r="M446" s="194" t="s">
        <v>132</v>
      </c>
      <c r="N446" s="192" t="s">
        <v>130</v>
      </c>
      <c r="O446" s="193" t="s">
        <v>131</v>
      </c>
      <c r="P446" s="194" t="s">
        <v>132</v>
      </c>
      <c r="Q446" s="913" t="s">
        <v>130</v>
      </c>
      <c r="R446" s="914" t="s">
        <v>131</v>
      </c>
      <c r="S446" s="915" t="s">
        <v>132</v>
      </c>
    </row>
    <row r="447" spans="1:19" ht="12.75">
      <c r="A447" s="1334" t="s">
        <v>1971</v>
      </c>
      <c r="B447" s="1334" t="s">
        <v>1790</v>
      </c>
      <c r="C447" s="1334" t="s">
        <v>96</v>
      </c>
      <c r="D447" s="1334"/>
      <c r="E447" s="1320">
        <v>1200</v>
      </c>
      <c r="F447" s="1335" t="s">
        <v>1964</v>
      </c>
      <c r="G447" s="1368" t="s">
        <v>2719</v>
      </c>
      <c r="H447" s="1368"/>
      <c r="I447" s="1368"/>
      <c r="J447" s="1252" t="s">
        <v>1098</v>
      </c>
      <c r="K447" s="1252">
        <v>1</v>
      </c>
      <c r="L447" s="1252">
        <v>12</v>
      </c>
      <c r="M447" s="1320">
        <f>E447*L447</f>
        <v>14400</v>
      </c>
      <c r="N447" s="1252">
        <v>1</v>
      </c>
      <c r="O447" s="1252">
        <v>6</v>
      </c>
      <c r="P447" s="1320">
        <f>E447*O447</f>
        <v>7200</v>
      </c>
      <c r="Q447" s="1319"/>
      <c r="R447" s="1346"/>
      <c r="S447" s="1349"/>
    </row>
    <row r="448" spans="1:19" ht="24">
      <c r="A448" s="1334" t="s">
        <v>1971</v>
      </c>
      <c r="B448" s="1334" t="s">
        <v>1790</v>
      </c>
      <c r="C448" s="1334" t="s">
        <v>96</v>
      </c>
      <c r="D448" s="1334"/>
      <c r="E448" s="1320">
        <v>1500</v>
      </c>
      <c r="F448" s="1336" t="s">
        <v>1965</v>
      </c>
      <c r="G448" s="1368" t="s">
        <v>2720</v>
      </c>
      <c r="H448" s="1368"/>
      <c r="I448" s="1368"/>
      <c r="J448" s="1318" t="s">
        <v>1966</v>
      </c>
      <c r="K448" s="1252">
        <v>1</v>
      </c>
      <c r="L448" s="1252">
        <v>12</v>
      </c>
      <c r="M448" s="1320">
        <f aca="true" t="shared" si="1" ref="M448:M453">E448*L448</f>
        <v>18000</v>
      </c>
      <c r="N448" s="1252">
        <v>1</v>
      </c>
      <c r="O448" s="1252">
        <v>6</v>
      </c>
      <c r="P448" s="1320">
        <f aca="true" t="shared" si="2" ref="P448:P453">E448*O448</f>
        <v>9000</v>
      </c>
      <c r="Q448" s="1350"/>
      <c r="R448" s="1346"/>
      <c r="S448" s="1350"/>
    </row>
    <row r="449" spans="1:19" ht="24">
      <c r="A449" s="1334" t="s">
        <v>1971</v>
      </c>
      <c r="B449" s="1334" t="s">
        <v>1790</v>
      </c>
      <c r="C449" s="1334" t="s">
        <v>96</v>
      </c>
      <c r="D449" s="1334"/>
      <c r="E449" s="1320">
        <v>1500</v>
      </c>
      <c r="F449" s="1337" t="s">
        <v>1503</v>
      </c>
      <c r="G449" s="1369" t="s">
        <v>2721</v>
      </c>
      <c r="H449" s="1369"/>
      <c r="I449" s="1369"/>
      <c r="J449" s="1252" t="s">
        <v>1967</v>
      </c>
      <c r="K449" s="1252">
        <v>1</v>
      </c>
      <c r="L449" s="1252">
        <v>12</v>
      </c>
      <c r="M449" s="1320">
        <f t="shared" si="1"/>
        <v>18000</v>
      </c>
      <c r="N449" s="1252">
        <v>1</v>
      </c>
      <c r="O449" s="1252">
        <v>6</v>
      </c>
      <c r="P449" s="1320">
        <f t="shared" si="2"/>
        <v>9000</v>
      </c>
      <c r="Q449" s="1350"/>
      <c r="R449" s="1346"/>
      <c r="S449" s="1350"/>
    </row>
    <row r="450" spans="1:19" ht="12.75">
      <c r="A450" s="1334" t="s">
        <v>1971</v>
      </c>
      <c r="B450" s="1334" t="s">
        <v>1790</v>
      </c>
      <c r="C450" s="1334" t="s">
        <v>96</v>
      </c>
      <c r="D450" s="1334"/>
      <c r="E450" s="1320">
        <v>1500</v>
      </c>
      <c r="F450" s="1338">
        <v>44924060</v>
      </c>
      <c r="G450" s="1368" t="s">
        <v>2722</v>
      </c>
      <c r="H450" s="1368"/>
      <c r="I450" s="1368"/>
      <c r="J450" s="1252" t="s">
        <v>1098</v>
      </c>
      <c r="K450" s="1252">
        <v>1</v>
      </c>
      <c r="L450" s="1252">
        <v>12</v>
      </c>
      <c r="M450" s="1320">
        <f t="shared" si="1"/>
        <v>18000</v>
      </c>
      <c r="N450" s="1252">
        <v>1</v>
      </c>
      <c r="O450" s="1252">
        <v>6</v>
      </c>
      <c r="P450" s="1320">
        <f t="shared" si="2"/>
        <v>9000</v>
      </c>
      <c r="Q450" s="1350"/>
      <c r="R450" s="1346"/>
      <c r="S450" s="1350"/>
    </row>
    <row r="451" spans="1:19" ht="12.75">
      <c r="A451" s="1334" t="s">
        <v>1971</v>
      </c>
      <c r="B451" s="1334" t="s">
        <v>1790</v>
      </c>
      <c r="C451" s="1334" t="s">
        <v>96</v>
      </c>
      <c r="D451" s="1334"/>
      <c r="E451" s="1320">
        <v>1500</v>
      </c>
      <c r="F451" s="1340">
        <v>71078030</v>
      </c>
      <c r="G451" s="1369" t="s">
        <v>2723</v>
      </c>
      <c r="H451" s="1369"/>
      <c r="I451" s="1369"/>
      <c r="J451" s="1252" t="s">
        <v>1098</v>
      </c>
      <c r="K451" s="1252">
        <v>1</v>
      </c>
      <c r="L451" s="1252">
        <v>12</v>
      </c>
      <c r="M451" s="1320">
        <f t="shared" si="1"/>
        <v>18000</v>
      </c>
      <c r="N451" s="1252">
        <v>1</v>
      </c>
      <c r="O451" s="1252">
        <v>6</v>
      </c>
      <c r="P451" s="1320">
        <f t="shared" si="2"/>
        <v>9000</v>
      </c>
      <c r="Q451" s="1350"/>
      <c r="R451" s="1346"/>
      <c r="S451" s="1350"/>
    </row>
    <row r="452" spans="1:19" ht="24">
      <c r="A452" s="1334" t="s">
        <v>1971</v>
      </c>
      <c r="B452" s="1334" t="s">
        <v>1790</v>
      </c>
      <c r="C452" s="1334" t="s">
        <v>96</v>
      </c>
      <c r="D452" s="1334"/>
      <c r="E452" s="1320">
        <v>2000</v>
      </c>
      <c r="F452" s="1339" t="s">
        <v>1968</v>
      </c>
      <c r="G452" s="1368" t="s">
        <v>2724</v>
      </c>
      <c r="H452" s="1368"/>
      <c r="I452" s="1368"/>
      <c r="J452" s="1318" t="s">
        <v>1969</v>
      </c>
      <c r="K452" s="1252">
        <v>1</v>
      </c>
      <c r="L452" s="1252">
        <v>12</v>
      </c>
      <c r="M452" s="1320">
        <f t="shared" si="1"/>
        <v>24000</v>
      </c>
      <c r="N452" s="1252">
        <v>1</v>
      </c>
      <c r="O452" s="1252">
        <v>2</v>
      </c>
      <c r="P452" s="1320">
        <f t="shared" si="2"/>
        <v>4000</v>
      </c>
      <c r="Q452" s="870"/>
      <c r="R452" s="870"/>
      <c r="S452" s="870"/>
    </row>
    <row r="453" spans="1:19" ht="24">
      <c r="A453" s="1334" t="s">
        <v>1971</v>
      </c>
      <c r="B453" s="1334" t="s">
        <v>1790</v>
      </c>
      <c r="C453" s="1334" t="s">
        <v>96</v>
      </c>
      <c r="D453" s="1334"/>
      <c r="E453" s="1320">
        <v>2500</v>
      </c>
      <c r="F453" s="1341" t="s">
        <v>1970</v>
      </c>
      <c r="G453" s="1370" t="s">
        <v>2725</v>
      </c>
      <c r="H453" s="1370"/>
      <c r="I453" s="1370"/>
      <c r="J453" s="1252" t="s">
        <v>1967</v>
      </c>
      <c r="K453" s="1252">
        <v>1</v>
      </c>
      <c r="L453" s="1252">
        <v>12</v>
      </c>
      <c r="M453" s="1320">
        <f t="shared" si="1"/>
        <v>30000</v>
      </c>
      <c r="N453" s="1252">
        <v>1</v>
      </c>
      <c r="O453" s="1252">
        <v>6</v>
      </c>
      <c r="P453" s="1320">
        <f t="shared" si="2"/>
        <v>15000</v>
      </c>
      <c r="Q453" s="870"/>
      <c r="R453" s="870"/>
      <c r="S453" s="870"/>
    </row>
    <row r="454" spans="1:19" ht="12.75">
      <c r="A454" s="1334" t="s">
        <v>1971</v>
      </c>
      <c r="B454" s="1334" t="s">
        <v>1790</v>
      </c>
      <c r="C454" s="1334" t="s">
        <v>96</v>
      </c>
      <c r="D454" s="1334"/>
      <c r="E454" s="1320"/>
      <c r="F454" s="1342"/>
      <c r="G454" s="1333"/>
      <c r="H454" s="1333"/>
      <c r="I454" s="1333"/>
      <c r="J454" s="1252"/>
      <c r="K454" s="1252"/>
      <c r="L454" s="1252"/>
      <c r="M454" s="1320"/>
      <c r="N454" s="1252"/>
      <c r="O454" s="1252"/>
      <c r="P454" s="1320"/>
      <c r="Q454" s="870"/>
      <c r="R454" s="870"/>
      <c r="S454" s="870"/>
    </row>
    <row r="456" ht="13.5" thickBot="1">
      <c r="A456" s="789" t="s">
        <v>1145</v>
      </c>
    </row>
    <row r="457" spans="1:19" ht="13.5" thickBot="1">
      <c r="A457" s="1624" t="s">
        <v>140</v>
      </c>
      <c r="B457" s="1625"/>
      <c r="C457" s="1625"/>
      <c r="D457" s="1625"/>
      <c r="E457" s="1626"/>
      <c r="F457" s="1627" t="s">
        <v>141</v>
      </c>
      <c r="G457" s="1628"/>
      <c r="H457" s="1629"/>
      <c r="I457" s="1629"/>
      <c r="J457" s="1630"/>
      <c r="K457" s="1621" t="s">
        <v>1909</v>
      </c>
      <c r="L457" s="1622"/>
      <c r="M457" s="1623"/>
      <c r="N457" s="1621" t="s">
        <v>141</v>
      </c>
      <c r="O457" s="1622"/>
      <c r="P457" s="1623"/>
      <c r="Q457" s="1621" t="s">
        <v>1910</v>
      </c>
      <c r="R457" s="1622"/>
      <c r="S457" s="1623"/>
    </row>
    <row r="458" spans="1:19" ht="97.5">
      <c r="A458" s="911" t="s">
        <v>99</v>
      </c>
      <c r="B458" s="908" t="s">
        <v>8</v>
      </c>
      <c r="C458" s="908" t="s">
        <v>95</v>
      </c>
      <c r="D458" s="909" t="s">
        <v>100</v>
      </c>
      <c r="E458" s="910" t="s">
        <v>121</v>
      </c>
      <c r="F458" s="911" t="s">
        <v>128</v>
      </c>
      <c r="G458" s="909" t="s">
        <v>129</v>
      </c>
      <c r="H458" s="909" t="s">
        <v>143</v>
      </c>
      <c r="I458" s="908" t="s">
        <v>144</v>
      </c>
      <c r="J458" s="912" t="s">
        <v>133</v>
      </c>
      <c r="K458" s="913" t="s">
        <v>130</v>
      </c>
      <c r="L458" s="914" t="s">
        <v>131</v>
      </c>
      <c r="M458" s="915" t="s">
        <v>132</v>
      </c>
      <c r="N458" s="911" t="s">
        <v>128</v>
      </c>
      <c r="O458" s="909" t="s">
        <v>129</v>
      </c>
      <c r="P458" s="909" t="s">
        <v>143</v>
      </c>
      <c r="Q458" s="913" t="s">
        <v>130</v>
      </c>
      <c r="R458" s="914" t="s">
        <v>131</v>
      </c>
      <c r="S458" s="915" t="s">
        <v>132</v>
      </c>
    </row>
    <row r="459" spans="1:19" ht="19.5" customHeight="1">
      <c r="A459" s="1252">
        <v>400</v>
      </c>
      <c r="B459" s="1252" t="s">
        <v>1973</v>
      </c>
      <c r="C459" s="1343" t="s">
        <v>96</v>
      </c>
      <c r="D459" s="1252"/>
      <c r="E459" s="1344">
        <v>2500</v>
      </c>
      <c r="F459" s="1345" t="s">
        <v>1974</v>
      </c>
      <c r="G459" s="1345" t="s">
        <v>1975</v>
      </c>
      <c r="H459" s="1345" t="s">
        <v>1976</v>
      </c>
      <c r="I459" s="1345"/>
      <c r="J459" s="1252"/>
      <c r="K459" s="1319">
        <v>185</v>
      </c>
      <c r="L459" s="1346">
        <v>12</v>
      </c>
      <c r="M459" s="1320" t="s">
        <v>1977</v>
      </c>
      <c r="N459" s="1347" t="s">
        <v>1978</v>
      </c>
      <c r="O459" s="1348" t="s">
        <v>1979</v>
      </c>
      <c r="P459" s="1347" t="s">
        <v>1980</v>
      </c>
      <c r="Q459" s="1319">
        <v>244</v>
      </c>
      <c r="R459" s="1346">
        <v>12</v>
      </c>
      <c r="S459" s="1349" t="s">
        <v>1981</v>
      </c>
    </row>
    <row r="460" spans="1:19" ht="28.5" customHeight="1">
      <c r="A460" s="1252">
        <v>400</v>
      </c>
      <c r="B460" s="1252" t="s">
        <v>1973</v>
      </c>
      <c r="C460" s="1343" t="s">
        <v>96</v>
      </c>
      <c r="D460" s="1252"/>
      <c r="E460" s="1344">
        <v>1100</v>
      </c>
      <c r="F460" s="1345" t="s">
        <v>1982</v>
      </c>
      <c r="G460" s="1345" t="s">
        <v>1983</v>
      </c>
      <c r="H460" s="1345" t="s">
        <v>1984</v>
      </c>
      <c r="I460" s="1345"/>
      <c r="J460" s="1252"/>
      <c r="K460" s="1350"/>
      <c r="L460" s="1346">
        <v>12</v>
      </c>
      <c r="M460" s="1252"/>
      <c r="N460" s="1347" t="s">
        <v>1985</v>
      </c>
      <c r="O460" s="1348" t="s">
        <v>1986</v>
      </c>
      <c r="P460" s="1348" t="s">
        <v>1987</v>
      </c>
      <c r="Q460" s="1350"/>
      <c r="R460" s="1346">
        <v>12</v>
      </c>
      <c r="S460" s="1350"/>
    </row>
    <row r="461" spans="1:19" ht="32.25" customHeight="1">
      <c r="A461" s="1252">
        <v>400</v>
      </c>
      <c r="B461" s="1252" t="s">
        <v>1973</v>
      </c>
      <c r="C461" s="1343" t="s">
        <v>96</v>
      </c>
      <c r="D461" s="1252"/>
      <c r="E461" s="1344">
        <v>1100</v>
      </c>
      <c r="F461" s="1345" t="s">
        <v>1988</v>
      </c>
      <c r="G461" s="1345" t="s">
        <v>1989</v>
      </c>
      <c r="H461" s="1345" t="s">
        <v>1984</v>
      </c>
      <c r="I461" s="1345"/>
      <c r="J461" s="1252"/>
      <c r="K461" s="1350"/>
      <c r="L461" s="1346">
        <v>12</v>
      </c>
      <c r="M461" s="1252"/>
      <c r="N461" s="1347" t="s">
        <v>1990</v>
      </c>
      <c r="O461" s="1348" t="s">
        <v>1991</v>
      </c>
      <c r="P461" s="1348" t="s">
        <v>1992</v>
      </c>
      <c r="Q461" s="1350"/>
      <c r="R461" s="1346">
        <v>12</v>
      </c>
      <c r="S461" s="1350"/>
    </row>
    <row r="462" spans="1:19" ht="19.5" customHeight="1">
      <c r="A462" s="1252">
        <v>400</v>
      </c>
      <c r="B462" s="1252" t="s">
        <v>1973</v>
      </c>
      <c r="C462" s="1343" t="s">
        <v>96</v>
      </c>
      <c r="D462" s="1252"/>
      <c r="E462" s="1344">
        <v>1000</v>
      </c>
      <c r="F462" s="1345" t="s">
        <v>1993</v>
      </c>
      <c r="G462" s="1345" t="s">
        <v>1994</v>
      </c>
      <c r="H462" s="1345" t="s">
        <v>1809</v>
      </c>
      <c r="I462" s="1345"/>
      <c r="J462" s="1252"/>
      <c r="K462" s="1350"/>
      <c r="L462" s="1346">
        <v>12</v>
      </c>
      <c r="M462" s="1252"/>
      <c r="N462" s="1347" t="s">
        <v>1995</v>
      </c>
      <c r="O462" s="1348" t="s">
        <v>1996</v>
      </c>
      <c r="P462" s="1348" t="s">
        <v>1997</v>
      </c>
      <c r="Q462" s="1350"/>
      <c r="R462" s="1346">
        <v>12</v>
      </c>
      <c r="S462" s="1350"/>
    </row>
    <row r="463" spans="1:19" ht="19.5" customHeight="1">
      <c r="A463" s="1252">
        <v>400</v>
      </c>
      <c r="B463" s="1252" t="s">
        <v>1973</v>
      </c>
      <c r="C463" s="1343" t="s">
        <v>96</v>
      </c>
      <c r="D463" s="1252"/>
      <c r="E463" s="1344">
        <v>1050</v>
      </c>
      <c r="F463" s="1345" t="s">
        <v>1998</v>
      </c>
      <c r="G463" s="1345" t="s">
        <v>1999</v>
      </c>
      <c r="H463" s="1345" t="s">
        <v>2000</v>
      </c>
      <c r="I463" s="1345"/>
      <c r="J463" s="1252"/>
      <c r="K463" s="1350"/>
      <c r="L463" s="1346">
        <v>12</v>
      </c>
      <c r="M463" s="1252"/>
      <c r="N463" s="1347" t="s">
        <v>2001</v>
      </c>
      <c r="O463" s="1348" t="s">
        <v>2002</v>
      </c>
      <c r="P463" s="1348" t="s">
        <v>1997</v>
      </c>
      <c r="Q463" s="1350"/>
      <c r="R463" s="1346">
        <v>12</v>
      </c>
      <c r="S463" s="1350"/>
    </row>
    <row r="464" spans="1:19" ht="19.5" customHeight="1">
      <c r="A464" s="1252">
        <v>400</v>
      </c>
      <c r="B464" s="1252" t="s">
        <v>1973</v>
      </c>
      <c r="C464" s="1343" t="s">
        <v>96</v>
      </c>
      <c r="D464" s="1252"/>
      <c r="E464" s="1344">
        <v>7000</v>
      </c>
      <c r="F464" s="1345" t="s">
        <v>2003</v>
      </c>
      <c r="G464" s="1345" t="s">
        <v>2004</v>
      </c>
      <c r="H464" s="1345" t="s">
        <v>2005</v>
      </c>
      <c r="I464" s="1345"/>
      <c r="J464" s="1252"/>
      <c r="K464" s="1350"/>
      <c r="L464" s="1346">
        <v>12</v>
      </c>
      <c r="M464" s="1252"/>
      <c r="N464" s="1347" t="s">
        <v>2006</v>
      </c>
      <c r="O464" s="1348" t="s">
        <v>2007</v>
      </c>
      <c r="P464" s="1348" t="s">
        <v>2008</v>
      </c>
      <c r="Q464" s="1350"/>
      <c r="R464" s="1346">
        <v>12</v>
      </c>
      <c r="S464" s="1350"/>
    </row>
    <row r="465" spans="1:19" ht="19.5" customHeight="1">
      <c r="A465" s="1252">
        <v>400</v>
      </c>
      <c r="B465" s="1252" t="s">
        <v>1973</v>
      </c>
      <c r="C465" s="1343" t="s">
        <v>96</v>
      </c>
      <c r="D465" s="1252"/>
      <c r="E465" s="1344">
        <v>12000</v>
      </c>
      <c r="F465" s="1351" t="s">
        <v>2009</v>
      </c>
      <c r="G465" s="1345" t="s">
        <v>2010</v>
      </c>
      <c r="H465" s="1345" t="s">
        <v>2011</v>
      </c>
      <c r="I465" s="1345"/>
      <c r="J465" s="1252"/>
      <c r="K465" s="1350"/>
      <c r="L465" s="1346">
        <v>12</v>
      </c>
      <c r="M465" s="1252"/>
      <c r="N465" s="1347" t="s">
        <v>2012</v>
      </c>
      <c r="O465" s="1348" t="s">
        <v>2013</v>
      </c>
      <c r="P465" s="1348" t="s">
        <v>2014</v>
      </c>
      <c r="Q465" s="1350"/>
      <c r="R465" s="1346">
        <v>12</v>
      </c>
      <c r="S465" s="1350"/>
    </row>
    <row r="466" spans="1:19" ht="19.5" customHeight="1">
      <c r="A466" s="1252">
        <v>400</v>
      </c>
      <c r="B466" s="1252" t="s">
        <v>1973</v>
      </c>
      <c r="C466" s="1343" t="s">
        <v>96</v>
      </c>
      <c r="D466" s="1252"/>
      <c r="E466" s="1344">
        <v>2000</v>
      </c>
      <c r="F466" s="1345" t="s">
        <v>2015</v>
      </c>
      <c r="G466" s="1345" t="s">
        <v>2016</v>
      </c>
      <c r="H466" s="1345" t="s">
        <v>2008</v>
      </c>
      <c r="I466" s="1345"/>
      <c r="J466" s="1252"/>
      <c r="K466" s="1350"/>
      <c r="L466" s="1346">
        <v>12</v>
      </c>
      <c r="M466" s="1252"/>
      <c r="N466" s="1347" t="s">
        <v>2017</v>
      </c>
      <c r="O466" s="1348" t="s">
        <v>2018</v>
      </c>
      <c r="P466" s="1348" t="s">
        <v>2008</v>
      </c>
      <c r="Q466" s="1350"/>
      <c r="R466" s="1346">
        <v>12</v>
      </c>
      <c r="S466" s="1350"/>
    </row>
    <row r="467" spans="1:19" ht="19.5" customHeight="1">
      <c r="A467" s="1252">
        <v>400</v>
      </c>
      <c r="B467" s="1252" t="s">
        <v>1973</v>
      </c>
      <c r="C467" s="1343" t="s">
        <v>96</v>
      </c>
      <c r="D467" s="1252"/>
      <c r="E467" s="1352">
        <v>2500</v>
      </c>
      <c r="F467" s="1347" t="s">
        <v>2019</v>
      </c>
      <c r="G467" s="1347" t="s">
        <v>2020</v>
      </c>
      <c r="H467" s="1347" t="s">
        <v>2008</v>
      </c>
      <c r="I467" s="1345"/>
      <c r="J467" s="1252"/>
      <c r="K467" s="1350"/>
      <c r="L467" s="1346">
        <v>12</v>
      </c>
      <c r="M467" s="1252"/>
      <c r="N467" s="1347" t="s">
        <v>2021</v>
      </c>
      <c r="O467" s="1348" t="s">
        <v>2022</v>
      </c>
      <c r="P467" s="1348" t="s">
        <v>2023</v>
      </c>
      <c r="Q467" s="1350"/>
      <c r="R467" s="1346">
        <v>12</v>
      </c>
      <c r="S467" s="1350"/>
    </row>
    <row r="468" spans="1:19" ht="19.5" customHeight="1">
      <c r="A468" s="1252">
        <v>400</v>
      </c>
      <c r="B468" s="1252" t="s">
        <v>1973</v>
      </c>
      <c r="C468" s="1343" t="s">
        <v>96</v>
      </c>
      <c r="D468" s="1252"/>
      <c r="E468" s="1352">
        <v>2500</v>
      </c>
      <c r="F468" s="1347" t="s">
        <v>2024</v>
      </c>
      <c r="G468" s="1347" t="s">
        <v>2025</v>
      </c>
      <c r="H468" s="1347" t="s">
        <v>2008</v>
      </c>
      <c r="I468" s="1345"/>
      <c r="J468" s="1252"/>
      <c r="K468" s="1350"/>
      <c r="L468" s="1346">
        <v>12</v>
      </c>
      <c r="M468" s="1252"/>
      <c r="N468" s="1347" t="s">
        <v>2026</v>
      </c>
      <c r="O468" s="1348" t="s">
        <v>2027</v>
      </c>
      <c r="P468" s="1348" t="s">
        <v>1987</v>
      </c>
      <c r="Q468" s="1350"/>
      <c r="R468" s="1346">
        <v>12</v>
      </c>
      <c r="S468" s="1350"/>
    </row>
    <row r="469" spans="1:19" ht="19.5" customHeight="1">
      <c r="A469" s="1252">
        <v>400</v>
      </c>
      <c r="B469" s="1252" t="s">
        <v>1973</v>
      </c>
      <c r="C469" s="1343" t="s">
        <v>96</v>
      </c>
      <c r="D469" s="1252"/>
      <c r="E469" s="1352">
        <v>1600</v>
      </c>
      <c r="F469" s="1347" t="s">
        <v>2028</v>
      </c>
      <c r="G469" s="1347" t="s">
        <v>2029</v>
      </c>
      <c r="H469" s="1347" t="s">
        <v>2008</v>
      </c>
      <c r="I469" s="1345"/>
      <c r="J469" s="1252"/>
      <c r="K469" s="1350"/>
      <c r="L469" s="1346">
        <v>12</v>
      </c>
      <c r="M469" s="1252"/>
      <c r="N469" s="1347" t="s">
        <v>2030</v>
      </c>
      <c r="O469" s="1348" t="s">
        <v>2031</v>
      </c>
      <c r="P469" s="1348" t="s">
        <v>2008</v>
      </c>
      <c r="Q469" s="1350"/>
      <c r="R469" s="1346">
        <v>12</v>
      </c>
      <c r="S469" s="1350"/>
    </row>
    <row r="470" spans="1:19" ht="19.5" customHeight="1">
      <c r="A470" s="1252">
        <v>400</v>
      </c>
      <c r="B470" s="1252" t="s">
        <v>1973</v>
      </c>
      <c r="C470" s="1343" t="s">
        <v>96</v>
      </c>
      <c r="D470" s="1252"/>
      <c r="E470" s="1352">
        <v>2100</v>
      </c>
      <c r="F470" s="1347" t="s">
        <v>2032</v>
      </c>
      <c r="G470" s="1347" t="s">
        <v>2033</v>
      </c>
      <c r="H470" s="1347" t="s">
        <v>2008</v>
      </c>
      <c r="I470" s="1345"/>
      <c r="J470" s="1252"/>
      <c r="K470" s="1350"/>
      <c r="L470" s="1346">
        <v>12</v>
      </c>
      <c r="M470" s="1252"/>
      <c r="N470" s="1347" t="s">
        <v>2034</v>
      </c>
      <c r="O470" s="1348" t="s">
        <v>2035</v>
      </c>
      <c r="P470" s="1348" t="s">
        <v>1997</v>
      </c>
      <c r="Q470" s="1350"/>
      <c r="R470" s="1346">
        <v>12</v>
      </c>
      <c r="S470" s="1350"/>
    </row>
    <row r="471" spans="1:19" ht="19.5" customHeight="1">
      <c r="A471" s="1252">
        <v>400</v>
      </c>
      <c r="B471" s="1252" t="s">
        <v>1973</v>
      </c>
      <c r="C471" s="1343" t="s">
        <v>96</v>
      </c>
      <c r="D471" s="1252"/>
      <c r="E471" s="1352">
        <v>1600</v>
      </c>
      <c r="F471" s="1347" t="s">
        <v>2036</v>
      </c>
      <c r="G471" s="1347" t="s">
        <v>2037</v>
      </c>
      <c r="H471" s="1347" t="s">
        <v>2008</v>
      </c>
      <c r="I471" s="1345"/>
      <c r="J471" s="1252"/>
      <c r="K471" s="1350"/>
      <c r="L471" s="1346">
        <v>12</v>
      </c>
      <c r="M471" s="1252"/>
      <c r="N471" s="1347" t="s">
        <v>2038</v>
      </c>
      <c r="O471" s="1348" t="s">
        <v>2039</v>
      </c>
      <c r="P471" s="1348" t="s">
        <v>2008</v>
      </c>
      <c r="Q471" s="1350"/>
      <c r="R471" s="1346">
        <v>12</v>
      </c>
      <c r="S471" s="1350"/>
    </row>
    <row r="472" spans="1:19" ht="19.5" customHeight="1">
      <c r="A472" s="1252">
        <v>400</v>
      </c>
      <c r="B472" s="1252" t="s">
        <v>1973</v>
      </c>
      <c r="C472" s="1343" t="s">
        <v>96</v>
      </c>
      <c r="D472" s="1252"/>
      <c r="E472" s="1352">
        <v>1600</v>
      </c>
      <c r="F472" s="1347" t="s">
        <v>2040</v>
      </c>
      <c r="G472" s="1347" t="s">
        <v>2041</v>
      </c>
      <c r="H472" s="1347" t="s">
        <v>2008</v>
      </c>
      <c r="I472" s="1345"/>
      <c r="J472" s="1252"/>
      <c r="K472" s="1350"/>
      <c r="L472" s="1346">
        <v>12</v>
      </c>
      <c r="M472" s="1252"/>
      <c r="N472" s="1347" t="s">
        <v>2042</v>
      </c>
      <c r="O472" s="1348" t="s">
        <v>2043</v>
      </c>
      <c r="P472" s="1348" t="s">
        <v>2008</v>
      </c>
      <c r="Q472" s="1350"/>
      <c r="R472" s="1346">
        <v>12</v>
      </c>
      <c r="S472" s="1350"/>
    </row>
    <row r="473" spans="1:19" ht="19.5" customHeight="1">
      <c r="A473" s="1252">
        <v>400</v>
      </c>
      <c r="B473" s="1252" t="s">
        <v>1973</v>
      </c>
      <c r="C473" s="1343" t="s">
        <v>96</v>
      </c>
      <c r="D473" s="1252"/>
      <c r="E473" s="1352">
        <v>1050</v>
      </c>
      <c r="F473" s="1347" t="s">
        <v>2044</v>
      </c>
      <c r="G473" s="1347" t="s">
        <v>2045</v>
      </c>
      <c r="H473" s="1347" t="s">
        <v>2008</v>
      </c>
      <c r="I473" s="1345"/>
      <c r="J473" s="1252"/>
      <c r="K473" s="1350"/>
      <c r="L473" s="1346">
        <v>12</v>
      </c>
      <c r="M473" s="1252"/>
      <c r="N473" s="1347" t="s">
        <v>2046</v>
      </c>
      <c r="O473" s="1348" t="s">
        <v>2047</v>
      </c>
      <c r="P473" s="1348" t="s">
        <v>1997</v>
      </c>
      <c r="Q473" s="1350"/>
      <c r="R473" s="1346">
        <v>12</v>
      </c>
      <c r="S473" s="1350"/>
    </row>
    <row r="474" spans="1:19" ht="19.5" customHeight="1">
      <c r="A474" s="1252">
        <v>400</v>
      </c>
      <c r="B474" s="1252" t="s">
        <v>1973</v>
      </c>
      <c r="C474" s="1343" t="s">
        <v>96</v>
      </c>
      <c r="D474" s="1252"/>
      <c r="E474" s="1352">
        <v>2000</v>
      </c>
      <c r="F474" s="1347" t="s">
        <v>2048</v>
      </c>
      <c r="G474" s="1347" t="s">
        <v>2049</v>
      </c>
      <c r="H474" s="1347" t="s">
        <v>2008</v>
      </c>
      <c r="I474" s="1345"/>
      <c r="J474" s="1252"/>
      <c r="K474" s="1350"/>
      <c r="L474" s="1346">
        <v>12</v>
      </c>
      <c r="M474" s="1252"/>
      <c r="N474" s="1347" t="s">
        <v>2050</v>
      </c>
      <c r="O474" s="1348" t="s">
        <v>2051</v>
      </c>
      <c r="P474" s="1348" t="s">
        <v>1987</v>
      </c>
      <c r="Q474" s="1350"/>
      <c r="R474" s="1346">
        <v>12</v>
      </c>
      <c r="S474" s="1350"/>
    </row>
    <row r="475" spans="1:19" ht="19.5" customHeight="1">
      <c r="A475" s="1252">
        <v>400</v>
      </c>
      <c r="B475" s="1252" t="s">
        <v>1973</v>
      </c>
      <c r="C475" s="1343" t="s">
        <v>96</v>
      </c>
      <c r="D475" s="1252"/>
      <c r="E475" s="1352">
        <v>1600</v>
      </c>
      <c r="F475" s="1347" t="s">
        <v>2052</v>
      </c>
      <c r="G475" s="1347" t="s">
        <v>2053</v>
      </c>
      <c r="H475" s="1347" t="s">
        <v>2008</v>
      </c>
      <c r="I475" s="1345"/>
      <c r="J475" s="1252"/>
      <c r="K475" s="1350"/>
      <c r="L475" s="1346">
        <v>12</v>
      </c>
      <c r="M475" s="1252"/>
      <c r="N475" s="1347" t="s">
        <v>2054</v>
      </c>
      <c r="O475" s="1348" t="s">
        <v>2055</v>
      </c>
      <c r="P475" s="1348" t="s">
        <v>2056</v>
      </c>
      <c r="Q475" s="1350"/>
      <c r="R475" s="1346">
        <v>12</v>
      </c>
      <c r="S475" s="1350"/>
    </row>
    <row r="476" spans="1:19" ht="19.5" customHeight="1">
      <c r="A476" s="1252">
        <v>400</v>
      </c>
      <c r="B476" s="1252" t="s">
        <v>1973</v>
      </c>
      <c r="C476" s="1343" t="s">
        <v>96</v>
      </c>
      <c r="D476" s="1252"/>
      <c r="E476" s="1352">
        <v>1600</v>
      </c>
      <c r="F476" s="1347" t="s">
        <v>2057</v>
      </c>
      <c r="G476" s="1347" t="s">
        <v>2058</v>
      </c>
      <c r="H476" s="1347" t="s">
        <v>2008</v>
      </c>
      <c r="I476" s="1345"/>
      <c r="J476" s="1252"/>
      <c r="K476" s="1350"/>
      <c r="L476" s="1346">
        <v>12</v>
      </c>
      <c r="M476" s="1252"/>
      <c r="N476" s="1347" t="s">
        <v>2059</v>
      </c>
      <c r="O476" s="1348" t="s">
        <v>2060</v>
      </c>
      <c r="P476" s="1348" t="s">
        <v>2008</v>
      </c>
      <c r="Q476" s="1350"/>
      <c r="R476" s="1346">
        <v>12</v>
      </c>
      <c r="S476" s="1350"/>
    </row>
    <row r="477" spans="1:19" ht="19.5" customHeight="1">
      <c r="A477" s="1252">
        <v>400</v>
      </c>
      <c r="B477" s="1252" t="s">
        <v>1973</v>
      </c>
      <c r="C477" s="1343" t="s">
        <v>96</v>
      </c>
      <c r="D477" s="1252"/>
      <c r="E477" s="1352">
        <v>2500</v>
      </c>
      <c r="F477" s="1347" t="s">
        <v>2061</v>
      </c>
      <c r="G477" s="1347" t="s">
        <v>2062</v>
      </c>
      <c r="H477" s="1347" t="s">
        <v>2008</v>
      </c>
      <c r="I477" s="1345"/>
      <c r="J477" s="1252"/>
      <c r="K477" s="1350"/>
      <c r="L477" s="1346">
        <v>12</v>
      </c>
      <c r="M477" s="1252"/>
      <c r="N477" s="1347" t="s">
        <v>2063</v>
      </c>
      <c r="O477" s="1348" t="s">
        <v>2064</v>
      </c>
      <c r="P477" s="1348" t="s">
        <v>2065</v>
      </c>
      <c r="Q477" s="1350"/>
      <c r="R477" s="1346">
        <v>12</v>
      </c>
      <c r="S477" s="1350"/>
    </row>
    <row r="478" spans="1:19" ht="19.5" customHeight="1">
      <c r="A478" s="1252">
        <v>400</v>
      </c>
      <c r="B478" s="1252" t="s">
        <v>1973</v>
      </c>
      <c r="C478" s="1343" t="s">
        <v>96</v>
      </c>
      <c r="D478" s="1252"/>
      <c r="E478" s="1352">
        <v>1600</v>
      </c>
      <c r="F478" s="1347" t="s">
        <v>2066</v>
      </c>
      <c r="G478" s="1347" t="s">
        <v>2067</v>
      </c>
      <c r="H478" s="1347" t="s">
        <v>2008</v>
      </c>
      <c r="I478" s="1345"/>
      <c r="J478" s="1252"/>
      <c r="K478" s="1350"/>
      <c r="L478" s="1346">
        <v>12</v>
      </c>
      <c r="M478" s="1252"/>
      <c r="N478" s="1347" t="s">
        <v>2068</v>
      </c>
      <c r="O478" s="1348" t="s">
        <v>2069</v>
      </c>
      <c r="P478" s="1348" t="s">
        <v>2023</v>
      </c>
      <c r="Q478" s="1350"/>
      <c r="R478" s="1346">
        <v>12</v>
      </c>
      <c r="S478" s="1350"/>
    </row>
    <row r="479" spans="1:19" ht="19.5" customHeight="1">
      <c r="A479" s="1252">
        <v>400</v>
      </c>
      <c r="B479" s="1252" t="s">
        <v>1973</v>
      </c>
      <c r="C479" s="1343" t="s">
        <v>96</v>
      </c>
      <c r="D479" s="1252"/>
      <c r="E479" s="1352">
        <v>2500</v>
      </c>
      <c r="F479" s="1347" t="s">
        <v>2070</v>
      </c>
      <c r="G479" s="1347" t="s">
        <v>2071</v>
      </c>
      <c r="H479" s="1347" t="s">
        <v>2008</v>
      </c>
      <c r="I479" s="1345"/>
      <c r="J479" s="1252"/>
      <c r="K479" s="1350"/>
      <c r="L479" s="1346">
        <v>12</v>
      </c>
      <c r="M479" s="1252"/>
      <c r="N479" s="1347" t="s">
        <v>2072</v>
      </c>
      <c r="O479" s="1348" t="s">
        <v>2073</v>
      </c>
      <c r="P479" s="1348" t="s">
        <v>2023</v>
      </c>
      <c r="Q479" s="1350"/>
      <c r="R479" s="1346">
        <v>12</v>
      </c>
      <c r="S479" s="1350"/>
    </row>
    <row r="480" spans="1:19" ht="19.5" customHeight="1">
      <c r="A480" s="1252">
        <v>400</v>
      </c>
      <c r="B480" s="1252" t="s">
        <v>1973</v>
      </c>
      <c r="C480" s="1343" t="s">
        <v>96</v>
      </c>
      <c r="D480" s="1252"/>
      <c r="E480" s="1352">
        <v>2000</v>
      </c>
      <c r="F480" s="1347" t="s">
        <v>2074</v>
      </c>
      <c r="G480" s="1347" t="s">
        <v>2075</v>
      </c>
      <c r="H480" s="1347" t="s">
        <v>2008</v>
      </c>
      <c r="I480" s="1345"/>
      <c r="J480" s="1252"/>
      <c r="K480" s="1350"/>
      <c r="L480" s="1346">
        <v>12</v>
      </c>
      <c r="M480" s="1252"/>
      <c r="N480" s="1347" t="s">
        <v>2076</v>
      </c>
      <c r="O480" s="1348" t="s">
        <v>2077</v>
      </c>
      <c r="P480" s="1348" t="s">
        <v>1980</v>
      </c>
      <c r="Q480" s="1350"/>
      <c r="R480" s="1346">
        <v>12</v>
      </c>
      <c r="S480" s="1350"/>
    </row>
    <row r="481" spans="1:19" ht="19.5" customHeight="1">
      <c r="A481" s="1252">
        <v>400</v>
      </c>
      <c r="B481" s="1252" t="s">
        <v>1973</v>
      </c>
      <c r="C481" s="1343" t="s">
        <v>96</v>
      </c>
      <c r="D481" s="1252"/>
      <c r="E481" s="1352">
        <v>1200</v>
      </c>
      <c r="F481" s="1347" t="s">
        <v>2078</v>
      </c>
      <c r="G481" s="1347" t="s">
        <v>2079</v>
      </c>
      <c r="H481" s="1347" t="s">
        <v>2008</v>
      </c>
      <c r="I481" s="1345"/>
      <c r="J481" s="1252"/>
      <c r="K481" s="1350"/>
      <c r="L481" s="1346">
        <v>12</v>
      </c>
      <c r="M481" s="1252"/>
      <c r="N481" s="1347" t="s">
        <v>2080</v>
      </c>
      <c r="O481" s="1348" t="s">
        <v>2081</v>
      </c>
      <c r="P481" s="1348" t="s">
        <v>2008</v>
      </c>
      <c r="Q481" s="1350"/>
      <c r="R481" s="1346">
        <v>12</v>
      </c>
      <c r="S481" s="1350"/>
    </row>
    <row r="482" spans="1:19" ht="19.5" customHeight="1">
      <c r="A482" s="1252">
        <v>400</v>
      </c>
      <c r="B482" s="1252" t="s">
        <v>1973</v>
      </c>
      <c r="C482" s="1343" t="s">
        <v>96</v>
      </c>
      <c r="D482" s="1252"/>
      <c r="E482" s="1352">
        <v>1050</v>
      </c>
      <c r="F482" s="1347" t="s">
        <v>2082</v>
      </c>
      <c r="G482" s="1347" t="s">
        <v>2083</v>
      </c>
      <c r="H482" s="1347" t="s">
        <v>2008</v>
      </c>
      <c r="I482" s="1345"/>
      <c r="J482" s="1252"/>
      <c r="K482" s="1350"/>
      <c r="L482" s="1346">
        <v>12</v>
      </c>
      <c r="M482" s="1252"/>
      <c r="N482" s="1347" t="s">
        <v>2084</v>
      </c>
      <c r="O482" s="1348" t="s">
        <v>2085</v>
      </c>
      <c r="P482" s="1348" t="s">
        <v>2086</v>
      </c>
      <c r="Q482" s="1350"/>
      <c r="R482" s="1346">
        <v>12</v>
      </c>
      <c r="S482" s="1350"/>
    </row>
    <row r="483" spans="1:19" ht="19.5" customHeight="1">
      <c r="A483" s="1252">
        <v>400</v>
      </c>
      <c r="B483" s="1252" t="s">
        <v>1973</v>
      </c>
      <c r="C483" s="1343" t="s">
        <v>96</v>
      </c>
      <c r="D483" s="1252"/>
      <c r="E483" s="1352">
        <v>1600</v>
      </c>
      <c r="F483" s="1347" t="s">
        <v>2087</v>
      </c>
      <c r="G483" s="1347" t="s">
        <v>2088</v>
      </c>
      <c r="H483" s="1347" t="s">
        <v>2008</v>
      </c>
      <c r="I483" s="1345"/>
      <c r="J483" s="1252"/>
      <c r="K483" s="1350"/>
      <c r="L483" s="1346">
        <v>12</v>
      </c>
      <c r="M483" s="1252"/>
      <c r="N483" s="1347" t="s">
        <v>2089</v>
      </c>
      <c r="O483" s="1348" t="s">
        <v>2090</v>
      </c>
      <c r="P483" s="1348" t="s">
        <v>1987</v>
      </c>
      <c r="Q483" s="1350"/>
      <c r="R483" s="1346">
        <v>12</v>
      </c>
      <c r="S483" s="1350"/>
    </row>
    <row r="484" spans="1:19" ht="19.5" customHeight="1">
      <c r="A484" s="1252">
        <v>400</v>
      </c>
      <c r="B484" s="1252" t="s">
        <v>1973</v>
      </c>
      <c r="C484" s="1343" t="s">
        <v>96</v>
      </c>
      <c r="D484" s="1252"/>
      <c r="E484" s="1352">
        <v>1600</v>
      </c>
      <c r="F484" s="1347" t="s">
        <v>2091</v>
      </c>
      <c r="G484" s="1347" t="s">
        <v>2092</v>
      </c>
      <c r="H484" s="1347" t="s">
        <v>2008</v>
      </c>
      <c r="I484" s="1345"/>
      <c r="J484" s="1252"/>
      <c r="K484" s="1350"/>
      <c r="L484" s="1346">
        <v>12</v>
      </c>
      <c r="M484" s="1252"/>
      <c r="N484" s="1347" t="s">
        <v>2093</v>
      </c>
      <c r="O484" s="1348" t="s">
        <v>2094</v>
      </c>
      <c r="P484" s="1348" t="s">
        <v>2023</v>
      </c>
      <c r="Q484" s="1350"/>
      <c r="R484" s="1346">
        <v>12</v>
      </c>
      <c r="S484" s="1350"/>
    </row>
    <row r="485" spans="1:19" ht="19.5" customHeight="1">
      <c r="A485" s="1252">
        <v>400</v>
      </c>
      <c r="B485" s="1252" t="s">
        <v>1973</v>
      </c>
      <c r="C485" s="1343" t="s">
        <v>96</v>
      </c>
      <c r="D485" s="1252"/>
      <c r="E485" s="1352">
        <v>1050</v>
      </c>
      <c r="F485" s="1347" t="s">
        <v>2095</v>
      </c>
      <c r="G485" s="1347" t="s">
        <v>2096</v>
      </c>
      <c r="H485" s="1347" t="s">
        <v>2008</v>
      </c>
      <c r="I485" s="1345"/>
      <c r="J485" s="1252"/>
      <c r="K485" s="1350"/>
      <c r="L485" s="1346">
        <v>12</v>
      </c>
      <c r="M485" s="1252"/>
      <c r="N485" s="1347" t="s">
        <v>2097</v>
      </c>
      <c r="O485" s="1348" t="s">
        <v>2098</v>
      </c>
      <c r="P485" s="1348" t="s">
        <v>1992</v>
      </c>
      <c r="Q485" s="1350"/>
      <c r="R485" s="1346">
        <v>12</v>
      </c>
      <c r="S485" s="1350"/>
    </row>
    <row r="486" spans="1:19" ht="19.5" customHeight="1">
      <c r="A486" s="1252">
        <v>400</v>
      </c>
      <c r="B486" s="1252" t="s">
        <v>1973</v>
      </c>
      <c r="C486" s="1343" t="s">
        <v>96</v>
      </c>
      <c r="D486" s="1252"/>
      <c r="E486" s="1352">
        <v>2000</v>
      </c>
      <c r="F486" s="1347" t="s">
        <v>2099</v>
      </c>
      <c r="G486" s="1347" t="s">
        <v>2100</v>
      </c>
      <c r="H486" s="1347" t="s">
        <v>2008</v>
      </c>
      <c r="I486" s="1345"/>
      <c r="J486" s="1252"/>
      <c r="K486" s="1350"/>
      <c r="L486" s="1346">
        <v>12</v>
      </c>
      <c r="M486" s="1252"/>
      <c r="N486" s="1347" t="s">
        <v>2101</v>
      </c>
      <c r="O486" s="1348" t="s">
        <v>2102</v>
      </c>
      <c r="P486" s="1348" t="s">
        <v>2103</v>
      </c>
      <c r="Q486" s="1350"/>
      <c r="R486" s="1346">
        <v>12</v>
      </c>
      <c r="S486" s="1350"/>
    </row>
    <row r="487" spans="1:19" ht="19.5" customHeight="1">
      <c r="A487" s="1252">
        <v>400</v>
      </c>
      <c r="B487" s="1252" t="s">
        <v>1973</v>
      </c>
      <c r="C487" s="1343" t="s">
        <v>96</v>
      </c>
      <c r="D487" s="1252"/>
      <c r="E487" s="1352">
        <v>2300</v>
      </c>
      <c r="F487" s="1347" t="s">
        <v>2104</v>
      </c>
      <c r="G487" s="1347" t="s">
        <v>2105</v>
      </c>
      <c r="H487" s="1347" t="s">
        <v>2008</v>
      </c>
      <c r="I487" s="1345"/>
      <c r="J487" s="1252"/>
      <c r="K487" s="1350"/>
      <c r="L487" s="1346">
        <v>12</v>
      </c>
      <c r="M487" s="1252"/>
      <c r="N487" s="1347" t="s">
        <v>2106</v>
      </c>
      <c r="O487" s="1348" t="s">
        <v>2107</v>
      </c>
      <c r="P487" s="1348" t="s">
        <v>2014</v>
      </c>
      <c r="Q487" s="1350"/>
      <c r="R487" s="1346">
        <v>12</v>
      </c>
      <c r="S487" s="1350"/>
    </row>
    <row r="488" spans="1:19" ht="19.5" customHeight="1">
      <c r="A488" s="1252">
        <v>400</v>
      </c>
      <c r="B488" s="1252" t="s">
        <v>1973</v>
      </c>
      <c r="C488" s="1343" t="s">
        <v>96</v>
      </c>
      <c r="D488" s="1252"/>
      <c r="E488" s="1352">
        <v>1050</v>
      </c>
      <c r="F488" s="1347" t="s">
        <v>2108</v>
      </c>
      <c r="G488" s="1347" t="s">
        <v>2109</v>
      </c>
      <c r="H488" s="1347" t="s">
        <v>2008</v>
      </c>
      <c r="I488" s="1345"/>
      <c r="J488" s="1252"/>
      <c r="K488" s="1350"/>
      <c r="L488" s="1346">
        <v>12</v>
      </c>
      <c r="M488" s="1252"/>
      <c r="N488" s="1347" t="s">
        <v>2110</v>
      </c>
      <c r="O488" s="1348" t="s">
        <v>2111</v>
      </c>
      <c r="P488" s="1348" t="s">
        <v>2014</v>
      </c>
      <c r="Q488" s="1350"/>
      <c r="R488" s="1346">
        <v>12</v>
      </c>
      <c r="S488" s="1350"/>
    </row>
    <row r="489" spans="1:19" ht="19.5" customHeight="1">
      <c r="A489" s="1252">
        <v>400</v>
      </c>
      <c r="B489" s="1252" t="s">
        <v>1973</v>
      </c>
      <c r="C489" s="1343" t="s">
        <v>96</v>
      </c>
      <c r="D489" s="1252"/>
      <c r="E489" s="1352">
        <v>1600</v>
      </c>
      <c r="F489" s="1347" t="s">
        <v>2112</v>
      </c>
      <c r="G489" s="1347" t="s">
        <v>2113</v>
      </c>
      <c r="H489" s="1347" t="s">
        <v>2008</v>
      </c>
      <c r="I489" s="1345"/>
      <c r="J489" s="1252"/>
      <c r="K489" s="1350"/>
      <c r="L489" s="1346">
        <v>12</v>
      </c>
      <c r="M489" s="1252"/>
      <c r="N489" s="1347" t="s">
        <v>2114</v>
      </c>
      <c r="O489" s="1348" t="s">
        <v>2115</v>
      </c>
      <c r="P489" s="1348" t="s">
        <v>2116</v>
      </c>
      <c r="Q489" s="1350"/>
      <c r="R489" s="1346">
        <v>12</v>
      </c>
      <c r="S489" s="1350"/>
    </row>
    <row r="490" spans="1:19" ht="19.5" customHeight="1">
      <c r="A490" s="1252">
        <v>400</v>
      </c>
      <c r="B490" s="1252" t="s">
        <v>1973</v>
      </c>
      <c r="C490" s="1343" t="s">
        <v>96</v>
      </c>
      <c r="D490" s="1252"/>
      <c r="E490" s="1352">
        <v>2000</v>
      </c>
      <c r="F490" s="1347" t="s">
        <v>2117</v>
      </c>
      <c r="G490" s="1347" t="s">
        <v>2118</v>
      </c>
      <c r="H490" s="1347" t="s">
        <v>2008</v>
      </c>
      <c r="I490" s="1345"/>
      <c r="J490" s="1252"/>
      <c r="K490" s="1350"/>
      <c r="L490" s="1346">
        <v>12</v>
      </c>
      <c r="M490" s="1252"/>
      <c r="N490" s="1347" t="s">
        <v>2119</v>
      </c>
      <c r="O490" s="1348" t="s">
        <v>2120</v>
      </c>
      <c r="P490" s="1348" t="s">
        <v>2008</v>
      </c>
      <c r="Q490" s="1350"/>
      <c r="R490" s="1346">
        <v>12</v>
      </c>
      <c r="S490" s="1350"/>
    </row>
    <row r="491" spans="1:19" ht="19.5" customHeight="1">
      <c r="A491" s="1252">
        <v>400</v>
      </c>
      <c r="B491" s="1252" t="s">
        <v>1973</v>
      </c>
      <c r="C491" s="1343" t="s">
        <v>96</v>
      </c>
      <c r="D491" s="1252"/>
      <c r="E491" s="1352">
        <v>1050</v>
      </c>
      <c r="F491" s="1347" t="s">
        <v>2121</v>
      </c>
      <c r="G491" s="1347" t="s">
        <v>2122</v>
      </c>
      <c r="H491" s="1347" t="s">
        <v>2008</v>
      </c>
      <c r="I491" s="1345"/>
      <c r="J491" s="1252"/>
      <c r="K491" s="1350"/>
      <c r="L491" s="1346">
        <v>12</v>
      </c>
      <c r="M491" s="1252"/>
      <c r="N491" s="1347" t="s">
        <v>2123</v>
      </c>
      <c r="O491" s="1348" t="s">
        <v>2124</v>
      </c>
      <c r="P491" s="1348" t="s">
        <v>2103</v>
      </c>
      <c r="Q491" s="1350"/>
      <c r="R491" s="1346">
        <v>12</v>
      </c>
      <c r="S491" s="1350"/>
    </row>
    <row r="492" spans="1:19" ht="19.5" customHeight="1">
      <c r="A492" s="1252">
        <v>400</v>
      </c>
      <c r="B492" s="1252" t="s">
        <v>1973</v>
      </c>
      <c r="C492" s="1343" t="s">
        <v>96</v>
      </c>
      <c r="D492" s="1252"/>
      <c r="E492" s="1352">
        <v>1600</v>
      </c>
      <c r="F492" s="1347" t="s">
        <v>2125</v>
      </c>
      <c r="G492" s="1347" t="s">
        <v>2126</v>
      </c>
      <c r="H492" s="1347" t="s">
        <v>2008</v>
      </c>
      <c r="I492" s="1345"/>
      <c r="J492" s="1252"/>
      <c r="K492" s="1350"/>
      <c r="L492" s="1346">
        <v>12</v>
      </c>
      <c r="M492" s="1252"/>
      <c r="N492" s="1347" t="s">
        <v>2127</v>
      </c>
      <c r="O492" s="1348" t="s">
        <v>2128</v>
      </c>
      <c r="P492" s="1348" t="s">
        <v>2008</v>
      </c>
      <c r="Q492" s="1350"/>
      <c r="R492" s="1346">
        <v>12</v>
      </c>
      <c r="S492" s="1350"/>
    </row>
    <row r="493" spans="1:19" ht="19.5" customHeight="1">
      <c r="A493" s="1252">
        <v>400</v>
      </c>
      <c r="B493" s="1252" t="s">
        <v>1973</v>
      </c>
      <c r="C493" s="1343" t="s">
        <v>96</v>
      </c>
      <c r="D493" s="1252"/>
      <c r="E493" s="1352">
        <v>2000</v>
      </c>
      <c r="F493" s="1347" t="s">
        <v>2129</v>
      </c>
      <c r="G493" s="1347" t="s">
        <v>2130</v>
      </c>
      <c r="H493" s="1347" t="s">
        <v>2008</v>
      </c>
      <c r="I493" s="1345"/>
      <c r="J493" s="1252"/>
      <c r="K493" s="1350"/>
      <c r="L493" s="1346">
        <v>12</v>
      </c>
      <c r="M493" s="1252"/>
      <c r="N493" s="1347" t="s">
        <v>2131</v>
      </c>
      <c r="O493" s="1348" t="s">
        <v>2132</v>
      </c>
      <c r="P493" s="1348" t="s">
        <v>2023</v>
      </c>
      <c r="Q493" s="1350"/>
      <c r="R493" s="1346">
        <v>12</v>
      </c>
      <c r="S493" s="1350"/>
    </row>
    <row r="494" spans="1:19" ht="19.5" customHeight="1">
      <c r="A494" s="1252">
        <v>400</v>
      </c>
      <c r="B494" s="1252" t="s">
        <v>1973</v>
      </c>
      <c r="C494" s="1343" t="s">
        <v>96</v>
      </c>
      <c r="D494" s="1252"/>
      <c r="E494" s="1352">
        <v>2500</v>
      </c>
      <c r="F494" s="1347" t="s">
        <v>2133</v>
      </c>
      <c r="G494" s="1347" t="s">
        <v>2134</v>
      </c>
      <c r="H494" s="1347" t="s">
        <v>2008</v>
      </c>
      <c r="I494" s="1345"/>
      <c r="J494" s="1252"/>
      <c r="K494" s="1350"/>
      <c r="L494" s="1346">
        <v>12</v>
      </c>
      <c r="M494" s="1252"/>
      <c r="N494" s="1347" t="s">
        <v>2135</v>
      </c>
      <c r="O494" s="1348" t="s">
        <v>2136</v>
      </c>
      <c r="P494" s="1348" t="s">
        <v>2008</v>
      </c>
      <c r="Q494" s="1350"/>
      <c r="R494" s="1346">
        <v>12</v>
      </c>
      <c r="S494" s="1350"/>
    </row>
    <row r="495" spans="1:19" ht="19.5" customHeight="1">
      <c r="A495" s="1252">
        <v>400</v>
      </c>
      <c r="B495" s="1252" t="s">
        <v>1973</v>
      </c>
      <c r="C495" s="1343" t="s">
        <v>96</v>
      </c>
      <c r="D495" s="1252"/>
      <c r="E495" s="1352">
        <v>2000</v>
      </c>
      <c r="F495" s="1347" t="s">
        <v>2137</v>
      </c>
      <c r="G495" s="1347" t="s">
        <v>2138</v>
      </c>
      <c r="H495" s="1347" t="s">
        <v>2008</v>
      </c>
      <c r="I495" s="1345"/>
      <c r="J495" s="1252"/>
      <c r="K495" s="1350"/>
      <c r="L495" s="1346">
        <v>12</v>
      </c>
      <c r="M495" s="1252"/>
      <c r="N495" s="1347" t="s">
        <v>2019</v>
      </c>
      <c r="O495" s="1348" t="s">
        <v>2020</v>
      </c>
      <c r="P495" s="1348" t="s">
        <v>2008</v>
      </c>
      <c r="Q495" s="1350"/>
      <c r="R495" s="1346">
        <v>12</v>
      </c>
      <c r="S495" s="1350"/>
    </row>
    <row r="496" spans="1:19" ht="19.5" customHeight="1">
      <c r="A496" s="1252">
        <v>400</v>
      </c>
      <c r="B496" s="1252" t="s">
        <v>1973</v>
      </c>
      <c r="C496" s="1343" t="s">
        <v>96</v>
      </c>
      <c r="D496" s="1252"/>
      <c r="E496" s="1352">
        <v>1100</v>
      </c>
      <c r="F496" s="1347" t="s">
        <v>2139</v>
      </c>
      <c r="G496" s="1347" t="s">
        <v>2140</v>
      </c>
      <c r="H496" s="1347" t="s">
        <v>2008</v>
      </c>
      <c r="I496" s="1345"/>
      <c r="J496" s="1252"/>
      <c r="K496" s="1350"/>
      <c r="L496" s="1346">
        <v>12</v>
      </c>
      <c r="M496" s="1252"/>
      <c r="N496" s="1347" t="s">
        <v>2141</v>
      </c>
      <c r="O496" s="1348" t="s">
        <v>2142</v>
      </c>
      <c r="P496" s="1348" t="s">
        <v>1997</v>
      </c>
      <c r="Q496" s="1350"/>
      <c r="R496" s="1346">
        <v>12</v>
      </c>
      <c r="S496" s="1350"/>
    </row>
    <row r="497" spans="1:19" ht="19.5" customHeight="1">
      <c r="A497" s="1252">
        <v>400</v>
      </c>
      <c r="B497" s="1252" t="s">
        <v>1973</v>
      </c>
      <c r="C497" s="1343" t="s">
        <v>96</v>
      </c>
      <c r="D497" s="1252"/>
      <c r="E497" s="1352">
        <v>1600</v>
      </c>
      <c r="F497" s="1347" t="s">
        <v>2143</v>
      </c>
      <c r="G497" s="1347" t="s">
        <v>2144</v>
      </c>
      <c r="H497" s="1347" t="s">
        <v>2008</v>
      </c>
      <c r="I497" s="1345"/>
      <c r="J497" s="1252"/>
      <c r="K497" s="1350"/>
      <c r="L497" s="1346">
        <v>12</v>
      </c>
      <c r="M497" s="1252"/>
      <c r="N497" s="1347" t="s">
        <v>2145</v>
      </c>
      <c r="O497" s="1348" t="s">
        <v>2146</v>
      </c>
      <c r="P497" s="1348" t="s">
        <v>2086</v>
      </c>
      <c r="Q497" s="1350"/>
      <c r="R497" s="1346">
        <v>12</v>
      </c>
      <c r="S497" s="1350"/>
    </row>
    <row r="498" spans="1:19" ht="19.5" customHeight="1">
      <c r="A498" s="1252">
        <v>400</v>
      </c>
      <c r="B498" s="1252" t="s">
        <v>1973</v>
      </c>
      <c r="C498" s="1343" t="s">
        <v>96</v>
      </c>
      <c r="D498" s="1252"/>
      <c r="E498" s="1352">
        <v>2000</v>
      </c>
      <c r="F498" s="1347" t="s">
        <v>2147</v>
      </c>
      <c r="G498" s="1347" t="s">
        <v>2148</v>
      </c>
      <c r="H498" s="1347" t="s">
        <v>2008</v>
      </c>
      <c r="I498" s="1345"/>
      <c r="J498" s="1252"/>
      <c r="K498" s="1350"/>
      <c r="L498" s="1346">
        <v>12</v>
      </c>
      <c r="M498" s="1252"/>
      <c r="N498" s="1347" t="s">
        <v>2149</v>
      </c>
      <c r="O498" s="1348" t="s">
        <v>2150</v>
      </c>
      <c r="P498" s="1348" t="s">
        <v>2008</v>
      </c>
      <c r="Q498" s="1350"/>
      <c r="R498" s="1346">
        <v>12</v>
      </c>
      <c r="S498" s="1350"/>
    </row>
    <row r="499" spans="1:19" ht="19.5" customHeight="1">
      <c r="A499" s="1252">
        <v>400</v>
      </c>
      <c r="B499" s="1252" t="s">
        <v>1973</v>
      </c>
      <c r="C499" s="1343" t="s">
        <v>96</v>
      </c>
      <c r="D499" s="1252"/>
      <c r="E499" s="1352">
        <v>1300</v>
      </c>
      <c r="F499" s="1347" t="s">
        <v>2151</v>
      </c>
      <c r="G499" s="1347" t="s">
        <v>2152</v>
      </c>
      <c r="H499" s="1347" t="s">
        <v>2153</v>
      </c>
      <c r="I499" s="1345"/>
      <c r="J499" s="1252"/>
      <c r="K499" s="1350"/>
      <c r="L499" s="1346">
        <v>12</v>
      </c>
      <c r="M499" s="1252"/>
      <c r="N499" s="1347" t="s">
        <v>1993</v>
      </c>
      <c r="O499" s="1348" t="s">
        <v>1994</v>
      </c>
      <c r="P499" s="1348" t="s">
        <v>1809</v>
      </c>
      <c r="Q499" s="1350"/>
      <c r="R499" s="1346">
        <v>12</v>
      </c>
      <c r="S499" s="1350"/>
    </row>
    <row r="500" spans="1:19" ht="19.5" customHeight="1">
      <c r="A500" s="1252">
        <v>400</v>
      </c>
      <c r="B500" s="1252" t="s">
        <v>1973</v>
      </c>
      <c r="C500" s="1343" t="s">
        <v>96</v>
      </c>
      <c r="D500" s="1252"/>
      <c r="E500" s="1352">
        <v>1500</v>
      </c>
      <c r="F500" s="1347" t="s">
        <v>2154</v>
      </c>
      <c r="G500" s="1347" t="s">
        <v>2155</v>
      </c>
      <c r="H500" s="1347" t="s">
        <v>2153</v>
      </c>
      <c r="I500" s="1345"/>
      <c r="J500" s="1252"/>
      <c r="K500" s="1350"/>
      <c r="L500" s="1346">
        <v>12</v>
      </c>
      <c r="M500" s="1252"/>
      <c r="N500" s="1347" t="s">
        <v>2156</v>
      </c>
      <c r="O500" s="1348" t="s">
        <v>2157</v>
      </c>
      <c r="P500" s="1348" t="s">
        <v>2023</v>
      </c>
      <c r="Q500" s="1350"/>
      <c r="R500" s="1346">
        <v>12</v>
      </c>
      <c r="S500" s="1350"/>
    </row>
    <row r="501" spans="1:19" ht="19.5" customHeight="1">
      <c r="A501" s="1252">
        <v>400</v>
      </c>
      <c r="B501" s="1252" t="s">
        <v>1973</v>
      </c>
      <c r="C501" s="1343" t="s">
        <v>96</v>
      </c>
      <c r="D501" s="1252"/>
      <c r="E501" s="1352">
        <v>5500</v>
      </c>
      <c r="F501" s="1347" t="s">
        <v>2158</v>
      </c>
      <c r="G501" s="1347" t="s">
        <v>2159</v>
      </c>
      <c r="H501" s="1347" t="s">
        <v>1987</v>
      </c>
      <c r="I501" s="1345"/>
      <c r="J501" s="1252"/>
      <c r="K501" s="1350"/>
      <c r="L501" s="1346">
        <v>12</v>
      </c>
      <c r="M501" s="1252"/>
      <c r="N501" s="1347" t="s">
        <v>2160</v>
      </c>
      <c r="O501" s="1348" t="s">
        <v>2161</v>
      </c>
      <c r="P501" s="1348" t="s">
        <v>2056</v>
      </c>
      <c r="Q501" s="1350"/>
      <c r="R501" s="1346">
        <v>12</v>
      </c>
      <c r="S501" s="1350"/>
    </row>
    <row r="502" spans="1:19" ht="19.5" customHeight="1">
      <c r="A502" s="1252">
        <v>400</v>
      </c>
      <c r="B502" s="1252" t="s">
        <v>1973</v>
      </c>
      <c r="C502" s="1343" t="s">
        <v>96</v>
      </c>
      <c r="D502" s="1252"/>
      <c r="E502" s="1352">
        <v>6500</v>
      </c>
      <c r="F502" s="1347" t="s">
        <v>2089</v>
      </c>
      <c r="G502" s="1347" t="s">
        <v>2090</v>
      </c>
      <c r="H502" s="1347" t="s">
        <v>1987</v>
      </c>
      <c r="I502" s="1345"/>
      <c r="J502" s="1252"/>
      <c r="K502" s="1350"/>
      <c r="L502" s="1346">
        <v>12</v>
      </c>
      <c r="M502" s="1252"/>
      <c r="N502" s="1347" t="s">
        <v>2162</v>
      </c>
      <c r="O502" s="1348" t="s">
        <v>2163</v>
      </c>
      <c r="P502" s="1348" t="s">
        <v>2056</v>
      </c>
      <c r="Q502" s="1350"/>
      <c r="R502" s="1346">
        <v>12</v>
      </c>
      <c r="S502" s="1350"/>
    </row>
    <row r="503" spans="1:19" ht="19.5" customHeight="1">
      <c r="A503" s="1252">
        <v>400</v>
      </c>
      <c r="B503" s="1252" t="s">
        <v>1973</v>
      </c>
      <c r="C503" s="1343" t="s">
        <v>96</v>
      </c>
      <c r="D503" s="1252"/>
      <c r="E503" s="1352">
        <v>5000</v>
      </c>
      <c r="F503" s="1347" t="s">
        <v>2164</v>
      </c>
      <c r="G503" s="1347" t="s">
        <v>2165</v>
      </c>
      <c r="H503" s="1347" t="s">
        <v>1987</v>
      </c>
      <c r="I503" s="1345"/>
      <c r="J503" s="1252"/>
      <c r="K503" s="1350"/>
      <c r="L503" s="1346">
        <v>12</v>
      </c>
      <c r="M503" s="1252"/>
      <c r="N503" s="1347" t="s">
        <v>2166</v>
      </c>
      <c r="O503" s="1348" t="s">
        <v>2167</v>
      </c>
      <c r="P503" s="1348" t="s">
        <v>2168</v>
      </c>
      <c r="Q503" s="1350"/>
      <c r="R503" s="1346">
        <v>12</v>
      </c>
      <c r="S503" s="1350"/>
    </row>
    <row r="504" spans="1:19" ht="19.5" customHeight="1">
      <c r="A504" s="1252">
        <v>400</v>
      </c>
      <c r="B504" s="1252" t="s">
        <v>1973</v>
      </c>
      <c r="C504" s="1343" t="s">
        <v>96</v>
      </c>
      <c r="D504" s="1252"/>
      <c r="E504" s="1352">
        <v>4500</v>
      </c>
      <c r="F504" s="1347" t="s">
        <v>2169</v>
      </c>
      <c r="G504" s="1347" t="s">
        <v>2170</v>
      </c>
      <c r="H504" s="1347" t="s">
        <v>1987</v>
      </c>
      <c r="I504" s="1345"/>
      <c r="J504" s="1252"/>
      <c r="K504" s="1350"/>
      <c r="L504" s="1346">
        <v>12</v>
      </c>
      <c r="M504" s="1252"/>
      <c r="N504" s="1347" t="s">
        <v>2024</v>
      </c>
      <c r="O504" s="1348" t="s">
        <v>2025</v>
      </c>
      <c r="P504" s="1348" t="s">
        <v>2008</v>
      </c>
      <c r="Q504" s="1350"/>
      <c r="R504" s="1346">
        <v>12</v>
      </c>
      <c r="S504" s="1350"/>
    </row>
    <row r="505" spans="1:19" ht="19.5" customHeight="1">
      <c r="A505" s="1252">
        <v>400</v>
      </c>
      <c r="B505" s="1252" t="s">
        <v>1973</v>
      </c>
      <c r="C505" s="1343" t="s">
        <v>96</v>
      </c>
      <c r="D505" s="1252"/>
      <c r="E505" s="1352">
        <v>4500</v>
      </c>
      <c r="F505" s="1347" t="s">
        <v>2171</v>
      </c>
      <c r="G505" s="1347" t="s">
        <v>2172</v>
      </c>
      <c r="H505" s="1347" t="s">
        <v>1987</v>
      </c>
      <c r="I505" s="1345"/>
      <c r="J505" s="1252"/>
      <c r="K505" s="1350"/>
      <c r="L505" s="1346">
        <v>12</v>
      </c>
      <c r="M505" s="1252"/>
      <c r="N505" s="1347" t="s">
        <v>2173</v>
      </c>
      <c r="O505" s="1348" t="s">
        <v>2174</v>
      </c>
      <c r="P505" s="1348" t="s">
        <v>2175</v>
      </c>
      <c r="Q505" s="1350"/>
      <c r="R505" s="1346">
        <v>12</v>
      </c>
      <c r="S505" s="1350"/>
    </row>
    <row r="506" spans="1:19" ht="19.5" customHeight="1">
      <c r="A506" s="1252">
        <v>400</v>
      </c>
      <c r="B506" s="1252" t="s">
        <v>1973</v>
      </c>
      <c r="C506" s="1343" t="s">
        <v>96</v>
      </c>
      <c r="D506" s="1252"/>
      <c r="E506" s="1352">
        <v>5500</v>
      </c>
      <c r="F506" s="1347" t="s">
        <v>2176</v>
      </c>
      <c r="G506" s="1347" t="s">
        <v>2177</v>
      </c>
      <c r="H506" s="1347" t="s">
        <v>1987</v>
      </c>
      <c r="I506" s="1345"/>
      <c r="J506" s="1252"/>
      <c r="K506" s="1350"/>
      <c r="L506" s="1346">
        <v>12</v>
      </c>
      <c r="M506" s="1252"/>
      <c r="N506" s="1347" t="s">
        <v>2178</v>
      </c>
      <c r="O506" s="1348" t="s">
        <v>2179</v>
      </c>
      <c r="P506" s="1348" t="s">
        <v>2014</v>
      </c>
      <c r="Q506" s="1350"/>
      <c r="R506" s="1346">
        <v>12</v>
      </c>
      <c r="S506" s="1350"/>
    </row>
    <row r="507" spans="1:19" ht="19.5" customHeight="1">
      <c r="A507" s="1252">
        <v>400</v>
      </c>
      <c r="B507" s="1252" t="s">
        <v>1973</v>
      </c>
      <c r="C507" s="1343" t="s">
        <v>96</v>
      </c>
      <c r="D507" s="1252"/>
      <c r="E507" s="1352">
        <v>5532</v>
      </c>
      <c r="F507" s="1347" t="s">
        <v>2180</v>
      </c>
      <c r="G507" s="1347" t="s">
        <v>2181</v>
      </c>
      <c r="H507" s="1347" t="s">
        <v>1987</v>
      </c>
      <c r="I507" s="1345"/>
      <c r="J507" s="1252"/>
      <c r="K507" s="1350"/>
      <c r="L507" s="1346">
        <v>12</v>
      </c>
      <c r="M507" s="1252"/>
      <c r="N507" s="1347" t="s">
        <v>2182</v>
      </c>
      <c r="O507" s="1348" t="s">
        <v>2183</v>
      </c>
      <c r="P507" s="1348" t="s">
        <v>2023</v>
      </c>
      <c r="Q507" s="1350"/>
      <c r="R507" s="1346">
        <v>12</v>
      </c>
      <c r="S507" s="1350"/>
    </row>
    <row r="508" spans="1:19" ht="19.5" customHeight="1">
      <c r="A508" s="1252">
        <v>400</v>
      </c>
      <c r="B508" s="1252" t="s">
        <v>1973</v>
      </c>
      <c r="C508" s="1343" t="s">
        <v>96</v>
      </c>
      <c r="D508" s="1252"/>
      <c r="E508" s="1352">
        <v>4500</v>
      </c>
      <c r="F508" s="1347" t="s">
        <v>2184</v>
      </c>
      <c r="G508" s="1347" t="s">
        <v>2185</v>
      </c>
      <c r="H508" s="1347" t="s">
        <v>1987</v>
      </c>
      <c r="I508" s="1345"/>
      <c r="J508" s="1252"/>
      <c r="K508" s="1350"/>
      <c r="L508" s="1346">
        <v>12</v>
      </c>
      <c r="M508" s="1252"/>
      <c r="N508" s="1347" t="s">
        <v>2169</v>
      </c>
      <c r="O508" s="1348" t="s">
        <v>2170</v>
      </c>
      <c r="P508" s="1348" t="s">
        <v>1987</v>
      </c>
      <c r="Q508" s="1350"/>
      <c r="R508" s="1346">
        <v>12</v>
      </c>
      <c r="S508" s="1350"/>
    </row>
    <row r="509" spans="1:19" ht="19.5" customHeight="1">
      <c r="A509" s="1252">
        <v>400</v>
      </c>
      <c r="B509" s="1252" t="s">
        <v>1973</v>
      </c>
      <c r="C509" s="1343" t="s">
        <v>96</v>
      </c>
      <c r="D509" s="1252"/>
      <c r="E509" s="1352">
        <v>5532</v>
      </c>
      <c r="F509" s="1347" t="s">
        <v>2186</v>
      </c>
      <c r="G509" s="1347" t="s">
        <v>2187</v>
      </c>
      <c r="H509" s="1347" t="s">
        <v>1987</v>
      </c>
      <c r="I509" s="1345"/>
      <c r="J509" s="1252"/>
      <c r="K509" s="1350"/>
      <c r="L509" s="1346">
        <v>12</v>
      </c>
      <c r="M509" s="1252"/>
      <c r="N509" s="1347" t="s">
        <v>2188</v>
      </c>
      <c r="O509" s="1348" t="s">
        <v>2189</v>
      </c>
      <c r="P509" s="1348" t="s">
        <v>2014</v>
      </c>
      <c r="Q509" s="1350"/>
      <c r="R509" s="1346">
        <v>12</v>
      </c>
      <c r="S509" s="1350"/>
    </row>
    <row r="510" spans="1:19" ht="19.5" customHeight="1">
      <c r="A510" s="1252">
        <v>400</v>
      </c>
      <c r="B510" s="1252" t="s">
        <v>1973</v>
      </c>
      <c r="C510" s="1343" t="s">
        <v>96</v>
      </c>
      <c r="D510" s="1252"/>
      <c r="E510" s="1352">
        <v>5532</v>
      </c>
      <c r="F510" s="1347" t="s">
        <v>2190</v>
      </c>
      <c r="G510" s="1347" t="s">
        <v>2191</v>
      </c>
      <c r="H510" s="1347" t="s">
        <v>1987</v>
      </c>
      <c r="I510" s="1345"/>
      <c r="J510" s="1252"/>
      <c r="K510" s="1350"/>
      <c r="L510" s="1346">
        <v>12</v>
      </c>
      <c r="M510" s="1252"/>
      <c r="N510" s="1347" t="s">
        <v>2192</v>
      </c>
      <c r="O510" s="1348" t="s">
        <v>2193</v>
      </c>
      <c r="P510" s="1348" t="s">
        <v>2008</v>
      </c>
      <c r="Q510" s="1350"/>
      <c r="R510" s="1346">
        <v>12</v>
      </c>
      <c r="S510" s="1350"/>
    </row>
    <row r="511" spans="1:19" ht="19.5" customHeight="1">
      <c r="A511" s="1252">
        <v>400</v>
      </c>
      <c r="B511" s="1252" t="s">
        <v>1973</v>
      </c>
      <c r="C511" s="1343" t="s">
        <v>96</v>
      </c>
      <c r="D511" s="1252"/>
      <c r="E511" s="1352">
        <v>5532</v>
      </c>
      <c r="F511" s="1347" t="s">
        <v>2194</v>
      </c>
      <c r="G511" s="1347" t="s">
        <v>2195</v>
      </c>
      <c r="H511" s="1347" t="s">
        <v>1987</v>
      </c>
      <c r="I511" s="1345"/>
      <c r="J511" s="1252"/>
      <c r="K511" s="1350"/>
      <c r="L511" s="1346">
        <v>12</v>
      </c>
      <c r="M511" s="1252"/>
      <c r="N511" s="1347" t="s">
        <v>2196</v>
      </c>
      <c r="O511" s="1348" t="s">
        <v>2197</v>
      </c>
      <c r="P511" s="1348" t="s">
        <v>2023</v>
      </c>
      <c r="Q511" s="1350"/>
      <c r="R511" s="1346">
        <v>12</v>
      </c>
      <c r="S511" s="1350"/>
    </row>
    <row r="512" spans="1:19" ht="19.5" customHeight="1">
      <c r="A512" s="1252">
        <v>400</v>
      </c>
      <c r="B512" s="1252" t="s">
        <v>1973</v>
      </c>
      <c r="C512" s="1343" t="s">
        <v>96</v>
      </c>
      <c r="D512" s="1252"/>
      <c r="E512" s="1352">
        <v>4500</v>
      </c>
      <c r="F512" s="1347" t="s">
        <v>2198</v>
      </c>
      <c r="G512" s="1347" t="s">
        <v>2199</v>
      </c>
      <c r="H512" s="1347" t="s">
        <v>1987</v>
      </c>
      <c r="I512" s="1345"/>
      <c r="J512" s="1252"/>
      <c r="K512" s="1350"/>
      <c r="L512" s="1346">
        <v>12</v>
      </c>
      <c r="M512" s="1252"/>
      <c r="N512" s="1347" t="s">
        <v>2200</v>
      </c>
      <c r="O512" s="1348" t="s">
        <v>2201</v>
      </c>
      <c r="P512" s="1348" t="s">
        <v>2103</v>
      </c>
      <c r="Q512" s="1350"/>
      <c r="R512" s="1346">
        <v>12</v>
      </c>
      <c r="S512" s="1350"/>
    </row>
    <row r="513" spans="1:19" ht="19.5" customHeight="1">
      <c r="A513" s="1252">
        <v>400</v>
      </c>
      <c r="B513" s="1252" t="s">
        <v>1973</v>
      </c>
      <c r="C513" s="1343" t="s">
        <v>96</v>
      </c>
      <c r="D513" s="1252"/>
      <c r="E513" s="1352">
        <v>2000</v>
      </c>
      <c r="F513" s="1347" t="s">
        <v>2202</v>
      </c>
      <c r="G513" s="1347" t="s">
        <v>2203</v>
      </c>
      <c r="H513" s="1347" t="s">
        <v>2023</v>
      </c>
      <c r="I513" s="1345"/>
      <c r="J513" s="1252"/>
      <c r="K513" s="1350"/>
      <c r="L513" s="1346">
        <v>12</v>
      </c>
      <c r="M513" s="1252"/>
      <c r="N513" s="1347" t="s">
        <v>2204</v>
      </c>
      <c r="O513" s="1348" t="s">
        <v>2205</v>
      </c>
      <c r="P513" s="1348" t="s">
        <v>2008</v>
      </c>
      <c r="Q513" s="1350"/>
      <c r="R513" s="1346">
        <v>12</v>
      </c>
      <c r="S513" s="1350"/>
    </row>
    <row r="514" spans="1:19" ht="19.5" customHeight="1">
      <c r="A514" s="1252">
        <v>400</v>
      </c>
      <c r="B514" s="1252" t="s">
        <v>1973</v>
      </c>
      <c r="C514" s="1343" t="s">
        <v>96</v>
      </c>
      <c r="D514" s="1252"/>
      <c r="E514" s="1352">
        <v>1600</v>
      </c>
      <c r="F514" s="1347" t="s">
        <v>2068</v>
      </c>
      <c r="G514" s="1347" t="s">
        <v>2069</v>
      </c>
      <c r="H514" s="1347" t="s">
        <v>2023</v>
      </c>
      <c r="I514" s="1345"/>
      <c r="J514" s="1252"/>
      <c r="K514" s="1350"/>
      <c r="L514" s="1346">
        <v>12</v>
      </c>
      <c r="M514" s="1252"/>
      <c r="N514" s="1347" t="s">
        <v>2206</v>
      </c>
      <c r="O514" s="1348" t="s">
        <v>2207</v>
      </c>
      <c r="P514" s="1348" t="s">
        <v>2008</v>
      </c>
      <c r="Q514" s="1350"/>
      <c r="R514" s="1346">
        <v>12</v>
      </c>
      <c r="S514" s="1350"/>
    </row>
    <row r="515" spans="1:19" ht="19.5" customHeight="1">
      <c r="A515" s="1252">
        <v>400</v>
      </c>
      <c r="B515" s="1252" t="s">
        <v>1973</v>
      </c>
      <c r="C515" s="1343" t="s">
        <v>96</v>
      </c>
      <c r="D515" s="1252"/>
      <c r="E515" s="1352">
        <v>2000</v>
      </c>
      <c r="F515" s="1347" t="s">
        <v>2123</v>
      </c>
      <c r="G515" s="1347" t="s">
        <v>2124</v>
      </c>
      <c r="H515" s="1347" t="s">
        <v>2023</v>
      </c>
      <c r="I515" s="1345"/>
      <c r="J515" s="1252"/>
      <c r="K515" s="1350"/>
      <c r="L515" s="1346">
        <v>12</v>
      </c>
      <c r="M515" s="1252"/>
      <c r="N515" s="1347" t="s">
        <v>2208</v>
      </c>
      <c r="O515" s="1348" t="s">
        <v>2209</v>
      </c>
      <c r="P515" s="1348" t="s">
        <v>2023</v>
      </c>
      <c r="Q515" s="1350"/>
      <c r="R515" s="1346">
        <v>12</v>
      </c>
      <c r="S515" s="1350"/>
    </row>
    <row r="516" spans="1:19" ht="19.5" customHeight="1">
      <c r="A516" s="1252">
        <v>400</v>
      </c>
      <c r="B516" s="1252" t="s">
        <v>1973</v>
      </c>
      <c r="C516" s="1343" t="s">
        <v>96</v>
      </c>
      <c r="D516" s="1252"/>
      <c r="E516" s="1352">
        <v>2000</v>
      </c>
      <c r="F516" s="1347" t="s">
        <v>2156</v>
      </c>
      <c r="G516" s="1347" t="s">
        <v>2157</v>
      </c>
      <c r="H516" s="1347" t="s">
        <v>2023</v>
      </c>
      <c r="I516" s="1345"/>
      <c r="J516" s="1252"/>
      <c r="K516" s="1350"/>
      <c r="L516" s="1346">
        <v>12</v>
      </c>
      <c r="M516" s="1252"/>
      <c r="N516" s="1347" t="s">
        <v>2210</v>
      </c>
      <c r="O516" s="1348" t="s">
        <v>2211</v>
      </c>
      <c r="P516" s="1348" t="s">
        <v>2008</v>
      </c>
      <c r="Q516" s="1350"/>
      <c r="R516" s="1346">
        <v>12</v>
      </c>
      <c r="S516" s="1350"/>
    </row>
    <row r="517" spans="1:19" ht="19.5" customHeight="1">
      <c r="A517" s="1252">
        <v>400</v>
      </c>
      <c r="B517" s="1252" t="s">
        <v>1973</v>
      </c>
      <c r="C517" s="1343" t="s">
        <v>96</v>
      </c>
      <c r="D517" s="1252"/>
      <c r="E517" s="1352">
        <v>1050</v>
      </c>
      <c r="F517" s="1347" t="s">
        <v>2212</v>
      </c>
      <c r="G517" s="1347" t="s">
        <v>2213</v>
      </c>
      <c r="H517" s="1347" t="s">
        <v>2023</v>
      </c>
      <c r="I517" s="1345"/>
      <c r="J517" s="1252"/>
      <c r="K517" s="1350"/>
      <c r="L517" s="1346">
        <v>12</v>
      </c>
      <c r="M517" s="1252"/>
      <c r="N517" s="1347" t="s">
        <v>2214</v>
      </c>
      <c r="O517" s="1348" t="s">
        <v>2215</v>
      </c>
      <c r="P517" s="1348" t="s">
        <v>2023</v>
      </c>
      <c r="Q517" s="1350"/>
      <c r="R517" s="1346">
        <v>12</v>
      </c>
      <c r="S517" s="1350"/>
    </row>
    <row r="518" spans="1:19" ht="19.5" customHeight="1">
      <c r="A518" s="1252">
        <v>400</v>
      </c>
      <c r="B518" s="1252" t="s">
        <v>1973</v>
      </c>
      <c r="C518" s="1343" t="s">
        <v>96</v>
      </c>
      <c r="D518" s="1252"/>
      <c r="E518" s="1352">
        <v>1600</v>
      </c>
      <c r="F518" s="1347" t="s">
        <v>2216</v>
      </c>
      <c r="G518" s="1347" t="s">
        <v>2217</v>
      </c>
      <c r="H518" s="1347" t="s">
        <v>2023</v>
      </c>
      <c r="I518" s="1345"/>
      <c r="J518" s="1252"/>
      <c r="K518" s="1350"/>
      <c r="L518" s="1346">
        <v>12</v>
      </c>
      <c r="M518" s="1252"/>
      <c r="N518" s="1347" t="s">
        <v>2218</v>
      </c>
      <c r="O518" s="1348" t="s">
        <v>2219</v>
      </c>
      <c r="P518" s="1348" t="s">
        <v>2056</v>
      </c>
      <c r="Q518" s="1350"/>
      <c r="R518" s="1346">
        <v>12</v>
      </c>
      <c r="S518" s="1350"/>
    </row>
    <row r="519" spans="1:19" ht="19.5" customHeight="1">
      <c r="A519" s="1252">
        <v>400</v>
      </c>
      <c r="B519" s="1252" t="s">
        <v>1973</v>
      </c>
      <c r="C519" s="1343" t="s">
        <v>96</v>
      </c>
      <c r="D519" s="1252"/>
      <c r="E519" s="1352">
        <v>1600</v>
      </c>
      <c r="F519" s="1347" t="s">
        <v>2220</v>
      </c>
      <c r="G519" s="1347" t="s">
        <v>2221</v>
      </c>
      <c r="H519" s="1347" t="s">
        <v>2023</v>
      </c>
      <c r="I519" s="1345"/>
      <c r="J519" s="1252"/>
      <c r="K519" s="1350"/>
      <c r="L519" s="1346">
        <v>12</v>
      </c>
      <c r="M519" s="1252"/>
      <c r="N519" s="1347" t="s">
        <v>2222</v>
      </c>
      <c r="O519" s="1348" t="s">
        <v>2223</v>
      </c>
      <c r="P519" s="1348" t="s">
        <v>2014</v>
      </c>
      <c r="Q519" s="1350"/>
      <c r="R519" s="1346">
        <v>12</v>
      </c>
      <c r="S519" s="1350"/>
    </row>
    <row r="520" spans="1:19" ht="19.5" customHeight="1">
      <c r="A520" s="1252">
        <v>400</v>
      </c>
      <c r="B520" s="1252" t="s">
        <v>1973</v>
      </c>
      <c r="C520" s="1343" t="s">
        <v>96</v>
      </c>
      <c r="D520" s="1252"/>
      <c r="E520" s="1352">
        <v>1600</v>
      </c>
      <c r="F520" s="1347" t="s">
        <v>2224</v>
      </c>
      <c r="G520" s="1347" t="s">
        <v>2225</v>
      </c>
      <c r="H520" s="1347" t="s">
        <v>2023</v>
      </c>
      <c r="I520" s="1345"/>
      <c r="J520" s="1252"/>
      <c r="K520" s="1350"/>
      <c r="L520" s="1346">
        <v>12</v>
      </c>
      <c r="M520" s="1252"/>
      <c r="N520" s="1347" t="s">
        <v>2151</v>
      </c>
      <c r="O520" s="1348" t="s">
        <v>2152</v>
      </c>
      <c r="P520" s="1348" t="s">
        <v>2153</v>
      </c>
      <c r="Q520" s="1350"/>
      <c r="R520" s="1346">
        <v>12</v>
      </c>
      <c r="S520" s="1350"/>
    </row>
    <row r="521" spans="1:19" ht="19.5" customHeight="1">
      <c r="A521" s="1252">
        <v>400</v>
      </c>
      <c r="B521" s="1252" t="s">
        <v>1973</v>
      </c>
      <c r="C521" s="1343" t="s">
        <v>96</v>
      </c>
      <c r="D521" s="1252"/>
      <c r="E521" s="1352">
        <v>1040</v>
      </c>
      <c r="F521" s="1347" t="s">
        <v>2226</v>
      </c>
      <c r="G521" s="1347" t="s">
        <v>2227</v>
      </c>
      <c r="H521" s="1347" t="s">
        <v>2023</v>
      </c>
      <c r="I521" s="1345"/>
      <c r="J521" s="1252"/>
      <c r="K521" s="1350"/>
      <c r="L521" s="1346">
        <v>12</v>
      </c>
      <c r="M521" s="1252"/>
      <c r="N521" s="1347" t="s">
        <v>2228</v>
      </c>
      <c r="O521" s="1348" t="s">
        <v>2229</v>
      </c>
      <c r="P521" s="1348" t="s">
        <v>2014</v>
      </c>
      <c r="Q521" s="1350"/>
      <c r="R521" s="1346">
        <v>12</v>
      </c>
      <c r="S521" s="1350"/>
    </row>
    <row r="522" spans="1:19" ht="19.5" customHeight="1">
      <c r="A522" s="1252">
        <v>400</v>
      </c>
      <c r="B522" s="1252" t="s">
        <v>1973</v>
      </c>
      <c r="C522" s="1343" t="s">
        <v>96</v>
      </c>
      <c r="D522" s="1252"/>
      <c r="E522" s="1352">
        <v>2000</v>
      </c>
      <c r="F522" s="1347" t="s">
        <v>2230</v>
      </c>
      <c r="G522" s="1347" t="s">
        <v>2231</v>
      </c>
      <c r="H522" s="1347" t="s">
        <v>2023</v>
      </c>
      <c r="I522" s="1345"/>
      <c r="J522" s="1252"/>
      <c r="K522" s="1350"/>
      <c r="L522" s="1346">
        <v>12</v>
      </c>
      <c r="M522" s="1252"/>
      <c r="N522" s="1347" t="s">
        <v>2232</v>
      </c>
      <c r="O522" s="1348" t="s">
        <v>2233</v>
      </c>
      <c r="P522" s="1348" t="s">
        <v>2116</v>
      </c>
      <c r="Q522" s="1350"/>
      <c r="R522" s="1346">
        <v>12</v>
      </c>
      <c r="S522" s="1350"/>
    </row>
    <row r="523" spans="1:19" ht="19.5" customHeight="1">
      <c r="A523" s="1252">
        <v>400</v>
      </c>
      <c r="B523" s="1252" t="s">
        <v>1973</v>
      </c>
      <c r="C523" s="1343" t="s">
        <v>96</v>
      </c>
      <c r="D523" s="1252"/>
      <c r="E523" s="1352">
        <v>2000</v>
      </c>
      <c r="F523" s="1347" t="s">
        <v>2234</v>
      </c>
      <c r="G523" s="1347" t="s">
        <v>2235</v>
      </c>
      <c r="H523" s="1347" t="s">
        <v>2023</v>
      </c>
      <c r="I523" s="1345"/>
      <c r="J523" s="1252"/>
      <c r="K523" s="1350"/>
      <c r="L523" s="1346">
        <v>12</v>
      </c>
      <c r="M523" s="1252"/>
      <c r="N523" s="1347" t="s">
        <v>2236</v>
      </c>
      <c r="O523" s="1348" t="s">
        <v>2237</v>
      </c>
      <c r="P523" s="1348" t="s">
        <v>2023</v>
      </c>
      <c r="Q523" s="1350"/>
      <c r="R523" s="1346">
        <v>12</v>
      </c>
      <c r="S523" s="1350"/>
    </row>
    <row r="524" spans="1:19" ht="19.5" customHeight="1">
      <c r="A524" s="1252">
        <v>400</v>
      </c>
      <c r="B524" s="1252" t="s">
        <v>1973</v>
      </c>
      <c r="C524" s="1343" t="s">
        <v>96</v>
      </c>
      <c r="D524" s="1252"/>
      <c r="E524" s="1352">
        <v>2000</v>
      </c>
      <c r="F524" s="1347" t="s">
        <v>2238</v>
      </c>
      <c r="G524" s="1347" t="s">
        <v>2239</v>
      </c>
      <c r="H524" s="1347" t="s">
        <v>2023</v>
      </c>
      <c r="I524" s="1345"/>
      <c r="J524" s="1252"/>
      <c r="K524" s="1350"/>
      <c r="L524" s="1346">
        <v>12</v>
      </c>
      <c r="M524" s="1252"/>
      <c r="N524" s="1347" t="s">
        <v>2240</v>
      </c>
      <c r="O524" s="1348" t="s">
        <v>2241</v>
      </c>
      <c r="P524" s="1348" t="s">
        <v>2065</v>
      </c>
      <c r="Q524" s="1350"/>
      <c r="R524" s="1346">
        <v>12</v>
      </c>
      <c r="S524" s="1350"/>
    </row>
    <row r="525" spans="1:19" ht="19.5" customHeight="1">
      <c r="A525" s="1252">
        <v>400</v>
      </c>
      <c r="B525" s="1252" t="s">
        <v>1973</v>
      </c>
      <c r="C525" s="1343" t="s">
        <v>96</v>
      </c>
      <c r="D525" s="1252"/>
      <c r="E525" s="1352">
        <v>1600</v>
      </c>
      <c r="F525" s="1347" t="s">
        <v>2101</v>
      </c>
      <c r="G525" s="1347" t="s">
        <v>2102</v>
      </c>
      <c r="H525" s="1347" t="s">
        <v>2103</v>
      </c>
      <c r="I525" s="1345"/>
      <c r="J525" s="1252"/>
      <c r="K525" s="1350"/>
      <c r="L525" s="1346">
        <v>12</v>
      </c>
      <c r="M525" s="1252"/>
      <c r="N525" s="1347" t="s">
        <v>2242</v>
      </c>
      <c r="O525" s="1348" t="s">
        <v>2243</v>
      </c>
      <c r="P525" s="1348" t="s">
        <v>2056</v>
      </c>
      <c r="Q525" s="1350"/>
      <c r="R525" s="1346">
        <v>12</v>
      </c>
      <c r="S525" s="1350"/>
    </row>
    <row r="526" spans="1:19" ht="19.5" customHeight="1">
      <c r="A526" s="1252">
        <v>400</v>
      </c>
      <c r="B526" s="1252" t="s">
        <v>1973</v>
      </c>
      <c r="C526" s="1343" t="s">
        <v>96</v>
      </c>
      <c r="D526" s="1252"/>
      <c r="E526" s="1352">
        <v>1600</v>
      </c>
      <c r="F526" s="1347" t="s">
        <v>2200</v>
      </c>
      <c r="G526" s="1347" t="s">
        <v>2201</v>
      </c>
      <c r="H526" s="1347" t="s">
        <v>2103</v>
      </c>
      <c r="I526" s="1345"/>
      <c r="J526" s="1252"/>
      <c r="K526" s="1350"/>
      <c r="L526" s="1346">
        <v>12</v>
      </c>
      <c r="M526" s="1252"/>
      <c r="N526" s="1347" t="s">
        <v>2244</v>
      </c>
      <c r="O526" s="1348" t="s">
        <v>2245</v>
      </c>
      <c r="P526" s="1348" t="s">
        <v>2008</v>
      </c>
      <c r="Q526" s="1350"/>
      <c r="R526" s="1346">
        <v>12</v>
      </c>
      <c r="S526" s="1350"/>
    </row>
    <row r="527" spans="1:19" ht="19.5" customHeight="1">
      <c r="A527" s="1252">
        <v>400</v>
      </c>
      <c r="B527" s="1252" t="s">
        <v>1973</v>
      </c>
      <c r="C527" s="1343" t="s">
        <v>96</v>
      </c>
      <c r="D527" s="1252"/>
      <c r="E527" s="1352">
        <v>1600</v>
      </c>
      <c r="F527" s="1347" t="s">
        <v>2246</v>
      </c>
      <c r="G527" s="1347" t="s">
        <v>2247</v>
      </c>
      <c r="H527" s="1347" t="s">
        <v>2103</v>
      </c>
      <c r="I527" s="1345"/>
      <c r="J527" s="1252"/>
      <c r="K527" s="1350"/>
      <c r="L527" s="1346">
        <v>12</v>
      </c>
      <c r="M527" s="1252"/>
      <c r="N527" s="1347" t="s">
        <v>2028</v>
      </c>
      <c r="O527" s="1348" t="s">
        <v>2029</v>
      </c>
      <c r="P527" s="1348" t="s">
        <v>2008</v>
      </c>
      <c r="Q527" s="1350"/>
      <c r="R527" s="1346">
        <v>12</v>
      </c>
      <c r="S527" s="1350"/>
    </row>
    <row r="528" spans="1:19" ht="19.5" customHeight="1">
      <c r="A528" s="1252">
        <v>400</v>
      </c>
      <c r="B528" s="1252" t="s">
        <v>1973</v>
      </c>
      <c r="C528" s="1343" t="s">
        <v>96</v>
      </c>
      <c r="D528" s="1252"/>
      <c r="E528" s="1352">
        <v>1050</v>
      </c>
      <c r="F528" s="1347" t="s">
        <v>2248</v>
      </c>
      <c r="G528" s="1347" t="s">
        <v>2249</v>
      </c>
      <c r="H528" s="1347" t="s">
        <v>2103</v>
      </c>
      <c r="I528" s="1345"/>
      <c r="J528" s="1252"/>
      <c r="K528" s="1350"/>
      <c r="L528" s="1346">
        <v>12</v>
      </c>
      <c r="M528" s="1252"/>
      <c r="N528" s="1347" t="s">
        <v>2250</v>
      </c>
      <c r="O528" s="1348" t="s">
        <v>2251</v>
      </c>
      <c r="P528" s="1348" t="s">
        <v>2008</v>
      </c>
      <c r="Q528" s="1350"/>
      <c r="R528" s="1346">
        <v>12</v>
      </c>
      <c r="S528" s="1350"/>
    </row>
    <row r="529" spans="1:19" ht="19.5" customHeight="1">
      <c r="A529" s="1252">
        <v>400</v>
      </c>
      <c r="B529" s="1252" t="s">
        <v>1973</v>
      </c>
      <c r="C529" s="1343" t="s">
        <v>96</v>
      </c>
      <c r="D529" s="1252"/>
      <c r="E529" s="1352">
        <v>1600</v>
      </c>
      <c r="F529" s="1347" t="s">
        <v>2252</v>
      </c>
      <c r="G529" s="1347" t="s">
        <v>2253</v>
      </c>
      <c r="H529" s="1347" t="s">
        <v>2103</v>
      </c>
      <c r="I529" s="1345"/>
      <c r="J529" s="1252"/>
      <c r="K529" s="1350"/>
      <c r="L529" s="1346">
        <v>12</v>
      </c>
      <c r="M529" s="1252"/>
      <c r="N529" s="1347" t="s">
        <v>2212</v>
      </c>
      <c r="O529" s="1348" t="s">
        <v>2213</v>
      </c>
      <c r="P529" s="1348" t="s">
        <v>2023</v>
      </c>
      <c r="Q529" s="1350"/>
      <c r="R529" s="1346">
        <v>12</v>
      </c>
      <c r="S529" s="1350"/>
    </row>
    <row r="530" spans="1:19" ht="19.5" customHeight="1">
      <c r="A530" s="1252">
        <v>400</v>
      </c>
      <c r="B530" s="1252" t="s">
        <v>1973</v>
      </c>
      <c r="C530" s="1343" t="s">
        <v>96</v>
      </c>
      <c r="D530" s="1252"/>
      <c r="E530" s="1352">
        <v>1600</v>
      </c>
      <c r="F530" s="1347" t="s">
        <v>2254</v>
      </c>
      <c r="G530" s="1347" t="s">
        <v>2255</v>
      </c>
      <c r="H530" s="1347" t="s">
        <v>2103</v>
      </c>
      <c r="I530" s="1345"/>
      <c r="J530" s="1252"/>
      <c r="K530" s="1350"/>
      <c r="L530" s="1346">
        <v>12</v>
      </c>
      <c r="M530" s="1252"/>
      <c r="N530" s="1347" t="s">
        <v>2032</v>
      </c>
      <c r="O530" s="1348" t="s">
        <v>2033</v>
      </c>
      <c r="P530" s="1348" t="s">
        <v>2008</v>
      </c>
      <c r="Q530" s="1350"/>
      <c r="R530" s="1346">
        <v>12</v>
      </c>
      <c r="S530" s="1350"/>
    </row>
    <row r="531" spans="1:19" ht="19.5" customHeight="1">
      <c r="A531" s="1252">
        <v>400</v>
      </c>
      <c r="B531" s="1252" t="s">
        <v>1973</v>
      </c>
      <c r="C531" s="1343" t="s">
        <v>96</v>
      </c>
      <c r="D531" s="1252"/>
      <c r="E531" s="1352">
        <v>1600</v>
      </c>
      <c r="F531" s="1347" t="s">
        <v>2256</v>
      </c>
      <c r="G531" s="1347" t="s">
        <v>2257</v>
      </c>
      <c r="H531" s="1347" t="s">
        <v>2103</v>
      </c>
      <c r="I531" s="1345"/>
      <c r="J531" s="1252"/>
      <c r="K531" s="1350"/>
      <c r="L531" s="1346">
        <v>12</v>
      </c>
      <c r="M531" s="1252"/>
      <c r="N531" s="1347" t="s">
        <v>2036</v>
      </c>
      <c r="O531" s="1348" t="s">
        <v>2037</v>
      </c>
      <c r="P531" s="1348" t="s">
        <v>2008</v>
      </c>
      <c r="Q531" s="1350"/>
      <c r="R531" s="1346">
        <v>12</v>
      </c>
      <c r="S531" s="1350"/>
    </row>
    <row r="532" spans="1:19" ht="19.5" customHeight="1">
      <c r="A532" s="1252">
        <v>400</v>
      </c>
      <c r="B532" s="1252" t="s">
        <v>1973</v>
      </c>
      <c r="C532" s="1343" t="s">
        <v>96</v>
      </c>
      <c r="D532" s="1252"/>
      <c r="E532" s="1352">
        <v>1050</v>
      </c>
      <c r="F532" s="1347" t="s">
        <v>1990</v>
      </c>
      <c r="G532" s="1347" t="s">
        <v>1991</v>
      </c>
      <c r="H532" s="1347" t="s">
        <v>1992</v>
      </c>
      <c r="I532" s="1345"/>
      <c r="J532" s="1252"/>
      <c r="K532" s="1350"/>
      <c r="L532" s="1346">
        <v>12</v>
      </c>
      <c r="M532" s="1252"/>
      <c r="N532" s="1347" t="s">
        <v>1998</v>
      </c>
      <c r="O532" s="1348" t="s">
        <v>1999</v>
      </c>
      <c r="P532" s="1348" t="s">
        <v>2000</v>
      </c>
      <c r="Q532" s="1350"/>
      <c r="R532" s="1346">
        <v>12</v>
      </c>
      <c r="S532" s="1350"/>
    </row>
    <row r="533" spans="1:19" ht="19.5" customHeight="1">
      <c r="A533" s="1252">
        <v>400</v>
      </c>
      <c r="B533" s="1252" t="s">
        <v>1973</v>
      </c>
      <c r="C533" s="1343" t="s">
        <v>96</v>
      </c>
      <c r="D533" s="1252"/>
      <c r="E533" s="1352">
        <v>1100</v>
      </c>
      <c r="F533" s="1347" t="s">
        <v>2097</v>
      </c>
      <c r="G533" s="1347" t="s">
        <v>2098</v>
      </c>
      <c r="H533" s="1347" t="s">
        <v>1992</v>
      </c>
      <c r="I533" s="1345"/>
      <c r="J533" s="1252"/>
      <c r="K533" s="1350"/>
      <c r="L533" s="1346">
        <v>12</v>
      </c>
      <c r="M533" s="1252"/>
      <c r="N533" s="1347" t="s">
        <v>2258</v>
      </c>
      <c r="O533" s="1348" t="s">
        <v>2259</v>
      </c>
      <c r="P533" s="1348" t="s">
        <v>2014</v>
      </c>
      <c r="Q533" s="1350"/>
      <c r="R533" s="1346">
        <v>12</v>
      </c>
      <c r="S533" s="1350"/>
    </row>
    <row r="534" spans="1:19" ht="19.5" customHeight="1">
      <c r="A534" s="1252">
        <v>400</v>
      </c>
      <c r="B534" s="1252" t="s">
        <v>1973</v>
      </c>
      <c r="C534" s="1343" t="s">
        <v>96</v>
      </c>
      <c r="D534" s="1252"/>
      <c r="E534" s="1352">
        <v>1050</v>
      </c>
      <c r="F534" s="1347" t="s">
        <v>2260</v>
      </c>
      <c r="G534" s="1347" t="s">
        <v>2261</v>
      </c>
      <c r="H534" s="1347" t="s">
        <v>1992</v>
      </c>
      <c r="I534" s="1345"/>
      <c r="J534" s="1252"/>
      <c r="K534" s="1350"/>
      <c r="L534" s="1346">
        <v>12</v>
      </c>
      <c r="M534" s="1252"/>
      <c r="N534" s="1347" t="s">
        <v>2262</v>
      </c>
      <c r="O534" s="1348" t="s">
        <v>2263</v>
      </c>
      <c r="P534" s="1348" t="s">
        <v>2014</v>
      </c>
      <c r="Q534" s="1350"/>
      <c r="R534" s="1346">
        <v>12</v>
      </c>
      <c r="S534" s="1350"/>
    </row>
    <row r="535" spans="1:19" ht="19.5" customHeight="1">
      <c r="A535" s="1252">
        <v>400</v>
      </c>
      <c r="B535" s="1252" t="s">
        <v>1973</v>
      </c>
      <c r="C535" s="1343" t="s">
        <v>96</v>
      </c>
      <c r="D535" s="1252"/>
      <c r="E535" s="1352">
        <v>2300</v>
      </c>
      <c r="F535" s="1347" t="s">
        <v>2264</v>
      </c>
      <c r="G535" s="1347" t="s">
        <v>2265</v>
      </c>
      <c r="H535" s="1347" t="s">
        <v>1992</v>
      </c>
      <c r="I535" s="1345"/>
      <c r="J535" s="1252"/>
      <c r="K535" s="1350"/>
      <c r="L535" s="1346">
        <v>12</v>
      </c>
      <c r="M535" s="1252"/>
      <c r="N535" s="1347" t="s">
        <v>2266</v>
      </c>
      <c r="O535" s="1348" t="s">
        <v>2267</v>
      </c>
      <c r="P535" s="1348" t="s">
        <v>2014</v>
      </c>
      <c r="Q535" s="1350"/>
      <c r="R535" s="1346">
        <v>12</v>
      </c>
      <c r="S535" s="1350"/>
    </row>
    <row r="536" spans="1:19" ht="19.5" customHeight="1">
      <c r="A536" s="1252">
        <v>400</v>
      </c>
      <c r="B536" s="1252" t="s">
        <v>1973</v>
      </c>
      <c r="C536" s="1343" t="s">
        <v>96</v>
      </c>
      <c r="D536" s="1252"/>
      <c r="E536" s="1352">
        <v>1600</v>
      </c>
      <c r="F536" s="1347" t="s">
        <v>2268</v>
      </c>
      <c r="G536" s="1347" t="s">
        <v>2269</v>
      </c>
      <c r="H536" s="1347" t="s">
        <v>1992</v>
      </c>
      <c r="I536" s="1345"/>
      <c r="J536" s="1252"/>
      <c r="K536" s="1350"/>
      <c r="L536" s="1346">
        <v>12</v>
      </c>
      <c r="M536" s="1252"/>
      <c r="N536" s="1347" t="s">
        <v>2270</v>
      </c>
      <c r="O536" s="1348" t="s">
        <v>2271</v>
      </c>
      <c r="P536" s="1348" t="s">
        <v>2008</v>
      </c>
      <c r="Q536" s="1350"/>
      <c r="R536" s="1346">
        <v>12</v>
      </c>
      <c r="S536" s="1350"/>
    </row>
    <row r="537" spans="1:19" ht="19.5" customHeight="1">
      <c r="A537" s="1252">
        <v>400</v>
      </c>
      <c r="B537" s="1252" t="s">
        <v>1973</v>
      </c>
      <c r="C537" s="1343" t="s">
        <v>96</v>
      </c>
      <c r="D537" s="1252"/>
      <c r="E537" s="1352">
        <v>1600</v>
      </c>
      <c r="F537" s="1347" t="s">
        <v>2272</v>
      </c>
      <c r="G537" s="1347" t="s">
        <v>2273</v>
      </c>
      <c r="H537" s="1347" t="s">
        <v>1992</v>
      </c>
      <c r="I537" s="1345"/>
      <c r="J537" s="1252"/>
      <c r="K537" s="1350"/>
      <c r="L537" s="1346">
        <v>12</v>
      </c>
      <c r="M537" s="1252"/>
      <c r="N537" s="1347" t="s">
        <v>2274</v>
      </c>
      <c r="O537" s="1348" t="s">
        <v>2275</v>
      </c>
      <c r="P537" s="1348" t="s">
        <v>1997</v>
      </c>
      <c r="Q537" s="1350"/>
      <c r="R537" s="1346">
        <v>12</v>
      </c>
      <c r="S537" s="1350"/>
    </row>
    <row r="538" spans="1:19" ht="19.5" customHeight="1">
      <c r="A538" s="1252">
        <v>400</v>
      </c>
      <c r="B538" s="1252" t="s">
        <v>1973</v>
      </c>
      <c r="C538" s="1343" t="s">
        <v>96</v>
      </c>
      <c r="D538" s="1252"/>
      <c r="E538" s="1352">
        <v>2500</v>
      </c>
      <c r="F538" s="1347" t="s">
        <v>2076</v>
      </c>
      <c r="G538" s="1347" t="s">
        <v>2077</v>
      </c>
      <c r="H538" s="1347" t="s">
        <v>1980</v>
      </c>
      <c r="I538" s="1345"/>
      <c r="J538" s="1252"/>
      <c r="K538" s="1350"/>
      <c r="L538" s="1346">
        <v>12</v>
      </c>
      <c r="M538" s="1252"/>
      <c r="N538" s="1347" t="s">
        <v>2276</v>
      </c>
      <c r="O538" s="1348" t="s">
        <v>2277</v>
      </c>
      <c r="P538" s="1348" t="s">
        <v>2023</v>
      </c>
      <c r="Q538" s="1350"/>
      <c r="R538" s="1346">
        <v>12</v>
      </c>
      <c r="S538" s="1350"/>
    </row>
    <row r="539" spans="1:19" ht="19.5" customHeight="1">
      <c r="A539" s="1252">
        <v>400</v>
      </c>
      <c r="B539" s="1252" t="s">
        <v>1973</v>
      </c>
      <c r="C539" s="1343" t="s">
        <v>96</v>
      </c>
      <c r="D539" s="1252"/>
      <c r="E539" s="1352">
        <v>2850</v>
      </c>
      <c r="F539" s="1347" t="s">
        <v>2278</v>
      </c>
      <c r="G539" s="1347" t="s">
        <v>2279</v>
      </c>
      <c r="H539" s="1347" t="s">
        <v>1980</v>
      </c>
      <c r="I539" s="1345"/>
      <c r="J539" s="1252"/>
      <c r="K539" s="1350"/>
      <c r="L539" s="1346">
        <v>12</v>
      </c>
      <c r="M539" s="1252"/>
      <c r="N539" s="1347" t="s">
        <v>2171</v>
      </c>
      <c r="O539" s="1348" t="s">
        <v>2172</v>
      </c>
      <c r="P539" s="1348" t="s">
        <v>1987</v>
      </c>
      <c r="Q539" s="1350"/>
      <c r="R539" s="1346">
        <v>12</v>
      </c>
      <c r="S539" s="1350"/>
    </row>
    <row r="540" spans="1:19" ht="19.5" customHeight="1">
      <c r="A540" s="1252">
        <v>400</v>
      </c>
      <c r="B540" s="1252" t="s">
        <v>1973</v>
      </c>
      <c r="C540" s="1343" t="s">
        <v>96</v>
      </c>
      <c r="D540" s="1252"/>
      <c r="E540" s="1352">
        <v>2200</v>
      </c>
      <c r="F540" s="1347" t="s">
        <v>2280</v>
      </c>
      <c r="G540" s="1347" t="s">
        <v>2281</v>
      </c>
      <c r="H540" s="1347" t="s">
        <v>1980</v>
      </c>
      <c r="I540" s="1345"/>
      <c r="J540" s="1252"/>
      <c r="K540" s="1350"/>
      <c r="L540" s="1346">
        <v>12</v>
      </c>
      <c r="M540" s="1252"/>
      <c r="N540" s="1347" t="s">
        <v>2282</v>
      </c>
      <c r="O540" s="1348" t="s">
        <v>2283</v>
      </c>
      <c r="P540" s="1348" t="s">
        <v>2014</v>
      </c>
      <c r="Q540" s="1350"/>
      <c r="R540" s="1346">
        <v>12</v>
      </c>
      <c r="S540" s="1350"/>
    </row>
    <row r="541" spans="1:19" ht="19.5" customHeight="1">
      <c r="A541" s="1252">
        <v>400</v>
      </c>
      <c r="B541" s="1252" t="s">
        <v>1973</v>
      </c>
      <c r="C541" s="1343" t="s">
        <v>96</v>
      </c>
      <c r="D541" s="1252"/>
      <c r="E541" s="1352">
        <v>2500</v>
      </c>
      <c r="F541" s="1347" t="s">
        <v>2284</v>
      </c>
      <c r="G541" s="1347" t="s">
        <v>2285</v>
      </c>
      <c r="H541" s="1347" t="s">
        <v>1980</v>
      </c>
      <c r="I541" s="1345"/>
      <c r="J541" s="1252"/>
      <c r="K541" s="1350"/>
      <c r="L541" s="1346">
        <v>12</v>
      </c>
      <c r="M541" s="1252"/>
      <c r="N541" s="1347" t="s">
        <v>2286</v>
      </c>
      <c r="O541" s="1348" t="s">
        <v>2287</v>
      </c>
      <c r="P541" s="1348" t="s">
        <v>2288</v>
      </c>
      <c r="Q541" s="1350"/>
      <c r="R541" s="1346">
        <v>12</v>
      </c>
      <c r="S541" s="1350"/>
    </row>
    <row r="542" spans="1:19" ht="19.5" customHeight="1">
      <c r="A542" s="1252">
        <v>400</v>
      </c>
      <c r="B542" s="1252" t="s">
        <v>1973</v>
      </c>
      <c r="C542" s="1343" t="s">
        <v>96</v>
      </c>
      <c r="D542" s="1252"/>
      <c r="E542" s="1352">
        <v>2500</v>
      </c>
      <c r="F542" s="1347" t="s">
        <v>2289</v>
      </c>
      <c r="G542" s="1347" t="s">
        <v>2290</v>
      </c>
      <c r="H542" s="1347" t="s">
        <v>1980</v>
      </c>
      <c r="I542" s="1345"/>
      <c r="J542" s="1252"/>
      <c r="K542" s="1350"/>
      <c r="L542" s="1346">
        <v>12</v>
      </c>
      <c r="M542" s="1252"/>
      <c r="N542" s="1347" t="s">
        <v>2291</v>
      </c>
      <c r="O542" s="1348" t="s">
        <v>2292</v>
      </c>
      <c r="P542" s="1348" t="s">
        <v>2065</v>
      </c>
      <c r="Q542" s="1350"/>
      <c r="R542" s="1346">
        <v>12</v>
      </c>
      <c r="S542" s="1350"/>
    </row>
    <row r="543" spans="1:19" ht="19.5" customHeight="1">
      <c r="A543" s="1252">
        <v>400</v>
      </c>
      <c r="B543" s="1252" t="s">
        <v>1973</v>
      </c>
      <c r="C543" s="1343" t="s">
        <v>96</v>
      </c>
      <c r="D543" s="1252"/>
      <c r="E543" s="1352">
        <v>2850</v>
      </c>
      <c r="F543" s="1347" t="s">
        <v>2293</v>
      </c>
      <c r="G543" s="1347" t="s">
        <v>2294</v>
      </c>
      <c r="H543" s="1347" t="s">
        <v>1980</v>
      </c>
      <c r="I543" s="1345"/>
      <c r="J543" s="1252"/>
      <c r="K543" s="1350"/>
      <c r="L543" s="1346">
        <v>12</v>
      </c>
      <c r="M543" s="1252"/>
      <c r="N543" s="1347" t="s">
        <v>1982</v>
      </c>
      <c r="O543" s="1348" t="s">
        <v>1983</v>
      </c>
      <c r="P543" s="1348" t="s">
        <v>1984</v>
      </c>
      <c r="Q543" s="1350"/>
      <c r="R543" s="1346">
        <v>12</v>
      </c>
      <c r="S543" s="1350"/>
    </row>
    <row r="544" spans="1:19" ht="19.5" customHeight="1">
      <c r="A544" s="1252">
        <v>400</v>
      </c>
      <c r="B544" s="1252" t="s">
        <v>1973</v>
      </c>
      <c r="C544" s="1343" t="s">
        <v>96</v>
      </c>
      <c r="D544" s="1252"/>
      <c r="E544" s="1352">
        <v>2500</v>
      </c>
      <c r="F544" s="1347" t="s">
        <v>2295</v>
      </c>
      <c r="G544" s="1347" t="s">
        <v>2296</v>
      </c>
      <c r="H544" s="1347" t="s">
        <v>2297</v>
      </c>
      <c r="I544" s="1345"/>
      <c r="J544" s="1252"/>
      <c r="K544" s="1350"/>
      <c r="L544" s="1346">
        <v>12</v>
      </c>
      <c r="M544" s="1252"/>
      <c r="N544" s="1347" t="s">
        <v>2040</v>
      </c>
      <c r="O544" s="1348" t="s">
        <v>2041</v>
      </c>
      <c r="P544" s="1348" t="s">
        <v>2008</v>
      </c>
      <c r="Q544" s="1350"/>
      <c r="R544" s="1346">
        <v>12</v>
      </c>
      <c r="S544" s="1350"/>
    </row>
    <row r="545" spans="1:19" ht="19.5" customHeight="1">
      <c r="A545" s="1252">
        <v>400</v>
      </c>
      <c r="B545" s="1252" t="s">
        <v>1973</v>
      </c>
      <c r="C545" s="1343" t="s">
        <v>96</v>
      </c>
      <c r="D545" s="1252"/>
      <c r="E545" s="1352">
        <v>2000</v>
      </c>
      <c r="F545" s="1347" t="s">
        <v>2298</v>
      </c>
      <c r="G545" s="1347" t="s">
        <v>2299</v>
      </c>
      <c r="H545" s="1347" t="s">
        <v>2300</v>
      </c>
      <c r="I545" s="1345"/>
      <c r="J545" s="1252"/>
      <c r="K545" s="1350"/>
      <c r="L545" s="1346">
        <v>12</v>
      </c>
      <c r="M545" s="1252"/>
      <c r="N545" s="1347" t="s">
        <v>2301</v>
      </c>
      <c r="O545" s="1348" t="s">
        <v>2302</v>
      </c>
      <c r="P545" s="1348" t="s">
        <v>2086</v>
      </c>
      <c r="Q545" s="1350"/>
      <c r="R545" s="1346">
        <v>12</v>
      </c>
      <c r="S545" s="1350"/>
    </row>
    <row r="546" spans="1:19" ht="22.5" customHeight="1">
      <c r="A546" s="1252">
        <v>400</v>
      </c>
      <c r="B546" s="1252" t="s">
        <v>1973</v>
      </c>
      <c r="C546" s="1343" t="s">
        <v>96</v>
      </c>
      <c r="D546" s="1252"/>
      <c r="E546" s="1352">
        <v>2000</v>
      </c>
      <c r="F546" s="1347" t="s">
        <v>2303</v>
      </c>
      <c r="G546" s="1347" t="s">
        <v>2304</v>
      </c>
      <c r="H546" s="1347" t="s">
        <v>2300</v>
      </c>
      <c r="I546" s="1345"/>
      <c r="J546" s="1252"/>
      <c r="K546" s="1350"/>
      <c r="L546" s="1346">
        <v>12</v>
      </c>
      <c r="M546" s="1252"/>
      <c r="N546" s="1347" t="s">
        <v>2305</v>
      </c>
      <c r="O546" s="1348" t="s">
        <v>2306</v>
      </c>
      <c r="P546" s="1348" t="s">
        <v>2014</v>
      </c>
      <c r="Q546" s="1350"/>
      <c r="R546" s="1346">
        <v>12</v>
      </c>
      <c r="S546" s="1350"/>
    </row>
    <row r="547" spans="1:19" ht="19.5" customHeight="1">
      <c r="A547" s="1252">
        <v>400</v>
      </c>
      <c r="B547" s="1252" t="s">
        <v>1973</v>
      </c>
      <c r="C547" s="1343" t="s">
        <v>96</v>
      </c>
      <c r="D547" s="1252"/>
      <c r="E547" s="1352">
        <v>1050</v>
      </c>
      <c r="F547" s="1347" t="s">
        <v>1995</v>
      </c>
      <c r="G547" s="1347" t="s">
        <v>1996</v>
      </c>
      <c r="H547" s="1347" t="s">
        <v>1997</v>
      </c>
      <c r="I547" s="1345"/>
      <c r="J547" s="1252"/>
      <c r="K547" s="1350"/>
      <c r="L547" s="1346">
        <v>12</v>
      </c>
      <c r="M547" s="1252"/>
      <c r="N547" s="1347" t="s">
        <v>2307</v>
      </c>
      <c r="O547" s="1348" t="s">
        <v>2308</v>
      </c>
      <c r="P547" s="1348" t="s">
        <v>2008</v>
      </c>
      <c r="Q547" s="1350"/>
      <c r="R547" s="1346">
        <v>12</v>
      </c>
      <c r="S547" s="1350"/>
    </row>
    <row r="548" spans="1:19" ht="19.5" customHeight="1">
      <c r="A548" s="1252">
        <v>400</v>
      </c>
      <c r="B548" s="1252" t="s">
        <v>1973</v>
      </c>
      <c r="C548" s="1343" t="s">
        <v>96</v>
      </c>
      <c r="D548" s="1252"/>
      <c r="E548" s="1352">
        <v>1100</v>
      </c>
      <c r="F548" s="1347" t="s">
        <v>2001</v>
      </c>
      <c r="G548" s="1347" t="s">
        <v>2002</v>
      </c>
      <c r="H548" s="1347" t="s">
        <v>1997</v>
      </c>
      <c r="I548" s="1345"/>
      <c r="J548" s="1252"/>
      <c r="K548" s="1350"/>
      <c r="L548" s="1346">
        <v>12</v>
      </c>
      <c r="M548" s="1252"/>
      <c r="N548" s="1347" t="s">
        <v>2309</v>
      </c>
      <c r="O548" s="1348" t="s">
        <v>2310</v>
      </c>
      <c r="P548" s="1348" t="s">
        <v>2008</v>
      </c>
      <c r="Q548" s="1350"/>
      <c r="R548" s="1346">
        <v>12</v>
      </c>
      <c r="S548" s="1350"/>
    </row>
    <row r="549" spans="1:19" ht="19.5" customHeight="1">
      <c r="A549" s="1252">
        <v>400</v>
      </c>
      <c r="B549" s="1252" t="s">
        <v>1973</v>
      </c>
      <c r="C549" s="1343" t="s">
        <v>96</v>
      </c>
      <c r="D549" s="1252"/>
      <c r="E549" s="1352">
        <v>1100</v>
      </c>
      <c r="F549" s="1347" t="s">
        <v>2046</v>
      </c>
      <c r="G549" s="1347" t="s">
        <v>2047</v>
      </c>
      <c r="H549" s="1347" t="s">
        <v>1997</v>
      </c>
      <c r="I549" s="1345"/>
      <c r="J549" s="1252"/>
      <c r="K549" s="1350"/>
      <c r="L549" s="1346">
        <v>12</v>
      </c>
      <c r="M549" s="1252"/>
      <c r="N549" s="1347" t="s">
        <v>2044</v>
      </c>
      <c r="O549" s="1348" t="s">
        <v>2045</v>
      </c>
      <c r="P549" s="1348" t="s">
        <v>2008</v>
      </c>
      <c r="Q549" s="1350"/>
      <c r="R549" s="1346">
        <v>12</v>
      </c>
      <c r="S549" s="1350"/>
    </row>
    <row r="550" spans="1:19" ht="19.5" customHeight="1">
      <c r="A550" s="1252">
        <v>400</v>
      </c>
      <c r="B550" s="1252" t="s">
        <v>1973</v>
      </c>
      <c r="C550" s="1343" t="s">
        <v>96</v>
      </c>
      <c r="D550" s="1252"/>
      <c r="E550" s="1352">
        <v>1200</v>
      </c>
      <c r="F550" s="1347" t="s">
        <v>2311</v>
      </c>
      <c r="G550" s="1347" t="s">
        <v>2312</v>
      </c>
      <c r="H550" s="1347" t="s">
        <v>1997</v>
      </c>
      <c r="I550" s="1345"/>
      <c r="J550" s="1252"/>
      <c r="K550" s="1350"/>
      <c r="L550" s="1346">
        <v>12</v>
      </c>
      <c r="M550" s="1252"/>
      <c r="N550" s="1347" t="s">
        <v>2048</v>
      </c>
      <c r="O550" s="1348" t="s">
        <v>2049</v>
      </c>
      <c r="P550" s="1348" t="s">
        <v>2008</v>
      </c>
      <c r="Q550" s="1350"/>
      <c r="R550" s="1346">
        <v>12</v>
      </c>
      <c r="S550" s="1350"/>
    </row>
    <row r="551" spans="1:19" ht="19.5" customHeight="1">
      <c r="A551" s="1252">
        <v>400</v>
      </c>
      <c r="B551" s="1252" t="s">
        <v>1973</v>
      </c>
      <c r="C551" s="1343" t="s">
        <v>96</v>
      </c>
      <c r="D551" s="1252"/>
      <c r="E551" s="1352">
        <v>1200</v>
      </c>
      <c r="F551" s="1347" t="s">
        <v>2313</v>
      </c>
      <c r="G551" s="1347" t="s">
        <v>2314</v>
      </c>
      <c r="H551" s="1347" t="s">
        <v>1997</v>
      </c>
      <c r="I551" s="1345"/>
      <c r="J551" s="1252"/>
      <c r="K551" s="1350"/>
      <c r="L551" s="1346">
        <v>12</v>
      </c>
      <c r="M551" s="1252"/>
      <c r="N551" s="1347" t="s">
        <v>2216</v>
      </c>
      <c r="O551" s="1348" t="s">
        <v>2217</v>
      </c>
      <c r="P551" s="1348" t="s">
        <v>2023</v>
      </c>
      <c r="Q551" s="1350"/>
      <c r="R551" s="1346">
        <v>12</v>
      </c>
      <c r="S551" s="1350"/>
    </row>
    <row r="552" spans="1:19" ht="19.5" customHeight="1">
      <c r="A552" s="1252">
        <v>400</v>
      </c>
      <c r="B552" s="1252" t="s">
        <v>1973</v>
      </c>
      <c r="C552" s="1343" t="s">
        <v>96</v>
      </c>
      <c r="D552" s="1252"/>
      <c r="E552" s="1352">
        <v>1050</v>
      </c>
      <c r="F552" s="1347" t="s">
        <v>2274</v>
      </c>
      <c r="G552" s="1347" t="s">
        <v>2275</v>
      </c>
      <c r="H552" s="1347" t="s">
        <v>1997</v>
      </c>
      <c r="I552" s="1345"/>
      <c r="J552" s="1252"/>
      <c r="K552" s="1350"/>
      <c r="L552" s="1346">
        <v>12</v>
      </c>
      <c r="M552" s="1252"/>
      <c r="N552" s="1347" t="s">
        <v>2315</v>
      </c>
      <c r="O552" s="1348" t="s">
        <v>2316</v>
      </c>
      <c r="P552" s="1348" t="s">
        <v>2008</v>
      </c>
      <c r="Q552" s="1350"/>
      <c r="R552" s="1346">
        <v>12</v>
      </c>
      <c r="S552" s="1350"/>
    </row>
    <row r="553" spans="1:19" ht="19.5" customHeight="1">
      <c r="A553" s="1252">
        <v>400</v>
      </c>
      <c r="B553" s="1252" t="s">
        <v>1973</v>
      </c>
      <c r="C553" s="1343" t="s">
        <v>96</v>
      </c>
      <c r="D553" s="1252"/>
      <c r="E553" s="1352">
        <v>1050</v>
      </c>
      <c r="F553" s="1347" t="s">
        <v>2317</v>
      </c>
      <c r="G553" s="1347" t="s">
        <v>2318</v>
      </c>
      <c r="H553" s="1347" t="s">
        <v>1997</v>
      </c>
      <c r="I553" s="1345"/>
      <c r="J553" s="1252"/>
      <c r="K553" s="1350"/>
      <c r="L553" s="1346">
        <v>12</v>
      </c>
      <c r="M553" s="1252"/>
      <c r="N553" s="1347" t="s">
        <v>2246</v>
      </c>
      <c r="O553" s="1348" t="s">
        <v>2247</v>
      </c>
      <c r="P553" s="1348" t="s">
        <v>2103</v>
      </c>
      <c r="Q553" s="1350"/>
      <c r="R553" s="1346">
        <v>12</v>
      </c>
      <c r="S553" s="1350"/>
    </row>
    <row r="554" spans="1:19" ht="19.5" customHeight="1">
      <c r="A554" s="1252">
        <v>400</v>
      </c>
      <c r="B554" s="1252" t="s">
        <v>1973</v>
      </c>
      <c r="C554" s="1343" t="s">
        <v>96</v>
      </c>
      <c r="D554" s="1252"/>
      <c r="E554" s="1352">
        <v>1100</v>
      </c>
      <c r="F554" s="1347" t="s">
        <v>2319</v>
      </c>
      <c r="G554" s="1347" t="s">
        <v>2320</v>
      </c>
      <c r="H554" s="1347" t="s">
        <v>1997</v>
      </c>
      <c r="I554" s="1345"/>
      <c r="J554" s="1252"/>
      <c r="K554" s="1350"/>
      <c r="L554" s="1346">
        <v>12</v>
      </c>
      <c r="M554" s="1252"/>
      <c r="N554" s="1347" t="s">
        <v>2317</v>
      </c>
      <c r="O554" s="1348" t="s">
        <v>2318</v>
      </c>
      <c r="P554" s="1348" t="s">
        <v>1997</v>
      </c>
      <c r="Q554" s="1350"/>
      <c r="R554" s="1346">
        <v>12</v>
      </c>
      <c r="S554" s="1350"/>
    </row>
    <row r="555" spans="1:19" ht="19.5" customHeight="1">
      <c r="A555" s="1252">
        <v>400</v>
      </c>
      <c r="B555" s="1252" t="s">
        <v>1973</v>
      </c>
      <c r="C555" s="1343" t="s">
        <v>96</v>
      </c>
      <c r="D555" s="1252"/>
      <c r="E555" s="1352">
        <v>1050</v>
      </c>
      <c r="F555" s="1347" t="s">
        <v>2321</v>
      </c>
      <c r="G555" s="1347" t="s">
        <v>2322</v>
      </c>
      <c r="H555" s="1347" t="s">
        <v>1997</v>
      </c>
      <c r="I555" s="1345"/>
      <c r="J555" s="1252"/>
      <c r="K555" s="1350"/>
      <c r="L555" s="1346">
        <v>12</v>
      </c>
      <c r="M555" s="1252"/>
      <c r="N555" s="1347" t="s">
        <v>2323</v>
      </c>
      <c r="O555" s="1348" t="s">
        <v>2324</v>
      </c>
      <c r="P555" s="1348" t="s">
        <v>2014</v>
      </c>
      <c r="Q555" s="1350"/>
      <c r="R555" s="1346">
        <v>12</v>
      </c>
      <c r="S555" s="1350"/>
    </row>
    <row r="556" spans="1:19" ht="19.5" customHeight="1">
      <c r="A556" s="1252">
        <v>400</v>
      </c>
      <c r="B556" s="1252" t="s">
        <v>1973</v>
      </c>
      <c r="C556" s="1343" t="s">
        <v>96</v>
      </c>
      <c r="D556" s="1252"/>
      <c r="E556" s="1352">
        <v>1100</v>
      </c>
      <c r="F556" s="1347" t="s">
        <v>2325</v>
      </c>
      <c r="G556" s="1347" t="s">
        <v>2326</v>
      </c>
      <c r="H556" s="1347" t="s">
        <v>1997</v>
      </c>
      <c r="I556" s="1345"/>
      <c r="J556" s="1252"/>
      <c r="K556" s="1350"/>
      <c r="L556" s="1346">
        <v>12</v>
      </c>
      <c r="M556" s="1252"/>
      <c r="N556" s="1347" t="s">
        <v>2248</v>
      </c>
      <c r="O556" s="1348" t="s">
        <v>2249</v>
      </c>
      <c r="P556" s="1348" t="s">
        <v>2103</v>
      </c>
      <c r="Q556" s="1350"/>
      <c r="R556" s="1346">
        <v>12</v>
      </c>
      <c r="S556" s="1350"/>
    </row>
    <row r="557" spans="1:19" ht="19.5" customHeight="1">
      <c r="A557" s="1252">
        <v>400</v>
      </c>
      <c r="B557" s="1252" t="s">
        <v>1973</v>
      </c>
      <c r="C557" s="1343" t="s">
        <v>96</v>
      </c>
      <c r="D557" s="1252"/>
      <c r="E557" s="1352">
        <v>1200</v>
      </c>
      <c r="F557" s="1347" t="s">
        <v>2327</v>
      </c>
      <c r="G557" s="1347" t="s">
        <v>2328</v>
      </c>
      <c r="H557" s="1347" t="s">
        <v>1997</v>
      </c>
      <c r="I557" s="1345"/>
      <c r="J557" s="1252"/>
      <c r="K557" s="1350"/>
      <c r="L557" s="1346">
        <v>12</v>
      </c>
      <c r="M557" s="1252"/>
      <c r="N557" s="1347" t="s">
        <v>2329</v>
      </c>
      <c r="O557" s="1348" t="s">
        <v>2330</v>
      </c>
      <c r="P557" s="1348" t="s">
        <v>2008</v>
      </c>
      <c r="Q557" s="1350"/>
      <c r="R557" s="1346">
        <v>12</v>
      </c>
      <c r="S557" s="1350"/>
    </row>
    <row r="558" spans="1:19" ht="19.5" customHeight="1">
      <c r="A558" s="1252">
        <v>400</v>
      </c>
      <c r="B558" s="1252" t="s">
        <v>1973</v>
      </c>
      <c r="C558" s="1343" t="s">
        <v>96</v>
      </c>
      <c r="D558" s="1252"/>
      <c r="E558" s="1352">
        <v>1200</v>
      </c>
      <c r="F558" s="1347" t="s">
        <v>2331</v>
      </c>
      <c r="G558" s="1347" t="s">
        <v>2332</v>
      </c>
      <c r="H558" s="1347" t="s">
        <v>1997</v>
      </c>
      <c r="I558" s="1345"/>
      <c r="J558" s="1252"/>
      <c r="K558" s="1350"/>
      <c r="L558" s="1346">
        <v>12</v>
      </c>
      <c r="M558" s="1252"/>
      <c r="N558" s="1347" t="s">
        <v>2220</v>
      </c>
      <c r="O558" s="1348" t="s">
        <v>2221</v>
      </c>
      <c r="P558" s="1348" t="s">
        <v>2023</v>
      </c>
      <c r="Q558" s="1350"/>
      <c r="R558" s="1346">
        <v>12</v>
      </c>
      <c r="S558" s="1350"/>
    </row>
    <row r="559" spans="1:19" ht="19.5" customHeight="1">
      <c r="A559" s="1252">
        <v>400</v>
      </c>
      <c r="B559" s="1252" t="s">
        <v>1973</v>
      </c>
      <c r="C559" s="1343" t="s">
        <v>96</v>
      </c>
      <c r="D559" s="1252"/>
      <c r="E559" s="1352">
        <v>1050</v>
      </c>
      <c r="F559" s="1347" t="s">
        <v>2333</v>
      </c>
      <c r="G559" s="1347" t="s">
        <v>2334</v>
      </c>
      <c r="H559" s="1347" t="s">
        <v>1997</v>
      </c>
      <c r="I559" s="1345"/>
      <c r="J559" s="1252"/>
      <c r="K559" s="1350"/>
      <c r="L559" s="1346">
        <v>12</v>
      </c>
      <c r="M559" s="1252"/>
      <c r="N559" s="1347" t="s">
        <v>2335</v>
      </c>
      <c r="O559" s="1348" t="s">
        <v>2336</v>
      </c>
      <c r="P559" s="1348" t="s">
        <v>2008</v>
      </c>
      <c r="Q559" s="1350"/>
      <c r="R559" s="1346">
        <v>12</v>
      </c>
      <c r="S559" s="1350"/>
    </row>
    <row r="560" spans="1:19" ht="19.5" customHeight="1">
      <c r="A560" s="1252">
        <v>400</v>
      </c>
      <c r="B560" s="1252" t="s">
        <v>1973</v>
      </c>
      <c r="C560" s="1343" t="s">
        <v>96</v>
      </c>
      <c r="D560" s="1252"/>
      <c r="E560" s="1352">
        <v>1100</v>
      </c>
      <c r="F560" s="1347" t="s">
        <v>2337</v>
      </c>
      <c r="G560" s="1347" t="s">
        <v>2338</v>
      </c>
      <c r="H560" s="1347" t="s">
        <v>1997</v>
      </c>
      <c r="I560" s="1345"/>
      <c r="J560" s="1252"/>
      <c r="K560" s="1350"/>
      <c r="L560" s="1346">
        <v>12</v>
      </c>
      <c r="M560" s="1252"/>
      <c r="N560" s="1347" t="s">
        <v>2298</v>
      </c>
      <c r="O560" s="1348" t="s">
        <v>2299</v>
      </c>
      <c r="P560" s="1348" t="s">
        <v>2300</v>
      </c>
      <c r="Q560" s="1350"/>
      <c r="R560" s="1346">
        <v>12</v>
      </c>
      <c r="S560" s="1350"/>
    </row>
    <row r="561" spans="1:19" ht="19.5" customHeight="1">
      <c r="A561" s="1252">
        <v>400</v>
      </c>
      <c r="B561" s="1252" t="s">
        <v>1973</v>
      </c>
      <c r="C561" s="1343" t="s">
        <v>96</v>
      </c>
      <c r="D561" s="1252"/>
      <c r="E561" s="1352">
        <v>1100</v>
      </c>
      <c r="F561" s="1347" t="s">
        <v>2339</v>
      </c>
      <c r="G561" s="1347" t="s">
        <v>2340</v>
      </c>
      <c r="H561" s="1347" t="s">
        <v>1997</v>
      </c>
      <c r="I561" s="1345"/>
      <c r="J561" s="1252"/>
      <c r="K561" s="1350"/>
      <c r="L561" s="1346">
        <v>12</v>
      </c>
      <c r="M561" s="1252"/>
      <c r="N561" s="1347" t="s">
        <v>2341</v>
      </c>
      <c r="O561" s="1348" t="s">
        <v>2342</v>
      </c>
      <c r="P561" s="1348" t="s">
        <v>2014</v>
      </c>
      <c r="Q561" s="1350"/>
      <c r="R561" s="1346">
        <v>12</v>
      </c>
      <c r="S561" s="1350"/>
    </row>
    <row r="562" spans="1:19" ht="19.5" customHeight="1">
      <c r="A562" s="1252">
        <v>400</v>
      </c>
      <c r="B562" s="1252" t="s">
        <v>1973</v>
      </c>
      <c r="C562" s="1343" t="s">
        <v>96</v>
      </c>
      <c r="D562" s="1252"/>
      <c r="E562" s="1352">
        <v>1050</v>
      </c>
      <c r="F562" s="1347" t="s">
        <v>2343</v>
      </c>
      <c r="G562" s="1347" t="s">
        <v>2344</v>
      </c>
      <c r="H562" s="1347" t="s">
        <v>2345</v>
      </c>
      <c r="I562" s="1345"/>
      <c r="J562" s="1252"/>
      <c r="K562" s="1350"/>
      <c r="L562" s="1346">
        <v>12</v>
      </c>
      <c r="M562" s="1252"/>
      <c r="N562" s="1347" t="s">
        <v>2319</v>
      </c>
      <c r="O562" s="1348" t="s">
        <v>2320</v>
      </c>
      <c r="P562" s="1348" t="s">
        <v>1997</v>
      </c>
      <c r="Q562" s="1350"/>
      <c r="R562" s="1346">
        <v>12</v>
      </c>
      <c r="S562" s="1350"/>
    </row>
    <row r="563" spans="1:19" ht="19.5" customHeight="1">
      <c r="A563" s="1252">
        <v>400</v>
      </c>
      <c r="B563" s="1252" t="s">
        <v>1973</v>
      </c>
      <c r="C563" s="1343" t="s">
        <v>96</v>
      </c>
      <c r="D563" s="1252"/>
      <c r="E563" s="1352">
        <v>1800</v>
      </c>
      <c r="F563" s="1347" t="s">
        <v>2106</v>
      </c>
      <c r="G563" s="1347" t="s">
        <v>2107</v>
      </c>
      <c r="H563" s="1347" t="s">
        <v>2014</v>
      </c>
      <c r="I563" s="1345"/>
      <c r="J563" s="1252"/>
      <c r="K563" s="1350"/>
      <c r="L563" s="1346">
        <v>12</v>
      </c>
      <c r="M563" s="1252"/>
      <c r="N563" s="1347" t="s">
        <v>2346</v>
      </c>
      <c r="O563" s="1348" t="s">
        <v>2347</v>
      </c>
      <c r="P563" s="1348" t="s">
        <v>2023</v>
      </c>
      <c r="Q563" s="1350"/>
      <c r="R563" s="1346">
        <v>12</v>
      </c>
      <c r="S563" s="1350"/>
    </row>
    <row r="564" spans="1:19" ht="19.5" customHeight="1">
      <c r="A564" s="1252">
        <v>400</v>
      </c>
      <c r="B564" s="1252" t="s">
        <v>1973</v>
      </c>
      <c r="C564" s="1343" t="s">
        <v>96</v>
      </c>
      <c r="D564" s="1252"/>
      <c r="E564" s="1352">
        <v>1800</v>
      </c>
      <c r="F564" s="1347" t="s">
        <v>2188</v>
      </c>
      <c r="G564" s="1347" t="s">
        <v>2189</v>
      </c>
      <c r="H564" s="1347" t="s">
        <v>2014</v>
      </c>
      <c r="I564" s="1345"/>
      <c r="J564" s="1252"/>
      <c r="K564" s="1350"/>
      <c r="L564" s="1346">
        <v>12</v>
      </c>
      <c r="M564" s="1252"/>
      <c r="N564" s="1347" t="s">
        <v>2348</v>
      </c>
      <c r="O564" s="1348" t="s">
        <v>2349</v>
      </c>
      <c r="P564" s="1348" t="s">
        <v>2008</v>
      </c>
      <c r="Q564" s="1350"/>
      <c r="R564" s="1346">
        <v>12</v>
      </c>
      <c r="S564" s="1350"/>
    </row>
    <row r="565" spans="1:19" ht="19.5" customHeight="1">
      <c r="A565" s="1252">
        <v>400</v>
      </c>
      <c r="B565" s="1252" t="s">
        <v>1973</v>
      </c>
      <c r="C565" s="1343" t="s">
        <v>96</v>
      </c>
      <c r="D565" s="1252"/>
      <c r="E565" s="1352">
        <v>1200</v>
      </c>
      <c r="F565" s="1347" t="s">
        <v>2350</v>
      </c>
      <c r="G565" s="1347" t="s">
        <v>2351</v>
      </c>
      <c r="H565" s="1347" t="s">
        <v>2014</v>
      </c>
      <c r="I565" s="1345"/>
      <c r="J565" s="1252"/>
      <c r="K565" s="1350"/>
      <c r="L565" s="1346">
        <v>12</v>
      </c>
      <c r="M565" s="1252"/>
      <c r="N565" s="1347" t="s">
        <v>2052</v>
      </c>
      <c r="O565" s="1348" t="s">
        <v>2053</v>
      </c>
      <c r="P565" s="1348" t="s">
        <v>2008</v>
      </c>
      <c r="Q565" s="1350"/>
      <c r="R565" s="1346">
        <v>12</v>
      </c>
      <c r="S565" s="1350"/>
    </row>
    <row r="566" spans="1:19" ht="19.5" customHeight="1">
      <c r="A566" s="1252">
        <v>400</v>
      </c>
      <c r="B566" s="1252" t="s">
        <v>1973</v>
      </c>
      <c r="C566" s="1343" t="s">
        <v>96</v>
      </c>
      <c r="D566" s="1252"/>
      <c r="E566" s="1352">
        <v>1200</v>
      </c>
      <c r="F566" s="1347" t="s">
        <v>2222</v>
      </c>
      <c r="G566" s="1347" t="s">
        <v>2223</v>
      </c>
      <c r="H566" s="1347" t="s">
        <v>2014</v>
      </c>
      <c r="I566" s="1345"/>
      <c r="J566" s="1252"/>
      <c r="K566" s="1350"/>
      <c r="L566" s="1346">
        <v>12</v>
      </c>
      <c r="M566" s="1252"/>
      <c r="N566" s="1347" t="s">
        <v>2057</v>
      </c>
      <c r="O566" s="1348" t="s">
        <v>2058</v>
      </c>
      <c r="P566" s="1348" t="s">
        <v>2008</v>
      </c>
      <c r="Q566" s="1350"/>
      <c r="R566" s="1346">
        <v>12</v>
      </c>
      <c r="S566" s="1350"/>
    </row>
    <row r="567" spans="1:19" ht="19.5" customHeight="1">
      <c r="A567" s="1252">
        <v>400</v>
      </c>
      <c r="B567" s="1252" t="s">
        <v>1973</v>
      </c>
      <c r="C567" s="1343" t="s">
        <v>96</v>
      </c>
      <c r="D567" s="1252"/>
      <c r="E567" s="1352">
        <v>1200</v>
      </c>
      <c r="F567" s="1347" t="s">
        <v>2258</v>
      </c>
      <c r="G567" s="1347" t="s">
        <v>2259</v>
      </c>
      <c r="H567" s="1347" t="s">
        <v>2014</v>
      </c>
      <c r="I567" s="1345"/>
      <c r="J567" s="1252"/>
      <c r="K567" s="1350"/>
      <c r="L567" s="1346">
        <v>12</v>
      </c>
      <c r="M567" s="1252"/>
      <c r="N567" s="1347" t="s">
        <v>2321</v>
      </c>
      <c r="O567" s="1348" t="s">
        <v>2322</v>
      </c>
      <c r="P567" s="1348" t="s">
        <v>1997</v>
      </c>
      <c r="Q567" s="1350"/>
      <c r="R567" s="1346">
        <v>12</v>
      </c>
      <c r="S567" s="1350"/>
    </row>
    <row r="568" spans="1:19" ht="19.5" customHeight="1">
      <c r="A568" s="1252">
        <v>400</v>
      </c>
      <c r="B568" s="1252" t="s">
        <v>1973</v>
      </c>
      <c r="C568" s="1343" t="s">
        <v>96</v>
      </c>
      <c r="D568" s="1252"/>
      <c r="E568" s="1352">
        <v>1200</v>
      </c>
      <c r="F568" s="1347" t="s">
        <v>2262</v>
      </c>
      <c r="G568" s="1347" t="s">
        <v>2263</v>
      </c>
      <c r="H568" s="1347" t="s">
        <v>2014</v>
      </c>
      <c r="I568" s="1345"/>
      <c r="J568" s="1252"/>
      <c r="K568" s="1350"/>
      <c r="L568" s="1346">
        <v>12</v>
      </c>
      <c r="M568" s="1252"/>
      <c r="N568" s="1347" t="s">
        <v>2343</v>
      </c>
      <c r="O568" s="1348" t="s">
        <v>2344</v>
      </c>
      <c r="P568" s="1348" t="s">
        <v>2345</v>
      </c>
      <c r="Q568" s="1350"/>
      <c r="R568" s="1346">
        <v>12</v>
      </c>
      <c r="S568" s="1350"/>
    </row>
    <row r="569" spans="1:19" ht="19.5" customHeight="1">
      <c r="A569" s="1252">
        <v>400</v>
      </c>
      <c r="B569" s="1252" t="s">
        <v>1973</v>
      </c>
      <c r="C569" s="1343" t="s">
        <v>96</v>
      </c>
      <c r="D569" s="1252"/>
      <c r="E569" s="1352">
        <v>1200</v>
      </c>
      <c r="F569" s="1347" t="s">
        <v>2266</v>
      </c>
      <c r="G569" s="1347" t="s">
        <v>2267</v>
      </c>
      <c r="H569" s="1347" t="s">
        <v>2014</v>
      </c>
      <c r="I569" s="1345"/>
      <c r="J569" s="1252"/>
      <c r="K569" s="1350"/>
      <c r="L569" s="1346">
        <v>12</v>
      </c>
      <c r="M569" s="1252"/>
      <c r="N569" s="1347" t="s">
        <v>2061</v>
      </c>
      <c r="O569" s="1348" t="s">
        <v>2062</v>
      </c>
      <c r="P569" s="1348" t="s">
        <v>2008</v>
      </c>
      <c r="Q569" s="1350"/>
      <c r="R569" s="1346">
        <v>12</v>
      </c>
      <c r="S569" s="1350"/>
    </row>
    <row r="570" spans="1:19" ht="19.5" customHeight="1">
      <c r="A570" s="1252">
        <v>400</v>
      </c>
      <c r="B570" s="1252" t="s">
        <v>1973</v>
      </c>
      <c r="C570" s="1343" t="s">
        <v>96</v>
      </c>
      <c r="D570" s="1252"/>
      <c r="E570" s="1352">
        <v>950</v>
      </c>
      <c r="F570" s="1347" t="s">
        <v>2282</v>
      </c>
      <c r="G570" s="1347" t="s">
        <v>2283</v>
      </c>
      <c r="H570" s="1347" t="s">
        <v>2014</v>
      </c>
      <c r="I570" s="1345"/>
      <c r="J570" s="1252"/>
      <c r="K570" s="1350"/>
      <c r="L570" s="1346">
        <v>12</v>
      </c>
      <c r="M570" s="1252"/>
      <c r="N570" s="1347" t="s">
        <v>2066</v>
      </c>
      <c r="O570" s="1348" t="s">
        <v>2067</v>
      </c>
      <c r="P570" s="1348" t="s">
        <v>2008</v>
      </c>
      <c r="Q570" s="1350"/>
      <c r="R570" s="1346">
        <v>12</v>
      </c>
      <c r="S570" s="1350"/>
    </row>
    <row r="571" spans="1:19" ht="19.5" customHeight="1">
      <c r="A571" s="1252">
        <v>400</v>
      </c>
      <c r="B571" s="1252" t="s">
        <v>1973</v>
      </c>
      <c r="C571" s="1343" t="s">
        <v>96</v>
      </c>
      <c r="D571" s="1252"/>
      <c r="E571" s="1352">
        <v>1200</v>
      </c>
      <c r="F571" s="1347" t="s">
        <v>2305</v>
      </c>
      <c r="G571" s="1347" t="s">
        <v>2306</v>
      </c>
      <c r="H571" s="1347" t="s">
        <v>2014</v>
      </c>
      <c r="I571" s="1345"/>
      <c r="J571" s="1252"/>
      <c r="K571" s="1350"/>
      <c r="L571" s="1346">
        <v>12</v>
      </c>
      <c r="M571" s="1252"/>
      <c r="N571" s="1347" t="s">
        <v>2352</v>
      </c>
      <c r="O571" s="1348" t="s">
        <v>2353</v>
      </c>
      <c r="P571" s="1348" t="s">
        <v>2008</v>
      </c>
      <c r="Q571" s="1350"/>
      <c r="R571" s="1346">
        <v>12</v>
      </c>
      <c r="S571" s="1350"/>
    </row>
    <row r="572" spans="1:19" ht="19.5" customHeight="1">
      <c r="A572" s="1252">
        <v>400</v>
      </c>
      <c r="B572" s="1252" t="s">
        <v>1973</v>
      </c>
      <c r="C572" s="1343" t="s">
        <v>96</v>
      </c>
      <c r="D572" s="1252"/>
      <c r="E572" s="1352">
        <v>1200</v>
      </c>
      <c r="F572" s="1347" t="s">
        <v>2354</v>
      </c>
      <c r="G572" s="1347" t="s">
        <v>2355</v>
      </c>
      <c r="H572" s="1347" t="s">
        <v>2014</v>
      </c>
      <c r="I572" s="1345"/>
      <c r="J572" s="1252"/>
      <c r="K572" s="1350"/>
      <c r="L572" s="1346">
        <v>12</v>
      </c>
      <c r="M572" s="1252"/>
      <c r="N572" s="1347" t="s">
        <v>2356</v>
      </c>
      <c r="O572" s="1348" t="s">
        <v>2357</v>
      </c>
      <c r="P572" s="1348" t="s">
        <v>2065</v>
      </c>
      <c r="Q572" s="1350"/>
      <c r="R572" s="1346">
        <v>12</v>
      </c>
      <c r="S572" s="1350"/>
    </row>
    <row r="573" spans="1:19" ht="19.5" customHeight="1">
      <c r="A573" s="1252">
        <v>400</v>
      </c>
      <c r="B573" s="1252" t="s">
        <v>1973</v>
      </c>
      <c r="C573" s="1343" t="s">
        <v>96</v>
      </c>
      <c r="D573" s="1252"/>
      <c r="E573" s="1352">
        <v>1200</v>
      </c>
      <c r="F573" s="1347" t="s">
        <v>2358</v>
      </c>
      <c r="G573" s="1347" t="s">
        <v>2359</v>
      </c>
      <c r="H573" s="1347" t="s">
        <v>2014</v>
      </c>
      <c r="I573" s="1345"/>
      <c r="J573" s="1252"/>
      <c r="K573" s="1350"/>
      <c r="L573" s="1346">
        <v>12</v>
      </c>
      <c r="M573" s="1252"/>
      <c r="N573" s="1347" t="s">
        <v>2360</v>
      </c>
      <c r="O573" s="1348" t="s">
        <v>2361</v>
      </c>
      <c r="P573" s="1348" t="s">
        <v>2008</v>
      </c>
      <c r="Q573" s="1350"/>
      <c r="R573" s="1346">
        <v>12</v>
      </c>
      <c r="S573" s="1350"/>
    </row>
    <row r="574" spans="1:19" ht="19.5" customHeight="1">
      <c r="A574" s="1252">
        <v>400</v>
      </c>
      <c r="B574" s="1252" t="s">
        <v>1973</v>
      </c>
      <c r="C574" s="1343" t="s">
        <v>96</v>
      </c>
      <c r="D574" s="1252"/>
      <c r="E574" s="1352">
        <v>1600</v>
      </c>
      <c r="F574" s="1347" t="s">
        <v>2362</v>
      </c>
      <c r="G574" s="1347" t="s">
        <v>2363</v>
      </c>
      <c r="H574" s="1347" t="s">
        <v>2014</v>
      </c>
      <c r="I574" s="1345"/>
      <c r="J574" s="1252"/>
      <c r="K574" s="1350"/>
      <c r="L574" s="1346">
        <v>12</v>
      </c>
      <c r="M574" s="1252"/>
      <c r="N574" s="1347" t="s">
        <v>2364</v>
      </c>
      <c r="O574" s="1348" t="s">
        <v>2365</v>
      </c>
      <c r="P574" s="1348" t="s">
        <v>2008</v>
      </c>
      <c r="Q574" s="1350"/>
      <c r="R574" s="1346">
        <v>12</v>
      </c>
      <c r="S574" s="1350"/>
    </row>
    <row r="575" spans="1:19" ht="19.5" customHeight="1">
      <c r="A575" s="1252">
        <v>400</v>
      </c>
      <c r="B575" s="1252" t="s">
        <v>1973</v>
      </c>
      <c r="C575" s="1343" t="s">
        <v>96</v>
      </c>
      <c r="D575" s="1252"/>
      <c r="E575" s="1352">
        <v>1200</v>
      </c>
      <c r="F575" s="1347" t="s">
        <v>2366</v>
      </c>
      <c r="G575" s="1347" t="s">
        <v>2367</v>
      </c>
      <c r="H575" s="1347" t="s">
        <v>2014</v>
      </c>
      <c r="I575" s="1345"/>
      <c r="J575" s="1252"/>
      <c r="K575" s="1350"/>
      <c r="L575" s="1346">
        <v>12</v>
      </c>
      <c r="M575" s="1252"/>
      <c r="N575" s="1347" t="s">
        <v>2252</v>
      </c>
      <c r="O575" s="1348" t="s">
        <v>2253</v>
      </c>
      <c r="P575" s="1348" t="s">
        <v>2103</v>
      </c>
      <c r="Q575" s="1350"/>
      <c r="R575" s="1346">
        <v>12</v>
      </c>
      <c r="S575" s="1350"/>
    </row>
    <row r="576" spans="1:19" ht="19.5" customHeight="1">
      <c r="A576" s="1252">
        <v>400</v>
      </c>
      <c r="B576" s="1252" t="s">
        <v>1973</v>
      </c>
      <c r="C576" s="1343" t="s">
        <v>96</v>
      </c>
      <c r="D576" s="1252"/>
      <c r="E576" s="1352">
        <v>1200</v>
      </c>
      <c r="F576" s="1347" t="s">
        <v>2368</v>
      </c>
      <c r="G576" s="1347" t="s">
        <v>2369</v>
      </c>
      <c r="H576" s="1347" t="s">
        <v>2014</v>
      </c>
      <c r="I576" s="1345"/>
      <c r="J576" s="1252"/>
      <c r="K576" s="1350"/>
      <c r="L576" s="1346">
        <v>12</v>
      </c>
      <c r="M576" s="1252"/>
      <c r="N576" s="1347" t="s">
        <v>2370</v>
      </c>
      <c r="O576" s="1348" t="s">
        <v>2371</v>
      </c>
      <c r="P576" s="1348" t="s">
        <v>2008</v>
      </c>
      <c r="Q576" s="1350"/>
      <c r="R576" s="1346">
        <v>12</v>
      </c>
      <c r="S576" s="1350"/>
    </row>
    <row r="577" spans="1:19" ht="19.5" customHeight="1">
      <c r="A577" s="1252">
        <v>400</v>
      </c>
      <c r="B577" s="1252" t="s">
        <v>1973</v>
      </c>
      <c r="C577" s="1343" t="s">
        <v>96</v>
      </c>
      <c r="D577" s="1252"/>
      <c r="E577" s="1352">
        <v>1800</v>
      </c>
      <c r="F577" s="1347" t="s">
        <v>2372</v>
      </c>
      <c r="G577" s="1347" t="s">
        <v>2373</v>
      </c>
      <c r="H577" s="1347" t="s">
        <v>2014</v>
      </c>
      <c r="I577" s="1345"/>
      <c r="J577" s="1252"/>
      <c r="K577" s="1350"/>
      <c r="L577" s="1346">
        <v>12</v>
      </c>
      <c r="M577" s="1252"/>
      <c r="N577" s="1347" t="s">
        <v>2180</v>
      </c>
      <c r="O577" s="1348" t="s">
        <v>2181</v>
      </c>
      <c r="P577" s="1348" t="s">
        <v>1987</v>
      </c>
      <c r="Q577" s="1350"/>
      <c r="R577" s="1346">
        <v>12</v>
      </c>
      <c r="S577" s="1350"/>
    </row>
    <row r="578" spans="1:19" ht="19.5" customHeight="1">
      <c r="A578" s="1252">
        <v>400</v>
      </c>
      <c r="B578" s="1252" t="s">
        <v>1973</v>
      </c>
      <c r="C578" s="1343" t="s">
        <v>96</v>
      </c>
      <c r="D578" s="1252"/>
      <c r="E578" s="1352">
        <v>1200</v>
      </c>
      <c r="F578" s="1347" t="s">
        <v>2374</v>
      </c>
      <c r="G578" s="1347" t="s">
        <v>2375</v>
      </c>
      <c r="H578" s="1347" t="s">
        <v>2014</v>
      </c>
      <c r="I578" s="1345"/>
      <c r="J578" s="1252"/>
      <c r="K578" s="1350"/>
      <c r="L578" s="1346">
        <v>12</v>
      </c>
      <c r="M578" s="1252"/>
      <c r="N578" s="1347" t="s">
        <v>2376</v>
      </c>
      <c r="O578" s="1348" t="s">
        <v>2377</v>
      </c>
      <c r="P578" s="1348" t="s">
        <v>2086</v>
      </c>
      <c r="Q578" s="1350"/>
      <c r="R578" s="1346">
        <v>12</v>
      </c>
      <c r="S578" s="1350"/>
    </row>
    <row r="579" spans="1:19" ht="19.5" customHeight="1">
      <c r="A579" s="1252">
        <v>400</v>
      </c>
      <c r="B579" s="1252" t="s">
        <v>1973</v>
      </c>
      <c r="C579" s="1343" t="s">
        <v>96</v>
      </c>
      <c r="D579" s="1252"/>
      <c r="E579" s="1352">
        <v>1200</v>
      </c>
      <c r="F579" s="1347" t="s">
        <v>2378</v>
      </c>
      <c r="G579" s="1347" t="s">
        <v>2379</v>
      </c>
      <c r="H579" s="1347" t="s">
        <v>2014</v>
      </c>
      <c r="I579" s="1345"/>
      <c r="J579" s="1252"/>
      <c r="K579" s="1350"/>
      <c r="L579" s="1346">
        <v>12</v>
      </c>
      <c r="M579" s="1252"/>
      <c r="N579" s="1347" t="s">
        <v>2380</v>
      </c>
      <c r="O579" s="1348" t="s">
        <v>2381</v>
      </c>
      <c r="P579" s="1348" t="s">
        <v>2023</v>
      </c>
      <c r="Q579" s="1350"/>
      <c r="R579" s="1346">
        <v>12</v>
      </c>
      <c r="S579" s="1350"/>
    </row>
    <row r="580" spans="1:19" ht="19.5" customHeight="1">
      <c r="A580" s="1252">
        <v>400</v>
      </c>
      <c r="B580" s="1252" t="s">
        <v>1973</v>
      </c>
      <c r="C580" s="1343" t="s">
        <v>96</v>
      </c>
      <c r="D580" s="1252"/>
      <c r="E580" s="1352">
        <v>1200</v>
      </c>
      <c r="F580" s="1347" t="s">
        <v>2382</v>
      </c>
      <c r="G580" s="1347" t="s">
        <v>2383</v>
      </c>
      <c r="H580" s="1347" t="s">
        <v>2014</v>
      </c>
      <c r="I580" s="1345"/>
      <c r="J580" s="1252"/>
      <c r="K580" s="1350"/>
      <c r="L580" s="1346">
        <v>12</v>
      </c>
      <c r="M580" s="1252"/>
      <c r="N580" s="1347" t="s">
        <v>2224</v>
      </c>
      <c r="O580" s="1348" t="s">
        <v>2225</v>
      </c>
      <c r="P580" s="1348" t="s">
        <v>2023</v>
      </c>
      <c r="Q580" s="1350"/>
      <c r="R580" s="1346">
        <v>12</v>
      </c>
      <c r="S580" s="1350"/>
    </row>
    <row r="581" spans="1:19" ht="19.5" customHeight="1">
      <c r="A581" s="1252">
        <v>400</v>
      </c>
      <c r="B581" s="1252" t="s">
        <v>1973</v>
      </c>
      <c r="C581" s="1343" t="s">
        <v>96</v>
      </c>
      <c r="D581" s="1252"/>
      <c r="E581" s="1352">
        <v>1200</v>
      </c>
      <c r="F581" s="1347" t="s">
        <v>2384</v>
      </c>
      <c r="G581" s="1347" t="s">
        <v>2385</v>
      </c>
      <c r="H581" s="1347" t="s">
        <v>2014</v>
      </c>
      <c r="I581" s="1345"/>
      <c r="J581" s="1252"/>
      <c r="K581" s="1350"/>
      <c r="L581" s="1346">
        <v>12</v>
      </c>
      <c r="M581" s="1252"/>
      <c r="N581" s="1347" t="s">
        <v>2386</v>
      </c>
      <c r="O581" s="1348" t="s">
        <v>2387</v>
      </c>
      <c r="P581" s="1348" t="s">
        <v>2023</v>
      </c>
      <c r="Q581" s="1350"/>
      <c r="R581" s="1346">
        <v>12</v>
      </c>
      <c r="S581" s="1350"/>
    </row>
    <row r="582" spans="1:19" ht="19.5" customHeight="1">
      <c r="A582" s="1252">
        <v>400</v>
      </c>
      <c r="B582" s="1252" t="s">
        <v>1973</v>
      </c>
      <c r="C582" s="1343" t="s">
        <v>96</v>
      </c>
      <c r="D582" s="1252"/>
      <c r="E582" s="1352">
        <v>950</v>
      </c>
      <c r="F582" s="1347" t="s">
        <v>2388</v>
      </c>
      <c r="G582" s="1347" t="s">
        <v>2389</v>
      </c>
      <c r="H582" s="1347" t="s">
        <v>2014</v>
      </c>
      <c r="I582" s="1345"/>
      <c r="J582" s="1252"/>
      <c r="K582" s="1350"/>
      <c r="L582" s="1346">
        <v>12</v>
      </c>
      <c r="M582" s="1252"/>
      <c r="N582" s="1347" t="s">
        <v>2390</v>
      </c>
      <c r="O582" s="1348" t="s">
        <v>2391</v>
      </c>
      <c r="P582" s="1348" t="s">
        <v>2014</v>
      </c>
      <c r="Q582" s="1350"/>
      <c r="R582" s="1346">
        <v>12</v>
      </c>
      <c r="S582" s="1350"/>
    </row>
    <row r="583" spans="1:19" ht="19.5" customHeight="1">
      <c r="A583" s="1252">
        <v>400</v>
      </c>
      <c r="B583" s="1252" t="s">
        <v>1973</v>
      </c>
      <c r="C583" s="1343" t="s">
        <v>96</v>
      </c>
      <c r="D583" s="1252"/>
      <c r="E583" s="1352">
        <v>1300</v>
      </c>
      <c r="F583" s="1347" t="s">
        <v>2392</v>
      </c>
      <c r="G583" s="1347" t="s">
        <v>2393</v>
      </c>
      <c r="H583" s="1347" t="s">
        <v>2014</v>
      </c>
      <c r="I583" s="1345"/>
      <c r="J583" s="1252"/>
      <c r="K583" s="1350"/>
      <c r="L583" s="1346">
        <v>12</v>
      </c>
      <c r="M583" s="1252"/>
      <c r="N583" s="1347" t="s">
        <v>2394</v>
      </c>
      <c r="O583" s="1348" t="s">
        <v>2395</v>
      </c>
      <c r="P583" s="1348" t="s">
        <v>2008</v>
      </c>
      <c r="Q583" s="1350"/>
      <c r="R583" s="1346">
        <v>12</v>
      </c>
      <c r="S583" s="1350"/>
    </row>
    <row r="584" spans="1:19" ht="19.5" customHeight="1">
      <c r="A584" s="1252">
        <v>400</v>
      </c>
      <c r="B584" s="1252" t="s">
        <v>1973</v>
      </c>
      <c r="C584" s="1343" t="s">
        <v>96</v>
      </c>
      <c r="D584" s="1252"/>
      <c r="E584" s="1352">
        <v>1200</v>
      </c>
      <c r="F584" s="1347" t="s">
        <v>2396</v>
      </c>
      <c r="G584" s="1347" t="s">
        <v>2397</v>
      </c>
      <c r="H584" s="1347" t="s">
        <v>2014</v>
      </c>
      <c r="I584" s="1345"/>
      <c r="J584" s="1252"/>
      <c r="K584" s="1350"/>
      <c r="L584" s="1346">
        <v>12</v>
      </c>
      <c r="M584" s="1252"/>
      <c r="N584" s="1347" t="s">
        <v>2226</v>
      </c>
      <c r="O584" s="1348" t="s">
        <v>2227</v>
      </c>
      <c r="P584" s="1348" t="s">
        <v>2023</v>
      </c>
      <c r="Q584" s="1350"/>
      <c r="R584" s="1346">
        <v>12</v>
      </c>
      <c r="S584" s="1350"/>
    </row>
    <row r="585" spans="1:19" ht="19.5" customHeight="1">
      <c r="A585" s="1252">
        <v>400</v>
      </c>
      <c r="B585" s="1252" t="s">
        <v>1973</v>
      </c>
      <c r="C585" s="1343" t="s">
        <v>96</v>
      </c>
      <c r="D585" s="1252"/>
      <c r="E585" s="1352">
        <v>950</v>
      </c>
      <c r="F585" s="1347" t="s">
        <v>2398</v>
      </c>
      <c r="G585" s="1347" t="s">
        <v>2399</v>
      </c>
      <c r="H585" s="1347" t="s">
        <v>2014</v>
      </c>
      <c r="I585" s="1345"/>
      <c r="J585" s="1252"/>
      <c r="K585" s="1350"/>
      <c r="L585" s="1346">
        <v>12</v>
      </c>
      <c r="M585" s="1252"/>
      <c r="N585" s="1347" t="s">
        <v>2400</v>
      </c>
      <c r="O585" s="1348" t="s">
        <v>2401</v>
      </c>
      <c r="P585" s="1348" t="s">
        <v>2014</v>
      </c>
      <c r="Q585" s="1350"/>
      <c r="R585" s="1346">
        <v>12</v>
      </c>
      <c r="S585" s="1350"/>
    </row>
    <row r="586" spans="1:19" ht="19.5" customHeight="1">
      <c r="A586" s="1252">
        <v>400</v>
      </c>
      <c r="B586" s="1252" t="s">
        <v>1973</v>
      </c>
      <c r="C586" s="1343" t="s">
        <v>96</v>
      </c>
      <c r="D586" s="1252"/>
      <c r="E586" s="1352">
        <v>1800</v>
      </c>
      <c r="F586" s="1347" t="s">
        <v>2402</v>
      </c>
      <c r="G586" s="1347" t="s">
        <v>2403</v>
      </c>
      <c r="H586" s="1347" t="s">
        <v>2014</v>
      </c>
      <c r="I586" s="1345"/>
      <c r="J586" s="1252"/>
      <c r="K586" s="1350"/>
      <c r="L586" s="1346">
        <v>12</v>
      </c>
      <c r="M586" s="1252"/>
      <c r="N586" s="1347" t="s">
        <v>2404</v>
      </c>
      <c r="O586" s="1348" t="s">
        <v>2405</v>
      </c>
      <c r="P586" s="1348" t="s">
        <v>1984</v>
      </c>
      <c r="Q586" s="1350"/>
      <c r="R586" s="1346">
        <v>12</v>
      </c>
      <c r="S586" s="1350"/>
    </row>
    <row r="587" spans="1:19" ht="19.5" customHeight="1">
      <c r="A587" s="1252">
        <v>400</v>
      </c>
      <c r="B587" s="1252" t="s">
        <v>1973</v>
      </c>
      <c r="C587" s="1343" t="s">
        <v>96</v>
      </c>
      <c r="D587" s="1252"/>
      <c r="E587" s="1352">
        <v>1200</v>
      </c>
      <c r="F587" s="1347" t="s">
        <v>2232</v>
      </c>
      <c r="G587" s="1347" t="s">
        <v>2233</v>
      </c>
      <c r="H587" s="1347" t="s">
        <v>2116</v>
      </c>
      <c r="I587" s="1345"/>
      <c r="J587" s="1252"/>
      <c r="K587" s="1350"/>
      <c r="L587" s="1346">
        <v>12</v>
      </c>
      <c r="M587" s="1252"/>
      <c r="N587" s="1347" t="s">
        <v>2406</v>
      </c>
      <c r="O587" s="1348" t="s">
        <v>2407</v>
      </c>
      <c r="P587" s="1348" t="s">
        <v>2065</v>
      </c>
      <c r="Q587" s="1350"/>
      <c r="R587" s="1346">
        <v>12</v>
      </c>
      <c r="S587" s="1350"/>
    </row>
    <row r="588" spans="1:19" ht="19.5" customHeight="1">
      <c r="A588" s="1252">
        <v>400</v>
      </c>
      <c r="B588" s="1252" t="s">
        <v>1973</v>
      </c>
      <c r="C588" s="1343" t="s">
        <v>96</v>
      </c>
      <c r="D588" s="1252"/>
      <c r="E588" s="1352">
        <v>1800</v>
      </c>
      <c r="F588" s="1347" t="s">
        <v>2408</v>
      </c>
      <c r="G588" s="1347" t="s">
        <v>2409</v>
      </c>
      <c r="H588" s="1347" t="s">
        <v>2116</v>
      </c>
      <c r="I588" s="1345"/>
      <c r="J588" s="1252"/>
      <c r="K588" s="1350"/>
      <c r="L588" s="1346">
        <v>12</v>
      </c>
      <c r="M588" s="1252"/>
      <c r="N588" s="1347" t="s">
        <v>2410</v>
      </c>
      <c r="O588" s="1348" t="s">
        <v>2411</v>
      </c>
      <c r="P588" s="1348" t="s">
        <v>2023</v>
      </c>
      <c r="Q588" s="1350"/>
      <c r="R588" s="1346">
        <v>12</v>
      </c>
      <c r="S588" s="1350"/>
    </row>
    <row r="589" spans="1:19" ht="19.5" customHeight="1">
      <c r="A589" s="1252">
        <v>400</v>
      </c>
      <c r="B589" s="1252" t="s">
        <v>1973</v>
      </c>
      <c r="C589" s="1343" t="s">
        <v>96</v>
      </c>
      <c r="D589" s="1252"/>
      <c r="E589" s="1352">
        <v>1200</v>
      </c>
      <c r="F589" s="1347" t="s">
        <v>2054</v>
      </c>
      <c r="G589" s="1347" t="s">
        <v>2055</v>
      </c>
      <c r="H589" s="1347" t="s">
        <v>2056</v>
      </c>
      <c r="I589" s="1345"/>
      <c r="J589" s="1252"/>
      <c r="K589" s="1350"/>
      <c r="L589" s="1346">
        <v>12</v>
      </c>
      <c r="M589" s="1252"/>
      <c r="N589" s="1347" t="s">
        <v>2412</v>
      </c>
      <c r="O589" s="1348" t="s">
        <v>2413</v>
      </c>
      <c r="P589" s="1348" t="s">
        <v>2008</v>
      </c>
      <c r="Q589" s="1350"/>
      <c r="R589" s="1346">
        <v>12</v>
      </c>
      <c r="S589" s="1350"/>
    </row>
    <row r="590" spans="1:19" ht="19.5" customHeight="1">
      <c r="A590" s="1252">
        <v>400</v>
      </c>
      <c r="B590" s="1252" t="s">
        <v>1973</v>
      </c>
      <c r="C590" s="1343" t="s">
        <v>96</v>
      </c>
      <c r="D590" s="1252"/>
      <c r="E590" s="1352">
        <v>1200</v>
      </c>
      <c r="F590" s="1347" t="s">
        <v>2162</v>
      </c>
      <c r="G590" s="1347" t="s">
        <v>2163</v>
      </c>
      <c r="H590" s="1347" t="s">
        <v>2056</v>
      </c>
      <c r="I590" s="1345"/>
      <c r="J590" s="1252"/>
      <c r="K590" s="1350"/>
      <c r="L590" s="1346">
        <v>12</v>
      </c>
      <c r="M590" s="1252"/>
      <c r="N590" s="1347" t="s">
        <v>2414</v>
      </c>
      <c r="O590" s="1348" t="s">
        <v>2415</v>
      </c>
      <c r="P590" s="1348" t="s">
        <v>2065</v>
      </c>
      <c r="Q590" s="1350"/>
      <c r="R590" s="1346">
        <v>12</v>
      </c>
      <c r="S590" s="1350"/>
    </row>
    <row r="591" spans="1:19" ht="19.5" customHeight="1">
      <c r="A591" s="1252">
        <v>400</v>
      </c>
      <c r="B591" s="1252" t="s">
        <v>1973</v>
      </c>
      <c r="C591" s="1343" t="s">
        <v>96</v>
      </c>
      <c r="D591" s="1252"/>
      <c r="E591" s="1352">
        <v>1050</v>
      </c>
      <c r="F591" s="1347" t="s">
        <v>2218</v>
      </c>
      <c r="G591" s="1347" t="s">
        <v>2219</v>
      </c>
      <c r="H591" s="1347" t="s">
        <v>2056</v>
      </c>
      <c r="I591" s="1345"/>
      <c r="J591" s="1252"/>
      <c r="K591" s="1350"/>
      <c r="L591" s="1346">
        <v>12</v>
      </c>
      <c r="M591" s="1252"/>
      <c r="N591" s="1347" t="s">
        <v>2354</v>
      </c>
      <c r="O591" s="1348" t="s">
        <v>2355</v>
      </c>
      <c r="P591" s="1348" t="s">
        <v>2014</v>
      </c>
      <c r="Q591" s="1350"/>
      <c r="R591" s="1346">
        <v>12</v>
      </c>
      <c r="S591" s="1350"/>
    </row>
    <row r="592" spans="1:19" ht="19.5" customHeight="1">
      <c r="A592" s="1252">
        <v>400</v>
      </c>
      <c r="B592" s="1252" t="s">
        <v>1973</v>
      </c>
      <c r="C592" s="1343" t="s">
        <v>96</v>
      </c>
      <c r="D592" s="1252"/>
      <c r="E592" s="1352">
        <v>1200</v>
      </c>
      <c r="F592" s="1347" t="s">
        <v>2416</v>
      </c>
      <c r="G592" s="1347" t="s">
        <v>2417</v>
      </c>
      <c r="H592" s="1347" t="s">
        <v>2056</v>
      </c>
      <c r="I592" s="1345"/>
      <c r="J592" s="1252"/>
      <c r="K592" s="1350"/>
      <c r="L592" s="1346">
        <v>12</v>
      </c>
      <c r="M592" s="1252"/>
      <c r="N592" s="1347" t="s">
        <v>2418</v>
      </c>
      <c r="O592" s="1348" t="s">
        <v>2419</v>
      </c>
      <c r="P592" s="1348" t="s">
        <v>1997</v>
      </c>
      <c r="Q592" s="1350"/>
      <c r="R592" s="1346">
        <v>12</v>
      </c>
      <c r="S592" s="1350"/>
    </row>
    <row r="593" spans="1:19" ht="19.5" customHeight="1">
      <c r="A593" s="1252">
        <v>400</v>
      </c>
      <c r="B593" s="1252" t="s">
        <v>1973</v>
      </c>
      <c r="C593" s="1343" t="s">
        <v>96</v>
      </c>
      <c r="D593" s="1252"/>
      <c r="E593" s="1352">
        <v>1200</v>
      </c>
      <c r="F593" s="1347" t="s">
        <v>2420</v>
      </c>
      <c r="G593" s="1347" t="s">
        <v>2421</v>
      </c>
      <c r="H593" s="1347" t="s">
        <v>2056</v>
      </c>
      <c r="I593" s="1345"/>
      <c r="J593" s="1252"/>
      <c r="K593" s="1350"/>
      <c r="L593" s="1346">
        <v>12</v>
      </c>
      <c r="M593" s="1252"/>
      <c r="N593" s="1347" t="s">
        <v>2422</v>
      </c>
      <c r="O593" s="1348" t="s">
        <v>2423</v>
      </c>
      <c r="P593" s="1348" t="s">
        <v>2014</v>
      </c>
      <c r="Q593" s="1350"/>
      <c r="R593" s="1346">
        <v>12</v>
      </c>
      <c r="S593" s="1350"/>
    </row>
    <row r="594" spans="1:19" ht="19.5" customHeight="1">
      <c r="A594" s="1252">
        <v>400</v>
      </c>
      <c r="B594" s="1252" t="s">
        <v>1973</v>
      </c>
      <c r="C594" s="1343" t="s">
        <v>96</v>
      </c>
      <c r="D594" s="1252"/>
      <c r="E594" s="1352">
        <v>1200</v>
      </c>
      <c r="F594" s="1347" t="s">
        <v>2424</v>
      </c>
      <c r="G594" s="1347" t="s">
        <v>2425</v>
      </c>
      <c r="H594" s="1347" t="s">
        <v>2426</v>
      </c>
      <c r="I594" s="1345"/>
      <c r="J594" s="1252"/>
      <c r="K594" s="1350"/>
      <c r="L594" s="1346">
        <v>12</v>
      </c>
      <c r="M594" s="1252"/>
      <c r="N594" s="1347" t="s">
        <v>2424</v>
      </c>
      <c r="O594" s="1348" t="s">
        <v>2425</v>
      </c>
      <c r="P594" s="1348" t="s">
        <v>2426</v>
      </c>
      <c r="Q594" s="1350"/>
      <c r="R594" s="1346">
        <v>12</v>
      </c>
      <c r="S594" s="1350"/>
    </row>
    <row r="595" spans="1:19" ht="19.5" customHeight="1">
      <c r="A595" s="1252">
        <v>400</v>
      </c>
      <c r="B595" s="1252" t="s">
        <v>1973</v>
      </c>
      <c r="C595" s="1343" t="s">
        <v>96</v>
      </c>
      <c r="D595" s="1252"/>
      <c r="E595" s="1352">
        <v>2500</v>
      </c>
      <c r="F595" s="1347" t="s">
        <v>2286</v>
      </c>
      <c r="G595" s="1347" t="s">
        <v>2287</v>
      </c>
      <c r="H595" s="1347" t="s">
        <v>2288</v>
      </c>
      <c r="I595" s="1345"/>
      <c r="J595" s="1252"/>
      <c r="K595" s="1350"/>
      <c r="L595" s="1346">
        <v>12</v>
      </c>
      <c r="M595" s="1252"/>
      <c r="N595" s="1347" t="s">
        <v>2070</v>
      </c>
      <c r="O595" s="1348" t="s">
        <v>2071</v>
      </c>
      <c r="P595" s="1348" t="s">
        <v>2008</v>
      </c>
      <c r="Q595" s="1350"/>
      <c r="R595" s="1346">
        <v>12</v>
      </c>
      <c r="S595" s="1350"/>
    </row>
    <row r="596" spans="1:19" ht="19.5" customHeight="1">
      <c r="A596" s="1252">
        <v>400</v>
      </c>
      <c r="B596" s="1252" t="s">
        <v>1973</v>
      </c>
      <c r="C596" s="1343" t="s">
        <v>96</v>
      </c>
      <c r="D596" s="1252"/>
      <c r="E596" s="1352">
        <v>1500</v>
      </c>
      <c r="F596" s="1347" t="s">
        <v>2084</v>
      </c>
      <c r="G596" s="1347" t="s">
        <v>2085</v>
      </c>
      <c r="H596" s="1347" t="s">
        <v>2086</v>
      </c>
      <c r="I596" s="1345"/>
      <c r="J596" s="1252"/>
      <c r="K596" s="1350"/>
      <c r="L596" s="1346">
        <v>12</v>
      </c>
      <c r="M596" s="1252"/>
      <c r="N596" s="1347" t="s">
        <v>2280</v>
      </c>
      <c r="O596" s="1348" t="s">
        <v>2281</v>
      </c>
      <c r="P596" s="1348" t="s">
        <v>1980</v>
      </c>
      <c r="Q596" s="1350"/>
      <c r="R596" s="1346">
        <v>12</v>
      </c>
      <c r="S596" s="1350"/>
    </row>
    <row r="597" spans="1:19" ht="19.5" customHeight="1">
      <c r="A597" s="1252">
        <v>400</v>
      </c>
      <c r="B597" s="1252" t="s">
        <v>1973</v>
      </c>
      <c r="C597" s="1343" t="s">
        <v>96</v>
      </c>
      <c r="D597" s="1252"/>
      <c r="E597" s="1352">
        <v>1000</v>
      </c>
      <c r="F597" s="1347" t="s">
        <v>2145</v>
      </c>
      <c r="G597" s="1347" t="s">
        <v>2146</v>
      </c>
      <c r="H597" s="1347" t="s">
        <v>2086</v>
      </c>
      <c r="I597" s="1345"/>
      <c r="J597" s="1252"/>
      <c r="K597" s="1350"/>
      <c r="L597" s="1346">
        <v>12</v>
      </c>
      <c r="M597" s="1252"/>
      <c r="N597" s="1347" t="s">
        <v>2260</v>
      </c>
      <c r="O597" s="1348" t="s">
        <v>2261</v>
      </c>
      <c r="P597" s="1348" t="s">
        <v>1992</v>
      </c>
      <c r="Q597" s="1350"/>
      <c r="R597" s="1346">
        <v>12</v>
      </c>
      <c r="S597" s="1350"/>
    </row>
    <row r="598" spans="1:19" ht="19.5" customHeight="1">
      <c r="A598" s="1252">
        <v>400</v>
      </c>
      <c r="B598" s="1252" t="s">
        <v>1973</v>
      </c>
      <c r="C598" s="1343" t="s">
        <v>96</v>
      </c>
      <c r="D598" s="1252"/>
      <c r="E598" s="1352">
        <v>950</v>
      </c>
      <c r="F598" s="1347" t="s">
        <v>2301</v>
      </c>
      <c r="G598" s="1347" t="s">
        <v>2302</v>
      </c>
      <c r="H598" s="1347" t="s">
        <v>2086</v>
      </c>
      <c r="I598" s="1345"/>
      <c r="J598" s="1252"/>
      <c r="K598" s="1350"/>
      <c r="L598" s="1346">
        <v>12</v>
      </c>
      <c r="M598" s="1252"/>
      <c r="N598" s="1347" t="s">
        <v>2325</v>
      </c>
      <c r="O598" s="1348" t="s">
        <v>2326</v>
      </c>
      <c r="P598" s="1348" t="s">
        <v>1997</v>
      </c>
      <c r="Q598" s="1350"/>
      <c r="R598" s="1346">
        <v>12</v>
      </c>
      <c r="S598" s="1350"/>
    </row>
    <row r="599" spans="1:19" ht="19.5" customHeight="1">
      <c r="A599" s="1252">
        <v>400</v>
      </c>
      <c r="B599" s="1252" t="s">
        <v>1973</v>
      </c>
      <c r="C599" s="1343" t="s">
        <v>96</v>
      </c>
      <c r="D599" s="1252"/>
      <c r="E599" s="1352">
        <v>1500</v>
      </c>
      <c r="F599" s="1347" t="s">
        <v>2376</v>
      </c>
      <c r="G599" s="1347" t="s">
        <v>2377</v>
      </c>
      <c r="H599" s="1347" t="s">
        <v>2086</v>
      </c>
      <c r="I599" s="1345"/>
      <c r="J599" s="1252"/>
      <c r="K599" s="1350"/>
      <c r="L599" s="1346">
        <v>12</v>
      </c>
      <c r="M599" s="1252"/>
      <c r="N599" s="1347" t="s">
        <v>2362</v>
      </c>
      <c r="O599" s="1348" t="s">
        <v>2363</v>
      </c>
      <c r="P599" s="1348" t="s">
        <v>2014</v>
      </c>
      <c r="Q599" s="1350"/>
      <c r="R599" s="1346">
        <v>12</v>
      </c>
      <c r="S599" s="1350"/>
    </row>
    <row r="600" spans="1:19" ht="19.5" customHeight="1">
      <c r="A600" s="1252">
        <v>400</v>
      </c>
      <c r="B600" s="1252" t="s">
        <v>1973</v>
      </c>
      <c r="C600" s="1343" t="s">
        <v>96</v>
      </c>
      <c r="D600" s="1252"/>
      <c r="E600" s="1352">
        <v>950</v>
      </c>
      <c r="F600" s="1347" t="s">
        <v>2427</v>
      </c>
      <c r="G600" s="1347" t="s">
        <v>2428</v>
      </c>
      <c r="H600" s="1347" t="s">
        <v>2086</v>
      </c>
      <c r="I600" s="1345"/>
      <c r="J600" s="1252"/>
      <c r="K600" s="1350"/>
      <c r="L600" s="1346">
        <v>12</v>
      </c>
      <c r="M600" s="1252"/>
      <c r="N600" s="1347" t="s">
        <v>2420</v>
      </c>
      <c r="O600" s="1348" t="s">
        <v>2421</v>
      </c>
      <c r="P600" s="1348" t="s">
        <v>2056</v>
      </c>
      <c r="Q600" s="1350"/>
      <c r="R600" s="1346">
        <v>12</v>
      </c>
      <c r="S600" s="1350"/>
    </row>
    <row r="601" spans="1:19" ht="19.5" customHeight="1">
      <c r="A601" s="1252">
        <v>400</v>
      </c>
      <c r="B601" s="1252" t="s">
        <v>1973</v>
      </c>
      <c r="C601" s="1343" t="s">
        <v>96</v>
      </c>
      <c r="D601" s="1252"/>
      <c r="E601" s="1352">
        <v>1000</v>
      </c>
      <c r="F601" s="1347" t="s">
        <v>2063</v>
      </c>
      <c r="G601" s="1347" t="s">
        <v>2064</v>
      </c>
      <c r="H601" s="1347" t="s">
        <v>2065</v>
      </c>
      <c r="I601" s="1345"/>
      <c r="J601" s="1252"/>
      <c r="K601" s="1350"/>
      <c r="L601" s="1346">
        <v>12</v>
      </c>
      <c r="M601" s="1252"/>
      <c r="N601" s="1347" t="s">
        <v>2427</v>
      </c>
      <c r="O601" s="1348" t="s">
        <v>2428</v>
      </c>
      <c r="P601" s="1348" t="s">
        <v>2086</v>
      </c>
      <c r="Q601" s="1350"/>
      <c r="R601" s="1346">
        <v>12</v>
      </c>
      <c r="S601" s="1350"/>
    </row>
    <row r="602" spans="1:19" ht="19.5" customHeight="1">
      <c r="A602" s="1252">
        <v>400</v>
      </c>
      <c r="B602" s="1252" t="s">
        <v>1973</v>
      </c>
      <c r="C602" s="1343" t="s">
        <v>96</v>
      </c>
      <c r="D602" s="1252"/>
      <c r="E602" s="1352">
        <v>1000</v>
      </c>
      <c r="F602" s="1347" t="s">
        <v>2240</v>
      </c>
      <c r="G602" s="1347" t="s">
        <v>2241</v>
      </c>
      <c r="H602" s="1347" t="s">
        <v>2065</v>
      </c>
      <c r="I602" s="1345"/>
      <c r="J602" s="1252"/>
      <c r="K602" s="1350"/>
      <c r="L602" s="1346">
        <v>12</v>
      </c>
      <c r="M602" s="1252"/>
      <c r="N602" s="1347" t="s">
        <v>2429</v>
      </c>
      <c r="O602" s="1348" t="s">
        <v>2430</v>
      </c>
      <c r="P602" s="1348" t="s">
        <v>2014</v>
      </c>
      <c r="Q602" s="1350"/>
      <c r="R602" s="1346">
        <v>12</v>
      </c>
      <c r="S602" s="1350"/>
    </row>
    <row r="603" spans="1:19" ht="19.5" customHeight="1">
      <c r="A603" s="1252">
        <v>400</v>
      </c>
      <c r="B603" s="1252" t="s">
        <v>1973</v>
      </c>
      <c r="C603" s="1343" t="s">
        <v>96</v>
      </c>
      <c r="D603" s="1252"/>
      <c r="E603" s="1352">
        <v>1100</v>
      </c>
      <c r="F603" s="1347" t="s">
        <v>2431</v>
      </c>
      <c r="G603" s="1347" t="s">
        <v>2432</v>
      </c>
      <c r="H603" s="1347" t="s">
        <v>2065</v>
      </c>
      <c r="I603" s="1345"/>
      <c r="J603" s="1252"/>
      <c r="K603" s="1350"/>
      <c r="L603" s="1346">
        <v>12</v>
      </c>
      <c r="M603" s="1252"/>
      <c r="N603" s="1347" t="s">
        <v>2184</v>
      </c>
      <c r="O603" s="1348" t="s">
        <v>2185</v>
      </c>
      <c r="P603" s="1348" t="s">
        <v>1987</v>
      </c>
      <c r="Q603" s="1350"/>
      <c r="R603" s="1346">
        <v>12</v>
      </c>
      <c r="S603" s="1350"/>
    </row>
    <row r="604" spans="1:19" ht="19.5" customHeight="1">
      <c r="A604" s="1252">
        <v>400</v>
      </c>
      <c r="B604" s="1252" t="s">
        <v>1973</v>
      </c>
      <c r="C604" s="1343" t="s">
        <v>96</v>
      </c>
      <c r="D604" s="1252"/>
      <c r="E604" s="1352">
        <v>1000</v>
      </c>
      <c r="F604" s="1347" t="s">
        <v>2356</v>
      </c>
      <c r="G604" s="1347" t="s">
        <v>2357</v>
      </c>
      <c r="H604" s="1347" t="s">
        <v>2065</v>
      </c>
      <c r="I604" s="1345"/>
      <c r="J604" s="1252"/>
      <c r="K604" s="1350"/>
      <c r="L604" s="1346">
        <v>12</v>
      </c>
      <c r="M604" s="1252"/>
      <c r="N604" s="1347" t="s">
        <v>2433</v>
      </c>
      <c r="O604" s="1348" t="s">
        <v>2434</v>
      </c>
      <c r="P604" s="1348" t="s">
        <v>2008</v>
      </c>
      <c r="Q604" s="1350"/>
      <c r="R604" s="1346">
        <v>12</v>
      </c>
      <c r="S604" s="1350"/>
    </row>
    <row r="605" spans="1:19" ht="19.5" customHeight="1">
      <c r="A605" s="1252">
        <v>400</v>
      </c>
      <c r="B605" s="1252" t="s">
        <v>1973</v>
      </c>
      <c r="C605" s="1343" t="s">
        <v>96</v>
      </c>
      <c r="D605" s="1252"/>
      <c r="E605" s="1352">
        <v>1500</v>
      </c>
      <c r="F605" s="1347" t="s">
        <v>2406</v>
      </c>
      <c r="G605" s="1347" t="s">
        <v>2407</v>
      </c>
      <c r="H605" s="1347" t="s">
        <v>2065</v>
      </c>
      <c r="I605" s="1345"/>
      <c r="J605" s="1252"/>
      <c r="K605" s="1350"/>
      <c r="L605" s="1346">
        <v>12</v>
      </c>
      <c r="M605" s="1252"/>
      <c r="N605" s="1347" t="s">
        <v>2435</v>
      </c>
      <c r="O605" s="1348" t="s">
        <v>2436</v>
      </c>
      <c r="P605" s="1348" t="s">
        <v>2008</v>
      </c>
      <c r="Q605" s="1350"/>
      <c r="R605" s="1346">
        <v>12</v>
      </c>
      <c r="S605" s="1350"/>
    </row>
    <row r="606" spans="1:19" ht="19.5" customHeight="1">
      <c r="A606" s="1252">
        <v>400</v>
      </c>
      <c r="B606" s="1252" t="s">
        <v>1973</v>
      </c>
      <c r="C606" s="1343" t="s">
        <v>96</v>
      </c>
      <c r="D606" s="1252"/>
      <c r="E606" s="1352">
        <v>1500</v>
      </c>
      <c r="F606" s="1347" t="s">
        <v>2414</v>
      </c>
      <c r="G606" s="1347" t="s">
        <v>2415</v>
      </c>
      <c r="H606" s="1347" t="s">
        <v>2065</v>
      </c>
      <c r="I606" s="1345"/>
      <c r="J606" s="1252"/>
      <c r="K606" s="1350"/>
      <c r="L606" s="1346">
        <v>12</v>
      </c>
      <c r="M606" s="1252"/>
      <c r="N606" s="1347" t="s">
        <v>2074</v>
      </c>
      <c r="O606" s="1348" t="s">
        <v>2075</v>
      </c>
      <c r="P606" s="1348" t="s">
        <v>2008</v>
      </c>
      <c r="Q606" s="1350"/>
      <c r="R606" s="1346">
        <v>12</v>
      </c>
      <c r="S606" s="1350"/>
    </row>
    <row r="607" spans="1:19" ht="19.5" customHeight="1">
      <c r="A607" s="1252">
        <v>400</v>
      </c>
      <c r="B607" s="1252" t="s">
        <v>1973</v>
      </c>
      <c r="C607" s="1343" t="s">
        <v>96</v>
      </c>
      <c r="D607" s="1252"/>
      <c r="E607" s="1352">
        <v>1000</v>
      </c>
      <c r="F607" s="1347" t="s">
        <v>2437</v>
      </c>
      <c r="G607" s="1347" t="s">
        <v>2438</v>
      </c>
      <c r="H607" s="1347" t="s">
        <v>2065</v>
      </c>
      <c r="I607" s="1345"/>
      <c r="J607" s="1252"/>
      <c r="K607" s="1350"/>
      <c r="L607" s="1346">
        <v>12</v>
      </c>
      <c r="M607" s="1252"/>
      <c r="N607" s="1347" t="s">
        <v>2439</v>
      </c>
      <c r="O607" s="1348" t="s">
        <v>2440</v>
      </c>
      <c r="P607" s="1348" t="s">
        <v>2023</v>
      </c>
      <c r="Q607" s="1350"/>
      <c r="R607" s="1346">
        <v>12</v>
      </c>
      <c r="S607" s="1350"/>
    </row>
    <row r="608" spans="1:19" ht="19.5" customHeight="1">
      <c r="A608" s="1252">
        <v>400</v>
      </c>
      <c r="B608" s="1252" t="s">
        <v>1973</v>
      </c>
      <c r="C608" s="1343" t="s">
        <v>96</v>
      </c>
      <c r="D608" s="1252"/>
      <c r="E608" s="1352">
        <v>1100</v>
      </c>
      <c r="F608" s="1347" t="s">
        <v>2441</v>
      </c>
      <c r="G608" s="1347" t="s">
        <v>2442</v>
      </c>
      <c r="H608" s="1347" t="s">
        <v>2065</v>
      </c>
      <c r="I608" s="1345"/>
      <c r="J608" s="1252"/>
      <c r="K608" s="1350"/>
      <c r="L608" s="1346">
        <v>12</v>
      </c>
      <c r="M608" s="1252"/>
      <c r="N608" s="1347" t="s">
        <v>2264</v>
      </c>
      <c r="O608" s="1348" t="s">
        <v>2265</v>
      </c>
      <c r="P608" s="1348" t="s">
        <v>1992</v>
      </c>
      <c r="Q608" s="1350"/>
      <c r="R608" s="1346">
        <v>12</v>
      </c>
      <c r="S608" s="1350"/>
    </row>
    <row r="609" spans="1:19" ht="19.5" customHeight="1">
      <c r="A609" s="1252">
        <v>401</v>
      </c>
      <c r="B609" s="1252" t="s">
        <v>1973</v>
      </c>
      <c r="C609" s="1343" t="s">
        <v>96</v>
      </c>
      <c r="D609" s="1353"/>
      <c r="E609" s="1353"/>
      <c r="F609" s="1353"/>
      <c r="G609" s="1353"/>
      <c r="H609" s="1353"/>
      <c r="I609" s="1353"/>
      <c r="J609" s="1353"/>
      <c r="K609" s="1353"/>
      <c r="L609" s="1353"/>
      <c r="M609" s="1353"/>
      <c r="N609" s="1347" t="s">
        <v>2284</v>
      </c>
      <c r="O609" s="1348" t="s">
        <v>2285</v>
      </c>
      <c r="P609" s="1348" t="s">
        <v>1980</v>
      </c>
      <c r="Q609" s="1350"/>
      <c r="R609" s="1350"/>
      <c r="S609" s="1350"/>
    </row>
    <row r="610" spans="1:19" ht="19.5" customHeight="1">
      <c r="A610" s="1252">
        <v>402</v>
      </c>
      <c r="B610" s="1252" t="s">
        <v>1973</v>
      </c>
      <c r="C610" s="1343" t="s">
        <v>96</v>
      </c>
      <c r="D610" s="1252"/>
      <c r="E610" s="1252"/>
      <c r="F610" s="1252"/>
      <c r="G610" s="1252"/>
      <c r="H610" s="1252"/>
      <c r="I610" s="1252"/>
      <c r="J610" s="1252"/>
      <c r="K610" s="1350"/>
      <c r="L610" s="1350"/>
      <c r="M610" s="1252"/>
      <c r="N610" s="1347" t="s">
        <v>2443</v>
      </c>
      <c r="O610" s="1348" t="s">
        <v>2444</v>
      </c>
      <c r="P610" s="1348" t="s">
        <v>2023</v>
      </c>
      <c r="Q610" s="1252"/>
      <c r="R610" s="1252"/>
      <c r="S610" s="1252"/>
    </row>
    <row r="611" spans="1:19" ht="19.5" customHeight="1">
      <c r="A611" s="1252">
        <v>403</v>
      </c>
      <c r="B611" s="1252" t="s">
        <v>1973</v>
      </c>
      <c r="C611" s="1343" t="s">
        <v>96</v>
      </c>
      <c r="D611" s="1353"/>
      <c r="E611" s="1353"/>
      <c r="F611" s="1353"/>
      <c r="G611" s="1353"/>
      <c r="H611" s="1353"/>
      <c r="I611" s="1353"/>
      <c r="J611" s="1353"/>
      <c r="K611" s="1353"/>
      <c r="L611" s="1353"/>
      <c r="M611" s="1353"/>
      <c r="N611" s="1347" t="s">
        <v>2445</v>
      </c>
      <c r="O611" s="1348" t="s">
        <v>2446</v>
      </c>
      <c r="P611" s="1348" t="s">
        <v>2014</v>
      </c>
      <c r="Q611" s="1353"/>
      <c r="R611" s="1353"/>
      <c r="S611" s="1353"/>
    </row>
    <row r="612" spans="1:19" ht="19.5" customHeight="1">
      <c r="A612" s="1252">
        <v>404</v>
      </c>
      <c r="B612" s="1252" t="s">
        <v>1973</v>
      </c>
      <c r="C612" s="1343" t="s">
        <v>96</v>
      </c>
      <c r="D612" s="1353"/>
      <c r="E612" s="1353"/>
      <c r="F612" s="1353"/>
      <c r="G612" s="1353"/>
      <c r="H612" s="1353"/>
      <c r="I612" s="1353"/>
      <c r="J612" s="1353"/>
      <c r="K612" s="1353"/>
      <c r="L612" s="1353"/>
      <c r="M612" s="1353"/>
      <c r="N612" s="1347" t="s">
        <v>2447</v>
      </c>
      <c r="O612" s="1348" t="s">
        <v>2448</v>
      </c>
      <c r="P612" s="1348" t="s">
        <v>2008</v>
      </c>
      <c r="Q612" s="1353"/>
      <c r="R612" s="1353"/>
      <c r="S612" s="1353"/>
    </row>
    <row r="613" spans="1:19" ht="19.5" customHeight="1">
      <c r="A613" s="1252">
        <v>405</v>
      </c>
      <c r="B613" s="1252" t="s">
        <v>1973</v>
      </c>
      <c r="C613" s="1343" t="s">
        <v>96</v>
      </c>
      <c r="D613" s="1353"/>
      <c r="E613" s="1353"/>
      <c r="F613" s="1353"/>
      <c r="G613" s="1353"/>
      <c r="H613" s="1353"/>
      <c r="I613" s="1353"/>
      <c r="J613" s="1353"/>
      <c r="K613" s="1353"/>
      <c r="L613" s="1353"/>
      <c r="M613" s="1353"/>
      <c r="N613" s="1347" t="s">
        <v>2327</v>
      </c>
      <c r="O613" s="1348" t="s">
        <v>2328</v>
      </c>
      <c r="P613" s="1348" t="s">
        <v>1997</v>
      </c>
      <c r="Q613" s="1353"/>
      <c r="R613" s="1353"/>
      <c r="S613" s="1353"/>
    </row>
    <row r="614" spans="1:19" ht="19.5" customHeight="1">
      <c r="A614" s="1252">
        <v>406</v>
      </c>
      <c r="B614" s="1252" t="s">
        <v>1973</v>
      </c>
      <c r="C614" s="1343" t="s">
        <v>96</v>
      </c>
      <c r="D614" s="1353"/>
      <c r="E614" s="1353"/>
      <c r="F614" s="1353"/>
      <c r="G614" s="1353"/>
      <c r="H614" s="1353"/>
      <c r="I614" s="1353"/>
      <c r="J614" s="1353"/>
      <c r="K614" s="1353"/>
      <c r="L614" s="1353"/>
      <c r="M614" s="1353"/>
      <c r="N614" s="1347" t="s">
        <v>2366</v>
      </c>
      <c r="O614" s="1348" t="s">
        <v>2367</v>
      </c>
      <c r="P614" s="1348" t="s">
        <v>2014</v>
      </c>
      <c r="Q614" s="1353"/>
      <c r="R614" s="1353"/>
      <c r="S614" s="1353"/>
    </row>
    <row r="615" spans="1:19" ht="19.5" customHeight="1">
      <c r="A615" s="1252">
        <v>407</v>
      </c>
      <c r="B615" s="1252" t="s">
        <v>1973</v>
      </c>
      <c r="C615" s="1343" t="s">
        <v>96</v>
      </c>
      <c r="D615" s="1353"/>
      <c r="E615" s="1353"/>
      <c r="F615" s="1353"/>
      <c r="G615" s="1353"/>
      <c r="H615" s="1353"/>
      <c r="I615" s="1353"/>
      <c r="J615" s="1353"/>
      <c r="K615" s="1353"/>
      <c r="L615" s="1353"/>
      <c r="M615" s="1353"/>
      <c r="N615" s="1347" t="s">
        <v>2289</v>
      </c>
      <c r="O615" s="1348" t="s">
        <v>2290</v>
      </c>
      <c r="P615" s="1348" t="s">
        <v>1980</v>
      </c>
      <c r="Q615" s="1353"/>
      <c r="R615" s="1353"/>
      <c r="S615" s="1353"/>
    </row>
    <row r="616" spans="1:19" ht="19.5" customHeight="1">
      <c r="A616" s="1252">
        <v>408</v>
      </c>
      <c r="B616" s="1252" t="s">
        <v>1973</v>
      </c>
      <c r="C616" s="1343" t="s">
        <v>96</v>
      </c>
      <c r="D616" s="1353"/>
      <c r="E616" s="1353"/>
      <c r="F616" s="1353"/>
      <c r="G616" s="1353"/>
      <c r="H616" s="1353"/>
      <c r="I616" s="1353"/>
      <c r="J616" s="1353"/>
      <c r="K616" s="1353"/>
      <c r="L616" s="1353"/>
      <c r="M616" s="1353"/>
      <c r="N616" s="1347" t="s">
        <v>2449</v>
      </c>
      <c r="O616" s="1348" t="s">
        <v>2450</v>
      </c>
      <c r="P616" s="1348" t="s">
        <v>2023</v>
      </c>
      <c r="Q616" s="1353"/>
      <c r="R616" s="1353"/>
      <c r="S616" s="1353"/>
    </row>
    <row r="617" spans="1:19" ht="19.5" customHeight="1">
      <c r="A617" s="1252">
        <v>409</v>
      </c>
      <c r="B617" s="1252" t="s">
        <v>1973</v>
      </c>
      <c r="C617" s="1343" t="s">
        <v>96</v>
      </c>
      <c r="D617" s="1353"/>
      <c r="E617" s="1353"/>
      <c r="F617" s="1353"/>
      <c r="G617" s="1353"/>
      <c r="H617" s="1353"/>
      <c r="I617" s="1353"/>
      <c r="J617" s="1353"/>
      <c r="K617" s="1353"/>
      <c r="L617" s="1353"/>
      <c r="M617" s="1353"/>
      <c r="N617" s="1347" t="s">
        <v>2372</v>
      </c>
      <c r="O617" s="1348" t="s">
        <v>2373</v>
      </c>
      <c r="P617" s="1348" t="s">
        <v>2014</v>
      </c>
      <c r="Q617" s="1353"/>
      <c r="R617" s="1353"/>
      <c r="S617" s="1353"/>
    </row>
    <row r="618" spans="1:19" ht="19.5" customHeight="1">
      <c r="A618" s="1252">
        <v>410</v>
      </c>
      <c r="B618" s="1252" t="s">
        <v>1973</v>
      </c>
      <c r="C618" s="1343" t="s">
        <v>96</v>
      </c>
      <c r="D618" s="1353"/>
      <c r="E618" s="1353"/>
      <c r="F618" s="1353"/>
      <c r="G618" s="1353"/>
      <c r="H618" s="1353"/>
      <c r="I618" s="1353"/>
      <c r="J618" s="1353"/>
      <c r="K618" s="1353"/>
      <c r="L618" s="1353"/>
      <c r="M618" s="1353"/>
      <c r="N618" s="1347" t="s">
        <v>2451</v>
      </c>
      <c r="O618" s="1348" t="s">
        <v>2452</v>
      </c>
      <c r="P618" s="1348" t="s">
        <v>2008</v>
      </c>
      <c r="Q618" s="1353"/>
      <c r="R618" s="1353"/>
      <c r="S618" s="1353"/>
    </row>
    <row r="619" spans="1:19" ht="19.5" customHeight="1">
      <c r="A619" s="1252">
        <v>411</v>
      </c>
      <c r="B619" s="1252" t="s">
        <v>1973</v>
      </c>
      <c r="C619" s="1343" t="s">
        <v>96</v>
      </c>
      <c r="D619" s="1353"/>
      <c r="E619" s="1353"/>
      <c r="F619" s="1353"/>
      <c r="G619" s="1353"/>
      <c r="H619" s="1353"/>
      <c r="I619" s="1353"/>
      <c r="J619" s="1353"/>
      <c r="K619" s="1353"/>
      <c r="L619" s="1353"/>
      <c r="M619" s="1353"/>
      <c r="N619" s="1347" t="s">
        <v>2230</v>
      </c>
      <c r="O619" s="1348" t="s">
        <v>2231</v>
      </c>
      <c r="P619" s="1348" t="s">
        <v>2023</v>
      </c>
      <c r="Q619" s="1353"/>
      <c r="R619" s="1353"/>
      <c r="S619" s="1353"/>
    </row>
    <row r="620" spans="1:19" ht="19.5" customHeight="1">
      <c r="A620" s="1252">
        <v>412</v>
      </c>
      <c r="B620" s="1252" t="s">
        <v>1973</v>
      </c>
      <c r="C620" s="1343" t="s">
        <v>96</v>
      </c>
      <c r="D620" s="1353"/>
      <c r="E620" s="1353"/>
      <c r="F620" s="1353"/>
      <c r="G620" s="1353"/>
      <c r="H620" s="1353"/>
      <c r="I620" s="1353"/>
      <c r="J620" s="1353"/>
      <c r="K620" s="1353"/>
      <c r="L620" s="1353"/>
      <c r="M620" s="1353"/>
      <c r="N620" s="1347" t="s">
        <v>2331</v>
      </c>
      <c r="O620" s="1348" t="s">
        <v>2332</v>
      </c>
      <c r="P620" s="1348" t="s">
        <v>1997</v>
      </c>
      <c r="Q620" s="1353"/>
      <c r="R620" s="1353"/>
      <c r="S620" s="1353"/>
    </row>
    <row r="621" spans="1:19" ht="19.5" customHeight="1">
      <c r="A621" s="1252">
        <v>413</v>
      </c>
      <c r="B621" s="1252" t="s">
        <v>1973</v>
      </c>
      <c r="C621" s="1343" t="s">
        <v>96</v>
      </c>
      <c r="D621" s="1353"/>
      <c r="E621" s="1353"/>
      <c r="F621" s="1353"/>
      <c r="G621" s="1353"/>
      <c r="H621" s="1353"/>
      <c r="I621" s="1353"/>
      <c r="J621" s="1353"/>
      <c r="K621" s="1353"/>
      <c r="L621" s="1353"/>
      <c r="M621" s="1353"/>
      <c r="N621" s="1347" t="s">
        <v>2408</v>
      </c>
      <c r="O621" s="1348" t="s">
        <v>2409</v>
      </c>
      <c r="P621" s="1348" t="s">
        <v>2116</v>
      </c>
      <c r="Q621" s="1353"/>
      <c r="R621" s="1353"/>
      <c r="S621" s="1353"/>
    </row>
    <row r="622" spans="1:19" ht="19.5" customHeight="1">
      <c r="A622" s="1252">
        <v>414</v>
      </c>
      <c r="B622" s="1252" t="s">
        <v>1973</v>
      </c>
      <c r="C622" s="1343" t="s">
        <v>96</v>
      </c>
      <c r="D622" s="1353"/>
      <c r="E622" s="1353"/>
      <c r="F622" s="1353"/>
      <c r="G622" s="1353"/>
      <c r="H622" s="1353"/>
      <c r="I622" s="1353"/>
      <c r="J622" s="1353"/>
      <c r="K622" s="1353"/>
      <c r="L622" s="1353"/>
      <c r="M622" s="1353"/>
      <c r="N622" s="1347" t="s">
        <v>2453</v>
      </c>
      <c r="O622" s="1348" t="s">
        <v>2454</v>
      </c>
      <c r="P622" s="1348" t="s">
        <v>2008</v>
      </c>
      <c r="Q622" s="1353"/>
      <c r="R622" s="1353"/>
      <c r="S622" s="1353"/>
    </row>
    <row r="623" spans="1:19" ht="19.5" customHeight="1">
      <c r="A623" s="1252">
        <v>415</v>
      </c>
      <c r="B623" s="1252" t="s">
        <v>1973</v>
      </c>
      <c r="C623" s="1343" t="s">
        <v>96</v>
      </c>
      <c r="D623" s="1353"/>
      <c r="E623" s="1353"/>
      <c r="F623" s="1353"/>
      <c r="G623" s="1353"/>
      <c r="H623" s="1353"/>
      <c r="I623" s="1353"/>
      <c r="J623" s="1353"/>
      <c r="K623" s="1353"/>
      <c r="L623" s="1353"/>
      <c r="M623" s="1353"/>
      <c r="N623" s="1347" t="s">
        <v>2437</v>
      </c>
      <c r="O623" s="1348" t="s">
        <v>2438</v>
      </c>
      <c r="P623" s="1348" t="s">
        <v>2065</v>
      </c>
      <c r="Q623" s="1353"/>
      <c r="R623" s="1353"/>
      <c r="S623" s="1353"/>
    </row>
    <row r="624" spans="1:19" ht="19.5" customHeight="1">
      <c r="A624" s="1252">
        <v>416</v>
      </c>
      <c r="B624" s="1252" t="s">
        <v>1973</v>
      </c>
      <c r="C624" s="1343" t="s">
        <v>96</v>
      </c>
      <c r="D624" s="1353"/>
      <c r="E624" s="1353"/>
      <c r="F624" s="1353"/>
      <c r="G624" s="1353"/>
      <c r="H624" s="1353"/>
      <c r="I624" s="1353"/>
      <c r="J624" s="1353"/>
      <c r="K624" s="1353"/>
      <c r="L624" s="1353"/>
      <c r="M624" s="1353"/>
      <c r="N624" s="1347" t="s">
        <v>2333</v>
      </c>
      <c r="O624" s="1348" t="s">
        <v>2334</v>
      </c>
      <c r="P624" s="1348" t="s">
        <v>1997</v>
      </c>
      <c r="Q624" s="1353"/>
      <c r="R624" s="1353"/>
      <c r="S624" s="1353"/>
    </row>
    <row r="625" spans="1:19" ht="19.5" customHeight="1">
      <c r="A625" s="1252">
        <v>417</v>
      </c>
      <c r="B625" s="1252" t="s">
        <v>1973</v>
      </c>
      <c r="C625" s="1343" t="s">
        <v>96</v>
      </c>
      <c r="D625" s="1353"/>
      <c r="E625" s="1353"/>
      <c r="F625" s="1353"/>
      <c r="G625" s="1353"/>
      <c r="H625" s="1353"/>
      <c r="I625" s="1353"/>
      <c r="J625" s="1353"/>
      <c r="K625" s="1353"/>
      <c r="L625" s="1353"/>
      <c r="M625" s="1353"/>
      <c r="N625" s="1347" t="s">
        <v>2455</v>
      </c>
      <c r="O625" s="1348" t="s">
        <v>2456</v>
      </c>
      <c r="P625" s="1348" t="s">
        <v>2023</v>
      </c>
      <c r="Q625" s="1353"/>
      <c r="R625" s="1353"/>
      <c r="S625" s="1353"/>
    </row>
    <row r="626" spans="1:19" ht="19.5" customHeight="1">
      <c r="A626" s="1252">
        <v>418</v>
      </c>
      <c r="B626" s="1252" t="s">
        <v>1973</v>
      </c>
      <c r="C626" s="1343" t="s">
        <v>96</v>
      </c>
      <c r="D626" s="1353"/>
      <c r="E626" s="1353"/>
      <c r="F626" s="1353"/>
      <c r="G626" s="1353"/>
      <c r="H626" s="1353"/>
      <c r="I626" s="1353"/>
      <c r="J626" s="1353"/>
      <c r="K626" s="1353"/>
      <c r="L626" s="1353"/>
      <c r="M626" s="1353"/>
      <c r="N626" s="1347" t="s">
        <v>2457</v>
      </c>
      <c r="O626" s="1348" t="s">
        <v>2458</v>
      </c>
      <c r="P626" s="1348" t="s">
        <v>2008</v>
      </c>
      <c r="Q626" s="1353"/>
      <c r="R626" s="1353"/>
      <c r="S626" s="1353"/>
    </row>
    <row r="627" spans="1:19" ht="19.5" customHeight="1">
      <c r="A627" s="1252">
        <v>419</v>
      </c>
      <c r="B627" s="1252" t="s">
        <v>1973</v>
      </c>
      <c r="C627" s="1343" t="s">
        <v>96</v>
      </c>
      <c r="D627" s="1353"/>
      <c r="E627" s="1353"/>
      <c r="F627" s="1353"/>
      <c r="G627" s="1353"/>
      <c r="H627" s="1353"/>
      <c r="I627" s="1353"/>
      <c r="J627" s="1353"/>
      <c r="K627" s="1353"/>
      <c r="L627" s="1353"/>
      <c r="M627" s="1353"/>
      <c r="N627" s="1347" t="s">
        <v>2459</v>
      </c>
      <c r="O627" s="1348" t="s">
        <v>2460</v>
      </c>
      <c r="P627" s="1348" t="s">
        <v>2116</v>
      </c>
      <c r="Q627" s="1353"/>
      <c r="R627" s="1353"/>
      <c r="S627" s="1353"/>
    </row>
    <row r="628" spans="1:19" ht="19.5" customHeight="1">
      <c r="A628" s="1252">
        <v>420</v>
      </c>
      <c r="B628" s="1252" t="s">
        <v>1973</v>
      </c>
      <c r="C628" s="1343" t="s">
        <v>96</v>
      </c>
      <c r="D628" s="1353"/>
      <c r="E628" s="1353"/>
      <c r="F628" s="1353"/>
      <c r="G628" s="1353"/>
      <c r="H628" s="1353"/>
      <c r="I628" s="1353"/>
      <c r="J628" s="1353"/>
      <c r="K628" s="1353"/>
      <c r="L628" s="1353"/>
      <c r="M628" s="1353"/>
      <c r="N628" s="1347" t="s">
        <v>2461</v>
      </c>
      <c r="O628" s="1348" t="s">
        <v>2462</v>
      </c>
      <c r="P628" s="1348" t="s">
        <v>1987</v>
      </c>
      <c r="Q628" s="1353"/>
      <c r="R628" s="1353"/>
      <c r="S628" s="1353"/>
    </row>
    <row r="629" spans="1:19" ht="19.5" customHeight="1">
      <c r="A629" s="1252">
        <v>421</v>
      </c>
      <c r="B629" s="1252" t="s">
        <v>1973</v>
      </c>
      <c r="C629" s="1343" t="s">
        <v>96</v>
      </c>
      <c r="D629" s="1353"/>
      <c r="E629" s="1353"/>
      <c r="F629" s="1353"/>
      <c r="G629" s="1353"/>
      <c r="H629" s="1353"/>
      <c r="I629" s="1353"/>
      <c r="J629" s="1353"/>
      <c r="K629" s="1353"/>
      <c r="L629" s="1353"/>
      <c r="M629" s="1353"/>
      <c r="N629" s="1347" t="s">
        <v>2078</v>
      </c>
      <c r="O629" s="1348" t="s">
        <v>2079</v>
      </c>
      <c r="P629" s="1348" t="s">
        <v>2008</v>
      </c>
      <c r="Q629" s="1353"/>
      <c r="R629" s="1353"/>
      <c r="S629" s="1353"/>
    </row>
    <row r="630" spans="1:19" ht="19.5" customHeight="1">
      <c r="A630" s="1252">
        <v>422</v>
      </c>
      <c r="B630" s="1252" t="s">
        <v>1973</v>
      </c>
      <c r="C630" s="1343" t="s">
        <v>96</v>
      </c>
      <c r="D630" s="1353"/>
      <c r="E630" s="1353"/>
      <c r="F630" s="1353"/>
      <c r="G630" s="1353"/>
      <c r="H630" s="1353"/>
      <c r="I630" s="1353"/>
      <c r="J630" s="1353"/>
      <c r="K630" s="1353"/>
      <c r="L630" s="1353"/>
      <c r="M630" s="1353"/>
      <c r="N630" s="1347" t="s">
        <v>2463</v>
      </c>
      <c r="O630" s="1348" t="s">
        <v>2464</v>
      </c>
      <c r="P630" s="1348" t="s">
        <v>2008</v>
      </c>
      <c r="Q630" s="1353"/>
      <c r="R630" s="1353"/>
      <c r="S630" s="1353"/>
    </row>
    <row r="631" spans="1:19" ht="19.5" customHeight="1">
      <c r="A631" s="1252">
        <v>423</v>
      </c>
      <c r="B631" s="1252" t="s">
        <v>1973</v>
      </c>
      <c r="C631" s="1343" t="s">
        <v>96</v>
      </c>
      <c r="D631" s="1353"/>
      <c r="E631" s="1353"/>
      <c r="F631" s="1353"/>
      <c r="G631" s="1353"/>
      <c r="H631" s="1353"/>
      <c r="I631" s="1353"/>
      <c r="J631" s="1353"/>
      <c r="K631" s="1353"/>
      <c r="L631" s="1353"/>
      <c r="M631" s="1353"/>
      <c r="N631" s="1347" t="s">
        <v>2234</v>
      </c>
      <c r="O631" s="1348" t="s">
        <v>2235</v>
      </c>
      <c r="P631" s="1348" t="s">
        <v>2023</v>
      </c>
      <c r="Q631" s="1353"/>
      <c r="R631" s="1353"/>
      <c r="S631" s="1353"/>
    </row>
    <row r="632" spans="1:19" ht="19.5" customHeight="1">
      <c r="A632" s="1252">
        <v>424</v>
      </c>
      <c r="B632" s="1252" t="s">
        <v>1973</v>
      </c>
      <c r="C632" s="1343" t="s">
        <v>96</v>
      </c>
      <c r="D632" s="1353"/>
      <c r="E632" s="1353"/>
      <c r="F632" s="1353"/>
      <c r="G632" s="1353"/>
      <c r="H632" s="1353"/>
      <c r="I632" s="1353"/>
      <c r="J632" s="1353"/>
      <c r="K632" s="1353"/>
      <c r="L632" s="1353"/>
      <c r="M632" s="1353"/>
      <c r="N632" s="1347" t="s">
        <v>2465</v>
      </c>
      <c r="O632" s="1348" t="s">
        <v>2466</v>
      </c>
      <c r="P632" s="1348" t="s">
        <v>2023</v>
      </c>
      <c r="Q632" s="1353"/>
      <c r="R632" s="1353"/>
      <c r="S632" s="1353"/>
    </row>
    <row r="633" spans="1:19" ht="19.5" customHeight="1">
      <c r="A633" s="1252">
        <v>425</v>
      </c>
      <c r="B633" s="1252" t="s">
        <v>1973</v>
      </c>
      <c r="C633" s="1343" t="s">
        <v>96</v>
      </c>
      <c r="D633" s="1353"/>
      <c r="E633" s="1353"/>
      <c r="F633" s="1353"/>
      <c r="G633" s="1353"/>
      <c r="H633" s="1353"/>
      <c r="I633" s="1353"/>
      <c r="J633" s="1353"/>
      <c r="K633" s="1353"/>
      <c r="L633" s="1353"/>
      <c r="M633" s="1353"/>
      <c r="N633" s="1347" t="s">
        <v>2082</v>
      </c>
      <c r="O633" s="1348" t="s">
        <v>2083</v>
      </c>
      <c r="P633" s="1348" t="s">
        <v>2008</v>
      </c>
      <c r="Q633" s="1353"/>
      <c r="R633" s="1353"/>
      <c r="S633" s="1353"/>
    </row>
    <row r="634" spans="1:19" ht="19.5" customHeight="1">
      <c r="A634" s="1252">
        <v>426</v>
      </c>
      <c r="B634" s="1252" t="s">
        <v>1973</v>
      </c>
      <c r="C634" s="1343" t="s">
        <v>96</v>
      </c>
      <c r="D634" s="1353"/>
      <c r="E634" s="1353"/>
      <c r="F634" s="1353"/>
      <c r="G634" s="1353"/>
      <c r="H634" s="1353"/>
      <c r="I634" s="1353"/>
      <c r="J634" s="1353"/>
      <c r="K634" s="1353"/>
      <c r="L634" s="1353"/>
      <c r="M634" s="1353"/>
      <c r="N634" s="1347" t="s">
        <v>2467</v>
      </c>
      <c r="O634" s="1348" t="s">
        <v>2468</v>
      </c>
      <c r="P634" s="1348" t="s">
        <v>2023</v>
      </c>
      <c r="Q634" s="1353"/>
      <c r="R634" s="1353"/>
      <c r="S634" s="1353"/>
    </row>
    <row r="635" spans="1:19" ht="19.5" customHeight="1">
      <c r="A635" s="1252">
        <v>427</v>
      </c>
      <c r="B635" s="1252" t="s">
        <v>1973</v>
      </c>
      <c r="C635" s="1343" t="s">
        <v>96</v>
      </c>
      <c r="D635" s="1353"/>
      <c r="E635" s="1353"/>
      <c r="F635" s="1353"/>
      <c r="G635" s="1353"/>
      <c r="H635" s="1353"/>
      <c r="I635" s="1353"/>
      <c r="J635" s="1353"/>
      <c r="K635" s="1353"/>
      <c r="L635" s="1353"/>
      <c r="M635" s="1353"/>
      <c r="N635" s="1347" t="s">
        <v>2469</v>
      </c>
      <c r="O635" s="1348" t="s">
        <v>2470</v>
      </c>
      <c r="P635" s="1348" t="s">
        <v>2023</v>
      </c>
      <c r="Q635" s="1353"/>
      <c r="R635" s="1353"/>
      <c r="S635" s="1353"/>
    </row>
    <row r="636" spans="1:19" ht="19.5" customHeight="1">
      <c r="A636" s="1252">
        <v>428</v>
      </c>
      <c r="B636" s="1252" t="s">
        <v>1973</v>
      </c>
      <c r="C636" s="1343" t="s">
        <v>96</v>
      </c>
      <c r="D636" s="1353"/>
      <c r="E636" s="1353"/>
      <c r="F636" s="1353"/>
      <c r="G636" s="1353"/>
      <c r="H636" s="1353"/>
      <c r="I636" s="1353"/>
      <c r="J636" s="1353"/>
      <c r="K636" s="1353"/>
      <c r="L636" s="1353"/>
      <c r="M636" s="1353"/>
      <c r="N636" s="1347" t="s">
        <v>2471</v>
      </c>
      <c r="O636" s="1348" t="s">
        <v>2472</v>
      </c>
      <c r="P636" s="1348" t="s">
        <v>1997</v>
      </c>
      <c r="Q636" s="1353"/>
      <c r="R636" s="1353"/>
      <c r="S636" s="1353"/>
    </row>
    <row r="637" spans="1:19" ht="19.5" customHeight="1">
      <c r="A637" s="1252">
        <v>429</v>
      </c>
      <c r="B637" s="1252" t="s">
        <v>1973</v>
      </c>
      <c r="C637" s="1343" t="s">
        <v>96</v>
      </c>
      <c r="D637" s="1353"/>
      <c r="E637" s="1353"/>
      <c r="F637" s="1353"/>
      <c r="G637" s="1353"/>
      <c r="H637" s="1353"/>
      <c r="I637" s="1353"/>
      <c r="J637" s="1353"/>
      <c r="K637" s="1353"/>
      <c r="L637" s="1353"/>
      <c r="M637" s="1353"/>
      <c r="N637" s="1347" t="s">
        <v>2473</v>
      </c>
      <c r="O637" s="1348" t="s">
        <v>2474</v>
      </c>
      <c r="P637" s="1348" t="s">
        <v>2008</v>
      </c>
      <c r="Q637" s="1353"/>
      <c r="R637" s="1353"/>
      <c r="S637" s="1353"/>
    </row>
    <row r="638" spans="1:19" ht="19.5" customHeight="1">
      <c r="A638" s="1252">
        <v>430</v>
      </c>
      <c r="B638" s="1252" t="s">
        <v>1973</v>
      </c>
      <c r="C638" s="1343" t="s">
        <v>96</v>
      </c>
      <c r="D638" s="1353"/>
      <c r="E638" s="1353"/>
      <c r="F638" s="1353"/>
      <c r="G638" s="1353"/>
      <c r="H638" s="1353"/>
      <c r="I638" s="1353"/>
      <c r="J638" s="1353"/>
      <c r="K638" s="1353"/>
      <c r="L638" s="1353"/>
      <c r="M638" s="1353"/>
      <c r="N638" s="1347" t="s">
        <v>2475</v>
      </c>
      <c r="O638" s="1348" t="s">
        <v>2476</v>
      </c>
      <c r="P638" s="1348" t="s">
        <v>2023</v>
      </c>
      <c r="Q638" s="1353"/>
      <c r="R638" s="1353"/>
      <c r="S638" s="1353"/>
    </row>
    <row r="639" spans="1:19" ht="19.5" customHeight="1">
      <c r="A639" s="1252">
        <v>431</v>
      </c>
      <c r="B639" s="1252" t="s">
        <v>1973</v>
      </c>
      <c r="C639" s="1343" t="s">
        <v>96</v>
      </c>
      <c r="D639" s="1353"/>
      <c r="E639" s="1353"/>
      <c r="F639" s="1353"/>
      <c r="G639" s="1353"/>
      <c r="H639" s="1353"/>
      <c r="I639" s="1353"/>
      <c r="J639" s="1353"/>
      <c r="K639" s="1353"/>
      <c r="L639" s="1353"/>
      <c r="M639" s="1353"/>
      <c r="N639" s="1347" t="s">
        <v>2254</v>
      </c>
      <c r="O639" s="1348" t="s">
        <v>2255</v>
      </c>
      <c r="P639" s="1348" t="s">
        <v>2103</v>
      </c>
      <c r="Q639" s="1353"/>
      <c r="R639" s="1353"/>
      <c r="S639" s="1353"/>
    </row>
    <row r="640" spans="1:19" ht="19.5" customHeight="1">
      <c r="A640" s="1252">
        <v>432</v>
      </c>
      <c r="B640" s="1252" t="s">
        <v>1973</v>
      </c>
      <c r="C640" s="1343" t="s">
        <v>96</v>
      </c>
      <c r="D640" s="1353"/>
      <c r="E640" s="1353"/>
      <c r="F640" s="1353"/>
      <c r="G640" s="1353"/>
      <c r="H640" s="1353"/>
      <c r="I640" s="1353"/>
      <c r="J640" s="1353"/>
      <c r="K640" s="1353"/>
      <c r="L640" s="1353"/>
      <c r="M640" s="1353"/>
      <c r="N640" s="1347" t="s">
        <v>2091</v>
      </c>
      <c r="O640" s="1348" t="s">
        <v>2092</v>
      </c>
      <c r="P640" s="1348" t="s">
        <v>2008</v>
      </c>
      <c r="Q640" s="1353"/>
      <c r="R640" s="1353"/>
      <c r="S640" s="1353"/>
    </row>
    <row r="641" spans="1:19" ht="19.5" customHeight="1">
      <c r="A641" s="1252">
        <v>433</v>
      </c>
      <c r="B641" s="1252" t="s">
        <v>1973</v>
      </c>
      <c r="C641" s="1343" t="s">
        <v>96</v>
      </c>
      <c r="D641" s="1353"/>
      <c r="E641" s="1353"/>
      <c r="F641" s="1353"/>
      <c r="G641" s="1353"/>
      <c r="H641" s="1353"/>
      <c r="I641" s="1353"/>
      <c r="J641" s="1353"/>
      <c r="K641" s="1353"/>
      <c r="L641" s="1353"/>
      <c r="M641" s="1353"/>
      <c r="N641" s="1347" t="s">
        <v>2295</v>
      </c>
      <c r="O641" s="1348" t="s">
        <v>2296</v>
      </c>
      <c r="P641" s="1348" t="s">
        <v>2297</v>
      </c>
      <c r="Q641" s="1353"/>
      <c r="R641" s="1353"/>
      <c r="S641" s="1353"/>
    </row>
    <row r="642" spans="1:19" ht="19.5" customHeight="1">
      <c r="A642" s="1252">
        <v>434</v>
      </c>
      <c r="B642" s="1252" t="s">
        <v>1973</v>
      </c>
      <c r="C642" s="1343" t="s">
        <v>96</v>
      </c>
      <c r="D642" s="1353"/>
      <c r="E642" s="1353"/>
      <c r="F642" s="1353"/>
      <c r="G642" s="1353"/>
      <c r="H642" s="1353"/>
      <c r="I642" s="1353"/>
      <c r="J642" s="1353"/>
      <c r="K642" s="1353"/>
      <c r="L642" s="1353"/>
      <c r="M642" s="1353"/>
      <c r="N642" s="1347" t="s">
        <v>2477</v>
      </c>
      <c r="O642" s="1348" t="s">
        <v>2478</v>
      </c>
      <c r="P642" s="1348" t="s">
        <v>1987</v>
      </c>
      <c r="Q642" s="1353"/>
      <c r="R642" s="1353"/>
      <c r="S642" s="1353"/>
    </row>
    <row r="643" spans="1:19" ht="19.5" customHeight="1">
      <c r="A643" s="1252">
        <v>435</v>
      </c>
      <c r="B643" s="1252" t="s">
        <v>1973</v>
      </c>
      <c r="C643" s="1343" t="s">
        <v>96</v>
      </c>
      <c r="D643" s="1353"/>
      <c r="E643" s="1353"/>
      <c r="F643" s="1353"/>
      <c r="G643" s="1353"/>
      <c r="H643" s="1353"/>
      <c r="I643" s="1353"/>
      <c r="J643" s="1353"/>
      <c r="K643" s="1353"/>
      <c r="L643" s="1353"/>
      <c r="M643" s="1353"/>
      <c r="N643" s="1347" t="s">
        <v>2479</v>
      </c>
      <c r="O643" s="1348" t="s">
        <v>2480</v>
      </c>
      <c r="P643" s="1348" t="s">
        <v>2023</v>
      </c>
      <c r="Q643" s="1353"/>
      <c r="R643" s="1353"/>
      <c r="S643" s="1353"/>
    </row>
    <row r="644" spans="1:19" ht="19.5" customHeight="1">
      <c r="A644" s="1252">
        <v>436</v>
      </c>
      <c r="B644" s="1252" t="s">
        <v>1973</v>
      </c>
      <c r="C644" s="1343" t="s">
        <v>96</v>
      </c>
      <c r="D644" s="1353"/>
      <c r="E644" s="1353"/>
      <c r="F644" s="1353"/>
      <c r="G644" s="1353"/>
      <c r="H644" s="1353"/>
      <c r="I644" s="1353"/>
      <c r="J644" s="1353"/>
      <c r="K644" s="1353"/>
      <c r="L644" s="1353"/>
      <c r="M644" s="1353"/>
      <c r="N644" s="1347" t="s">
        <v>2481</v>
      </c>
      <c r="O644" s="1348" t="s">
        <v>2482</v>
      </c>
      <c r="P644" s="1348" t="s">
        <v>2008</v>
      </c>
      <c r="Q644" s="1353"/>
      <c r="R644" s="1353"/>
      <c r="S644" s="1353"/>
    </row>
    <row r="645" spans="1:19" ht="19.5" customHeight="1">
      <c r="A645" s="1252">
        <v>437</v>
      </c>
      <c r="B645" s="1252" t="s">
        <v>1973</v>
      </c>
      <c r="C645" s="1343" t="s">
        <v>96</v>
      </c>
      <c r="D645" s="1353"/>
      <c r="E645" s="1353"/>
      <c r="F645" s="1353"/>
      <c r="G645" s="1353"/>
      <c r="H645" s="1353"/>
      <c r="I645" s="1353"/>
      <c r="J645" s="1353"/>
      <c r="K645" s="1353"/>
      <c r="L645" s="1353"/>
      <c r="M645" s="1353"/>
      <c r="N645" s="1347" t="s">
        <v>2374</v>
      </c>
      <c r="O645" s="1348" t="s">
        <v>2375</v>
      </c>
      <c r="P645" s="1348" t="s">
        <v>2014</v>
      </c>
      <c r="Q645" s="1353"/>
      <c r="R645" s="1353"/>
      <c r="S645" s="1353"/>
    </row>
    <row r="646" spans="1:19" ht="19.5" customHeight="1">
      <c r="A646" s="1252">
        <v>438</v>
      </c>
      <c r="B646" s="1252" t="s">
        <v>1973</v>
      </c>
      <c r="C646" s="1343" t="s">
        <v>96</v>
      </c>
      <c r="D646" s="1353"/>
      <c r="E646" s="1353"/>
      <c r="F646" s="1353"/>
      <c r="G646" s="1353"/>
      <c r="H646" s="1353"/>
      <c r="I646" s="1353"/>
      <c r="J646" s="1353"/>
      <c r="K646" s="1353"/>
      <c r="L646" s="1353"/>
      <c r="M646" s="1353"/>
      <c r="N646" s="1347" t="s">
        <v>2256</v>
      </c>
      <c r="O646" s="1348" t="s">
        <v>2257</v>
      </c>
      <c r="P646" s="1348" t="s">
        <v>2103</v>
      </c>
      <c r="Q646" s="1353"/>
      <c r="R646" s="1353"/>
      <c r="S646" s="1353"/>
    </row>
    <row r="647" spans="1:19" ht="19.5" customHeight="1">
      <c r="A647" s="1252">
        <v>439</v>
      </c>
      <c r="B647" s="1252" t="s">
        <v>1973</v>
      </c>
      <c r="C647" s="1343" t="s">
        <v>96</v>
      </c>
      <c r="D647" s="1353"/>
      <c r="E647" s="1353"/>
      <c r="F647" s="1353"/>
      <c r="G647" s="1353"/>
      <c r="H647" s="1353"/>
      <c r="I647" s="1353"/>
      <c r="J647" s="1353"/>
      <c r="K647" s="1353"/>
      <c r="L647" s="1353"/>
      <c r="M647" s="1353"/>
      <c r="N647" s="1347" t="s">
        <v>2095</v>
      </c>
      <c r="O647" s="1348" t="s">
        <v>2096</v>
      </c>
      <c r="P647" s="1348" t="s">
        <v>2008</v>
      </c>
      <c r="Q647" s="1353"/>
      <c r="R647" s="1353"/>
      <c r="S647" s="1353"/>
    </row>
    <row r="648" spans="1:19" ht="19.5" customHeight="1">
      <c r="A648" s="1252">
        <v>440</v>
      </c>
      <c r="B648" s="1252" t="s">
        <v>1973</v>
      </c>
      <c r="C648" s="1343" t="s">
        <v>96</v>
      </c>
      <c r="D648" s="1353"/>
      <c r="E648" s="1353"/>
      <c r="F648" s="1353"/>
      <c r="G648" s="1353"/>
      <c r="H648" s="1353"/>
      <c r="I648" s="1353"/>
      <c r="J648" s="1353"/>
      <c r="K648" s="1353"/>
      <c r="L648" s="1353"/>
      <c r="M648" s="1353"/>
      <c r="N648" s="1347" t="s">
        <v>2483</v>
      </c>
      <c r="O648" s="1348" t="s">
        <v>2484</v>
      </c>
      <c r="P648" s="1348" t="s">
        <v>2008</v>
      </c>
      <c r="Q648" s="1353"/>
      <c r="R648" s="1353"/>
      <c r="S648" s="1353"/>
    </row>
    <row r="649" spans="1:19" ht="19.5" customHeight="1">
      <c r="A649" s="1252">
        <v>441</v>
      </c>
      <c r="B649" s="1252" t="s">
        <v>1973</v>
      </c>
      <c r="C649" s="1343" t="s">
        <v>96</v>
      </c>
      <c r="D649" s="1353"/>
      <c r="E649" s="1353"/>
      <c r="F649" s="1353"/>
      <c r="G649" s="1353"/>
      <c r="H649" s="1353"/>
      <c r="I649" s="1353"/>
      <c r="J649" s="1353"/>
      <c r="K649" s="1353"/>
      <c r="L649" s="1353"/>
      <c r="M649" s="1353"/>
      <c r="N649" s="1347" t="s">
        <v>2485</v>
      </c>
      <c r="O649" s="1348" t="s">
        <v>2486</v>
      </c>
      <c r="P649" s="1348" t="s">
        <v>2014</v>
      </c>
      <c r="Q649" s="1353"/>
      <c r="R649" s="1353"/>
      <c r="S649" s="1353"/>
    </row>
    <row r="650" spans="1:19" ht="19.5" customHeight="1">
      <c r="A650" s="1252">
        <v>442</v>
      </c>
      <c r="B650" s="1252" t="s">
        <v>1973</v>
      </c>
      <c r="C650" s="1343" t="s">
        <v>96</v>
      </c>
      <c r="D650" s="1353"/>
      <c r="E650" s="1353"/>
      <c r="F650" s="1353"/>
      <c r="G650" s="1353"/>
      <c r="H650" s="1353"/>
      <c r="I650" s="1353"/>
      <c r="J650" s="1353"/>
      <c r="K650" s="1353"/>
      <c r="L650" s="1353"/>
      <c r="M650" s="1353"/>
      <c r="N650" s="1347" t="s">
        <v>2487</v>
      </c>
      <c r="O650" s="1348" t="s">
        <v>2488</v>
      </c>
      <c r="P650" s="1348" t="s">
        <v>1997</v>
      </c>
      <c r="Q650" s="1353"/>
      <c r="R650" s="1353"/>
      <c r="S650" s="1353"/>
    </row>
    <row r="651" spans="1:19" ht="19.5" customHeight="1">
      <c r="A651" s="1252">
        <v>443</v>
      </c>
      <c r="B651" s="1252" t="s">
        <v>1973</v>
      </c>
      <c r="C651" s="1343" t="s">
        <v>96</v>
      </c>
      <c r="D651" s="1353"/>
      <c r="E651" s="1353"/>
      <c r="F651" s="1353"/>
      <c r="G651" s="1353"/>
      <c r="H651" s="1353"/>
      <c r="I651" s="1353"/>
      <c r="J651" s="1353"/>
      <c r="K651" s="1353"/>
      <c r="L651" s="1353"/>
      <c r="M651" s="1353"/>
      <c r="N651" s="1347" t="s">
        <v>2337</v>
      </c>
      <c r="O651" s="1348" t="s">
        <v>2338</v>
      </c>
      <c r="P651" s="1348" t="s">
        <v>1997</v>
      </c>
      <c r="Q651" s="1353"/>
      <c r="R651" s="1353"/>
      <c r="S651" s="1353"/>
    </row>
    <row r="652" spans="1:19" ht="19.5" customHeight="1">
      <c r="A652" s="1252">
        <v>444</v>
      </c>
      <c r="B652" s="1252" t="s">
        <v>1973</v>
      </c>
      <c r="C652" s="1343" t="s">
        <v>96</v>
      </c>
      <c r="D652" s="1353"/>
      <c r="E652" s="1353"/>
      <c r="F652" s="1353"/>
      <c r="G652" s="1353"/>
      <c r="H652" s="1353"/>
      <c r="I652" s="1353"/>
      <c r="J652" s="1353"/>
      <c r="K652" s="1353"/>
      <c r="L652" s="1353"/>
      <c r="M652" s="1353"/>
      <c r="N652" s="1347" t="s">
        <v>2489</v>
      </c>
      <c r="O652" s="1348" t="s">
        <v>2490</v>
      </c>
      <c r="P652" s="1348" t="s">
        <v>2116</v>
      </c>
      <c r="Q652" s="1353"/>
      <c r="R652" s="1353"/>
      <c r="S652" s="1353"/>
    </row>
    <row r="653" spans="1:19" ht="19.5" customHeight="1">
      <c r="A653" s="1252">
        <v>445</v>
      </c>
      <c r="B653" s="1252" t="s">
        <v>1973</v>
      </c>
      <c r="C653" s="1343" t="s">
        <v>96</v>
      </c>
      <c r="D653" s="1353"/>
      <c r="E653" s="1353"/>
      <c r="F653" s="1353"/>
      <c r="G653" s="1353"/>
      <c r="H653" s="1353"/>
      <c r="I653" s="1353"/>
      <c r="J653" s="1353"/>
      <c r="K653" s="1353"/>
      <c r="L653" s="1353"/>
      <c r="M653" s="1353"/>
      <c r="N653" s="1347" t="s">
        <v>2491</v>
      </c>
      <c r="O653" s="1348" t="s">
        <v>2492</v>
      </c>
      <c r="P653" s="1348" t="s">
        <v>2008</v>
      </c>
      <c r="Q653" s="1353"/>
      <c r="R653" s="1353"/>
      <c r="S653" s="1353"/>
    </row>
    <row r="654" spans="1:19" ht="19.5" customHeight="1">
      <c r="A654" s="1252">
        <v>446</v>
      </c>
      <c r="B654" s="1252" t="s">
        <v>1973</v>
      </c>
      <c r="C654" s="1343" t="s">
        <v>96</v>
      </c>
      <c r="D654" s="1353"/>
      <c r="E654" s="1353"/>
      <c r="F654" s="1353"/>
      <c r="G654" s="1353"/>
      <c r="H654" s="1353"/>
      <c r="I654" s="1353"/>
      <c r="J654" s="1353"/>
      <c r="K654" s="1353"/>
      <c r="L654" s="1353"/>
      <c r="M654" s="1353"/>
      <c r="N654" s="1347" t="s">
        <v>2493</v>
      </c>
      <c r="O654" s="1345" t="s">
        <v>2494</v>
      </c>
      <c r="P654" s="1348" t="s">
        <v>2056</v>
      </c>
      <c r="Q654" s="1353"/>
      <c r="R654" s="1353"/>
      <c r="S654" s="1353"/>
    </row>
    <row r="655" spans="1:19" ht="19.5" customHeight="1">
      <c r="A655" s="1252">
        <v>447</v>
      </c>
      <c r="B655" s="1252" t="s">
        <v>1973</v>
      </c>
      <c r="C655" s="1343" t="s">
        <v>96</v>
      </c>
      <c r="D655" s="1353"/>
      <c r="E655" s="1353"/>
      <c r="F655" s="1353"/>
      <c r="G655" s="1353"/>
      <c r="H655" s="1353"/>
      <c r="I655" s="1353"/>
      <c r="J655" s="1353"/>
      <c r="K655" s="1353"/>
      <c r="L655" s="1353"/>
      <c r="M655" s="1353"/>
      <c r="N655" s="1347" t="s">
        <v>2495</v>
      </c>
      <c r="O655" s="1347" t="s">
        <v>2496</v>
      </c>
      <c r="P655" s="1345" t="s">
        <v>2008</v>
      </c>
      <c r="Q655" s="1353"/>
      <c r="R655" s="1353"/>
      <c r="S655" s="1353"/>
    </row>
    <row r="656" spans="1:19" ht="19.5" customHeight="1">
      <c r="A656" s="1252">
        <v>448</v>
      </c>
      <c r="B656" s="1252" t="s">
        <v>1973</v>
      </c>
      <c r="C656" s="1343" t="s">
        <v>96</v>
      </c>
      <c r="D656" s="1353"/>
      <c r="E656" s="1353"/>
      <c r="F656" s="1353"/>
      <c r="G656" s="1353"/>
      <c r="H656" s="1353"/>
      <c r="I656" s="1353"/>
      <c r="J656" s="1353"/>
      <c r="K656" s="1353"/>
      <c r="L656" s="1353"/>
      <c r="M656" s="1353"/>
      <c r="N656" s="1347" t="s">
        <v>2497</v>
      </c>
      <c r="O656" s="1347" t="s">
        <v>2498</v>
      </c>
      <c r="P656" s="1347" t="s">
        <v>2023</v>
      </c>
      <c r="Q656" s="1353"/>
      <c r="R656" s="1353"/>
      <c r="S656" s="1353"/>
    </row>
    <row r="657" spans="1:19" ht="19.5" customHeight="1">
      <c r="A657" s="1252">
        <v>449</v>
      </c>
      <c r="B657" s="1252" t="s">
        <v>1973</v>
      </c>
      <c r="C657" s="1343" t="s">
        <v>96</v>
      </c>
      <c r="D657" s="1353"/>
      <c r="E657" s="1353"/>
      <c r="F657" s="1353"/>
      <c r="G657" s="1353"/>
      <c r="H657" s="1353"/>
      <c r="I657" s="1353"/>
      <c r="J657" s="1353"/>
      <c r="K657" s="1353"/>
      <c r="L657" s="1353"/>
      <c r="M657" s="1353"/>
      <c r="N657" s="1347" t="s">
        <v>2190</v>
      </c>
      <c r="O657" s="1347" t="s">
        <v>2191</v>
      </c>
      <c r="P657" s="1347" t="s">
        <v>1987</v>
      </c>
      <c r="Q657" s="1353"/>
      <c r="R657" s="1353"/>
      <c r="S657" s="1353"/>
    </row>
    <row r="658" spans="1:19" ht="19.5" customHeight="1">
      <c r="A658" s="1252">
        <v>450</v>
      </c>
      <c r="B658" s="1252" t="s">
        <v>1973</v>
      </c>
      <c r="C658" s="1343" t="s">
        <v>96</v>
      </c>
      <c r="D658" s="1353"/>
      <c r="E658" s="1353"/>
      <c r="F658" s="1353"/>
      <c r="G658" s="1353"/>
      <c r="H658" s="1353"/>
      <c r="I658" s="1353"/>
      <c r="J658" s="1353"/>
      <c r="K658" s="1353"/>
      <c r="L658" s="1353"/>
      <c r="M658" s="1353"/>
      <c r="N658" s="1347" t="s">
        <v>2499</v>
      </c>
      <c r="O658" s="1347" t="s">
        <v>2500</v>
      </c>
      <c r="P658" s="1347" t="s">
        <v>2014</v>
      </c>
      <c r="Q658" s="1353"/>
      <c r="R658" s="1353"/>
      <c r="S658" s="1353"/>
    </row>
    <row r="659" spans="1:19" ht="19.5" customHeight="1">
      <c r="A659" s="1252">
        <v>451</v>
      </c>
      <c r="B659" s="1252" t="s">
        <v>1973</v>
      </c>
      <c r="C659" s="1343" t="s">
        <v>96</v>
      </c>
      <c r="D659" s="1353"/>
      <c r="E659" s="1353"/>
      <c r="F659" s="1353"/>
      <c r="G659" s="1353"/>
      <c r="H659" s="1353"/>
      <c r="I659" s="1353"/>
      <c r="J659" s="1353"/>
      <c r="K659" s="1353"/>
      <c r="L659" s="1353"/>
      <c r="M659" s="1353"/>
      <c r="N659" s="1347" t="s">
        <v>2501</v>
      </c>
      <c r="O659" s="1347" t="s">
        <v>2502</v>
      </c>
      <c r="P659" s="1347" t="s">
        <v>2008</v>
      </c>
      <c r="Q659" s="1353"/>
      <c r="R659" s="1353"/>
      <c r="S659" s="1353"/>
    </row>
    <row r="660" spans="1:19" ht="19.5" customHeight="1">
      <c r="A660" s="1252">
        <v>452</v>
      </c>
      <c r="B660" s="1252" t="s">
        <v>1973</v>
      </c>
      <c r="C660" s="1343" t="s">
        <v>96</v>
      </c>
      <c r="D660" s="1353"/>
      <c r="E660" s="1353"/>
      <c r="F660" s="1353"/>
      <c r="G660" s="1353"/>
      <c r="H660" s="1353"/>
      <c r="I660" s="1353"/>
      <c r="J660" s="1353"/>
      <c r="K660" s="1353"/>
      <c r="L660" s="1353"/>
      <c r="M660" s="1353"/>
      <c r="N660" s="1347" t="s">
        <v>2503</v>
      </c>
      <c r="O660" s="1347" t="s">
        <v>2504</v>
      </c>
      <c r="P660" s="1347" t="s">
        <v>2014</v>
      </c>
      <c r="Q660" s="1353"/>
      <c r="R660" s="1353"/>
      <c r="S660" s="1353"/>
    </row>
    <row r="661" spans="1:19" ht="19.5" customHeight="1">
      <c r="A661" s="1252">
        <v>453</v>
      </c>
      <c r="B661" s="1252" t="s">
        <v>1973</v>
      </c>
      <c r="C661" s="1343" t="s">
        <v>96</v>
      </c>
      <c r="D661" s="1353"/>
      <c r="E661" s="1353"/>
      <c r="F661" s="1353"/>
      <c r="G661" s="1353"/>
      <c r="H661" s="1353"/>
      <c r="I661" s="1353"/>
      <c r="J661" s="1353"/>
      <c r="K661" s="1353"/>
      <c r="L661" s="1353"/>
      <c r="M661" s="1353"/>
      <c r="N661" s="1347" t="s">
        <v>2154</v>
      </c>
      <c r="O661" s="1347" t="s">
        <v>2155</v>
      </c>
      <c r="P661" s="1347" t="s">
        <v>2153</v>
      </c>
      <c r="Q661" s="1353"/>
      <c r="R661" s="1353"/>
      <c r="S661" s="1353"/>
    </row>
    <row r="662" spans="1:19" ht="19.5" customHeight="1">
      <c r="A662" s="1252">
        <v>454</v>
      </c>
      <c r="B662" s="1252" t="s">
        <v>1973</v>
      </c>
      <c r="C662" s="1343" t="s">
        <v>96</v>
      </c>
      <c r="D662" s="1353"/>
      <c r="E662" s="1353"/>
      <c r="F662" s="1353"/>
      <c r="G662" s="1353"/>
      <c r="H662" s="1353"/>
      <c r="I662" s="1353"/>
      <c r="J662" s="1353"/>
      <c r="K662" s="1353"/>
      <c r="L662" s="1353"/>
      <c r="M662" s="1353"/>
      <c r="N662" s="1347" t="s">
        <v>2104</v>
      </c>
      <c r="O662" s="1347" t="s">
        <v>2105</v>
      </c>
      <c r="P662" s="1347" t="s">
        <v>2008</v>
      </c>
      <c r="Q662" s="1353"/>
      <c r="R662" s="1353"/>
      <c r="S662" s="1353"/>
    </row>
    <row r="663" spans="1:19" ht="19.5" customHeight="1">
      <c r="A663" s="1252">
        <v>455</v>
      </c>
      <c r="B663" s="1252" t="s">
        <v>1973</v>
      </c>
      <c r="C663" s="1343" t="s">
        <v>96</v>
      </c>
      <c r="D663" s="1353"/>
      <c r="E663" s="1353"/>
      <c r="F663" s="1353"/>
      <c r="G663" s="1353"/>
      <c r="H663" s="1353"/>
      <c r="I663" s="1353"/>
      <c r="J663" s="1353"/>
      <c r="K663" s="1353"/>
      <c r="L663" s="1353"/>
      <c r="M663" s="1353"/>
      <c r="N663" s="1347" t="s">
        <v>2108</v>
      </c>
      <c r="O663" s="1347" t="s">
        <v>2109</v>
      </c>
      <c r="P663" s="1347" t="s">
        <v>2008</v>
      </c>
      <c r="Q663" s="1353"/>
      <c r="R663" s="1353"/>
      <c r="S663" s="1353"/>
    </row>
    <row r="664" spans="1:19" ht="19.5" customHeight="1">
      <c r="A664" s="1252">
        <v>456</v>
      </c>
      <c r="B664" s="1252" t="s">
        <v>1973</v>
      </c>
      <c r="C664" s="1343" t="s">
        <v>96</v>
      </c>
      <c r="D664" s="1353"/>
      <c r="E664" s="1353"/>
      <c r="F664" s="1353"/>
      <c r="G664" s="1353"/>
      <c r="H664" s="1353"/>
      <c r="I664" s="1353"/>
      <c r="J664" s="1353"/>
      <c r="K664" s="1353"/>
      <c r="L664" s="1353"/>
      <c r="M664" s="1353"/>
      <c r="N664" s="1347" t="s">
        <v>2384</v>
      </c>
      <c r="O664" s="1347" t="s">
        <v>2385</v>
      </c>
      <c r="P664" s="1347" t="s">
        <v>2014</v>
      </c>
      <c r="Q664" s="1353"/>
      <c r="R664" s="1353"/>
      <c r="S664" s="1353"/>
    </row>
    <row r="665" spans="1:19" ht="19.5" customHeight="1">
      <c r="A665" s="1252">
        <v>457</v>
      </c>
      <c r="B665" s="1252" t="s">
        <v>1973</v>
      </c>
      <c r="C665" s="1343" t="s">
        <v>96</v>
      </c>
      <c r="D665" s="1353"/>
      <c r="E665" s="1353"/>
      <c r="F665" s="1353"/>
      <c r="G665" s="1353"/>
      <c r="H665" s="1353"/>
      <c r="I665" s="1353"/>
      <c r="J665" s="1353"/>
      <c r="K665" s="1353"/>
      <c r="L665" s="1353"/>
      <c r="M665" s="1353"/>
      <c r="N665" s="1347" t="s">
        <v>2505</v>
      </c>
      <c r="O665" s="1347" t="s">
        <v>2506</v>
      </c>
      <c r="P665" s="1347" t="s">
        <v>2023</v>
      </c>
      <c r="Q665" s="1353"/>
      <c r="R665" s="1353"/>
      <c r="S665" s="1353"/>
    </row>
    <row r="666" spans="1:19" ht="19.5" customHeight="1">
      <c r="A666" s="1252">
        <v>458</v>
      </c>
      <c r="B666" s="1252" t="s">
        <v>1973</v>
      </c>
      <c r="C666" s="1343" t="s">
        <v>96</v>
      </c>
      <c r="D666" s="1353"/>
      <c r="E666" s="1353"/>
      <c r="F666" s="1353"/>
      <c r="G666" s="1353"/>
      <c r="H666" s="1353"/>
      <c r="I666" s="1353"/>
      <c r="J666" s="1353"/>
      <c r="K666" s="1353"/>
      <c r="L666" s="1353"/>
      <c r="M666" s="1353"/>
      <c r="N666" s="1347" t="s">
        <v>2112</v>
      </c>
      <c r="O666" s="1347" t="s">
        <v>2113</v>
      </c>
      <c r="P666" s="1347" t="s">
        <v>2008</v>
      </c>
      <c r="Q666" s="1353"/>
      <c r="R666" s="1353"/>
      <c r="S666" s="1353"/>
    </row>
    <row r="667" spans="1:19" ht="19.5" customHeight="1">
      <c r="A667" s="1252">
        <v>459</v>
      </c>
      <c r="B667" s="1252" t="s">
        <v>1973</v>
      </c>
      <c r="C667" s="1343" t="s">
        <v>96</v>
      </c>
      <c r="D667" s="1353"/>
      <c r="E667" s="1353"/>
      <c r="F667" s="1353"/>
      <c r="G667" s="1353"/>
      <c r="H667" s="1353"/>
      <c r="I667" s="1353"/>
      <c r="J667" s="1353"/>
      <c r="K667" s="1353"/>
      <c r="L667" s="1353"/>
      <c r="M667" s="1353"/>
      <c r="N667" s="1347" t="s">
        <v>2507</v>
      </c>
      <c r="O667" s="1347" t="s">
        <v>2508</v>
      </c>
      <c r="P667" s="1347" t="s">
        <v>2023</v>
      </c>
      <c r="Q667" s="1353"/>
      <c r="R667" s="1353"/>
      <c r="S667" s="1353"/>
    </row>
    <row r="668" spans="1:19" ht="19.5" customHeight="1">
      <c r="A668" s="1252">
        <v>460</v>
      </c>
      <c r="B668" s="1252" t="s">
        <v>1973</v>
      </c>
      <c r="C668" s="1343" t="s">
        <v>96</v>
      </c>
      <c r="D668" s="1353"/>
      <c r="E668" s="1353"/>
      <c r="F668" s="1353"/>
      <c r="G668" s="1353"/>
      <c r="H668" s="1353"/>
      <c r="I668" s="1353"/>
      <c r="J668" s="1353"/>
      <c r="K668" s="1353"/>
      <c r="L668" s="1353"/>
      <c r="M668" s="1353"/>
      <c r="N668" s="1347" t="s">
        <v>2509</v>
      </c>
      <c r="O668" s="1347" t="s">
        <v>2510</v>
      </c>
      <c r="P668" s="1347" t="s">
        <v>2014</v>
      </c>
      <c r="Q668" s="1353"/>
      <c r="R668" s="1353"/>
      <c r="S668" s="1353"/>
    </row>
    <row r="669" spans="1:19" ht="19.5" customHeight="1">
      <c r="A669" s="1252">
        <v>461</v>
      </c>
      <c r="B669" s="1252" t="s">
        <v>1973</v>
      </c>
      <c r="C669" s="1343" t="s">
        <v>96</v>
      </c>
      <c r="D669" s="1353"/>
      <c r="E669" s="1353"/>
      <c r="F669" s="1353"/>
      <c r="G669" s="1353"/>
      <c r="H669" s="1353"/>
      <c r="I669" s="1353"/>
      <c r="J669" s="1353"/>
      <c r="K669" s="1353"/>
      <c r="L669" s="1353"/>
      <c r="M669" s="1353"/>
      <c r="N669" s="1347" t="s">
        <v>2238</v>
      </c>
      <c r="O669" s="1347" t="s">
        <v>2239</v>
      </c>
      <c r="P669" s="1347" t="s">
        <v>2023</v>
      </c>
      <c r="Q669" s="1353"/>
      <c r="R669" s="1353"/>
      <c r="S669" s="1353"/>
    </row>
    <row r="670" spans="1:19" ht="19.5" customHeight="1">
      <c r="A670" s="1252">
        <v>462</v>
      </c>
      <c r="B670" s="1252" t="s">
        <v>1973</v>
      </c>
      <c r="C670" s="1343" t="s">
        <v>96</v>
      </c>
      <c r="D670" s="1353"/>
      <c r="E670" s="1353"/>
      <c r="F670" s="1353"/>
      <c r="G670" s="1353"/>
      <c r="H670" s="1353"/>
      <c r="I670" s="1353"/>
      <c r="J670" s="1353"/>
      <c r="K670" s="1353"/>
      <c r="L670" s="1353"/>
      <c r="M670" s="1353"/>
      <c r="N670" s="1347" t="s">
        <v>2121</v>
      </c>
      <c r="O670" s="1347" t="s">
        <v>2122</v>
      </c>
      <c r="P670" s="1347" t="s">
        <v>2008</v>
      </c>
      <c r="Q670" s="1353"/>
      <c r="R670" s="1353"/>
      <c r="S670" s="1353"/>
    </row>
    <row r="671" spans="1:19" ht="19.5" customHeight="1">
      <c r="A671" s="1252">
        <v>463</v>
      </c>
      <c r="B671" s="1252" t="s">
        <v>1973</v>
      </c>
      <c r="C671" s="1343" t="s">
        <v>96</v>
      </c>
      <c r="D671" s="1353"/>
      <c r="E671" s="1353"/>
      <c r="F671" s="1353"/>
      <c r="G671" s="1353"/>
      <c r="H671" s="1353"/>
      <c r="I671" s="1353"/>
      <c r="J671" s="1353"/>
      <c r="K671" s="1353"/>
      <c r="L671" s="1353"/>
      <c r="M671" s="1353"/>
      <c r="N671" s="1347" t="s">
        <v>2388</v>
      </c>
      <c r="O671" s="1347" t="s">
        <v>2389</v>
      </c>
      <c r="P671" s="1347" t="s">
        <v>2014</v>
      </c>
      <c r="Q671" s="1353"/>
      <c r="R671" s="1353"/>
      <c r="S671" s="1353"/>
    </row>
    <row r="672" spans="1:19" ht="19.5" customHeight="1">
      <c r="A672" s="1252">
        <v>464</v>
      </c>
      <c r="B672" s="1252" t="s">
        <v>1973</v>
      </c>
      <c r="C672" s="1343" t="s">
        <v>96</v>
      </c>
      <c r="D672" s="1353"/>
      <c r="E672" s="1353"/>
      <c r="F672" s="1353"/>
      <c r="G672" s="1353"/>
      <c r="H672" s="1353"/>
      <c r="I672" s="1353"/>
      <c r="J672" s="1353"/>
      <c r="K672" s="1353"/>
      <c r="L672" s="1353"/>
      <c r="M672" s="1353"/>
      <c r="N672" s="1347" t="s">
        <v>2396</v>
      </c>
      <c r="O672" s="1347" t="s">
        <v>2397</v>
      </c>
      <c r="P672" s="1347" t="s">
        <v>2014</v>
      </c>
      <c r="Q672" s="1353"/>
      <c r="R672" s="1353"/>
      <c r="S672" s="1353"/>
    </row>
    <row r="673" spans="1:19" ht="19.5" customHeight="1">
      <c r="A673" s="1252">
        <v>465</v>
      </c>
      <c r="B673" s="1252" t="s">
        <v>1973</v>
      </c>
      <c r="C673" s="1343" t="s">
        <v>96</v>
      </c>
      <c r="D673" s="1353"/>
      <c r="E673" s="1353"/>
      <c r="F673" s="1353"/>
      <c r="G673" s="1353"/>
      <c r="H673" s="1353"/>
      <c r="I673" s="1353"/>
      <c r="J673" s="1353"/>
      <c r="K673" s="1353"/>
      <c r="L673" s="1353"/>
      <c r="M673" s="1353"/>
      <c r="N673" s="1347" t="s">
        <v>2511</v>
      </c>
      <c r="O673" s="1347" t="s">
        <v>2512</v>
      </c>
      <c r="P673" s="1347" t="s">
        <v>2014</v>
      </c>
      <c r="Q673" s="1353"/>
      <c r="R673" s="1353"/>
      <c r="S673" s="1353"/>
    </row>
    <row r="674" spans="1:19" ht="19.5" customHeight="1">
      <c r="A674" s="1252">
        <v>466</v>
      </c>
      <c r="B674" s="1252" t="s">
        <v>1973</v>
      </c>
      <c r="C674" s="1343" t="s">
        <v>96</v>
      </c>
      <c r="D674" s="1353"/>
      <c r="E674" s="1353"/>
      <c r="F674" s="1353"/>
      <c r="G674" s="1353"/>
      <c r="H674" s="1353"/>
      <c r="I674" s="1353"/>
      <c r="J674" s="1353"/>
      <c r="K674" s="1353"/>
      <c r="L674" s="1353"/>
      <c r="M674" s="1353"/>
      <c r="N674" s="1347" t="s">
        <v>2194</v>
      </c>
      <c r="O674" s="1347" t="s">
        <v>2195</v>
      </c>
      <c r="P674" s="1347" t="s">
        <v>1987</v>
      </c>
      <c r="Q674" s="1353"/>
      <c r="R674" s="1353"/>
      <c r="S674" s="1353"/>
    </row>
    <row r="675" spans="1:19" ht="19.5" customHeight="1">
      <c r="A675" s="1252">
        <v>467</v>
      </c>
      <c r="B675" s="1252" t="s">
        <v>1973</v>
      </c>
      <c r="C675" s="1343" t="s">
        <v>96</v>
      </c>
      <c r="D675" s="1353"/>
      <c r="E675" s="1353"/>
      <c r="F675" s="1353"/>
      <c r="G675" s="1353"/>
      <c r="H675" s="1353"/>
      <c r="I675" s="1353"/>
      <c r="J675" s="1353"/>
      <c r="K675" s="1353"/>
      <c r="L675" s="1353"/>
      <c r="M675" s="1353"/>
      <c r="N675" s="1347" t="s">
        <v>2339</v>
      </c>
      <c r="O675" s="1347" t="s">
        <v>2340</v>
      </c>
      <c r="P675" s="1347" t="s">
        <v>1997</v>
      </c>
      <c r="Q675" s="1353"/>
      <c r="R675" s="1353"/>
      <c r="S675" s="1353"/>
    </row>
    <row r="676" spans="1:19" ht="19.5" customHeight="1">
      <c r="A676" s="1252">
        <v>468</v>
      </c>
      <c r="B676" s="1252" t="s">
        <v>1973</v>
      </c>
      <c r="C676" s="1343" t="s">
        <v>96</v>
      </c>
      <c r="D676" s="1353"/>
      <c r="E676" s="1353"/>
      <c r="F676" s="1353"/>
      <c r="G676" s="1353"/>
      <c r="H676" s="1353"/>
      <c r="I676" s="1353"/>
      <c r="J676" s="1353"/>
      <c r="K676" s="1353"/>
      <c r="L676" s="1353"/>
      <c r="M676" s="1353"/>
      <c r="N676" s="1347" t="s">
        <v>2513</v>
      </c>
      <c r="O676" s="1347" t="s">
        <v>2514</v>
      </c>
      <c r="P676" s="1347" t="s">
        <v>2023</v>
      </c>
      <c r="Q676" s="1353"/>
      <c r="R676" s="1353"/>
      <c r="S676" s="1353"/>
    </row>
    <row r="677" spans="1:19" ht="19.5" customHeight="1">
      <c r="A677" s="1252">
        <v>469</v>
      </c>
      <c r="B677" s="1252" t="s">
        <v>1973</v>
      </c>
      <c r="C677" s="1343" t="s">
        <v>96</v>
      </c>
      <c r="D677" s="1353"/>
      <c r="E677" s="1353"/>
      <c r="F677" s="1353"/>
      <c r="G677" s="1353"/>
      <c r="H677" s="1353"/>
      <c r="I677" s="1353"/>
      <c r="J677" s="1353"/>
      <c r="K677" s="1353"/>
      <c r="L677" s="1353"/>
      <c r="M677" s="1353"/>
      <c r="N677" s="1347" t="s">
        <v>2125</v>
      </c>
      <c r="O677" s="1347" t="s">
        <v>2126</v>
      </c>
      <c r="P677" s="1347" t="s">
        <v>2008</v>
      </c>
      <c r="Q677" s="1353"/>
      <c r="R677" s="1353"/>
      <c r="S677" s="1353"/>
    </row>
    <row r="678" spans="1:19" ht="19.5" customHeight="1">
      <c r="A678" s="1252">
        <v>470</v>
      </c>
      <c r="B678" s="1252" t="s">
        <v>1973</v>
      </c>
      <c r="C678" s="1343" t="s">
        <v>96</v>
      </c>
      <c r="D678" s="1353"/>
      <c r="E678" s="1353"/>
      <c r="F678" s="1353"/>
      <c r="G678" s="1353"/>
      <c r="H678" s="1353"/>
      <c r="I678" s="1353"/>
      <c r="J678" s="1353"/>
      <c r="K678" s="1353"/>
      <c r="L678" s="1353"/>
      <c r="M678" s="1353"/>
      <c r="N678" s="1347" t="s">
        <v>2398</v>
      </c>
      <c r="O678" s="1347" t="s">
        <v>2399</v>
      </c>
      <c r="P678" s="1347" t="s">
        <v>2014</v>
      </c>
      <c r="Q678" s="1353"/>
      <c r="R678" s="1353"/>
      <c r="S678" s="1353"/>
    </row>
    <row r="679" spans="1:19" ht="19.5" customHeight="1">
      <c r="A679" s="1252">
        <v>471</v>
      </c>
      <c r="B679" s="1252" t="s">
        <v>1973</v>
      </c>
      <c r="C679" s="1343" t="s">
        <v>96</v>
      </c>
      <c r="D679" s="1353"/>
      <c r="E679" s="1353"/>
      <c r="F679" s="1353"/>
      <c r="G679" s="1353"/>
      <c r="H679" s="1353"/>
      <c r="I679" s="1353"/>
      <c r="J679" s="1353"/>
      <c r="K679" s="1353"/>
      <c r="L679" s="1353"/>
      <c r="M679" s="1353"/>
      <c r="N679" s="1347" t="s">
        <v>2129</v>
      </c>
      <c r="O679" s="1347" t="s">
        <v>2130</v>
      </c>
      <c r="P679" s="1347" t="s">
        <v>2008</v>
      </c>
      <c r="Q679" s="1353"/>
      <c r="R679" s="1353"/>
      <c r="S679" s="1353"/>
    </row>
    <row r="680" spans="1:19" ht="19.5" customHeight="1">
      <c r="A680" s="1252">
        <v>472</v>
      </c>
      <c r="B680" s="1252" t="s">
        <v>1973</v>
      </c>
      <c r="C680" s="1343" t="s">
        <v>96</v>
      </c>
      <c r="D680" s="1353"/>
      <c r="E680" s="1353"/>
      <c r="F680" s="1353"/>
      <c r="G680" s="1353"/>
      <c r="H680" s="1353"/>
      <c r="I680" s="1353"/>
      <c r="J680" s="1353"/>
      <c r="K680" s="1353"/>
      <c r="L680" s="1353"/>
      <c r="M680" s="1353"/>
      <c r="N680" s="1347" t="s">
        <v>2515</v>
      </c>
      <c r="O680" s="1347" t="s">
        <v>2516</v>
      </c>
      <c r="P680" s="1347" t="s">
        <v>2023</v>
      </c>
      <c r="Q680" s="1353"/>
      <c r="R680" s="1353"/>
      <c r="S680" s="1353"/>
    </row>
    <row r="681" spans="1:19" ht="19.5" customHeight="1">
      <c r="A681" s="1252">
        <v>473</v>
      </c>
      <c r="B681" s="1252" t="s">
        <v>1973</v>
      </c>
      <c r="C681" s="1343" t="s">
        <v>96</v>
      </c>
      <c r="D681" s="1353"/>
      <c r="E681" s="1353"/>
      <c r="F681" s="1353"/>
      <c r="G681" s="1353"/>
      <c r="H681" s="1353"/>
      <c r="I681" s="1353"/>
      <c r="J681" s="1353"/>
      <c r="K681" s="1353"/>
      <c r="L681" s="1353"/>
      <c r="M681" s="1353"/>
      <c r="N681" s="1347" t="s">
        <v>2517</v>
      </c>
      <c r="O681" s="1347" t="s">
        <v>2518</v>
      </c>
      <c r="P681" s="1347" t="s">
        <v>2008</v>
      </c>
      <c r="Q681" s="1353"/>
      <c r="R681" s="1353"/>
      <c r="S681" s="1353"/>
    </row>
    <row r="682" spans="1:19" ht="19.5" customHeight="1">
      <c r="A682" s="1252">
        <v>474</v>
      </c>
      <c r="B682" s="1252" t="s">
        <v>1973</v>
      </c>
      <c r="C682" s="1343" t="s">
        <v>96</v>
      </c>
      <c r="D682" s="1353"/>
      <c r="E682" s="1353"/>
      <c r="F682" s="1353"/>
      <c r="G682" s="1353"/>
      <c r="H682" s="1353"/>
      <c r="I682" s="1353"/>
      <c r="J682" s="1353"/>
      <c r="K682" s="1353"/>
      <c r="L682" s="1353"/>
      <c r="M682" s="1353"/>
      <c r="N682" s="1347" t="s">
        <v>2519</v>
      </c>
      <c r="O682" s="1347" t="s">
        <v>2520</v>
      </c>
      <c r="P682" s="1347" t="s">
        <v>2153</v>
      </c>
      <c r="Q682" s="1353"/>
      <c r="R682" s="1353"/>
      <c r="S682" s="1353"/>
    </row>
    <row r="683" spans="1:19" ht="19.5" customHeight="1">
      <c r="A683" s="1252">
        <v>475</v>
      </c>
      <c r="B683" s="1252" t="s">
        <v>1973</v>
      </c>
      <c r="C683" s="1343" t="s">
        <v>96</v>
      </c>
      <c r="D683" s="1353"/>
      <c r="E683" s="1353"/>
      <c r="F683" s="1353"/>
      <c r="G683" s="1353"/>
      <c r="H683" s="1353"/>
      <c r="I683" s="1353"/>
      <c r="J683" s="1353"/>
      <c r="K683" s="1353"/>
      <c r="L683" s="1353"/>
      <c r="M683" s="1353"/>
      <c r="N683" s="1347" t="s">
        <v>2198</v>
      </c>
      <c r="O683" s="1347" t="s">
        <v>2199</v>
      </c>
      <c r="P683" s="1347" t="s">
        <v>1987</v>
      </c>
      <c r="Q683" s="1353"/>
      <c r="R683" s="1353"/>
      <c r="S683" s="1353"/>
    </row>
    <row r="684" spans="1:19" ht="19.5" customHeight="1">
      <c r="A684" s="1252">
        <v>476</v>
      </c>
      <c r="B684" s="1252" t="s">
        <v>1973</v>
      </c>
      <c r="C684" s="1343" t="s">
        <v>96</v>
      </c>
      <c r="D684" s="1353"/>
      <c r="E684" s="1353"/>
      <c r="F684" s="1353"/>
      <c r="G684" s="1353"/>
      <c r="H684" s="1353"/>
      <c r="I684" s="1353"/>
      <c r="J684" s="1353"/>
      <c r="K684" s="1353"/>
      <c r="L684" s="1353"/>
      <c r="M684" s="1353"/>
      <c r="N684" s="1347" t="s">
        <v>2133</v>
      </c>
      <c r="O684" s="1347" t="s">
        <v>2134</v>
      </c>
      <c r="P684" s="1347" t="s">
        <v>2008</v>
      </c>
      <c r="Q684" s="1353"/>
      <c r="R684" s="1353"/>
      <c r="S684" s="1353"/>
    </row>
    <row r="685" spans="1:19" ht="19.5" customHeight="1">
      <c r="A685" s="1252">
        <v>477</v>
      </c>
      <c r="B685" s="1252" t="s">
        <v>1973</v>
      </c>
      <c r="C685" s="1343" t="s">
        <v>96</v>
      </c>
      <c r="D685" s="1353"/>
      <c r="E685" s="1353"/>
      <c r="F685" s="1353"/>
      <c r="G685" s="1353"/>
      <c r="H685" s="1353"/>
      <c r="I685" s="1353"/>
      <c r="J685" s="1353"/>
      <c r="K685" s="1353"/>
      <c r="L685" s="1353"/>
      <c r="M685" s="1353"/>
      <c r="N685" s="1347" t="s">
        <v>2521</v>
      </c>
      <c r="O685" s="1347" t="s">
        <v>2522</v>
      </c>
      <c r="P685" s="1347" t="s">
        <v>2008</v>
      </c>
      <c r="Q685" s="1353"/>
      <c r="R685" s="1353"/>
      <c r="S685" s="1353"/>
    </row>
    <row r="686" spans="1:19" ht="19.5" customHeight="1">
      <c r="A686" s="1252">
        <v>478</v>
      </c>
      <c r="B686" s="1252" t="s">
        <v>1973</v>
      </c>
      <c r="C686" s="1343" t="s">
        <v>96</v>
      </c>
      <c r="D686" s="1353"/>
      <c r="E686" s="1353"/>
      <c r="F686" s="1353"/>
      <c r="G686" s="1353"/>
      <c r="H686" s="1353"/>
      <c r="I686" s="1353"/>
      <c r="J686" s="1353"/>
      <c r="K686" s="1353"/>
      <c r="L686" s="1353"/>
      <c r="M686" s="1353"/>
      <c r="N686" s="1347" t="s">
        <v>2523</v>
      </c>
      <c r="O686" s="1347" t="s">
        <v>2524</v>
      </c>
      <c r="P686" s="1347" t="s">
        <v>1987</v>
      </c>
      <c r="Q686" s="1353"/>
      <c r="R686" s="1353"/>
      <c r="S686" s="1353"/>
    </row>
    <row r="687" spans="1:19" ht="19.5" customHeight="1">
      <c r="A687" s="1252">
        <v>479</v>
      </c>
      <c r="B687" s="1252" t="s">
        <v>1973</v>
      </c>
      <c r="C687" s="1343" t="s">
        <v>96</v>
      </c>
      <c r="D687" s="1353"/>
      <c r="E687" s="1353"/>
      <c r="F687" s="1353"/>
      <c r="G687" s="1353"/>
      <c r="H687" s="1353"/>
      <c r="I687" s="1353"/>
      <c r="J687" s="1353"/>
      <c r="K687" s="1353"/>
      <c r="L687" s="1353"/>
      <c r="M687" s="1353"/>
      <c r="N687" s="1347" t="s">
        <v>2268</v>
      </c>
      <c r="O687" s="1347" t="s">
        <v>2269</v>
      </c>
      <c r="P687" s="1347" t="s">
        <v>1992</v>
      </c>
      <c r="Q687" s="1353"/>
      <c r="R687" s="1353"/>
      <c r="S687" s="1353"/>
    </row>
    <row r="688" spans="1:19" ht="19.5" customHeight="1">
      <c r="A688" s="1252">
        <v>480</v>
      </c>
      <c r="B688" s="1252" t="s">
        <v>1973</v>
      </c>
      <c r="C688" s="1343" t="s">
        <v>96</v>
      </c>
      <c r="D688" s="1353"/>
      <c r="E688" s="1353"/>
      <c r="F688" s="1353"/>
      <c r="G688" s="1353"/>
      <c r="H688" s="1353"/>
      <c r="I688" s="1353"/>
      <c r="J688" s="1353"/>
      <c r="K688" s="1353"/>
      <c r="L688" s="1353"/>
      <c r="M688" s="1353"/>
      <c r="N688" s="1347" t="s">
        <v>2137</v>
      </c>
      <c r="O688" s="1347" t="s">
        <v>2138</v>
      </c>
      <c r="P688" s="1347" t="s">
        <v>2008</v>
      </c>
      <c r="Q688" s="1353"/>
      <c r="R688" s="1353"/>
      <c r="S688" s="1353"/>
    </row>
    <row r="689" spans="1:19" ht="19.5" customHeight="1">
      <c r="A689" s="1252">
        <v>481</v>
      </c>
      <c r="B689" s="1252" t="s">
        <v>1973</v>
      </c>
      <c r="C689" s="1343" t="s">
        <v>96</v>
      </c>
      <c r="D689" s="1353"/>
      <c r="E689" s="1353"/>
      <c r="F689" s="1353"/>
      <c r="G689" s="1353"/>
      <c r="H689" s="1353"/>
      <c r="I689" s="1353"/>
      <c r="J689" s="1353"/>
      <c r="K689" s="1353"/>
      <c r="L689" s="1353"/>
      <c r="M689" s="1353"/>
      <c r="N689" s="1347" t="s">
        <v>2525</v>
      </c>
      <c r="O689" s="1347" t="s">
        <v>2526</v>
      </c>
      <c r="P689" s="1347" t="s">
        <v>1987</v>
      </c>
      <c r="Q689" s="1353"/>
      <c r="R689" s="1353"/>
      <c r="S689" s="1353"/>
    </row>
    <row r="690" spans="1:19" ht="19.5" customHeight="1">
      <c r="A690" s="1252">
        <v>482</v>
      </c>
      <c r="B690" s="1252" t="s">
        <v>1973</v>
      </c>
      <c r="C690" s="1343" t="s">
        <v>96</v>
      </c>
      <c r="D690" s="1353"/>
      <c r="E690" s="1353"/>
      <c r="F690" s="1353"/>
      <c r="G690" s="1353"/>
      <c r="H690" s="1353"/>
      <c r="I690" s="1353"/>
      <c r="J690" s="1353"/>
      <c r="K690" s="1353"/>
      <c r="L690" s="1353"/>
      <c r="M690" s="1353"/>
      <c r="N690" s="1347" t="s">
        <v>2527</v>
      </c>
      <c r="O690" s="1347" t="s">
        <v>2528</v>
      </c>
      <c r="P690" s="1347" t="s">
        <v>2023</v>
      </c>
      <c r="Q690" s="1353"/>
      <c r="R690" s="1353"/>
      <c r="S690" s="1353"/>
    </row>
    <row r="691" spans="1:19" ht="19.5" customHeight="1">
      <c r="A691" s="1252">
        <v>483</v>
      </c>
      <c r="B691" s="1252" t="s">
        <v>1973</v>
      </c>
      <c r="C691" s="1343" t="s">
        <v>96</v>
      </c>
      <c r="D691" s="1353"/>
      <c r="E691" s="1353"/>
      <c r="F691" s="1353"/>
      <c r="G691" s="1353"/>
      <c r="H691" s="1353"/>
      <c r="I691" s="1353"/>
      <c r="J691" s="1353"/>
      <c r="K691" s="1353"/>
      <c r="L691" s="1353"/>
      <c r="M691" s="1353"/>
      <c r="N691" s="1347" t="s">
        <v>2139</v>
      </c>
      <c r="O691" s="1347" t="s">
        <v>2140</v>
      </c>
      <c r="P691" s="1347" t="s">
        <v>2008</v>
      </c>
      <c r="Q691" s="1353"/>
      <c r="R691" s="1353"/>
      <c r="S691" s="1353"/>
    </row>
    <row r="692" spans="1:19" ht="19.5" customHeight="1">
      <c r="A692" s="1252">
        <v>484</v>
      </c>
      <c r="B692" s="1252" t="s">
        <v>1973</v>
      </c>
      <c r="C692" s="1343" t="s">
        <v>96</v>
      </c>
      <c r="D692" s="1353"/>
      <c r="E692" s="1353"/>
      <c r="F692" s="1353"/>
      <c r="G692" s="1353"/>
      <c r="H692" s="1353"/>
      <c r="I692" s="1353"/>
      <c r="J692" s="1353"/>
      <c r="K692" s="1353"/>
      <c r="L692" s="1353"/>
      <c r="M692" s="1353"/>
      <c r="N692" s="1347" t="s">
        <v>2402</v>
      </c>
      <c r="O692" s="1347" t="s">
        <v>2403</v>
      </c>
      <c r="P692" s="1347" t="s">
        <v>2014</v>
      </c>
      <c r="Q692" s="1353"/>
      <c r="R692" s="1353"/>
      <c r="S692" s="1353"/>
    </row>
    <row r="693" spans="1:19" ht="19.5" customHeight="1">
      <c r="A693" s="1252">
        <v>485</v>
      </c>
      <c r="B693" s="1252" t="s">
        <v>1973</v>
      </c>
      <c r="C693" s="1343" t="s">
        <v>96</v>
      </c>
      <c r="D693" s="1353"/>
      <c r="E693" s="1353"/>
      <c r="F693" s="1353"/>
      <c r="G693" s="1353"/>
      <c r="H693" s="1353"/>
      <c r="I693" s="1353"/>
      <c r="J693" s="1353"/>
      <c r="K693" s="1353"/>
      <c r="L693" s="1353"/>
      <c r="M693" s="1353"/>
      <c r="N693" s="1347" t="s">
        <v>2272</v>
      </c>
      <c r="O693" s="1347" t="s">
        <v>2273</v>
      </c>
      <c r="P693" s="1347" t="s">
        <v>1992</v>
      </c>
      <c r="Q693" s="1353"/>
      <c r="R693" s="1353"/>
      <c r="S693" s="1353"/>
    </row>
    <row r="694" spans="1:19" ht="19.5" customHeight="1">
      <c r="A694" s="1252">
        <v>486</v>
      </c>
      <c r="B694" s="1252" t="s">
        <v>1973</v>
      </c>
      <c r="C694" s="1343" t="s">
        <v>96</v>
      </c>
      <c r="D694" s="1353"/>
      <c r="E694" s="1353"/>
      <c r="F694" s="1353"/>
      <c r="G694" s="1353"/>
      <c r="H694" s="1353"/>
      <c r="I694" s="1353"/>
      <c r="J694" s="1353"/>
      <c r="K694" s="1353"/>
      <c r="L694" s="1353"/>
      <c r="M694" s="1353"/>
      <c r="N694" s="1347" t="s">
        <v>2143</v>
      </c>
      <c r="O694" s="1347" t="s">
        <v>2144</v>
      </c>
      <c r="P694" s="1347" t="s">
        <v>2008</v>
      </c>
      <c r="Q694" s="1353"/>
      <c r="R694" s="1353"/>
      <c r="S694" s="1353"/>
    </row>
    <row r="695" spans="1:19" ht="19.5" customHeight="1">
      <c r="A695" s="1252">
        <v>487</v>
      </c>
      <c r="B695" s="1252" t="s">
        <v>1973</v>
      </c>
      <c r="C695" s="1343" t="s">
        <v>96</v>
      </c>
      <c r="D695" s="1353"/>
      <c r="E695" s="1353"/>
      <c r="F695" s="1353"/>
      <c r="G695" s="1353"/>
      <c r="H695" s="1353"/>
      <c r="I695" s="1353"/>
      <c r="J695" s="1353"/>
      <c r="K695" s="1353"/>
      <c r="L695" s="1353"/>
      <c r="M695" s="1353"/>
      <c r="N695" s="1347" t="s">
        <v>1974</v>
      </c>
      <c r="O695" s="1347" t="s">
        <v>1975</v>
      </c>
      <c r="P695" s="1347" t="s">
        <v>1976</v>
      </c>
      <c r="Q695" s="1353"/>
      <c r="R695" s="1353"/>
      <c r="S695" s="1353"/>
    </row>
    <row r="696" spans="1:19" ht="19.5" customHeight="1">
      <c r="A696" s="1252">
        <v>488</v>
      </c>
      <c r="B696" s="1252" t="s">
        <v>1973</v>
      </c>
      <c r="C696" s="1343" t="s">
        <v>96</v>
      </c>
      <c r="D696" s="1353"/>
      <c r="E696" s="1353"/>
      <c r="F696" s="1353"/>
      <c r="G696" s="1353"/>
      <c r="H696" s="1353"/>
      <c r="I696" s="1353"/>
      <c r="J696" s="1353"/>
      <c r="K696" s="1353"/>
      <c r="L696" s="1353"/>
      <c r="M696" s="1353"/>
      <c r="N696" s="1347" t="s">
        <v>2529</v>
      </c>
      <c r="O696" s="1347" t="s">
        <v>2530</v>
      </c>
      <c r="P696" s="1347" t="s">
        <v>2023</v>
      </c>
      <c r="Q696" s="1353"/>
      <c r="R696" s="1353"/>
      <c r="S696" s="1353"/>
    </row>
    <row r="697" spans="1:19" ht="19.5" customHeight="1">
      <c r="A697" s="1252">
        <v>489</v>
      </c>
      <c r="B697" s="1252" t="s">
        <v>1973</v>
      </c>
      <c r="C697" s="1343" t="s">
        <v>96</v>
      </c>
      <c r="D697" s="1353"/>
      <c r="E697" s="1353"/>
      <c r="F697" s="1353"/>
      <c r="G697" s="1353"/>
      <c r="H697" s="1353"/>
      <c r="I697" s="1353"/>
      <c r="J697" s="1353"/>
      <c r="K697" s="1353"/>
      <c r="L697" s="1353"/>
      <c r="M697" s="1353"/>
      <c r="N697" s="1347" t="s">
        <v>2531</v>
      </c>
      <c r="O697" s="1347" t="s">
        <v>2532</v>
      </c>
      <c r="P697" s="1347" t="s">
        <v>2065</v>
      </c>
      <c r="Q697" s="1353"/>
      <c r="R697" s="1353"/>
      <c r="S697" s="1353"/>
    </row>
    <row r="698" spans="1:19" ht="19.5" customHeight="1">
      <c r="A698" s="1252">
        <v>490</v>
      </c>
      <c r="B698" s="1252" t="s">
        <v>1973</v>
      </c>
      <c r="C698" s="1343" t="s">
        <v>96</v>
      </c>
      <c r="D698" s="1353"/>
      <c r="E698" s="1353"/>
      <c r="F698" s="1353"/>
      <c r="G698" s="1353"/>
      <c r="H698" s="1353"/>
      <c r="I698" s="1353"/>
      <c r="J698" s="1353"/>
      <c r="K698" s="1353"/>
      <c r="L698" s="1353"/>
      <c r="M698" s="1353"/>
      <c r="N698" s="1347" t="s">
        <v>2533</v>
      </c>
      <c r="O698" s="1347" t="s">
        <v>2534</v>
      </c>
      <c r="P698" s="1347" t="s">
        <v>2008</v>
      </c>
      <c r="Q698" s="1353"/>
      <c r="R698" s="1353"/>
      <c r="S698" s="1353"/>
    </row>
    <row r="699" spans="1:19" ht="19.5" customHeight="1">
      <c r="A699" s="1252">
        <v>491</v>
      </c>
      <c r="B699" s="1252" t="s">
        <v>1973</v>
      </c>
      <c r="C699" s="1343" t="s">
        <v>96</v>
      </c>
      <c r="D699" s="1353"/>
      <c r="E699" s="1353"/>
      <c r="F699" s="1353"/>
      <c r="G699" s="1353"/>
      <c r="H699" s="1353"/>
      <c r="I699" s="1353"/>
      <c r="J699" s="1353"/>
      <c r="K699" s="1353"/>
      <c r="L699" s="1353"/>
      <c r="M699" s="1353"/>
      <c r="N699" s="1347" t="s">
        <v>2535</v>
      </c>
      <c r="O699" s="1347" t="s">
        <v>2536</v>
      </c>
      <c r="P699" s="1347" t="s">
        <v>2023</v>
      </c>
      <c r="Q699" s="1353"/>
      <c r="R699" s="1353"/>
      <c r="S699" s="1353"/>
    </row>
    <row r="700" spans="1:19" ht="19.5" customHeight="1">
      <c r="A700" s="1252">
        <v>492</v>
      </c>
      <c r="B700" s="1252" t="s">
        <v>1973</v>
      </c>
      <c r="C700" s="1343" t="s">
        <v>96</v>
      </c>
      <c r="D700" s="1353"/>
      <c r="E700" s="1353"/>
      <c r="F700" s="1353"/>
      <c r="G700" s="1353"/>
      <c r="H700" s="1353"/>
      <c r="I700" s="1353"/>
      <c r="J700" s="1353"/>
      <c r="K700" s="1353"/>
      <c r="L700" s="1353"/>
      <c r="M700" s="1353"/>
      <c r="N700" s="1347" t="s">
        <v>2303</v>
      </c>
      <c r="O700" s="1347" t="s">
        <v>2304</v>
      </c>
      <c r="P700" s="1347" t="s">
        <v>2300</v>
      </c>
      <c r="Q700" s="1353"/>
      <c r="R700" s="1353"/>
      <c r="S700" s="1353"/>
    </row>
    <row r="701" spans="1:19" ht="19.5" customHeight="1">
      <c r="A701" s="1252">
        <v>493</v>
      </c>
      <c r="B701" s="1252" t="s">
        <v>1973</v>
      </c>
      <c r="C701" s="1343" t="s">
        <v>96</v>
      </c>
      <c r="D701" s="1353"/>
      <c r="E701" s="1353"/>
      <c r="F701" s="1353"/>
      <c r="G701" s="1353"/>
      <c r="H701" s="1353"/>
      <c r="I701" s="1353"/>
      <c r="J701" s="1353"/>
      <c r="K701" s="1353"/>
      <c r="L701" s="1353"/>
      <c r="M701" s="1353"/>
      <c r="N701" s="1347" t="s">
        <v>2147</v>
      </c>
      <c r="O701" s="1347" t="s">
        <v>2148</v>
      </c>
      <c r="P701" s="1347" t="s">
        <v>2008</v>
      </c>
      <c r="Q701" s="1353"/>
      <c r="R701" s="1353"/>
      <c r="S701" s="1353"/>
    </row>
    <row r="702" spans="1:19" ht="19.5" customHeight="1">
      <c r="A702" s="1252">
        <v>494</v>
      </c>
      <c r="B702" s="1252" t="s">
        <v>1973</v>
      </c>
      <c r="C702" s="1343" t="s">
        <v>96</v>
      </c>
      <c r="D702" s="1353"/>
      <c r="E702" s="1353"/>
      <c r="F702" s="1353"/>
      <c r="G702" s="1353"/>
      <c r="H702" s="1353"/>
      <c r="I702" s="1353"/>
      <c r="J702" s="1353"/>
      <c r="K702" s="1353"/>
      <c r="L702" s="1353"/>
      <c r="M702" s="1353"/>
      <c r="N702" s="1347" t="s">
        <v>2537</v>
      </c>
      <c r="O702" s="1347" t="s">
        <v>2538</v>
      </c>
      <c r="P702" s="1347" t="s">
        <v>2014</v>
      </c>
      <c r="Q702" s="1353"/>
      <c r="R702" s="1353"/>
      <c r="S702" s="1353"/>
    </row>
  </sheetData>
  <sheetProtection/>
  <mergeCells count="30">
    <mergeCell ref="K4:M4"/>
    <mergeCell ref="N4:P4"/>
    <mergeCell ref="A4:E4"/>
    <mergeCell ref="F4:J4"/>
    <mergeCell ref="A327:E327"/>
    <mergeCell ref="F327:J327"/>
    <mergeCell ref="K327:M327"/>
    <mergeCell ref="N327:P327"/>
    <mergeCell ref="A338:E338"/>
    <mergeCell ref="F338:J338"/>
    <mergeCell ref="K338:M338"/>
    <mergeCell ref="N338:P338"/>
    <mergeCell ref="A393:E393"/>
    <mergeCell ref="F393:L393"/>
    <mergeCell ref="M393:O393"/>
    <mergeCell ref="P393:R393"/>
    <mergeCell ref="A426:E426"/>
    <mergeCell ref="F426:J426"/>
    <mergeCell ref="K426:M426"/>
    <mergeCell ref="N426:P426"/>
    <mergeCell ref="A445:E445"/>
    <mergeCell ref="F445:J445"/>
    <mergeCell ref="K445:M445"/>
    <mergeCell ref="N445:P445"/>
    <mergeCell ref="Q445:S445"/>
    <mergeCell ref="A457:E457"/>
    <mergeCell ref="F457:J457"/>
    <mergeCell ref="K457:M457"/>
    <mergeCell ref="N457:P457"/>
    <mergeCell ref="Q457:S457"/>
  </mergeCells>
  <printOptions horizontalCentered="1"/>
  <pageMargins left="0.25" right="0.25" top="0.75" bottom="0.75" header="0.3" footer="0.3"/>
  <pageSetup fitToHeight="1" fitToWidth="1" horizontalDpi="600" verticalDpi="600" orientation="landscape" paperSize="9" scale="57"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sheetPr>
    <tabColor theme="9" tint="-0.24997000396251678"/>
    <pageSetUpPr fitToPage="1"/>
  </sheetPr>
  <dimension ref="A1:S46"/>
  <sheetViews>
    <sheetView view="pageLayout" zoomScale="85" zoomScaleSheetLayoutView="100" zoomScalePageLayoutView="85" workbookViewId="0" topLeftCell="A37">
      <selection activeCell="E7" sqref="E7"/>
    </sheetView>
  </sheetViews>
  <sheetFormatPr defaultColWidth="11.421875" defaultRowHeight="12.75"/>
  <cols>
    <col min="1" max="6" width="18.7109375" style="3" customWidth="1"/>
    <col min="7" max="8" width="6.7109375" style="49" customWidth="1"/>
    <col min="9" max="9" width="6.7109375" style="3" customWidth="1"/>
    <col min="10" max="12" width="18.7109375" style="3" customWidth="1"/>
    <col min="13" max="13" width="18.28125" style="3" customWidth="1"/>
    <col min="14" max="14" width="20.421875" style="3" customWidth="1"/>
    <col min="15" max="16384" width="11.421875" style="3" customWidth="1"/>
  </cols>
  <sheetData>
    <row r="1" spans="1:14" s="75" customFormat="1" ht="12">
      <c r="A1" s="97" t="s">
        <v>431</v>
      </c>
      <c r="B1" s="97"/>
      <c r="C1" s="97"/>
      <c r="D1" s="97"/>
      <c r="E1" s="97"/>
      <c r="F1" s="97"/>
      <c r="G1" s="97"/>
      <c r="H1" s="97"/>
      <c r="J1" s="97"/>
      <c r="K1" s="97"/>
      <c r="L1" s="97"/>
      <c r="M1" s="97"/>
      <c r="N1" s="97"/>
    </row>
    <row r="2" spans="1:19" s="5" customFormat="1" ht="12">
      <c r="A2" s="96" t="s">
        <v>530</v>
      </c>
      <c r="B2" s="96"/>
      <c r="C2" s="96"/>
      <c r="D2" s="96"/>
      <c r="E2" s="96"/>
      <c r="F2" s="96"/>
      <c r="G2" s="96"/>
      <c r="H2" s="96"/>
      <c r="I2" s="96"/>
      <c r="J2" s="96"/>
      <c r="K2" s="96"/>
      <c r="L2" s="96"/>
      <c r="M2" s="96"/>
      <c r="N2" s="96"/>
      <c r="O2" s="96"/>
      <c r="P2" s="96"/>
      <c r="Q2" s="96"/>
      <c r="R2" s="96"/>
      <c r="S2" s="96"/>
    </row>
    <row r="3" spans="1:19" s="5" customFormat="1" ht="12">
      <c r="A3" s="96"/>
      <c r="B3" s="96"/>
      <c r="C3" s="96"/>
      <c r="D3" s="96"/>
      <c r="E3" s="96"/>
      <c r="F3" s="96"/>
      <c r="G3" s="96"/>
      <c r="H3" s="96"/>
      <c r="I3" s="96"/>
      <c r="J3" s="96"/>
      <c r="K3" s="96"/>
      <c r="L3" s="96"/>
      <c r="M3" s="96"/>
      <c r="N3" s="96"/>
      <c r="O3" s="96"/>
      <c r="P3" s="96"/>
      <c r="Q3" s="96"/>
      <c r="R3" s="96"/>
      <c r="S3" s="96"/>
    </row>
    <row r="4" ht="12.75" thickBot="1">
      <c r="A4" s="15" t="s">
        <v>2726</v>
      </c>
    </row>
    <row r="5" spans="1:14" s="64" customFormat="1" ht="12.75" customHeight="1" thickBot="1">
      <c r="A5" s="1624" t="s">
        <v>309</v>
      </c>
      <c r="B5" s="1626"/>
      <c r="C5" s="1625" t="s">
        <v>310</v>
      </c>
      <c r="D5" s="1625"/>
      <c r="E5" s="1627" t="s">
        <v>313</v>
      </c>
      <c r="F5" s="1628"/>
      <c r="G5" s="1628"/>
      <c r="H5" s="1628"/>
      <c r="I5" s="1630"/>
      <c r="J5" s="1625" t="s">
        <v>314</v>
      </c>
      <c r="K5" s="1625"/>
      <c r="L5" s="1626"/>
      <c r="M5" s="1543" t="s">
        <v>364</v>
      </c>
      <c r="N5" s="1652" t="s">
        <v>365</v>
      </c>
    </row>
    <row r="6" spans="1:14" s="65" customFormat="1" ht="86.25" customHeight="1" thickBot="1">
      <c r="A6" s="189" t="s">
        <v>98</v>
      </c>
      <c r="B6" s="195" t="s">
        <v>99</v>
      </c>
      <c r="C6" s="190" t="s">
        <v>312</v>
      </c>
      <c r="D6" s="196" t="s">
        <v>311</v>
      </c>
      <c r="E6" s="189" t="s">
        <v>317</v>
      </c>
      <c r="F6" s="191" t="s">
        <v>318</v>
      </c>
      <c r="G6" s="197" t="s">
        <v>319</v>
      </c>
      <c r="H6" s="197" t="s">
        <v>320</v>
      </c>
      <c r="I6" s="198" t="s">
        <v>25</v>
      </c>
      <c r="J6" s="189" t="s">
        <v>315</v>
      </c>
      <c r="K6" s="190" t="s">
        <v>316</v>
      </c>
      <c r="L6" s="199" t="s">
        <v>321</v>
      </c>
      <c r="M6" s="1544"/>
      <c r="N6" s="1653"/>
    </row>
    <row r="7" spans="1:14" ht="24">
      <c r="A7" s="868" t="s">
        <v>2578</v>
      </c>
      <c r="B7" s="1047" t="s">
        <v>2579</v>
      </c>
      <c r="C7" s="868" t="s">
        <v>2580</v>
      </c>
      <c r="D7" s="1047">
        <v>10040550424</v>
      </c>
      <c r="E7" s="1047" t="s">
        <v>2581</v>
      </c>
      <c r="F7" s="868"/>
      <c r="G7" s="1047">
        <v>500</v>
      </c>
      <c r="H7" s="868" t="s">
        <v>2582</v>
      </c>
      <c r="I7" s="868" t="s">
        <v>2582</v>
      </c>
      <c r="J7" s="1047" t="s">
        <v>2583</v>
      </c>
      <c r="K7" s="1250" t="s">
        <v>2584</v>
      </c>
      <c r="L7" s="1047" t="s">
        <v>2585</v>
      </c>
      <c r="M7" s="1047"/>
      <c r="N7" s="1250">
        <v>19500</v>
      </c>
    </row>
    <row r="8" spans="1:14" ht="33.75" customHeight="1">
      <c r="A8" s="868" t="s">
        <v>2578</v>
      </c>
      <c r="B8" s="1048" t="s">
        <v>2579</v>
      </c>
      <c r="C8" s="868" t="s">
        <v>2586</v>
      </c>
      <c r="D8" s="1251">
        <v>20489252270</v>
      </c>
      <c r="E8" s="1252" t="s">
        <v>2581</v>
      </c>
      <c r="F8" s="868"/>
      <c r="G8" s="1047">
        <v>350</v>
      </c>
      <c r="H8" s="868" t="s">
        <v>2582</v>
      </c>
      <c r="I8" s="868" t="s">
        <v>2582</v>
      </c>
      <c r="J8" s="1253" t="s">
        <v>2583</v>
      </c>
      <c r="K8" s="1254" t="s">
        <v>2587</v>
      </c>
      <c r="L8" s="1048" t="s">
        <v>2585</v>
      </c>
      <c r="M8" s="1255"/>
      <c r="N8" s="1255" t="s">
        <v>2588</v>
      </c>
    </row>
    <row r="9" spans="1:14" ht="30.75" customHeight="1">
      <c r="A9" s="868" t="s">
        <v>2578</v>
      </c>
      <c r="B9" s="1048" t="s">
        <v>2579</v>
      </c>
      <c r="C9" s="868" t="s">
        <v>2589</v>
      </c>
      <c r="D9" s="1047">
        <v>10040702887</v>
      </c>
      <c r="E9" s="1252" t="s">
        <v>2581</v>
      </c>
      <c r="F9" s="868"/>
      <c r="G9" s="1047">
        <v>200</v>
      </c>
      <c r="H9" s="868" t="s">
        <v>2582</v>
      </c>
      <c r="I9" s="868" t="s">
        <v>2582</v>
      </c>
      <c r="J9" s="1253" t="s">
        <v>2583</v>
      </c>
      <c r="K9" s="1255" t="s">
        <v>2590</v>
      </c>
      <c r="L9" s="1048" t="s">
        <v>2585</v>
      </c>
      <c r="M9" s="1255"/>
      <c r="N9" s="1255" t="s">
        <v>2591</v>
      </c>
    </row>
    <row r="10" spans="1:14" ht="24">
      <c r="A10" s="868" t="s">
        <v>2578</v>
      </c>
      <c r="B10" s="1048" t="s">
        <v>2579</v>
      </c>
      <c r="C10" s="868" t="s">
        <v>2592</v>
      </c>
      <c r="D10" s="1047">
        <v>10040855144</v>
      </c>
      <c r="E10" s="1252" t="s">
        <v>2581</v>
      </c>
      <c r="F10" s="868"/>
      <c r="G10" s="1256">
        <v>180</v>
      </c>
      <c r="H10" s="1257" t="s">
        <v>2582</v>
      </c>
      <c r="I10" s="868" t="s">
        <v>2582</v>
      </c>
      <c r="J10" s="1047" t="s">
        <v>2583</v>
      </c>
      <c r="K10" s="1047" t="s">
        <v>2593</v>
      </c>
      <c r="L10" s="1047" t="s">
        <v>2585</v>
      </c>
      <c r="M10" s="868"/>
      <c r="N10" s="1047" t="s">
        <v>2594</v>
      </c>
    </row>
    <row r="11" spans="1:14" ht="36">
      <c r="A11" s="868" t="s">
        <v>2705</v>
      </c>
      <c r="B11" s="1048" t="s">
        <v>2579</v>
      </c>
      <c r="C11" s="868" t="s">
        <v>2706</v>
      </c>
      <c r="D11" s="1047">
        <v>20172390073</v>
      </c>
      <c r="E11" s="1047" t="s">
        <v>2581</v>
      </c>
      <c r="F11" s="868"/>
      <c r="G11" s="1256">
        <v>150</v>
      </c>
      <c r="H11" s="1257" t="s">
        <v>2582</v>
      </c>
      <c r="I11" s="868" t="s">
        <v>2582</v>
      </c>
      <c r="J11" s="1047" t="s">
        <v>2583</v>
      </c>
      <c r="K11" s="1047" t="s">
        <v>2707</v>
      </c>
      <c r="L11" s="1047" t="s">
        <v>2585</v>
      </c>
      <c r="M11" s="868"/>
      <c r="N11" s="1047" t="s">
        <v>2708</v>
      </c>
    </row>
    <row r="12" spans="1:14" ht="24">
      <c r="A12" s="868" t="s">
        <v>2705</v>
      </c>
      <c r="B12" s="1048" t="s">
        <v>2579</v>
      </c>
      <c r="C12" s="868" t="s">
        <v>2709</v>
      </c>
      <c r="D12" s="1047">
        <v>10043007829</v>
      </c>
      <c r="E12" s="1047" t="s">
        <v>2581</v>
      </c>
      <c r="F12" s="868"/>
      <c r="G12" s="1256">
        <v>150</v>
      </c>
      <c r="H12" s="1257" t="s">
        <v>2582</v>
      </c>
      <c r="I12" s="868" t="s">
        <v>2582</v>
      </c>
      <c r="J12" s="1047" t="s">
        <v>2583</v>
      </c>
      <c r="K12" s="1047" t="s">
        <v>2710</v>
      </c>
      <c r="L12" s="1047" t="s">
        <v>2585</v>
      </c>
      <c r="M12" s="868"/>
      <c r="N12" s="1047" t="s">
        <v>2711</v>
      </c>
    </row>
    <row r="13" spans="1:14" ht="24">
      <c r="A13" s="868" t="s">
        <v>2705</v>
      </c>
      <c r="B13" s="1048" t="s">
        <v>2579</v>
      </c>
      <c r="C13" s="868" t="s">
        <v>2712</v>
      </c>
      <c r="D13" s="1047">
        <v>10106775775</v>
      </c>
      <c r="E13" s="1047" t="s">
        <v>2581</v>
      </c>
      <c r="F13" s="868"/>
      <c r="G13" s="1256">
        <v>50</v>
      </c>
      <c r="H13" s="1257" t="s">
        <v>2582</v>
      </c>
      <c r="I13" s="868" t="s">
        <v>2582</v>
      </c>
      <c r="J13" s="1047" t="s">
        <v>2583</v>
      </c>
      <c r="K13" s="1047" t="s">
        <v>2713</v>
      </c>
      <c r="L13" s="1047" t="s">
        <v>2585</v>
      </c>
      <c r="M13" s="868"/>
      <c r="N13" s="1047" t="s">
        <v>2714</v>
      </c>
    </row>
    <row r="14" spans="1:14" ht="24.75" thickBot="1">
      <c r="A14" s="868" t="s">
        <v>2705</v>
      </c>
      <c r="B14" s="1048" t="s">
        <v>2579</v>
      </c>
      <c r="C14" s="868" t="s">
        <v>2715</v>
      </c>
      <c r="D14" s="1047">
        <v>10040105251</v>
      </c>
      <c r="E14" s="1047" t="s">
        <v>2581</v>
      </c>
      <c r="F14" s="868"/>
      <c r="G14" s="1256">
        <v>50</v>
      </c>
      <c r="H14" s="1257" t="s">
        <v>2582</v>
      </c>
      <c r="I14" s="868" t="s">
        <v>2582</v>
      </c>
      <c r="J14" s="1047" t="s">
        <v>2583</v>
      </c>
      <c r="K14" s="1047" t="s">
        <v>2716</v>
      </c>
      <c r="L14" s="1047" t="s">
        <v>2585</v>
      </c>
      <c r="M14" s="868"/>
      <c r="N14" s="1047" t="s">
        <v>2717</v>
      </c>
    </row>
    <row r="15" spans="1:14" ht="12.75" thickBot="1">
      <c r="A15" s="63"/>
      <c r="B15" s="137"/>
      <c r="C15" s="50"/>
      <c r="D15" s="140"/>
      <c r="E15" s="141"/>
      <c r="F15" s="48"/>
      <c r="G15" s="48"/>
      <c r="H15" s="48"/>
      <c r="I15" s="138"/>
      <c r="J15" s="18"/>
      <c r="K15" s="50"/>
      <c r="L15" s="19"/>
      <c r="M15" s="19"/>
      <c r="N15" s="19"/>
    </row>
    <row r="16" ht="12">
      <c r="A16" s="3" t="s">
        <v>432</v>
      </c>
    </row>
    <row r="18" spans="1:8" ht="12.75" thickBot="1">
      <c r="A18" s="15" t="s">
        <v>2727</v>
      </c>
      <c r="F18" s="49"/>
      <c r="H18" s="3"/>
    </row>
    <row r="19" spans="1:14" ht="13.5" customHeight="1" thickBot="1">
      <c r="A19" s="1051" t="s">
        <v>309</v>
      </c>
      <c r="B19" s="1053"/>
      <c r="C19" s="1199" t="s">
        <v>310</v>
      </c>
      <c r="D19" s="1199"/>
      <c r="E19" s="1054" t="s">
        <v>313</v>
      </c>
      <c r="F19" s="1055"/>
      <c r="G19" s="1055"/>
      <c r="H19" s="1055"/>
      <c r="I19" s="1056"/>
      <c r="J19" s="1052" t="s">
        <v>314</v>
      </c>
      <c r="K19" s="1052"/>
      <c r="L19" s="1053"/>
      <c r="M19" s="1049" t="s">
        <v>364</v>
      </c>
      <c r="N19" s="1652" t="s">
        <v>365</v>
      </c>
    </row>
    <row r="20" spans="1:14" ht="62.25" thickBot="1">
      <c r="A20" s="1054" t="s">
        <v>98</v>
      </c>
      <c r="B20" s="195" t="s">
        <v>99</v>
      </c>
      <c r="C20" s="190" t="s">
        <v>312</v>
      </c>
      <c r="D20" s="1051" t="s">
        <v>311</v>
      </c>
      <c r="E20" s="1054" t="s">
        <v>317</v>
      </c>
      <c r="F20" s="1055" t="s">
        <v>318</v>
      </c>
      <c r="G20" s="197" t="s">
        <v>319</v>
      </c>
      <c r="H20" s="197" t="s">
        <v>320</v>
      </c>
      <c r="I20" s="198" t="s">
        <v>25</v>
      </c>
      <c r="J20" s="1054" t="s">
        <v>315</v>
      </c>
      <c r="K20" s="190" t="s">
        <v>316</v>
      </c>
      <c r="L20" s="1053" t="s">
        <v>321</v>
      </c>
      <c r="M20" s="1050"/>
      <c r="N20" s="1653"/>
    </row>
    <row r="21" spans="1:14" ht="36.75" thickBot="1">
      <c r="A21" s="1258" t="s">
        <v>2609</v>
      </c>
      <c r="B21" s="1166" t="s">
        <v>2610</v>
      </c>
      <c r="C21" s="1258" t="s">
        <v>2611</v>
      </c>
      <c r="D21" s="1259">
        <v>10205506883</v>
      </c>
      <c r="E21" s="1258" t="s">
        <v>2581</v>
      </c>
      <c r="F21" s="1260"/>
      <c r="G21" s="1260">
        <v>250</v>
      </c>
      <c r="H21" s="1260"/>
      <c r="I21" s="1259"/>
      <c r="J21" s="1258" t="s">
        <v>2612</v>
      </c>
      <c r="K21" s="1261">
        <v>600</v>
      </c>
      <c r="L21" s="1262" t="s">
        <v>2585</v>
      </c>
      <c r="M21" s="1262"/>
      <c r="N21" s="1263">
        <v>0</v>
      </c>
    </row>
    <row r="22" spans="1:14" ht="12.75" thickBot="1">
      <c r="A22" s="63"/>
      <c r="B22" s="137"/>
      <c r="C22" s="50"/>
      <c r="D22" s="140"/>
      <c r="E22" s="141"/>
      <c r="F22" s="48"/>
      <c r="G22" s="48"/>
      <c r="H22" s="48"/>
      <c r="I22" s="138"/>
      <c r="J22" s="18"/>
      <c r="K22" s="50"/>
      <c r="L22" s="19"/>
      <c r="M22" s="19"/>
      <c r="N22" s="19"/>
    </row>
    <row r="23" spans="1:9" ht="12">
      <c r="A23" s="3" t="s">
        <v>432</v>
      </c>
      <c r="G23" s="3"/>
      <c r="I23" s="49"/>
    </row>
    <row r="24" spans="7:9" ht="12">
      <c r="G24" s="3"/>
      <c r="I24" s="49"/>
    </row>
    <row r="25" ht="12.75" thickBot="1">
      <c r="A25" s="15" t="s">
        <v>2616</v>
      </c>
    </row>
    <row r="26" spans="1:14" ht="12.75" thickBot="1">
      <c r="A26" s="1624" t="s">
        <v>309</v>
      </c>
      <c r="B26" s="1626"/>
      <c r="C26" s="1625" t="s">
        <v>310</v>
      </c>
      <c r="D26" s="1625"/>
      <c r="E26" s="1627" t="s">
        <v>313</v>
      </c>
      <c r="F26" s="1628"/>
      <c r="G26" s="1628"/>
      <c r="H26" s="1628"/>
      <c r="I26" s="1630"/>
      <c r="J26" s="1625" t="s">
        <v>314</v>
      </c>
      <c r="K26" s="1625"/>
      <c r="L26" s="1626"/>
      <c r="M26" s="1193" t="s">
        <v>364</v>
      </c>
      <c r="N26" s="1652" t="s">
        <v>365</v>
      </c>
    </row>
    <row r="27" spans="1:14" ht="62.25" thickBot="1">
      <c r="A27" s="1054" t="s">
        <v>98</v>
      </c>
      <c r="B27" s="195" t="s">
        <v>99</v>
      </c>
      <c r="C27" s="190" t="s">
        <v>312</v>
      </c>
      <c r="D27" s="1051" t="s">
        <v>311</v>
      </c>
      <c r="E27" s="1054" t="s">
        <v>317</v>
      </c>
      <c r="F27" s="1055" t="s">
        <v>318</v>
      </c>
      <c r="G27" s="197" t="s">
        <v>319</v>
      </c>
      <c r="H27" s="197" t="s">
        <v>320</v>
      </c>
      <c r="I27" s="198" t="s">
        <v>25</v>
      </c>
      <c r="J27" s="1054" t="s">
        <v>315</v>
      </c>
      <c r="K27" s="190" t="s">
        <v>316</v>
      </c>
      <c r="L27" s="1053" t="s">
        <v>321</v>
      </c>
      <c r="M27" s="1194"/>
      <c r="N27" s="1653"/>
    </row>
    <row r="28" spans="1:14" ht="36.75" thickBot="1">
      <c r="A28" s="1167" t="s">
        <v>609</v>
      </c>
      <c r="B28" s="1168" t="s">
        <v>2613</v>
      </c>
      <c r="C28" s="1265" t="s">
        <v>2614</v>
      </c>
      <c r="D28" s="1266">
        <v>10043421978</v>
      </c>
      <c r="E28" s="1258" t="s">
        <v>2615</v>
      </c>
      <c r="F28" s="1260"/>
      <c r="G28" s="1260">
        <v>3200</v>
      </c>
      <c r="H28" s="1260" t="s">
        <v>2582</v>
      </c>
      <c r="I28" s="1259" t="s">
        <v>2582</v>
      </c>
      <c r="J28" s="1267">
        <v>44196</v>
      </c>
      <c r="K28" s="1265">
        <v>3500</v>
      </c>
      <c r="L28" s="1262" t="s">
        <v>2585</v>
      </c>
      <c r="M28" s="1262"/>
      <c r="N28" s="1263">
        <v>0</v>
      </c>
    </row>
    <row r="29" spans="1:14" ht="12.75" thickBot="1">
      <c r="A29" s="1276"/>
      <c r="B29" s="1277"/>
      <c r="C29" s="1278"/>
      <c r="D29" s="1279"/>
      <c r="E29" s="1280"/>
      <c r="F29" s="1281"/>
      <c r="G29" s="1281"/>
      <c r="H29" s="1281"/>
      <c r="I29" s="1282"/>
      <c r="J29" s="1264"/>
      <c r="K29" s="1278">
        <f>+K28</f>
        <v>3500</v>
      </c>
      <c r="L29" s="1283"/>
      <c r="M29" s="1283"/>
      <c r="N29" s="1283"/>
    </row>
    <row r="30" ht="12">
      <c r="A30" s="3" t="s">
        <v>432</v>
      </c>
    </row>
    <row r="32" ht="12.75" thickBot="1">
      <c r="A32" s="15" t="s">
        <v>2639</v>
      </c>
    </row>
    <row r="33" spans="1:14" ht="12.75" thickBot="1">
      <c r="A33" s="1624" t="s">
        <v>309</v>
      </c>
      <c r="B33" s="1626"/>
      <c r="C33" s="1625" t="s">
        <v>310</v>
      </c>
      <c r="D33" s="1625"/>
      <c r="E33" s="1627" t="s">
        <v>313</v>
      </c>
      <c r="F33" s="1628"/>
      <c r="G33" s="1628"/>
      <c r="H33" s="1628"/>
      <c r="I33" s="1630"/>
      <c r="J33" s="1625" t="s">
        <v>314</v>
      </c>
      <c r="K33" s="1625"/>
      <c r="L33" s="1626"/>
      <c r="M33" s="1543" t="s">
        <v>364</v>
      </c>
      <c r="N33" s="1652" t="s">
        <v>365</v>
      </c>
    </row>
    <row r="34" spans="1:14" ht="62.25" thickBot="1">
      <c r="A34" s="1054" t="s">
        <v>98</v>
      </c>
      <c r="B34" s="195" t="s">
        <v>99</v>
      </c>
      <c r="C34" s="190" t="s">
        <v>312</v>
      </c>
      <c r="D34" s="1051" t="s">
        <v>311</v>
      </c>
      <c r="E34" s="1054" t="s">
        <v>317</v>
      </c>
      <c r="F34" s="1055" t="s">
        <v>318</v>
      </c>
      <c r="G34" s="197" t="s">
        <v>319</v>
      </c>
      <c r="H34" s="197" t="s">
        <v>320</v>
      </c>
      <c r="I34" s="198" t="s">
        <v>25</v>
      </c>
      <c r="J34" s="1054" t="s">
        <v>315</v>
      </c>
      <c r="K34" s="190" t="s">
        <v>316</v>
      </c>
      <c r="L34" s="1053" t="s">
        <v>321</v>
      </c>
      <c r="M34" s="1544"/>
      <c r="N34" s="1653"/>
    </row>
    <row r="35" spans="1:14" ht="48">
      <c r="A35" s="1285" t="s">
        <v>2617</v>
      </c>
      <c r="B35" s="1271" t="s">
        <v>2618</v>
      </c>
      <c r="C35" s="1269" t="s">
        <v>2619</v>
      </c>
      <c r="D35" s="1270"/>
      <c r="E35" s="1272" t="s">
        <v>2615</v>
      </c>
      <c r="F35" s="1273" t="s">
        <v>2620</v>
      </c>
      <c r="G35" s="1273">
        <v>200</v>
      </c>
      <c r="H35" s="1273">
        <v>0</v>
      </c>
      <c r="I35" s="1274">
        <v>0</v>
      </c>
      <c r="J35" s="1272" t="s">
        <v>2621</v>
      </c>
      <c r="K35" s="1269">
        <v>4500</v>
      </c>
      <c r="L35" s="1275" t="s">
        <v>2622</v>
      </c>
      <c r="M35" s="1275"/>
      <c r="N35" s="1275"/>
    </row>
    <row r="36" spans="1:14" ht="48">
      <c r="A36" s="1272" t="s">
        <v>2617</v>
      </c>
      <c r="B36" s="1275" t="s">
        <v>2618</v>
      </c>
      <c r="C36" s="1286" t="s">
        <v>2623</v>
      </c>
      <c r="D36" s="1287"/>
      <c r="E36" s="1272" t="s">
        <v>2615</v>
      </c>
      <c r="F36" s="1273"/>
      <c r="G36" s="1273">
        <v>200</v>
      </c>
      <c r="H36" s="1273">
        <v>0</v>
      </c>
      <c r="I36" s="1274">
        <v>0</v>
      </c>
      <c r="J36" s="1288">
        <v>44044</v>
      </c>
      <c r="K36" s="1286">
        <v>1000</v>
      </c>
      <c r="L36" s="1275" t="s">
        <v>2622</v>
      </c>
      <c r="M36" s="1275"/>
      <c r="N36" s="1275"/>
    </row>
    <row r="37" spans="1:14" ht="48">
      <c r="A37" s="1272" t="s">
        <v>2617</v>
      </c>
      <c r="B37" s="1275" t="s">
        <v>2618</v>
      </c>
      <c r="C37" s="1286" t="s">
        <v>2623</v>
      </c>
      <c r="D37" s="1287"/>
      <c r="E37" s="1272" t="s">
        <v>2615</v>
      </c>
      <c r="F37" s="1273"/>
      <c r="G37" s="1273">
        <v>200</v>
      </c>
      <c r="H37" s="1273">
        <v>0</v>
      </c>
      <c r="I37" s="1274">
        <v>0</v>
      </c>
      <c r="J37" s="1272" t="s">
        <v>2624</v>
      </c>
      <c r="K37" s="1286">
        <v>2700</v>
      </c>
      <c r="L37" s="1275" t="s">
        <v>2622</v>
      </c>
      <c r="M37" s="1275"/>
      <c r="N37" s="1275">
        <f>K37*7</f>
        <v>18900</v>
      </c>
    </row>
    <row r="38" spans="1:14" ht="48">
      <c r="A38" s="1272" t="s">
        <v>2617</v>
      </c>
      <c r="B38" s="1275" t="s">
        <v>2618</v>
      </c>
      <c r="C38" s="1286" t="s">
        <v>2625</v>
      </c>
      <c r="D38" s="1287"/>
      <c r="E38" s="1272" t="s">
        <v>2615</v>
      </c>
      <c r="F38" s="1273"/>
      <c r="G38" s="1273">
        <v>200</v>
      </c>
      <c r="H38" s="1273">
        <v>0</v>
      </c>
      <c r="I38" s="1274">
        <v>0</v>
      </c>
      <c r="J38" s="1272" t="s">
        <v>2626</v>
      </c>
      <c r="K38" s="1286">
        <v>2500</v>
      </c>
      <c r="L38" s="1275" t="s">
        <v>2622</v>
      </c>
      <c r="M38" s="1275"/>
      <c r="N38" s="1275">
        <f>K38*6</f>
        <v>15000</v>
      </c>
    </row>
    <row r="39" spans="1:14" ht="48">
      <c r="A39" s="1272" t="s">
        <v>2617</v>
      </c>
      <c r="B39" s="1275" t="s">
        <v>2618</v>
      </c>
      <c r="C39" s="1286" t="s">
        <v>2627</v>
      </c>
      <c r="D39" s="1287"/>
      <c r="E39" s="1272" t="s">
        <v>2615</v>
      </c>
      <c r="F39" s="1273"/>
      <c r="G39" s="1273">
        <v>200</v>
      </c>
      <c r="H39" s="1273">
        <v>0</v>
      </c>
      <c r="I39" s="1274">
        <v>0</v>
      </c>
      <c r="J39" s="1288">
        <v>44166</v>
      </c>
      <c r="K39" s="1286">
        <v>2000</v>
      </c>
      <c r="L39" s="1275" t="s">
        <v>2622</v>
      </c>
      <c r="M39" s="1275"/>
      <c r="N39" s="1275">
        <f>K39*7</f>
        <v>14000</v>
      </c>
    </row>
    <row r="40" spans="1:14" ht="48">
      <c r="A40" s="1272" t="s">
        <v>2617</v>
      </c>
      <c r="B40" s="1275" t="s">
        <v>2618</v>
      </c>
      <c r="C40" s="1286" t="s">
        <v>2628</v>
      </c>
      <c r="D40" s="1287"/>
      <c r="E40" s="1272" t="s">
        <v>2615</v>
      </c>
      <c r="F40" s="1273"/>
      <c r="G40" s="1273">
        <v>200</v>
      </c>
      <c r="H40" s="1273">
        <v>0</v>
      </c>
      <c r="I40" s="1274">
        <v>0</v>
      </c>
      <c r="J40" s="1272" t="s">
        <v>2629</v>
      </c>
      <c r="K40" s="1286">
        <v>2000</v>
      </c>
      <c r="L40" s="1275" t="s">
        <v>2622</v>
      </c>
      <c r="M40" s="1275"/>
      <c r="N40" s="1275">
        <f>K40*3</f>
        <v>6000</v>
      </c>
    </row>
    <row r="41" spans="1:14" ht="48">
      <c r="A41" s="1272" t="s">
        <v>2617</v>
      </c>
      <c r="B41" s="1275" t="s">
        <v>2618</v>
      </c>
      <c r="C41" s="1286" t="s">
        <v>2630</v>
      </c>
      <c r="D41" s="1287"/>
      <c r="E41" s="1272" t="s">
        <v>2615</v>
      </c>
      <c r="F41" s="1273"/>
      <c r="G41" s="1273">
        <v>200</v>
      </c>
      <c r="H41" s="1273">
        <v>0</v>
      </c>
      <c r="I41" s="1274">
        <v>0</v>
      </c>
      <c r="J41" s="1272" t="s">
        <v>2631</v>
      </c>
      <c r="K41" s="1286">
        <v>2600</v>
      </c>
      <c r="L41" s="1275" t="s">
        <v>2622</v>
      </c>
      <c r="M41" s="1275"/>
      <c r="N41" s="1275">
        <f>K41*2</f>
        <v>5200</v>
      </c>
    </row>
    <row r="42" spans="1:14" ht="48">
      <c r="A42" s="1272" t="s">
        <v>2617</v>
      </c>
      <c r="B42" s="1275" t="s">
        <v>2618</v>
      </c>
      <c r="C42" s="1286" t="s">
        <v>2632</v>
      </c>
      <c r="D42" s="1287"/>
      <c r="E42" s="1272" t="s">
        <v>2615</v>
      </c>
      <c r="F42" s="1273"/>
      <c r="G42" s="1273">
        <v>200</v>
      </c>
      <c r="H42" s="1273">
        <v>0</v>
      </c>
      <c r="I42" s="1274">
        <v>0</v>
      </c>
      <c r="J42" s="1272" t="s">
        <v>2633</v>
      </c>
      <c r="K42" s="1286">
        <v>2700</v>
      </c>
      <c r="L42" s="1275" t="s">
        <v>2622</v>
      </c>
      <c r="M42" s="1275">
        <f>K42*8</f>
        <v>21600</v>
      </c>
      <c r="N42" s="1275"/>
    </row>
    <row r="43" spans="1:14" ht="48">
      <c r="A43" s="1272" t="s">
        <v>2617</v>
      </c>
      <c r="B43" s="1275" t="s">
        <v>2618</v>
      </c>
      <c r="C43" s="1286" t="s">
        <v>2634</v>
      </c>
      <c r="D43" s="1287"/>
      <c r="E43" s="1272" t="s">
        <v>2615</v>
      </c>
      <c r="F43" s="1273"/>
      <c r="G43" s="1273">
        <v>200</v>
      </c>
      <c r="H43" s="1273">
        <v>0</v>
      </c>
      <c r="I43" s="1274">
        <v>0</v>
      </c>
      <c r="J43" s="1272" t="s">
        <v>2635</v>
      </c>
      <c r="K43" s="1286">
        <v>2200</v>
      </c>
      <c r="L43" s="1275" t="s">
        <v>2622</v>
      </c>
      <c r="M43" s="1275">
        <f>K43*4</f>
        <v>8800</v>
      </c>
      <c r="N43" s="1275"/>
    </row>
    <row r="44" spans="1:14" ht="36.75" thickBot="1">
      <c r="A44" s="1272"/>
      <c r="B44" s="1275"/>
      <c r="C44" s="1286" t="s">
        <v>2636</v>
      </c>
      <c r="D44" s="1287"/>
      <c r="E44" s="1272" t="s">
        <v>2637</v>
      </c>
      <c r="F44" s="1273"/>
      <c r="G44" s="1273">
        <v>200</v>
      </c>
      <c r="H44" s="1273">
        <v>0</v>
      </c>
      <c r="I44" s="1274">
        <v>0</v>
      </c>
      <c r="J44" s="1272" t="s">
        <v>2638</v>
      </c>
      <c r="K44" s="1286">
        <v>2400</v>
      </c>
      <c r="L44" s="1275" t="s">
        <v>2622</v>
      </c>
      <c r="M44" s="1275">
        <f>K44*1</f>
        <v>2400</v>
      </c>
      <c r="N44" s="1275"/>
    </row>
    <row r="45" spans="1:14" ht="12.75" thickBot="1">
      <c r="A45" s="63"/>
      <c r="B45" s="137"/>
      <c r="C45" s="50"/>
      <c r="D45" s="140"/>
      <c r="E45" s="141"/>
      <c r="F45" s="48"/>
      <c r="G45" s="48"/>
      <c r="H45" s="48"/>
      <c r="I45" s="138"/>
      <c r="J45" s="18"/>
      <c r="K45" s="50"/>
      <c r="L45" s="19"/>
      <c r="M45" s="19">
        <f>SUM(M42:M44)</f>
        <v>32800</v>
      </c>
      <c r="N45" s="19">
        <f>SUM(N37:N44)</f>
        <v>59100</v>
      </c>
    </row>
    <row r="46" ht="12">
      <c r="A46" s="3" t="s">
        <v>432</v>
      </c>
    </row>
  </sheetData>
  <sheetProtection/>
  <mergeCells count="18">
    <mergeCell ref="M5:M6"/>
    <mergeCell ref="N5:N6"/>
    <mergeCell ref="C5:D5"/>
    <mergeCell ref="A5:B5"/>
    <mergeCell ref="J5:L5"/>
    <mergeCell ref="E5:I5"/>
    <mergeCell ref="N19:N20"/>
    <mergeCell ref="A26:B26"/>
    <mergeCell ref="C26:D26"/>
    <mergeCell ref="E26:I26"/>
    <mergeCell ref="J26:L26"/>
    <mergeCell ref="N26:N27"/>
    <mergeCell ref="N33:N34"/>
    <mergeCell ref="A33:B33"/>
    <mergeCell ref="C33:D33"/>
    <mergeCell ref="E33:I33"/>
    <mergeCell ref="J33:L33"/>
    <mergeCell ref="M33:M34"/>
  </mergeCells>
  <printOptions horizontalCentered="1"/>
  <pageMargins left="0.25" right="0.25" top="0.75" bottom="0.75" header="0.3" footer="0.3"/>
  <pageSetup fitToHeight="1" fitToWidth="1" horizontalDpi="600" verticalDpi="600" orientation="landscape" paperSize="9" scale="38"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sheetPr>
    <tabColor theme="9" tint="-0.24997000396251678"/>
  </sheetPr>
  <dimension ref="A1:N21"/>
  <sheetViews>
    <sheetView tabSelected="1" view="pageLayout" zoomScaleSheetLayoutView="100" workbookViewId="0" topLeftCell="A1">
      <selection activeCell="H5" sqref="H5"/>
    </sheetView>
  </sheetViews>
  <sheetFormatPr defaultColWidth="2.00390625" defaultRowHeight="12.75"/>
  <cols>
    <col min="1" max="1" width="21.28125" style="67" customWidth="1"/>
    <col min="2" max="2" width="9.57421875" style="67" customWidth="1"/>
    <col min="3" max="3" width="18.140625" style="67" customWidth="1"/>
    <col min="4" max="4" width="10.7109375" style="67" customWidth="1"/>
    <col min="5" max="5" width="8.140625" style="67" customWidth="1"/>
    <col min="6" max="6" width="8.00390625" style="67" customWidth="1"/>
    <col min="7" max="7" width="9.00390625" style="67" customWidth="1"/>
    <col min="8" max="8" width="11.00390625" style="67" customWidth="1"/>
    <col min="9" max="9" width="7.140625" style="67" customWidth="1"/>
    <col min="10" max="10" width="8.57421875" style="67" customWidth="1"/>
    <col min="11" max="11" width="6.8515625" style="67" customWidth="1"/>
    <col min="12" max="12" width="9.7109375" style="67" customWidth="1"/>
    <col min="13" max="14" width="7.00390625" style="67" customWidth="1"/>
    <col min="15" max="15" width="8.7109375" style="67" customWidth="1"/>
    <col min="16" max="16384" width="2.00390625" style="67" customWidth="1"/>
  </cols>
  <sheetData>
    <row r="1" spans="1:3" s="105" customFormat="1" ht="12.75">
      <c r="A1" s="104" t="s">
        <v>334</v>
      </c>
      <c r="B1" s="145"/>
      <c r="C1" s="104"/>
    </row>
    <row r="2" spans="1:3" s="105" customFormat="1" ht="12" thickBot="1">
      <c r="A2" s="106" t="s">
        <v>2704</v>
      </c>
      <c r="B2" s="106"/>
      <c r="C2" s="106"/>
    </row>
    <row r="3" spans="1:14" s="66" customFormat="1" ht="22.5" customHeight="1">
      <c r="A3" s="1506" t="s">
        <v>292</v>
      </c>
      <c r="B3" s="1506" t="s">
        <v>295</v>
      </c>
      <c r="C3" s="1506" t="s">
        <v>294</v>
      </c>
      <c r="D3" s="1508" t="s">
        <v>293</v>
      </c>
      <c r="E3" s="1508" t="s">
        <v>271</v>
      </c>
      <c r="F3" s="1508" t="s">
        <v>272</v>
      </c>
      <c r="G3" s="1508" t="s">
        <v>134</v>
      </c>
      <c r="H3" s="1508" t="s">
        <v>273</v>
      </c>
      <c r="I3" s="1504">
        <v>2018</v>
      </c>
      <c r="J3" s="1505"/>
      <c r="K3" s="1504">
        <v>2019</v>
      </c>
      <c r="L3" s="1505"/>
      <c r="M3" s="154">
        <v>2020</v>
      </c>
      <c r="N3" s="154">
        <v>2021</v>
      </c>
    </row>
    <row r="4" spans="1:14" s="66" customFormat="1" ht="22.5">
      <c r="A4" s="1507"/>
      <c r="B4" s="1507"/>
      <c r="C4" s="1507"/>
      <c r="D4" s="1509"/>
      <c r="E4" s="1509"/>
      <c r="F4" s="1509"/>
      <c r="G4" s="1509"/>
      <c r="H4" s="1509"/>
      <c r="I4" s="155" t="s">
        <v>276</v>
      </c>
      <c r="J4" s="155" t="s">
        <v>274</v>
      </c>
      <c r="K4" s="155" t="s">
        <v>276</v>
      </c>
      <c r="L4" s="155" t="s">
        <v>275</v>
      </c>
      <c r="M4" s="155" t="s">
        <v>276</v>
      </c>
      <c r="N4" s="155" t="s">
        <v>276</v>
      </c>
    </row>
    <row r="5" spans="1:14" s="108" customFormat="1" ht="67.5">
      <c r="A5" s="1493" t="s">
        <v>609</v>
      </c>
      <c r="B5" s="1496" t="s">
        <v>610</v>
      </c>
      <c r="C5" s="1499" t="s">
        <v>611</v>
      </c>
      <c r="D5" s="540" t="s">
        <v>612</v>
      </c>
      <c r="E5" s="107" t="s">
        <v>613</v>
      </c>
      <c r="F5" s="107" t="s">
        <v>614</v>
      </c>
      <c r="G5" s="107" t="s">
        <v>615</v>
      </c>
      <c r="H5" s="107" t="s">
        <v>616</v>
      </c>
      <c r="I5" s="107">
        <v>0</v>
      </c>
      <c r="J5" s="107">
        <v>316.13</v>
      </c>
      <c r="K5" s="107">
        <v>0</v>
      </c>
      <c r="L5" s="107">
        <v>346.24</v>
      </c>
      <c r="M5" s="107">
        <v>0</v>
      </c>
      <c r="N5" s="107">
        <v>457.67</v>
      </c>
    </row>
    <row r="6" spans="1:14" s="108" customFormat="1" ht="67.5">
      <c r="A6" s="1494"/>
      <c r="B6" s="1497"/>
      <c r="C6" s="1500"/>
      <c r="D6" s="107" t="s">
        <v>617</v>
      </c>
      <c r="E6" s="107" t="s">
        <v>618</v>
      </c>
      <c r="F6" s="107" t="s">
        <v>619</v>
      </c>
      <c r="G6" s="107" t="s">
        <v>615</v>
      </c>
      <c r="H6" s="107" t="s">
        <v>616</v>
      </c>
      <c r="I6" s="107">
        <v>0</v>
      </c>
      <c r="J6" s="107">
        <v>132.73</v>
      </c>
      <c r="K6" s="107">
        <v>0</v>
      </c>
      <c r="L6" s="107">
        <v>138.8</v>
      </c>
      <c r="M6" s="107">
        <v>0</v>
      </c>
      <c r="N6" s="107">
        <v>803.33</v>
      </c>
    </row>
    <row r="7" spans="1:14" s="108" customFormat="1" ht="67.5">
      <c r="A7" s="1494"/>
      <c r="B7" s="1497"/>
      <c r="C7" s="1500"/>
      <c r="D7" s="107" t="s">
        <v>620</v>
      </c>
      <c r="E7" s="107" t="s">
        <v>621</v>
      </c>
      <c r="F7" s="107" t="s">
        <v>622</v>
      </c>
      <c r="G7" s="107" t="s">
        <v>615</v>
      </c>
      <c r="H7" s="107" t="s">
        <v>616</v>
      </c>
      <c r="I7" s="107">
        <v>0</v>
      </c>
      <c r="J7" s="107">
        <v>500.65</v>
      </c>
      <c r="K7" s="107">
        <v>0</v>
      </c>
      <c r="L7" s="107">
        <v>600.65</v>
      </c>
      <c r="M7" s="107">
        <v>0</v>
      </c>
      <c r="N7" s="107">
        <v>154.5</v>
      </c>
    </row>
    <row r="8" spans="1:14" s="108" customFormat="1" ht="27" customHeight="1">
      <c r="A8" s="1494"/>
      <c r="B8" s="1498"/>
      <c r="C8" s="1501"/>
      <c r="D8" s="107" t="s">
        <v>623</v>
      </c>
      <c r="E8" s="107" t="s">
        <v>624</v>
      </c>
      <c r="F8" s="107" t="s">
        <v>625</v>
      </c>
      <c r="G8" s="107" t="s">
        <v>626</v>
      </c>
      <c r="H8" s="107" t="s">
        <v>627</v>
      </c>
      <c r="I8" s="107">
        <v>0</v>
      </c>
      <c r="J8" s="107">
        <v>0.33</v>
      </c>
      <c r="K8" s="107">
        <v>0</v>
      </c>
      <c r="L8" s="107">
        <v>0.33</v>
      </c>
      <c r="M8" s="107">
        <v>0</v>
      </c>
      <c r="N8" s="107">
        <v>8.54</v>
      </c>
    </row>
    <row r="9" spans="1:14" s="108" customFormat="1" ht="90">
      <c r="A9" s="1494"/>
      <c r="B9" s="1496" t="s">
        <v>628</v>
      </c>
      <c r="C9" s="1499" t="s">
        <v>629</v>
      </c>
      <c r="D9" s="107" t="s">
        <v>630</v>
      </c>
      <c r="E9" s="107">
        <v>4.73</v>
      </c>
      <c r="F9" s="107">
        <v>4.94</v>
      </c>
      <c r="G9" s="107" t="s">
        <v>631</v>
      </c>
      <c r="H9" s="107" t="s">
        <v>631</v>
      </c>
      <c r="I9" s="107">
        <v>0</v>
      </c>
      <c r="J9" s="107">
        <v>2.92</v>
      </c>
      <c r="K9" s="107">
        <v>0</v>
      </c>
      <c r="L9" s="107">
        <v>4.94</v>
      </c>
      <c r="M9" s="107">
        <v>0</v>
      </c>
      <c r="N9" s="107">
        <v>4.94</v>
      </c>
    </row>
    <row r="10" spans="1:14" s="108" customFormat="1" ht="90">
      <c r="A10" s="1494"/>
      <c r="B10" s="1498"/>
      <c r="C10" s="1501"/>
      <c r="D10" s="107" t="s">
        <v>632</v>
      </c>
      <c r="E10" s="107">
        <v>0.03</v>
      </c>
      <c r="F10" s="107">
        <v>0.08</v>
      </c>
      <c r="G10" s="107" t="s">
        <v>631</v>
      </c>
      <c r="H10" s="107" t="s">
        <v>631</v>
      </c>
      <c r="I10" s="107">
        <v>0</v>
      </c>
      <c r="J10" s="107">
        <v>0.09</v>
      </c>
      <c r="K10" s="107">
        <v>0</v>
      </c>
      <c r="L10" s="107">
        <v>0.1</v>
      </c>
      <c r="M10" s="107">
        <v>0</v>
      </c>
      <c r="N10" s="107">
        <v>0.08</v>
      </c>
    </row>
    <row r="11" spans="1:14" s="108" customFormat="1" ht="56.25">
      <c r="A11" s="1494"/>
      <c r="B11" s="1496" t="s">
        <v>633</v>
      </c>
      <c r="C11" s="1499" t="s">
        <v>634</v>
      </c>
      <c r="D11" s="107" t="s">
        <v>635</v>
      </c>
      <c r="E11" s="107" t="s">
        <v>636</v>
      </c>
      <c r="F11" s="107" t="s">
        <v>637</v>
      </c>
      <c r="G11" s="107" t="s">
        <v>638</v>
      </c>
      <c r="H11" s="107" t="s">
        <v>639</v>
      </c>
      <c r="I11" s="107">
        <v>0</v>
      </c>
      <c r="J11" s="107">
        <v>73.7</v>
      </c>
      <c r="K11" s="107">
        <v>0</v>
      </c>
      <c r="L11" s="107">
        <v>75.5</v>
      </c>
      <c r="M11" s="107">
        <v>0</v>
      </c>
      <c r="N11" s="107">
        <v>72.22</v>
      </c>
    </row>
    <row r="12" spans="1:14" s="108" customFormat="1" ht="45">
      <c r="A12" s="1494"/>
      <c r="B12" s="1497"/>
      <c r="C12" s="1500"/>
      <c r="D12" s="107" t="s">
        <v>640</v>
      </c>
      <c r="E12" s="107">
        <v>1.85</v>
      </c>
      <c r="F12" s="107">
        <v>4.33</v>
      </c>
      <c r="G12" s="107" t="s">
        <v>615</v>
      </c>
      <c r="H12" s="107" t="s">
        <v>616</v>
      </c>
      <c r="I12" s="107">
        <v>0</v>
      </c>
      <c r="J12" s="107">
        <v>15.67</v>
      </c>
      <c r="K12" s="107">
        <v>0</v>
      </c>
      <c r="L12" s="107">
        <v>16.7</v>
      </c>
      <c r="M12" s="107">
        <v>0</v>
      </c>
      <c r="N12" s="107">
        <v>4.33</v>
      </c>
    </row>
    <row r="13" spans="1:14" s="108" customFormat="1" ht="78.75">
      <c r="A13" s="1494"/>
      <c r="B13" s="1498"/>
      <c r="C13" s="1501"/>
      <c r="D13" s="107" t="s">
        <v>641</v>
      </c>
      <c r="E13" s="107">
        <v>201</v>
      </c>
      <c r="F13" s="107">
        <v>500</v>
      </c>
      <c r="G13" s="107" t="s">
        <v>642</v>
      </c>
      <c r="H13" s="107" t="s">
        <v>642</v>
      </c>
      <c r="I13" s="107">
        <v>0</v>
      </c>
      <c r="J13" s="107">
        <v>518</v>
      </c>
      <c r="K13" s="107">
        <v>0</v>
      </c>
      <c r="L13" s="107">
        <v>507</v>
      </c>
      <c r="M13" s="107">
        <v>0</v>
      </c>
      <c r="N13" s="107">
        <v>500</v>
      </c>
    </row>
    <row r="14" spans="1:14" s="108" customFormat="1" ht="56.25">
      <c r="A14" s="1494"/>
      <c r="B14" s="1496" t="s">
        <v>643</v>
      </c>
      <c r="C14" s="1502" t="s">
        <v>644</v>
      </c>
      <c r="D14" s="107" t="s">
        <v>645</v>
      </c>
      <c r="E14" s="107">
        <v>26.5</v>
      </c>
      <c r="F14" s="107">
        <v>20.39</v>
      </c>
      <c r="G14" s="107" t="s">
        <v>646</v>
      </c>
      <c r="H14" s="107" t="s">
        <v>646</v>
      </c>
      <c r="I14" s="107">
        <v>0</v>
      </c>
      <c r="J14" s="107">
        <v>19.3</v>
      </c>
      <c r="K14" s="107">
        <v>0</v>
      </c>
      <c r="L14" s="107">
        <v>18.5</v>
      </c>
      <c r="M14" s="107">
        <v>0</v>
      </c>
      <c r="N14" s="107">
        <v>20.39</v>
      </c>
    </row>
    <row r="15" spans="1:14" s="108" customFormat="1" ht="101.25">
      <c r="A15" s="1494"/>
      <c r="B15" s="1498"/>
      <c r="C15" s="1503"/>
      <c r="D15" s="541" t="s">
        <v>647</v>
      </c>
      <c r="E15" s="107">
        <v>47.2</v>
      </c>
      <c r="F15" s="107">
        <v>72</v>
      </c>
      <c r="G15" s="107" t="s">
        <v>648</v>
      </c>
      <c r="H15" s="107" t="s">
        <v>639</v>
      </c>
      <c r="I15" s="107">
        <v>0</v>
      </c>
      <c r="J15" s="107">
        <v>55.8</v>
      </c>
      <c r="K15" s="107">
        <v>0</v>
      </c>
      <c r="L15" s="107">
        <v>58.4</v>
      </c>
      <c r="M15" s="107">
        <v>0</v>
      </c>
      <c r="N15" s="107">
        <v>72</v>
      </c>
    </row>
    <row r="16" spans="1:14" s="108" customFormat="1" ht="112.5">
      <c r="A16" s="1494"/>
      <c r="B16" s="1496" t="s">
        <v>649</v>
      </c>
      <c r="C16" s="1499" t="s">
        <v>650</v>
      </c>
      <c r="D16" s="107" t="s">
        <v>651</v>
      </c>
      <c r="E16" s="107">
        <v>43</v>
      </c>
      <c r="F16" s="107">
        <v>63.5</v>
      </c>
      <c r="G16" s="107" t="s">
        <v>652</v>
      </c>
      <c r="H16" s="107" t="s">
        <v>652</v>
      </c>
      <c r="I16" s="107">
        <v>0</v>
      </c>
      <c r="J16" s="107">
        <v>14.7</v>
      </c>
      <c r="K16" s="107">
        <v>0</v>
      </c>
      <c r="L16" s="107">
        <v>30.8</v>
      </c>
      <c r="M16" s="107">
        <v>0</v>
      </c>
      <c r="N16" s="107">
        <v>63.5</v>
      </c>
    </row>
    <row r="17" spans="1:14" s="108" customFormat="1" ht="101.25">
      <c r="A17" s="1494"/>
      <c r="B17" s="1498"/>
      <c r="C17" s="1501"/>
      <c r="D17" s="107" t="s">
        <v>653</v>
      </c>
      <c r="E17" s="107">
        <v>32</v>
      </c>
      <c r="F17" s="107">
        <v>46.79</v>
      </c>
      <c r="G17" s="107" t="s">
        <v>652</v>
      </c>
      <c r="H17" s="107" t="s">
        <v>652</v>
      </c>
      <c r="I17" s="107">
        <v>0</v>
      </c>
      <c r="J17" s="107">
        <v>37.8</v>
      </c>
      <c r="K17" s="107">
        <v>0</v>
      </c>
      <c r="L17" s="107">
        <v>17.3</v>
      </c>
      <c r="M17" s="107">
        <v>0</v>
      </c>
      <c r="N17" s="107">
        <v>46.79</v>
      </c>
    </row>
    <row r="18" spans="1:14" s="108" customFormat="1" ht="112.5">
      <c r="A18" s="1494"/>
      <c r="B18" s="542" t="s">
        <v>654</v>
      </c>
      <c r="C18" s="541" t="s">
        <v>655</v>
      </c>
      <c r="D18" s="107" t="s">
        <v>656</v>
      </c>
      <c r="E18" s="107">
        <v>21</v>
      </c>
      <c r="F18" s="107">
        <v>19.86</v>
      </c>
      <c r="G18" s="107" t="s">
        <v>639</v>
      </c>
      <c r="H18" s="107" t="s">
        <v>639</v>
      </c>
      <c r="I18" s="107">
        <v>0</v>
      </c>
      <c r="J18" s="107">
        <v>30</v>
      </c>
      <c r="K18" s="107">
        <v>0</v>
      </c>
      <c r="L18" s="107">
        <v>36</v>
      </c>
      <c r="M18" s="107">
        <v>0</v>
      </c>
      <c r="N18" s="107">
        <v>19.86</v>
      </c>
    </row>
    <row r="19" spans="1:14" ht="90">
      <c r="A19" s="1494"/>
      <c r="B19" s="542"/>
      <c r="C19" s="541"/>
      <c r="D19" s="107" t="s">
        <v>657</v>
      </c>
      <c r="E19" s="107">
        <v>84</v>
      </c>
      <c r="F19" s="107">
        <v>78.03</v>
      </c>
      <c r="G19" s="107" t="s">
        <v>639</v>
      </c>
      <c r="H19" s="107" t="s">
        <v>639</v>
      </c>
      <c r="I19" s="107">
        <v>0</v>
      </c>
      <c r="J19" s="107">
        <v>20</v>
      </c>
      <c r="K19" s="107">
        <v>0</v>
      </c>
      <c r="L19" s="107">
        <v>25</v>
      </c>
      <c r="M19" s="107">
        <v>0</v>
      </c>
      <c r="N19" s="107">
        <v>78.03</v>
      </c>
    </row>
    <row r="20" spans="1:14" ht="56.25">
      <c r="A20" s="1494"/>
      <c r="B20" s="542" t="s">
        <v>658</v>
      </c>
      <c r="C20" s="541" t="s">
        <v>659</v>
      </c>
      <c r="D20" s="107" t="s">
        <v>660</v>
      </c>
      <c r="E20" s="107">
        <v>0.52</v>
      </c>
      <c r="F20" s="107">
        <v>0.5</v>
      </c>
      <c r="G20" s="107" t="s">
        <v>627</v>
      </c>
      <c r="H20" s="107" t="s">
        <v>627</v>
      </c>
      <c r="I20" s="107">
        <v>0</v>
      </c>
      <c r="J20" s="107">
        <v>0.4</v>
      </c>
      <c r="K20" s="107">
        <v>0</v>
      </c>
      <c r="L20" s="107">
        <v>0.4</v>
      </c>
      <c r="M20" s="107">
        <v>0</v>
      </c>
      <c r="N20" s="107">
        <v>0.52</v>
      </c>
    </row>
    <row r="21" spans="1:14" ht="90">
      <c r="A21" s="1495"/>
      <c r="B21" s="542" t="s">
        <v>661</v>
      </c>
      <c r="C21" s="541" t="s">
        <v>662</v>
      </c>
      <c r="D21" s="107" t="s">
        <v>663</v>
      </c>
      <c r="E21" s="107">
        <v>74</v>
      </c>
      <c r="F21" s="107">
        <v>50</v>
      </c>
      <c r="G21" s="107" t="s">
        <v>646</v>
      </c>
      <c r="H21" s="107" t="s">
        <v>646</v>
      </c>
      <c r="I21" s="107">
        <v>0</v>
      </c>
      <c r="J21" s="107">
        <v>0</v>
      </c>
      <c r="K21" s="107">
        <v>0</v>
      </c>
      <c r="L21" s="107">
        <v>0</v>
      </c>
      <c r="M21" s="107">
        <v>0</v>
      </c>
      <c r="N21" s="107">
        <v>50</v>
      </c>
    </row>
  </sheetData>
  <sheetProtection/>
  <mergeCells count="21">
    <mergeCell ref="H3:H4"/>
    <mergeCell ref="C16:C17"/>
    <mergeCell ref="I3:J3"/>
    <mergeCell ref="K3:L3"/>
    <mergeCell ref="C3:C4"/>
    <mergeCell ref="B3:B4"/>
    <mergeCell ref="A3:A4"/>
    <mergeCell ref="D3:D4"/>
    <mergeCell ref="E3:E4"/>
    <mergeCell ref="F3:F4"/>
    <mergeCell ref="G3:G4"/>
    <mergeCell ref="A5:A21"/>
    <mergeCell ref="B5:B8"/>
    <mergeCell ref="C5:C8"/>
    <mergeCell ref="B9:B10"/>
    <mergeCell ref="C9:C10"/>
    <mergeCell ref="B11:B13"/>
    <mergeCell ref="C11:C13"/>
    <mergeCell ref="B14:B15"/>
    <mergeCell ref="C14:C15"/>
    <mergeCell ref="B16:B17"/>
  </mergeCells>
  <printOptions horizontalCentered="1"/>
  <pageMargins left="0.2362204724409449" right="0.2362204724409449" top="0.7480314960629921" bottom="0.7480314960629921" header="0.31496062992125984" footer="0.31496062992125984"/>
  <pageSetup horizontalDpi="600" verticalDpi="600" orientation="landscape" paperSize="9" r:id="rId3"/>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71093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D21"/>
  <sheetViews>
    <sheetView view="pageLayout" workbookViewId="0" topLeftCell="A1">
      <selection activeCell="C7" sqref="C7"/>
    </sheetView>
  </sheetViews>
  <sheetFormatPr defaultColWidth="11.28125" defaultRowHeight="12.75"/>
  <cols>
    <col min="1" max="1" width="58.00390625" style="0" customWidth="1"/>
    <col min="2" max="3" width="11.140625" style="259" bestFit="1" customWidth="1"/>
    <col min="4" max="4" width="11.00390625" style="259" customWidth="1"/>
  </cols>
  <sheetData>
    <row r="1" ht="12.75">
      <c r="A1" s="104" t="s">
        <v>391</v>
      </c>
    </row>
    <row r="2" ht="12.75">
      <c r="A2" s="106" t="s">
        <v>454</v>
      </c>
    </row>
    <row r="3" spans="1:4" s="142" customFormat="1" ht="27.75" customHeight="1">
      <c r="A3" s="152" t="s">
        <v>328</v>
      </c>
      <c r="B3" s="260">
        <v>2019</v>
      </c>
      <c r="C3" s="260">
        <v>2020</v>
      </c>
      <c r="D3" s="260">
        <v>2021</v>
      </c>
    </row>
    <row r="4" spans="1:4" s="145" customFormat="1" ht="12.75">
      <c r="A4" s="144" t="s">
        <v>325</v>
      </c>
      <c r="B4" s="258">
        <v>62348708</v>
      </c>
      <c r="C4" s="258">
        <v>80218873</v>
      </c>
      <c r="D4" s="258">
        <v>433764022</v>
      </c>
    </row>
    <row r="5" spans="1:4" s="145" customFormat="1" ht="12.75">
      <c r="A5" s="144" t="s">
        <v>326</v>
      </c>
      <c r="B5" s="258">
        <v>144598102</v>
      </c>
      <c r="C5" s="258">
        <v>88448238</v>
      </c>
      <c r="D5" s="258">
        <v>62773416</v>
      </c>
    </row>
    <row r="6" spans="1:4" s="145" customFormat="1" ht="12.75">
      <c r="A6" s="144" t="s">
        <v>327</v>
      </c>
      <c r="B6" s="258">
        <v>349155040</v>
      </c>
      <c r="C6" s="258">
        <v>387584951</v>
      </c>
      <c r="D6" s="258">
        <v>148129935</v>
      </c>
    </row>
    <row r="7" spans="1:4" s="149" customFormat="1" ht="27.75" customHeight="1">
      <c r="A7" s="150" t="s">
        <v>322</v>
      </c>
      <c r="B7" s="261">
        <f>SUM(B4:B6)</f>
        <v>556101850</v>
      </c>
      <c r="C7" s="261">
        <f>SUM(C4:C6)</f>
        <v>556252062</v>
      </c>
      <c r="D7" s="261">
        <f>SUM(D4:D6)</f>
        <v>644667373</v>
      </c>
    </row>
    <row r="9" spans="1:4" s="142" customFormat="1" ht="27.75" customHeight="1">
      <c r="A9" s="152" t="s">
        <v>329</v>
      </c>
      <c r="B9" s="260">
        <v>2019</v>
      </c>
      <c r="C9" s="260" t="s">
        <v>392</v>
      </c>
      <c r="D9" s="260" t="s">
        <v>393</v>
      </c>
    </row>
    <row r="10" spans="1:4" s="145" customFormat="1" ht="12.75">
      <c r="A10" s="144" t="s">
        <v>325</v>
      </c>
      <c r="B10" s="258">
        <v>75724418</v>
      </c>
      <c r="C10" s="258">
        <v>97163639</v>
      </c>
      <c r="D10" s="258">
        <v>433764022</v>
      </c>
    </row>
    <row r="11" spans="1:4" s="145" customFormat="1" ht="12.75">
      <c r="A11" s="144" t="s">
        <v>326</v>
      </c>
      <c r="B11" s="258">
        <v>193520941</v>
      </c>
      <c r="C11" s="258">
        <v>221586245</v>
      </c>
      <c r="D11" s="258">
        <v>62773416</v>
      </c>
    </row>
    <row r="12" spans="1:4" s="145" customFormat="1" ht="12.75">
      <c r="A12" s="144" t="s">
        <v>327</v>
      </c>
      <c r="B12" s="258">
        <v>533571026</v>
      </c>
      <c r="C12" s="258">
        <v>610319308</v>
      </c>
      <c r="D12" s="258">
        <v>148129935</v>
      </c>
    </row>
    <row r="13" spans="1:4" s="149" customFormat="1" ht="27.75" customHeight="1">
      <c r="A13" s="150" t="s">
        <v>323</v>
      </c>
      <c r="B13" s="261">
        <f>SUM(B10:B12)</f>
        <v>802816385</v>
      </c>
      <c r="C13" s="261">
        <f>SUM(C10:C12)</f>
        <v>929069192</v>
      </c>
      <c r="D13" s="261">
        <f>SUM(D10:D12)</f>
        <v>644667373</v>
      </c>
    </row>
    <row r="15" spans="1:4" s="142" customFormat="1" ht="27.75" customHeight="1">
      <c r="A15" s="152" t="s">
        <v>330</v>
      </c>
      <c r="B15" s="260">
        <v>2019</v>
      </c>
      <c r="C15" s="260" t="s">
        <v>392</v>
      </c>
      <c r="D15" s="260" t="s">
        <v>393</v>
      </c>
    </row>
    <row r="16" spans="1:4" s="145" customFormat="1" ht="12.75">
      <c r="A16" s="144" t="s">
        <v>325</v>
      </c>
      <c r="B16" s="258">
        <v>71655957</v>
      </c>
      <c r="C16" s="258">
        <v>97163639</v>
      </c>
      <c r="D16" s="258">
        <v>433764022</v>
      </c>
    </row>
    <row r="17" spans="1:4" s="145" customFormat="1" ht="12.75">
      <c r="A17" s="144" t="s">
        <v>326</v>
      </c>
      <c r="B17" s="258">
        <v>160626702</v>
      </c>
      <c r="C17" s="258">
        <v>221586245</v>
      </c>
      <c r="D17" s="258">
        <v>62773416</v>
      </c>
    </row>
    <row r="18" spans="1:4" s="145" customFormat="1" ht="12.75">
      <c r="A18" s="144" t="s">
        <v>327</v>
      </c>
      <c r="B18" s="258">
        <v>438333717</v>
      </c>
      <c r="C18" s="258">
        <v>610319308</v>
      </c>
      <c r="D18" s="258">
        <v>148129935</v>
      </c>
    </row>
    <row r="19" spans="1:4" s="149" customFormat="1" ht="27.75" customHeight="1">
      <c r="A19" s="150" t="s">
        <v>324</v>
      </c>
      <c r="B19" s="261">
        <f>SUM(B16:B18)</f>
        <v>670616376</v>
      </c>
      <c r="C19" s="261">
        <f>SUM(C16:C18)</f>
        <v>929069192</v>
      </c>
      <c r="D19" s="261">
        <f>SUM(D16:D18)</f>
        <v>644667373</v>
      </c>
    </row>
    <row r="20" ht="12.75">
      <c r="A20" s="255" t="s">
        <v>394</v>
      </c>
    </row>
    <row r="21" ht="12.75">
      <c r="A21" s="256" t="s">
        <v>395</v>
      </c>
    </row>
  </sheetData>
  <sheetProtection/>
  <printOptions/>
  <pageMargins left="0.17708333333333334" right="0.5118110236220472" top="0.7480314960629921" bottom="0.7480314960629921" header="0.31496062992125984" footer="0.31496062992125984"/>
  <pageSetup horizontalDpi="600" verticalDpi="600" orientation="portrait" paperSize="9"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sheetPr>
    <tabColor theme="9" tint="-0.24997000396251678"/>
  </sheetPr>
  <dimension ref="A1:D261"/>
  <sheetViews>
    <sheetView view="pageLayout" workbookViewId="0" topLeftCell="A1">
      <selection activeCell="B18" sqref="B18"/>
    </sheetView>
  </sheetViews>
  <sheetFormatPr defaultColWidth="11.28125" defaultRowHeight="12.75"/>
  <cols>
    <col min="1" max="1" width="52.140625" style="0" customWidth="1"/>
    <col min="2" max="2" width="13.8515625" style="262" customWidth="1"/>
    <col min="3" max="3" width="11.8515625" style="0" bestFit="1" customWidth="1"/>
    <col min="4" max="4" width="13.7109375" style="0" customWidth="1"/>
  </cols>
  <sheetData>
    <row r="1" ht="12.75">
      <c r="A1" s="104" t="s">
        <v>396</v>
      </c>
    </row>
    <row r="2" ht="12.75">
      <c r="A2" s="106" t="s">
        <v>455</v>
      </c>
    </row>
    <row r="3" spans="1:4" s="142" customFormat="1" ht="38.25" customHeight="1">
      <c r="A3" s="152" t="s">
        <v>456</v>
      </c>
      <c r="B3" s="153">
        <v>2019</v>
      </c>
      <c r="C3" s="153">
        <v>2020</v>
      </c>
      <c r="D3" s="153">
        <v>2021</v>
      </c>
    </row>
    <row r="4" spans="1:4" s="147" customFormat="1" ht="12.75">
      <c r="A4" s="146" t="s">
        <v>116</v>
      </c>
      <c r="B4" s="263">
        <f>SUM(B5:B10)</f>
        <v>355600150</v>
      </c>
      <c r="C4" s="263">
        <f>SUM(C5:C10)</f>
        <v>410183101</v>
      </c>
      <c r="D4" s="263">
        <f>SUM(D5:D10)</f>
        <v>418142701</v>
      </c>
    </row>
    <row r="5" spans="1:4" s="145" customFormat="1" ht="12.75">
      <c r="A5" s="143" t="s">
        <v>105</v>
      </c>
      <c r="B5" s="258"/>
      <c r="C5" s="258"/>
      <c r="D5" s="258"/>
    </row>
    <row r="6" spans="1:4" s="145" customFormat="1" ht="12.75">
      <c r="A6" s="143" t="s">
        <v>106</v>
      </c>
      <c r="B6" s="258">
        <v>277920488</v>
      </c>
      <c r="C6" s="258">
        <v>305283462</v>
      </c>
      <c r="D6" s="258">
        <v>326692488</v>
      </c>
    </row>
    <row r="7" spans="1:4" s="145" customFormat="1" ht="12.75">
      <c r="A7" s="143" t="s">
        <v>107</v>
      </c>
      <c r="B7" s="258">
        <v>15484764</v>
      </c>
      <c r="C7" s="258">
        <v>15881047</v>
      </c>
      <c r="D7" s="258">
        <v>14319382</v>
      </c>
    </row>
    <row r="8" spans="1:4" s="145" customFormat="1" ht="12.75">
      <c r="A8" s="143" t="s">
        <v>108</v>
      </c>
      <c r="B8" s="258">
        <v>60540906</v>
      </c>
      <c r="C8" s="258">
        <v>87193107</v>
      </c>
      <c r="D8" s="258">
        <v>75761717</v>
      </c>
    </row>
    <row r="9" spans="1:3" s="145" customFormat="1" ht="12.75">
      <c r="A9" s="143" t="s">
        <v>136</v>
      </c>
      <c r="B9" s="258">
        <v>0</v>
      </c>
      <c r="C9" s="258"/>
    </row>
    <row r="10" spans="1:4" s="145" customFormat="1" ht="12.75">
      <c r="A10" s="143" t="s">
        <v>137</v>
      </c>
      <c r="B10" s="258">
        <v>1653992</v>
      </c>
      <c r="C10" s="258">
        <v>1825485</v>
      </c>
      <c r="D10" s="258">
        <v>1369114</v>
      </c>
    </row>
    <row r="11" spans="1:4" s="145" customFormat="1" ht="12.75">
      <c r="A11" s="146" t="s">
        <v>104</v>
      </c>
      <c r="B11" s="263">
        <f>SUM(B12:B15)</f>
        <v>77483277</v>
      </c>
      <c r="C11" s="263">
        <f>SUM(C12:C15)</f>
        <v>178499234</v>
      </c>
      <c r="D11" s="263">
        <f>SUM(D12:D15)</f>
        <v>61204816</v>
      </c>
    </row>
    <row r="12" spans="1:4" s="145" customFormat="1" ht="12.75">
      <c r="A12" s="143" t="s">
        <v>135</v>
      </c>
      <c r="B12" s="258"/>
      <c r="C12" s="258"/>
      <c r="D12" s="258"/>
    </row>
    <row r="13" spans="1:4" s="145" customFormat="1" ht="12.75">
      <c r="A13" s="143" t="s">
        <v>138</v>
      </c>
      <c r="B13" s="258"/>
      <c r="C13" s="258"/>
      <c r="D13" s="258"/>
    </row>
    <row r="14" spans="1:4" s="145" customFormat="1" ht="12.75">
      <c r="A14" s="143" t="s">
        <v>113</v>
      </c>
      <c r="B14" s="258">
        <v>77483277</v>
      </c>
      <c r="C14" s="258">
        <v>178499234</v>
      </c>
      <c r="D14" s="258">
        <v>61204816</v>
      </c>
    </row>
    <row r="15" spans="1:4" s="145" customFormat="1" ht="12.75">
      <c r="A15" s="143" t="s">
        <v>114</v>
      </c>
      <c r="B15" s="258"/>
      <c r="C15" s="258"/>
      <c r="D15" s="258"/>
    </row>
    <row r="16" spans="1:4" s="145" customFormat="1" ht="12.75">
      <c r="A16" s="146" t="s">
        <v>92</v>
      </c>
      <c r="B16" s="263">
        <f>SUM(B17)</f>
        <v>0</v>
      </c>
      <c r="C16" s="263">
        <f>SUM(C17)</f>
        <v>0</v>
      </c>
      <c r="D16" s="263">
        <f>SUM(D17)</f>
        <v>0</v>
      </c>
    </row>
    <row r="17" spans="1:4" s="145" customFormat="1" ht="12.75">
      <c r="A17" s="143" t="s">
        <v>115</v>
      </c>
      <c r="B17" s="258"/>
      <c r="C17" s="258"/>
      <c r="D17" s="258"/>
    </row>
    <row r="18" spans="1:4" s="149" customFormat="1" ht="18" customHeight="1">
      <c r="A18" s="148" t="s">
        <v>322</v>
      </c>
      <c r="B18" s="261">
        <f>SUM(B4+B11+B16)</f>
        <v>433083427</v>
      </c>
      <c r="C18" s="261">
        <f>SUM(C4+C11+C16)</f>
        <v>588682335</v>
      </c>
      <c r="D18" s="261">
        <f>SUM(D4+D11+D16)</f>
        <v>479347517</v>
      </c>
    </row>
    <row r="20" spans="1:4" s="142" customFormat="1" ht="35.25" customHeight="1">
      <c r="A20" s="152" t="s">
        <v>457</v>
      </c>
      <c r="B20" s="153">
        <v>2019</v>
      </c>
      <c r="C20" s="153">
        <v>2020</v>
      </c>
      <c r="D20" s="153">
        <v>2021</v>
      </c>
    </row>
    <row r="21" spans="1:4" s="147" customFormat="1" ht="12.75">
      <c r="A21" s="146" t="s">
        <v>116</v>
      </c>
      <c r="B21" s="263">
        <f>SUM(B22:B27)</f>
        <v>411059746</v>
      </c>
      <c r="C21" s="263">
        <f>SUM(C22:C27)</f>
        <v>494014895</v>
      </c>
      <c r="D21" s="263">
        <f>SUM(D22:D27)</f>
        <v>418142701</v>
      </c>
    </row>
    <row r="22" spans="1:4" s="145" customFormat="1" ht="12.75">
      <c r="A22" s="143" t="s">
        <v>105</v>
      </c>
      <c r="B22" s="258"/>
      <c r="C22" s="258"/>
      <c r="D22" s="258"/>
    </row>
    <row r="23" spans="1:4" s="145" customFormat="1" ht="12.75">
      <c r="A23" s="143" t="s">
        <v>106</v>
      </c>
      <c r="B23" s="258">
        <v>308461614</v>
      </c>
      <c r="C23" s="258">
        <v>337205477</v>
      </c>
      <c r="D23" s="258">
        <v>326692488</v>
      </c>
    </row>
    <row r="24" spans="1:4" s="145" customFormat="1" ht="12.75">
      <c r="A24" s="143" t="s">
        <v>107</v>
      </c>
      <c r="B24" s="258">
        <v>15022572</v>
      </c>
      <c r="C24" s="258">
        <v>15144081</v>
      </c>
      <c r="D24" s="258">
        <v>14319382</v>
      </c>
    </row>
    <row r="25" spans="1:4" s="145" customFormat="1" ht="12.75">
      <c r="A25" s="143" t="s">
        <v>108</v>
      </c>
      <c r="B25" s="258">
        <v>70600525</v>
      </c>
      <c r="C25" s="258">
        <v>141224315</v>
      </c>
      <c r="D25" s="258">
        <v>75761717</v>
      </c>
    </row>
    <row r="26" spans="1:3" s="145" customFormat="1" ht="12.75">
      <c r="A26" s="143" t="s">
        <v>136</v>
      </c>
      <c r="B26" s="258">
        <v>271575</v>
      </c>
      <c r="C26" s="258"/>
    </row>
    <row r="27" spans="1:4" s="145" customFormat="1" ht="12.75">
      <c r="A27" s="143" t="s">
        <v>137</v>
      </c>
      <c r="B27" s="258">
        <v>16703460</v>
      </c>
      <c r="C27" s="258">
        <v>441022</v>
      </c>
      <c r="D27" s="258">
        <v>1369114</v>
      </c>
    </row>
    <row r="28" spans="1:4" s="145" customFormat="1" ht="12.75">
      <c r="A28" s="146" t="s">
        <v>104</v>
      </c>
      <c r="B28" s="263">
        <f>SUM(B29:B32)</f>
        <v>86329670</v>
      </c>
      <c r="C28" s="263">
        <f>SUM(C29:C32)</f>
        <v>156790077</v>
      </c>
      <c r="D28" s="263">
        <f>SUM(D29:D32)</f>
        <v>61204816</v>
      </c>
    </row>
    <row r="29" spans="1:4" s="145" customFormat="1" ht="12.75">
      <c r="A29" s="143" t="s">
        <v>135</v>
      </c>
      <c r="B29" s="258"/>
      <c r="C29" s="258"/>
      <c r="D29" s="258"/>
    </row>
    <row r="30" spans="1:4" s="145" customFormat="1" ht="12.75">
      <c r="A30" s="143" t="s">
        <v>138</v>
      </c>
      <c r="B30" s="258"/>
      <c r="C30" s="258"/>
      <c r="D30" s="258"/>
    </row>
    <row r="31" spans="1:4" s="145" customFormat="1" ht="12.75">
      <c r="A31" s="143" t="s">
        <v>113</v>
      </c>
      <c r="B31" s="258">
        <v>86329670</v>
      </c>
      <c r="C31" s="258">
        <v>156790077</v>
      </c>
      <c r="D31" s="258">
        <v>61204816</v>
      </c>
    </row>
    <row r="32" spans="1:4" s="145" customFormat="1" ht="12.75">
      <c r="A32" s="143" t="s">
        <v>114</v>
      </c>
      <c r="B32" s="258"/>
      <c r="C32" s="258"/>
      <c r="D32" s="258"/>
    </row>
    <row r="33" spans="1:4" s="145" customFormat="1" ht="12.75">
      <c r="A33" s="146" t="s">
        <v>92</v>
      </c>
      <c r="B33" s="263">
        <f>SUM(B34)</f>
        <v>0</v>
      </c>
      <c r="C33" s="263">
        <f>SUM(C34)</f>
        <v>0</v>
      </c>
      <c r="D33" s="263">
        <f>SUM(D34)</f>
        <v>0</v>
      </c>
    </row>
    <row r="34" spans="1:4" s="145" customFormat="1" ht="12.75">
      <c r="A34" s="143" t="s">
        <v>115</v>
      </c>
      <c r="B34" s="258"/>
      <c r="C34" s="258"/>
      <c r="D34" s="258"/>
    </row>
    <row r="35" spans="1:4" s="149" customFormat="1" ht="18" customHeight="1">
      <c r="A35" s="148" t="s">
        <v>323</v>
      </c>
      <c r="B35" s="261">
        <f>SUM(B21+B28+B33)</f>
        <v>497389416</v>
      </c>
      <c r="C35" s="261">
        <f>SUM(C21+C28+C33)</f>
        <v>650804972</v>
      </c>
      <c r="D35" s="261">
        <f>SUM(D21+D28+D33)</f>
        <v>479347517</v>
      </c>
    </row>
    <row r="37" spans="1:4" s="142" customFormat="1" ht="37.5" customHeight="1">
      <c r="A37" s="152" t="s">
        <v>458</v>
      </c>
      <c r="B37" s="153">
        <v>2019</v>
      </c>
      <c r="C37" s="153">
        <v>2020</v>
      </c>
      <c r="D37" s="153">
        <v>2021</v>
      </c>
    </row>
    <row r="38" spans="1:4" s="147" customFormat="1" ht="12.75">
      <c r="A38" s="146" t="s">
        <v>116</v>
      </c>
      <c r="B38" s="263">
        <f>SUM(B39:B44)</f>
        <v>403177989</v>
      </c>
      <c r="C38" s="263">
        <f>SUM(C39:C44)</f>
        <v>419360246</v>
      </c>
      <c r="D38" s="263">
        <f>SUM(D39:D44)</f>
        <v>418142701</v>
      </c>
    </row>
    <row r="39" spans="1:4" s="145" customFormat="1" ht="12.75">
      <c r="A39" s="143" t="s">
        <v>105</v>
      </c>
      <c r="B39" s="258"/>
      <c r="C39" s="258"/>
      <c r="D39" s="258"/>
    </row>
    <row r="40" spans="1:4" s="145" customFormat="1" ht="12.75">
      <c r="A40" s="143" t="s">
        <v>106</v>
      </c>
      <c r="B40" s="258">
        <v>304592631</v>
      </c>
      <c r="C40" s="258">
        <v>337205477</v>
      </c>
      <c r="D40" s="258">
        <v>326692488</v>
      </c>
    </row>
    <row r="41" spans="1:4" s="145" customFormat="1" ht="12.75">
      <c r="A41" s="143" t="s">
        <v>107</v>
      </c>
      <c r="B41" s="258">
        <v>14927242</v>
      </c>
      <c r="C41" s="258">
        <v>15144081</v>
      </c>
      <c r="D41" s="258">
        <v>14319382</v>
      </c>
    </row>
    <row r="42" spans="1:4" s="145" customFormat="1" ht="12.75">
      <c r="A42" s="143" t="s">
        <v>108</v>
      </c>
      <c r="B42" s="258">
        <v>66693014</v>
      </c>
      <c r="C42" s="258">
        <v>66992569</v>
      </c>
      <c r="D42" s="258">
        <v>75761717</v>
      </c>
    </row>
    <row r="43" spans="1:3" s="145" customFormat="1" ht="12.75">
      <c r="A43" s="143" t="s">
        <v>136</v>
      </c>
      <c r="B43" s="258">
        <v>271575</v>
      </c>
      <c r="C43" s="258"/>
    </row>
    <row r="44" spans="1:4" s="145" customFormat="1" ht="12.75">
      <c r="A44" s="143" t="s">
        <v>137</v>
      </c>
      <c r="B44" s="258">
        <v>16693527</v>
      </c>
      <c r="C44" s="258">
        <v>18119</v>
      </c>
      <c r="D44" s="258">
        <v>1369114</v>
      </c>
    </row>
    <row r="45" spans="1:4" s="145" customFormat="1" ht="12.75">
      <c r="A45" s="146" t="s">
        <v>104</v>
      </c>
      <c r="B45" s="263">
        <f>SUM(B46:B49)</f>
        <v>70240079</v>
      </c>
      <c r="C45" s="263">
        <f>SUM(C46:C49)</f>
        <v>156790077</v>
      </c>
      <c r="D45" s="263">
        <f>SUM(D46:D49)</f>
        <v>61204816</v>
      </c>
    </row>
    <row r="46" spans="1:4" s="145" customFormat="1" ht="12.75">
      <c r="A46" s="143" t="s">
        <v>135</v>
      </c>
      <c r="B46" s="258"/>
      <c r="C46" s="258"/>
      <c r="D46" s="258"/>
    </row>
    <row r="47" spans="1:4" s="145" customFormat="1" ht="12.75">
      <c r="A47" s="143" t="s">
        <v>138</v>
      </c>
      <c r="B47" s="258"/>
      <c r="C47" s="258"/>
      <c r="D47" s="258"/>
    </row>
    <row r="48" spans="1:4" s="145" customFormat="1" ht="12.75">
      <c r="A48" s="143" t="s">
        <v>113</v>
      </c>
      <c r="B48" s="258">
        <v>70240079</v>
      </c>
      <c r="C48" s="258">
        <v>156790077</v>
      </c>
      <c r="D48" s="258">
        <v>61204816</v>
      </c>
    </row>
    <row r="49" spans="1:4" s="145" customFormat="1" ht="12.75">
      <c r="A49" s="143" t="s">
        <v>114</v>
      </c>
      <c r="B49" s="258"/>
      <c r="C49" s="258"/>
      <c r="D49" s="258"/>
    </row>
    <row r="50" spans="1:4" s="145" customFormat="1" ht="12.75">
      <c r="A50" s="146" t="s">
        <v>92</v>
      </c>
      <c r="B50" s="263">
        <f>SUM(B51:D51)</f>
        <v>0</v>
      </c>
      <c r="C50" s="263">
        <f>SUM(C51:E51)</f>
        <v>0</v>
      </c>
      <c r="D50" s="263">
        <f>SUM(D51:F51)</f>
        <v>0</v>
      </c>
    </row>
    <row r="51" spans="1:4" s="145" customFormat="1" ht="12.75">
      <c r="A51" s="143" t="s">
        <v>115</v>
      </c>
      <c r="B51" s="258"/>
      <c r="C51" s="258"/>
      <c r="D51" s="258"/>
    </row>
    <row r="52" spans="1:4" s="149" customFormat="1" ht="18" customHeight="1">
      <c r="A52" s="254" t="s">
        <v>324</v>
      </c>
      <c r="B52" s="261">
        <f>SUM(B38+B45+B50)</f>
        <v>473418068</v>
      </c>
      <c r="C52" s="261">
        <f>SUM(C38+C45+C50)</f>
        <v>576150323</v>
      </c>
      <c r="D52" s="261">
        <f>SUM(D38+D45+D50)</f>
        <v>479347517</v>
      </c>
    </row>
    <row r="53" ht="12.75">
      <c r="A53" s="255" t="s">
        <v>394</v>
      </c>
    </row>
    <row r="54" ht="12.75">
      <c r="A54" s="256" t="s">
        <v>395</v>
      </c>
    </row>
    <row r="56" spans="1:4" ht="38.25">
      <c r="A56" s="152" t="s">
        <v>459</v>
      </c>
      <c r="B56" s="153">
        <v>2019</v>
      </c>
      <c r="C56" s="153">
        <v>2020</v>
      </c>
      <c r="D56" s="153">
        <v>2021</v>
      </c>
    </row>
    <row r="57" spans="1:4" ht="12.75">
      <c r="A57" s="146" t="s">
        <v>116</v>
      </c>
      <c r="B57" s="263">
        <f>SUM(B58:B63)</f>
        <v>4057771</v>
      </c>
      <c r="C57" s="263">
        <f>SUM(C58:C63)</f>
        <v>4555977</v>
      </c>
      <c r="D57" s="263">
        <f>SUM(D58:D63)</f>
        <v>3673846</v>
      </c>
    </row>
    <row r="58" spans="1:4" ht="12.75">
      <c r="A58" s="143" t="s">
        <v>105</v>
      </c>
      <c r="B58" s="258"/>
      <c r="C58" s="258"/>
      <c r="D58" s="258"/>
    </row>
    <row r="59" spans="1:4" ht="12.75">
      <c r="A59" s="143" t="s">
        <v>106</v>
      </c>
      <c r="B59" s="258"/>
      <c r="C59" s="258"/>
      <c r="D59" s="258"/>
    </row>
    <row r="60" spans="1:4" ht="12.75">
      <c r="A60" s="143" t="s">
        <v>107</v>
      </c>
      <c r="B60" s="258"/>
      <c r="C60" s="258"/>
      <c r="D60" s="258"/>
    </row>
    <row r="61" spans="1:4" ht="12.75">
      <c r="A61" s="143" t="s">
        <v>108</v>
      </c>
      <c r="B61" s="258">
        <v>4057771</v>
      </c>
      <c r="C61" s="258">
        <v>4271099</v>
      </c>
      <c r="D61" s="258">
        <v>3388968</v>
      </c>
    </row>
    <row r="62" spans="1:4" ht="12.75">
      <c r="A62" s="143" t="s">
        <v>136</v>
      </c>
      <c r="B62" s="258"/>
      <c r="C62" s="258"/>
      <c r="D62" s="258"/>
    </row>
    <row r="63" spans="1:4" ht="12.75">
      <c r="A63" s="143" t="s">
        <v>137</v>
      </c>
      <c r="B63" s="258">
        <v>0</v>
      </c>
      <c r="C63" s="258">
        <v>284878</v>
      </c>
      <c r="D63" s="258">
        <v>284878</v>
      </c>
    </row>
    <row r="64" spans="1:4" ht="12.75">
      <c r="A64" s="146" t="s">
        <v>104</v>
      </c>
      <c r="B64" s="263">
        <f>SUM(B65:B68)</f>
        <v>1513198</v>
      </c>
      <c r="C64" s="263">
        <f>SUM(C65:C68)</f>
        <v>97000</v>
      </c>
      <c r="D64" s="263">
        <f>SUM(D65:D68)</f>
        <v>0</v>
      </c>
    </row>
    <row r="65" spans="1:4" ht="12.75">
      <c r="A65" s="143" t="s">
        <v>135</v>
      </c>
      <c r="B65" s="258"/>
      <c r="C65" s="258"/>
      <c r="D65" s="258"/>
    </row>
    <row r="66" spans="1:4" ht="12.75">
      <c r="A66" s="143" t="s">
        <v>138</v>
      </c>
      <c r="B66" s="258"/>
      <c r="C66" s="258"/>
      <c r="D66" s="258"/>
    </row>
    <row r="67" spans="1:4" ht="12.75">
      <c r="A67" s="143" t="s">
        <v>113</v>
      </c>
      <c r="B67" s="258">
        <v>1513198</v>
      </c>
      <c r="C67" s="258">
        <v>97000</v>
      </c>
      <c r="D67" s="258"/>
    </row>
    <row r="68" spans="1:4" ht="12.75">
      <c r="A68" s="143" t="s">
        <v>114</v>
      </c>
      <c r="B68" s="258"/>
      <c r="C68" s="258"/>
      <c r="D68" s="258"/>
    </row>
    <row r="69" spans="1:4" ht="12.75">
      <c r="A69" s="146" t="s">
        <v>92</v>
      </c>
      <c r="B69" s="263">
        <f>SUM(B70)</f>
        <v>0</v>
      </c>
      <c r="C69" s="263">
        <f>SUM(C70)</f>
        <v>0</v>
      </c>
      <c r="D69" s="263">
        <f>SUM(D70)</f>
        <v>0</v>
      </c>
    </row>
    <row r="70" spans="1:4" ht="12.75">
      <c r="A70" s="143" t="s">
        <v>115</v>
      </c>
      <c r="B70" s="258"/>
      <c r="C70" s="258"/>
      <c r="D70" s="258"/>
    </row>
    <row r="71" spans="1:4" ht="12.75">
      <c r="A71" s="148" t="s">
        <v>322</v>
      </c>
      <c r="B71" s="261">
        <f>SUM(B57+B64+B69)</f>
        <v>5570969</v>
      </c>
      <c r="C71" s="261">
        <f>SUM(C57+C64+C69)</f>
        <v>4652977</v>
      </c>
      <c r="D71" s="261">
        <f>SUM(D57+D64+D69)</f>
        <v>3673846</v>
      </c>
    </row>
    <row r="73" spans="1:4" ht="38.25">
      <c r="A73" s="152" t="s">
        <v>457</v>
      </c>
      <c r="B73" s="153">
        <v>2019</v>
      </c>
      <c r="C73" s="153">
        <v>2020</v>
      </c>
      <c r="D73" s="153">
        <v>2021</v>
      </c>
    </row>
    <row r="74" spans="1:4" ht="12.75">
      <c r="A74" s="146" t="s">
        <v>116</v>
      </c>
      <c r="B74" s="263">
        <f>SUM(B75:B80)</f>
        <v>6042003</v>
      </c>
      <c r="C74" s="263">
        <f>SUM(C75:C80)</f>
        <v>4665426</v>
      </c>
      <c r="D74" s="263">
        <f>SUM(D75:D80)</f>
        <v>3673846</v>
      </c>
    </row>
    <row r="75" spans="1:4" ht="12.75">
      <c r="A75" s="143" t="s">
        <v>105</v>
      </c>
      <c r="B75" s="258"/>
      <c r="C75" s="258"/>
      <c r="D75" s="258"/>
    </row>
    <row r="76" spans="1:4" ht="12.75">
      <c r="A76" s="143" t="s">
        <v>106</v>
      </c>
      <c r="B76" s="258"/>
      <c r="C76" s="258"/>
      <c r="D76" s="258"/>
    </row>
    <row r="77" spans="1:4" ht="12.75">
      <c r="A77" s="143" t="s">
        <v>107</v>
      </c>
      <c r="B77" s="258"/>
      <c r="C77" s="258"/>
      <c r="D77" s="258"/>
    </row>
    <row r="78" spans="1:4" ht="12.75">
      <c r="A78" s="143" t="s">
        <v>108</v>
      </c>
      <c r="B78" s="258">
        <v>6039764</v>
      </c>
      <c r="C78" s="258">
        <v>4380548</v>
      </c>
      <c r="D78" s="258">
        <v>3388968</v>
      </c>
    </row>
    <row r="79" spans="1:4" ht="12.75">
      <c r="A79" s="143" t="s">
        <v>136</v>
      </c>
      <c r="B79" s="258"/>
      <c r="C79" s="258"/>
      <c r="D79" s="258"/>
    </row>
    <row r="80" spans="1:4" ht="12.75">
      <c r="A80" s="143" t="s">
        <v>137</v>
      </c>
      <c r="B80" s="258">
        <v>2239</v>
      </c>
      <c r="C80" s="258">
        <v>284878</v>
      </c>
      <c r="D80" s="258">
        <v>284878</v>
      </c>
    </row>
    <row r="81" spans="1:4" ht="12.75">
      <c r="A81" s="146" t="s">
        <v>104</v>
      </c>
      <c r="B81" s="263">
        <f>SUM(B82:B85)</f>
        <v>1489435</v>
      </c>
      <c r="C81" s="263">
        <f>SUM(C82:C85)</f>
        <v>290434</v>
      </c>
      <c r="D81" s="263">
        <f>SUM(D82:D85)</f>
        <v>0</v>
      </c>
    </row>
    <row r="82" spans="1:4" ht="12.75">
      <c r="A82" s="143" t="s">
        <v>135</v>
      </c>
      <c r="B82" s="258"/>
      <c r="C82" s="258"/>
      <c r="D82" s="258"/>
    </row>
    <row r="83" spans="1:4" ht="12.75">
      <c r="A83" s="143" t="s">
        <v>138</v>
      </c>
      <c r="B83" s="258"/>
      <c r="C83" s="258"/>
      <c r="D83" s="258"/>
    </row>
    <row r="84" spans="1:4" ht="12.75">
      <c r="A84" s="143" t="s">
        <v>113</v>
      </c>
      <c r="B84" s="258">
        <v>1489435</v>
      </c>
      <c r="C84" s="258">
        <v>290434</v>
      </c>
      <c r="D84" s="258"/>
    </row>
    <row r="85" spans="1:4" ht="12.75">
      <c r="A85" s="143" t="s">
        <v>114</v>
      </c>
      <c r="B85" s="258"/>
      <c r="C85" s="258"/>
      <c r="D85" s="258"/>
    </row>
    <row r="86" spans="1:4" ht="12.75">
      <c r="A86" s="146" t="s">
        <v>92</v>
      </c>
      <c r="B86" s="263">
        <f>SUM(B87)</f>
        <v>0</v>
      </c>
      <c r="C86" s="263">
        <f>SUM(C87)</f>
        <v>0</v>
      </c>
      <c r="D86" s="263">
        <f>SUM(D87)</f>
        <v>0</v>
      </c>
    </row>
    <row r="87" spans="1:4" ht="12.75">
      <c r="A87" s="143" t="s">
        <v>115</v>
      </c>
      <c r="B87" s="258"/>
      <c r="C87" s="258"/>
      <c r="D87" s="258"/>
    </row>
    <row r="88" spans="1:4" ht="12.75">
      <c r="A88" s="148" t="s">
        <v>323</v>
      </c>
      <c r="B88" s="261">
        <f>SUM(B74+B81+B86)</f>
        <v>7531438</v>
      </c>
      <c r="C88" s="261">
        <f>SUM(C74+C81+C86)</f>
        <v>4955860</v>
      </c>
      <c r="D88" s="261">
        <f>SUM(D74+D81+D86)</f>
        <v>3673846</v>
      </c>
    </row>
    <row r="90" spans="1:4" ht="38.25">
      <c r="A90" s="152" t="s">
        <v>460</v>
      </c>
      <c r="B90" s="153">
        <v>2019</v>
      </c>
      <c r="C90" s="153">
        <v>2020</v>
      </c>
      <c r="D90" s="153">
        <v>2021</v>
      </c>
    </row>
    <row r="91" spans="1:4" ht="12.75">
      <c r="A91" s="146" t="s">
        <v>116</v>
      </c>
      <c r="B91" s="263">
        <f>SUM(B92:B97)</f>
        <v>4344439</v>
      </c>
      <c r="C91" s="263">
        <f>SUM(C92:C97)</f>
        <v>4585278</v>
      </c>
      <c r="D91" s="263">
        <f>SUM(D92:D97)</f>
        <v>3673846</v>
      </c>
    </row>
    <row r="92" spans="1:4" ht="12.75">
      <c r="A92" s="143" t="s">
        <v>105</v>
      </c>
      <c r="B92" s="258"/>
      <c r="C92" s="258"/>
      <c r="D92" s="258"/>
    </row>
    <row r="93" spans="1:4" ht="12.75">
      <c r="A93" s="143" t="s">
        <v>106</v>
      </c>
      <c r="B93" s="258"/>
      <c r="C93" s="258"/>
      <c r="D93" s="258"/>
    </row>
    <row r="94" spans="1:4" ht="12.75">
      <c r="A94" s="143" t="s">
        <v>107</v>
      </c>
      <c r="B94" s="258"/>
      <c r="C94" s="258"/>
      <c r="D94" s="258"/>
    </row>
    <row r="95" spans="1:4" ht="12.75">
      <c r="A95" s="143" t="s">
        <v>108</v>
      </c>
      <c r="B95" s="258">
        <v>4342751</v>
      </c>
      <c r="C95" s="258">
        <v>4380400</v>
      </c>
      <c r="D95" s="258">
        <v>3388968</v>
      </c>
    </row>
    <row r="96" spans="1:4" ht="12.75">
      <c r="A96" s="143" t="s">
        <v>136</v>
      </c>
      <c r="B96" s="258"/>
      <c r="C96" s="258"/>
      <c r="D96" s="258"/>
    </row>
    <row r="97" spans="1:4" ht="12.75">
      <c r="A97" s="143" t="s">
        <v>137</v>
      </c>
      <c r="B97" s="258">
        <v>1688</v>
      </c>
      <c r="C97" s="258">
        <v>204878</v>
      </c>
      <c r="D97" s="258">
        <v>284878</v>
      </c>
    </row>
    <row r="98" spans="1:4" ht="12.75">
      <c r="A98" s="146" t="s">
        <v>104</v>
      </c>
      <c r="B98" s="263">
        <f>SUM(B99:B102)</f>
        <v>433647</v>
      </c>
      <c r="C98" s="263">
        <f>SUM(C99:C102)</f>
        <v>240434</v>
      </c>
      <c r="D98" s="263">
        <f>SUM(D99:D102)</f>
        <v>0</v>
      </c>
    </row>
    <row r="99" spans="1:4" ht="12.75">
      <c r="A99" s="143" t="s">
        <v>135</v>
      </c>
      <c r="B99" s="258"/>
      <c r="C99" s="258"/>
      <c r="D99" s="258"/>
    </row>
    <row r="100" spans="1:4" ht="12.75">
      <c r="A100" s="143" t="s">
        <v>138</v>
      </c>
      <c r="B100" s="258"/>
      <c r="C100" s="258"/>
      <c r="D100" s="258"/>
    </row>
    <row r="101" spans="1:4" ht="12.75">
      <c r="A101" s="143" t="s">
        <v>113</v>
      </c>
      <c r="B101" s="258">
        <v>433647</v>
      </c>
      <c r="C101" s="258">
        <v>240434</v>
      </c>
      <c r="D101" s="258"/>
    </row>
    <row r="102" spans="1:4" ht="12.75">
      <c r="A102" s="143" t="s">
        <v>114</v>
      </c>
      <c r="B102" s="258"/>
      <c r="C102" s="258"/>
      <c r="D102" s="258"/>
    </row>
    <row r="103" spans="1:4" ht="12.75">
      <c r="A103" s="146" t="s">
        <v>92</v>
      </c>
      <c r="B103" s="263">
        <f>SUM(B104)</f>
        <v>0</v>
      </c>
      <c r="C103" s="263">
        <f>SUM(C104)</f>
        <v>0</v>
      </c>
      <c r="D103" s="263">
        <f>SUM(D104)</f>
        <v>0</v>
      </c>
    </row>
    <row r="104" spans="1:4" ht="12.75">
      <c r="A104" s="143" t="s">
        <v>115</v>
      </c>
      <c r="B104" s="258"/>
      <c r="C104" s="258"/>
      <c r="D104" s="258"/>
    </row>
    <row r="105" spans="1:4" ht="12.75">
      <c r="A105" s="254" t="s">
        <v>324</v>
      </c>
      <c r="B105" s="261">
        <f>SUM(B91+B98+B103)</f>
        <v>4778086</v>
      </c>
      <c r="C105" s="261">
        <f>SUM(C91+C98+C103)</f>
        <v>4825712</v>
      </c>
      <c r="D105" s="261">
        <f>SUM(D91+D98+D103)</f>
        <v>3673846</v>
      </c>
    </row>
    <row r="106" spans="1:4" ht="38.25">
      <c r="A106" s="152" t="s">
        <v>461</v>
      </c>
      <c r="B106" s="153">
        <v>2019</v>
      </c>
      <c r="C106" s="153">
        <v>2020</v>
      </c>
      <c r="D106" s="153">
        <v>2021</v>
      </c>
    </row>
    <row r="107" spans="1:4" ht="12.75">
      <c r="A107" s="146" t="s">
        <v>116</v>
      </c>
      <c r="B107" s="263">
        <f>SUM(B108:B113)</f>
        <v>0</v>
      </c>
      <c r="C107" s="263">
        <f>SUM(C108:C113)</f>
        <v>0</v>
      </c>
      <c r="D107" s="263">
        <f>SUM(D108:D113)</f>
        <v>0</v>
      </c>
    </row>
    <row r="108" spans="1:4" ht="12.75">
      <c r="A108" s="143" t="s">
        <v>105</v>
      </c>
      <c r="B108" s="258"/>
      <c r="C108" s="258"/>
      <c r="D108" s="258"/>
    </row>
    <row r="109" spans="1:4" ht="12.75">
      <c r="A109" s="143" t="s">
        <v>106</v>
      </c>
      <c r="B109" s="258"/>
      <c r="C109" s="258">
        <v>0</v>
      </c>
      <c r="D109" s="258"/>
    </row>
    <row r="110" spans="1:4" ht="12.75">
      <c r="A110" s="143" t="s">
        <v>107</v>
      </c>
      <c r="B110" s="258"/>
      <c r="C110" s="258"/>
      <c r="D110" s="258"/>
    </row>
    <row r="111" spans="1:4" ht="12.75">
      <c r="A111" s="143" t="s">
        <v>108</v>
      </c>
      <c r="B111" s="258"/>
      <c r="C111" s="258">
        <v>0</v>
      </c>
      <c r="D111" s="258"/>
    </row>
    <row r="112" spans="1:4" ht="12.75">
      <c r="A112" s="143" t="s">
        <v>136</v>
      </c>
      <c r="B112" s="258"/>
      <c r="C112" s="258"/>
      <c r="D112" s="258"/>
    </row>
    <row r="113" spans="1:4" ht="12.75">
      <c r="A113" s="143" t="s">
        <v>137</v>
      </c>
      <c r="B113" s="258"/>
      <c r="C113" s="258"/>
      <c r="D113" s="258"/>
    </row>
    <row r="114" spans="1:4" ht="12.75">
      <c r="A114" s="146" t="s">
        <v>104</v>
      </c>
      <c r="B114" s="263">
        <f>SUM(B115:B118)</f>
        <v>72322369</v>
      </c>
      <c r="C114" s="263">
        <f>SUM(C115:C118)</f>
        <v>0</v>
      </c>
      <c r="D114" s="263">
        <f>SUM(D115:D118)</f>
        <v>146316320</v>
      </c>
    </row>
    <row r="115" spans="1:4" ht="12.75">
      <c r="A115" s="143" t="s">
        <v>135</v>
      </c>
      <c r="B115" s="258"/>
      <c r="C115" s="258"/>
      <c r="D115" s="258"/>
    </row>
    <row r="116" spans="1:4" ht="12.75">
      <c r="A116" s="143" t="s">
        <v>138</v>
      </c>
      <c r="B116" s="258"/>
      <c r="C116" s="258"/>
      <c r="D116" s="258"/>
    </row>
    <row r="117" spans="1:4" ht="12.75">
      <c r="A117" s="143" t="s">
        <v>113</v>
      </c>
      <c r="B117" s="258">
        <v>72322369</v>
      </c>
      <c r="C117" s="258">
        <v>0</v>
      </c>
      <c r="D117" s="258">
        <v>146316320</v>
      </c>
    </row>
    <row r="118" spans="1:4" ht="12.75">
      <c r="A118" s="143" t="s">
        <v>114</v>
      </c>
      <c r="B118" s="258"/>
      <c r="C118" s="258"/>
      <c r="D118" s="258"/>
    </row>
    <row r="119" spans="1:4" ht="12.75">
      <c r="A119" s="146" t="s">
        <v>92</v>
      </c>
      <c r="B119" s="263">
        <f>SUM(B120)</f>
        <v>0</v>
      </c>
      <c r="C119" s="263">
        <f>SUM(C120)</f>
        <v>0</v>
      </c>
      <c r="D119" s="263">
        <f>SUM(D120)</f>
        <v>0</v>
      </c>
    </row>
    <row r="120" spans="1:4" ht="12.75">
      <c r="A120" s="143" t="s">
        <v>115</v>
      </c>
      <c r="B120" s="258"/>
      <c r="C120" s="258"/>
      <c r="D120" s="258"/>
    </row>
    <row r="121" spans="1:4" ht="12.75">
      <c r="A121" s="148" t="s">
        <v>322</v>
      </c>
      <c r="B121" s="261">
        <f>SUM(B107+B114+B119)</f>
        <v>72322369</v>
      </c>
      <c r="C121" s="261">
        <f>SUM(C107+C114+C119)</f>
        <v>0</v>
      </c>
      <c r="D121" s="261">
        <f>SUM(D107+D114+D119)</f>
        <v>146316320</v>
      </c>
    </row>
    <row r="123" spans="1:4" ht="38.25">
      <c r="A123" s="152" t="s">
        <v>462</v>
      </c>
      <c r="B123" s="153">
        <v>2019</v>
      </c>
      <c r="C123" s="153">
        <v>2020</v>
      </c>
      <c r="D123" s="153">
        <v>2021</v>
      </c>
    </row>
    <row r="124" spans="1:4" ht="12.75">
      <c r="A124" s="146" t="s">
        <v>116</v>
      </c>
      <c r="B124" s="263">
        <f>SUM(B125:B130)</f>
        <v>0</v>
      </c>
      <c r="C124" s="263">
        <f>SUM(C125:C130)</f>
        <v>724727</v>
      </c>
      <c r="D124" s="263">
        <f>SUM(D125:D130)</f>
        <v>0</v>
      </c>
    </row>
    <row r="125" spans="1:4" ht="12.75">
      <c r="A125" s="143" t="s">
        <v>105</v>
      </c>
      <c r="B125" s="258"/>
      <c r="C125" s="258"/>
      <c r="D125" s="258"/>
    </row>
    <row r="126" spans="1:4" ht="12.75">
      <c r="A126" s="143" t="s">
        <v>106</v>
      </c>
      <c r="B126" s="258"/>
      <c r="C126" s="258">
        <v>389799</v>
      </c>
      <c r="D126" s="258"/>
    </row>
    <row r="127" spans="1:4" ht="12.75">
      <c r="A127" s="143" t="s">
        <v>107</v>
      </c>
      <c r="B127" s="258"/>
      <c r="C127" s="258"/>
      <c r="D127" s="258"/>
    </row>
    <row r="128" spans="1:4" ht="12.75">
      <c r="A128" s="143" t="s">
        <v>108</v>
      </c>
      <c r="B128" s="258"/>
      <c r="C128" s="258">
        <v>334928</v>
      </c>
      <c r="D128" s="258"/>
    </row>
    <row r="129" spans="1:4" ht="12.75">
      <c r="A129" s="143" t="s">
        <v>136</v>
      </c>
      <c r="B129" s="258"/>
      <c r="C129" s="258"/>
      <c r="D129" s="258"/>
    </row>
    <row r="130" spans="1:4" ht="12.75">
      <c r="A130" s="143" t="s">
        <v>137</v>
      </c>
      <c r="B130" s="258"/>
      <c r="C130" s="258"/>
      <c r="D130" s="258"/>
    </row>
    <row r="131" spans="1:4" ht="12.75">
      <c r="A131" s="146" t="s">
        <v>104</v>
      </c>
      <c r="B131" s="263">
        <f>SUM(B132:B135)</f>
        <v>239220739</v>
      </c>
      <c r="C131" s="263">
        <f>SUM(C132:C135)</f>
        <v>30014709</v>
      </c>
      <c r="D131" s="263">
        <f>SUM(D132:D135)</f>
        <v>146316320</v>
      </c>
    </row>
    <row r="132" spans="1:4" ht="12.75">
      <c r="A132" s="143" t="s">
        <v>135</v>
      </c>
      <c r="B132" s="258"/>
      <c r="C132" s="258"/>
      <c r="D132" s="258"/>
    </row>
    <row r="133" spans="1:4" ht="12.75">
      <c r="A133" s="143" t="s">
        <v>138</v>
      </c>
      <c r="B133" s="258"/>
      <c r="C133" s="258"/>
      <c r="D133" s="258"/>
    </row>
    <row r="134" spans="1:4" ht="12.75">
      <c r="A134" s="143" t="s">
        <v>113</v>
      </c>
      <c r="B134" s="258">
        <v>239220739</v>
      </c>
      <c r="C134" s="258">
        <v>30014709</v>
      </c>
      <c r="D134" s="258">
        <v>146316320</v>
      </c>
    </row>
    <row r="135" spans="1:4" ht="12.75">
      <c r="A135" s="143" t="s">
        <v>114</v>
      </c>
      <c r="B135" s="258"/>
      <c r="C135" s="258"/>
      <c r="D135" s="258"/>
    </row>
    <row r="136" spans="1:4" ht="12.75">
      <c r="A136" s="146" t="s">
        <v>92</v>
      </c>
      <c r="B136" s="263">
        <f>SUM(B137)</f>
        <v>0</v>
      </c>
      <c r="C136" s="263">
        <f>SUM(C137)</f>
        <v>0</v>
      </c>
      <c r="D136" s="263">
        <f>SUM(D137)</f>
        <v>0</v>
      </c>
    </row>
    <row r="137" spans="1:4" ht="12.75">
      <c r="A137" s="143" t="s">
        <v>115</v>
      </c>
      <c r="B137" s="258"/>
      <c r="C137" s="258"/>
      <c r="D137" s="258"/>
    </row>
    <row r="138" spans="1:4" ht="12.75">
      <c r="A138" s="148" t="s">
        <v>323</v>
      </c>
      <c r="B138" s="261">
        <f>SUM(B124+B131+B136)</f>
        <v>239220739</v>
      </c>
      <c r="C138" s="261">
        <f>SUM(C124+C131+C136)</f>
        <v>30739436</v>
      </c>
      <c r="D138" s="261">
        <f>SUM(D124+D131+D136)</f>
        <v>146316320</v>
      </c>
    </row>
    <row r="140" spans="1:4" ht="38.25">
      <c r="A140" s="152" t="s">
        <v>463</v>
      </c>
      <c r="B140" s="153">
        <v>2019</v>
      </c>
      <c r="C140" s="153">
        <v>2020</v>
      </c>
      <c r="D140" s="153">
        <v>2021</v>
      </c>
    </row>
    <row r="141" spans="1:4" ht="12.75">
      <c r="A141" s="146" t="s">
        <v>116</v>
      </c>
      <c r="B141" s="263">
        <f>SUM(B142:B147)</f>
        <v>0</v>
      </c>
      <c r="C141" s="263">
        <f>SUM(C142:C147)</f>
        <v>724727</v>
      </c>
      <c r="D141" s="263">
        <f>SUM(D142:D147)</f>
        <v>0</v>
      </c>
    </row>
    <row r="142" spans="1:4" ht="12.75">
      <c r="A142" s="143" t="s">
        <v>105</v>
      </c>
      <c r="B142" s="258"/>
      <c r="C142" s="258"/>
      <c r="D142" s="258"/>
    </row>
    <row r="143" spans="1:4" ht="12.75">
      <c r="A143" s="143" t="s">
        <v>106</v>
      </c>
      <c r="B143" s="258"/>
      <c r="C143" s="258">
        <v>389799</v>
      </c>
      <c r="D143" s="258"/>
    </row>
    <row r="144" spans="1:4" ht="12.75">
      <c r="A144" s="143" t="s">
        <v>107</v>
      </c>
      <c r="B144" s="258"/>
      <c r="C144" s="258"/>
      <c r="D144" s="258"/>
    </row>
    <row r="145" spans="1:4" ht="12.75">
      <c r="A145" s="143" t="s">
        <v>108</v>
      </c>
      <c r="B145" s="258"/>
      <c r="C145" s="258">
        <v>334928</v>
      </c>
      <c r="D145" s="258"/>
    </row>
    <row r="146" spans="1:4" ht="12.75">
      <c r="A146" s="143" t="s">
        <v>136</v>
      </c>
      <c r="B146" s="258"/>
      <c r="C146" s="258"/>
      <c r="D146" s="258"/>
    </row>
    <row r="147" spans="1:4" ht="12.75">
      <c r="A147" s="143" t="s">
        <v>137</v>
      </c>
      <c r="B147" s="258"/>
      <c r="C147" s="258"/>
      <c r="D147" s="258"/>
    </row>
    <row r="148" spans="1:4" ht="12.75">
      <c r="A148" s="146" t="s">
        <v>104</v>
      </c>
      <c r="B148" s="263">
        <f>SUM(B149:B152)</f>
        <v>150672932</v>
      </c>
      <c r="C148" s="263">
        <f>SUM(C149:C152)</f>
        <v>30014709</v>
      </c>
      <c r="D148" s="263">
        <f>SUM(D149:D152)</f>
        <v>146316320</v>
      </c>
    </row>
    <row r="149" spans="1:4" ht="12.75">
      <c r="A149" s="143" t="s">
        <v>135</v>
      </c>
      <c r="B149" s="258"/>
      <c r="C149" s="258"/>
      <c r="D149" s="258"/>
    </row>
    <row r="150" spans="1:4" ht="12.75">
      <c r="A150" s="143" t="s">
        <v>138</v>
      </c>
      <c r="B150" s="258"/>
      <c r="C150" s="258"/>
      <c r="D150" s="258"/>
    </row>
    <row r="151" spans="1:4" ht="12.75">
      <c r="A151" s="143" t="s">
        <v>113</v>
      </c>
      <c r="B151" s="258">
        <v>150672932</v>
      </c>
      <c r="C151" s="258">
        <v>30014709</v>
      </c>
      <c r="D151" s="258">
        <v>146316320</v>
      </c>
    </row>
    <row r="152" spans="1:4" ht="12.75">
      <c r="A152" s="143" t="s">
        <v>114</v>
      </c>
      <c r="B152" s="258"/>
      <c r="C152" s="258"/>
      <c r="D152" s="258"/>
    </row>
    <row r="153" spans="1:4" ht="12.75">
      <c r="A153" s="146" t="s">
        <v>92</v>
      </c>
      <c r="B153" s="263">
        <f>SUM(B154)</f>
        <v>0</v>
      </c>
      <c r="C153" s="263">
        <f>SUM(C154)</f>
        <v>0</v>
      </c>
      <c r="D153" s="263">
        <f>SUM(D154)</f>
        <v>0</v>
      </c>
    </row>
    <row r="154" spans="1:4" ht="12.75">
      <c r="A154" s="143" t="s">
        <v>115</v>
      </c>
      <c r="B154" s="258"/>
      <c r="C154" s="258"/>
      <c r="D154" s="258"/>
    </row>
    <row r="155" spans="1:4" ht="12.75">
      <c r="A155" s="254" t="s">
        <v>324</v>
      </c>
      <c r="B155" s="261">
        <f>SUM(B141+B148+B153)</f>
        <v>150672932</v>
      </c>
      <c r="C155" s="261">
        <f>SUM(C141+C148+C153)</f>
        <v>30739436</v>
      </c>
      <c r="D155" s="261">
        <f>SUM(D141+D148+D153)</f>
        <v>146316320</v>
      </c>
    </row>
    <row r="159" spans="1:4" ht="38.25">
      <c r="A159" s="152" t="s">
        <v>464</v>
      </c>
      <c r="B159" s="153">
        <v>2019</v>
      </c>
      <c r="C159" s="153">
        <v>2020</v>
      </c>
      <c r="D159" s="153">
        <v>2021</v>
      </c>
    </row>
    <row r="160" spans="1:4" ht="12.75">
      <c r="A160" s="146" t="s">
        <v>116</v>
      </c>
      <c r="B160" s="263">
        <f>SUM(B161:B166)</f>
        <v>0</v>
      </c>
      <c r="C160" s="263">
        <f>SUM(C161:C166)</f>
        <v>472052</v>
      </c>
      <c r="D160" s="263">
        <f>SUM(D161:D166)</f>
        <v>472052</v>
      </c>
    </row>
    <row r="161" spans="1:4" ht="12.75">
      <c r="A161" s="143" t="s">
        <v>105</v>
      </c>
      <c r="B161" s="258"/>
      <c r="C161" s="258"/>
      <c r="D161" s="258"/>
    </row>
    <row r="162" spans="1:4" ht="12.75">
      <c r="A162" s="143" t="s">
        <v>106</v>
      </c>
      <c r="B162" s="258"/>
      <c r="C162" s="258"/>
      <c r="D162" s="258"/>
    </row>
    <row r="163" spans="1:4" ht="12.75">
      <c r="A163" s="143" t="s">
        <v>107</v>
      </c>
      <c r="B163" s="258"/>
      <c r="C163" s="258"/>
      <c r="D163" s="258"/>
    </row>
    <row r="164" spans="1:4" ht="12.75">
      <c r="A164" s="143" t="s">
        <v>108</v>
      </c>
      <c r="B164" s="258">
        <v>0</v>
      </c>
      <c r="C164" s="258">
        <v>472052</v>
      </c>
      <c r="D164" s="258">
        <v>472052</v>
      </c>
    </row>
    <row r="165" spans="1:4" ht="12.75">
      <c r="A165" s="143" t="s">
        <v>136</v>
      </c>
      <c r="B165" s="258"/>
      <c r="C165" s="258"/>
      <c r="D165" s="258"/>
    </row>
    <row r="166" spans="1:4" ht="12.75">
      <c r="A166" s="143" t="s">
        <v>137</v>
      </c>
      <c r="B166" s="258"/>
      <c r="C166" s="258"/>
      <c r="D166" s="258"/>
    </row>
    <row r="167" spans="1:4" ht="12.75">
      <c r="A167" s="146" t="s">
        <v>104</v>
      </c>
      <c r="B167" s="263">
        <f>SUM(B168:B171)</f>
        <v>0</v>
      </c>
      <c r="C167" s="263">
        <f>SUM(C168:C171)</f>
        <v>0</v>
      </c>
      <c r="D167" s="263">
        <f>SUM(D168:D171)</f>
        <v>0</v>
      </c>
    </row>
    <row r="168" spans="1:4" ht="12.75">
      <c r="A168" s="143" t="s">
        <v>135</v>
      </c>
      <c r="B168" s="258"/>
      <c r="C168" s="258"/>
      <c r="D168" s="258"/>
    </row>
    <row r="169" spans="1:4" ht="12.75">
      <c r="A169" s="143" t="s">
        <v>138</v>
      </c>
      <c r="B169" s="258"/>
      <c r="C169" s="258"/>
      <c r="D169" s="258"/>
    </row>
    <row r="170" spans="1:4" ht="12.75">
      <c r="A170" s="143" t="s">
        <v>113</v>
      </c>
      <c r="B170" s="258"/>
      <c r="C170" s="258"/>
      <c r="D170" s="258"/>
    </row>
    <row r="171" spans="1:4" ht="12.75">
      <c r="A171" s="143" t="s">
        <v>114</v>
      </c>
      <c r="B171" s="258"/>
      <c r="C171" s="258"/>
      <c r="D171" s="258"/>
    </row>
    <row r="172" spans="1:4" ht="12.75">
      <c r="A172" s="146" t="s">
        <v>92</v>
      </c>
      <c r="B172" s="263">
        <f>SUM(B173)</f>
        <v>0</v>
      </c>
      <c r="C172" s="263">
        <f>SUM(C173)</f>
        <v>0</v>
      </c>
      <c r="D172" s="263">
        <f>SUM(D173)</f>
        <v>0</v>
      </c>
    </row>
    <row r="173" spans="1:4" ht="12.75">
      <c r="A173" s="143" t="s">
        <v>115</v>
      </c>
      <c r="B173" s="258"/>
      <c r="C173" s="258"/>
      <c r="D173" s="258"/>
    </row>
    <row r="174" spans="1:4" ht="12.75">
      <c r="A174" s="148" t="s">
        <v>322</v>
      </c>
      <c r="B174" s="261">
        <f>SUM(B160+B167+B172)</f>
        <v>0</v>
      </c>
      <c r="C174" s="261">
        <f>SUM(C160+C167+C172)</f>
        <v>472052</v>
      </c>
      <c r="D174" s="261">
        <f>SUM(D160+D167+D172)</f>
        <v>472052</v>
      </c>
    </row>
    <row r="176" spans="1:4" ht="38.25">
      <c r="A176" s="152" t="s">
        <v>465</v>
      </c>
      <c r="B176" s="153">
        <v>2019</v>
      </c>
      <c r="C176" s="153">
        <v>2020</v>
      </c>
      <c r="D176" s="153">
        <v>2021</v>
      </c>
    </row>
    <row r="177" spans="1:4" ht="12.75">
      <c r="A177" s="146" t="s">
        <v>116</v>
      </c>
      <c r="B177" s="263">
        <f>SUM(B178:B183)</f>
        <v>13173163</v>
      </c>
      <c r="C177" s="263">
        <f>SUM(C178:C183)</f>
        <v>10195782</v>
      </c>
      <c r="D177" s="263">
        <f>SUM(D178:D183)</f>
        <v>472052</v>
      </c>
    </row>
    <row r="178" spans="1:4" ht="12.75">
      <c r="A178" s="143" t="s">
        <v>105</v>
      </c>
      <c r="B178" s="258"/>
      <c r="C178" s="258"/>
      <c r="D178" s="258"/>
    </row>
    <row r="179" spans="1:4" ht="12.75">
      <c r="A179" s="143" t="s">
        <v>106</v>
      </c>
      <c r="B179" s="258"/>
      <c r="C179" s="258">
        <v>49968</v>
      </c>
      <c r="D179" s="258"/>
    </row>
    <row r="180" spans="1:4" ht="12.75">
      <c r="A180" s="143" t="s">
        <v>107</v>
      </c>
      <c r="B180" s="258"/>
      <c r="C180" s="258"/>
      <c r="D180" s="258"/>
    </row>
    <row r="181" spans="1:4" ht="12.75">
      <c r="A181" s="143" t="s">
        <v>108</v>
      </c>
      <c r="B181" s="258">
        <v>13173163</v>
      </c>
      <c r="C181" s="258">
        <v>10145814</v>
      </c>
      <c r="D181" s="258">
        <v>472052</v>
      </c>
    </row>
    <row r="182" spans="1:4" ht="12.75">
      <c r="A182" s="143" t="s">
        <v>136</v>
      </c>
      <c r="B182" s="258"/>
      <c r="C182" s="258"/>
      <c r="D182" s="258"/>
    </row>
    <row r="183" spans="1:4" ht="12.75">
      <c r="A183" s="143" t="s">
        <v>137</v>
      </c>
      <c r="B183" s="258"/>
      <c r="C183" s="258"/>
      <c r="D183" s="258"/>
    </row>
    <row r="184" spans="1:4" ht="12.75">
      <c r="A184" s="146" t="s">
        <v>104</v>
      </c>
      <c r="B184" s="263">
        <f>SUM(B185:B188)</f>
        <v>2271553</v>
      </c>
      <c r="C184" s="263">
        <f>SUM(C185:C188)</f>
        <v>612399</v>
      </c>
      <c r="D184" s="263">
        <f>SUM(D185:D188)</f>
        <v>0</v>
      </c>
    </row>
    <row r="185" spans="1:4" ht="12.75">
      <c r="A185" s="143" t="s">
        <v>135</v>
      </c>
      <c r="B185" s="258"/>
      <c r="C185" s="258"/>
      <c r="D185" s="258"/>
    </row>
    <row r="186" spans="1:4" ht="12.75">
      <c r="A186" s="143" t="s">
        <v>138</v>
      </c>
      <c r="B186" s="258"/>
      <c r="C186" s="258"/>
      <c r="D186" s="258"/>
    </row>
    <row r="187" spans="1:4" ht="12.75">
      <c r="A187" s="143" t="s">
        <v>113</v>
      </c>
      <c r="B187" s="258">
        <v>2271553</v>
      </c>
      <c r="C187" s="258">
        <v>612399</v>
      </c>
      <c r="D187" s="258"/>
    </row>
    <row r="188" spans="1:4" ht="12.75">
      <c r="A188" s="143" t="s">
        <v>114</v>
      </c>
      <c r="B188" s="258"/>
      <c r="C188" s="258"/>
      <c r="D188" s="258"/>
    </row>
    <row r="189" spans="1:4" ht="12.75">
      <c r="A189" s="146" t="s">
        <v>92</v>
      </c>
      <c r="B189" s="263">
        <f>SUM(B190)</f>
        <v>0</v>
      </c>
      <c r="C189" s="263">
        <f>SUM(C190)</f>
        <v>0</v>
      </c>
      <c r="D189" s="263">
        <f>SUM(D190)</f>
        <v>0</v>
      </c>
    </row>
    <row r="190" spans="1:4" ht="12.75">
      <c r="A190" s="143" t="s">
        <v>115</v>
      </c>
      <c r="B190" s="258"/>
      <c r="C190" s="258"/>
      <c r="D190" s="258"/>
    </row>
    <row r="191" spans="1:4" ht="12.75">
      <c r="A191" s="148" t="s">
        <v>323</v>
      </c>
      <c r="B191" s="261">
        <f>SUM(B177+B184+B189)</f>
        <v>15444716</v>
      </c>
      <c r="C191" s="261">
        <f>SUM(C177+C184+C189)</f>
        <v>10808181</v>
      </c>
      <c r="D191" s="261">
        <f>SUM(D177+D184+D189)</f>
        <v>472052</v>
      </c>
    </row>
    <row r="193" spans="1:4" ht="38.25">
      <c r="A193" s="152" t="s">
        <v>466</v>
      </c>
      <c r="B193" s="153">
        <v>2019</v>
      </c>
      <c r="C193" s="153">
        <v>2020</v>
      </c>
      <c r="D193" s="153">
        <v>2021</v>
      </c>
    </row>
    <row r="194" spans="1:4" ht="12.75">
      <c r="A194" s="146" t="s">
        <v>116</v>
      </c>
      <c r="B194" s="263">
        <f>SUM(B195:B200)</f>
        <v>9378627</v>
      </c>
      <c r="C194" s="263">
        <f>SUM(C195:C200)</f>
        <v>10195782</v>
      </c>
      <c r="D194" s="263">
        <f>SUM(D195:D200)</f>
        <v>472052</v>
      </c>
    </row>
    <row r="195" spans="1:4" ht="12.75">
      <c r="A195" s="143" t="s">
        <v>105</v>
      </c>
      <c r="B195" s="258"/>
      <c r="C195" s="258"/>
      <c r="D195" s="258"/>
    </row>
    <row r="196" spans="1:4" ht="12.75">
      <c r="A196" s="143" t="s">
        <v>106</v>
      </c>
      <c r="B196" s="258"/>
      <c r="C196" s="258">
        <v>49968</v>
      </c>
      <c r="D196" s="258"/>
    </row>
    <row r="197" spans="1:4" ht="12.75">
      <c r="A197" s="143" t="s">
        <v>107</v>
      </c>
      <c r="B197" s="258"/>
      <c r="C197" s="258"/>
      <c r="D197" s="258"/>
    </row>
    <row r="198" spans="1:4" ht="12.75">
      <c r="A198" s="143" t="s">
        <v>108</v>
      </c>
      <c r="B198" s="258">
        <v>9378627</v>
      </c>
      <c r="C198" s="258">
        <v>10145814</v>
      </c>
      <c r="D198" s="258">
        <v>472052</v>
      </c>
    </row>
    <row r="199" spans="1:4" ht="12.75">
      <c r="A199" s="143" t="s">
        <v>136</v>
      </c>
      <c r="B199" s="258"/>
      <c r="C199" s="258"/>
      <c r="D199" s="258"/>
    </row>
    <row r="200" spans="1:4" ht="12.75">
      <c r="A200" s="143" t="s">
        <v>137</v>
      </c>
      <c r="B200" s="258"/>
      <c r="C200" s="258"/>
      <c r="D200" s="258"/>
    </row>
    <row r="201" spans="1:4" ht="12.75">
      <c r="A201" s="146" t="s">
        <v>104</v>
      </c>
      <c r="B201" s="263">
        <f>SUM(B202:B205)</f>
        <v>1545611</v>
      </c>
      <c r="C201" s="263">
        <f>SUM(C202:C205)</f>
        <v>612399</v>
      </c>
      <c r="D201" s="263">
        <f>SUM(D202:D205)</f>
        <v>0</v>
      </c>
    </row>
    <row r="202" spans="1:4" ht="12.75">
      <c r="A202" s="143" t="s">
        <v>135</v>
      </c>
      <c r="B202" s="258"/>
      <c r="C202" s="258"/>
      <c r="D202" s="258"/>
    </row>
    <row r="203" spans="1:4" ht="12.75">
      <c r="A203" s="143" t="s">
        <v>138</v>
      </c>
      <c r="B203" s="258"/>
      <c r="C203" s="258"/>
      <c r="D203" s="258"/>
    </row>
    <row r="204" spans="1:4" ht="12.75">
      <c r="A204" s="143" t="s">
        <v>113</v>
      </c>
      <c r="B204" s="258">
        <v>1545611</v>
      </c>
      <c r="C204" s="258">
        <v>612399</v>
      </c>
      <c r="D204" s="258"/>
    </row>
    <row r="205" spans="1:4" ht="12.75">
      <c r="A205" s="143" t="s">
        <v>114</v>
      </c>
      <c r="B205" s="258"/>
      <c r="C205" s="258"/>
      <c r="D205" s="258"/>
    </row>
    <row r="206" spans="1:4" ht="12.75">
      <c r="A206" s="146" t="s">
        <v>92</v>
      </c>
      <c r="B206" s="263">
        <f>SUM(B207)</f>
        <v>0</v>
      </c>
      <c r="C206" s="263">
        <f>SUM(C207)</f>
        <v>0</v>
      </c>
      <c r="D206" s="263">
        <f>SUM(D207)</f>
        <v>0</v>
      </c>
    </row>
    <row r="207" spans="1:4" ht="12.75">
      <c r="A207" s="143" t="s">
        <v>115</v>
      </c>
      <c r="B207" s="258"/>
      <c r="C207" s="258"/>
      <c r="D207" s="258"/>
    </row>
    <row r="208" spans="1:4" ht="12.75">
      <c r="A208" s="254" t="s">
        <v>324</v>
      </c>
      <c r="B208" s="261">
        <f>SUM(B194+B201+B206)</f>
        <v>10924238</v>
      </c>
      <c r="C208" s="261">
        <f>SUM(C194+C201+C206)</f>
        <v>10808181</v>
      </c>
      <c r="D208" s="261">
        <f>SUM(D194+D201+D206)</f>
        <v>472052</v>
      </c>
    </row>
    <row r="212" spans="1:4" ht="38.25">
      <c r="A212" s="152" t="s">
        <v>467</v>
      </c>
      <c r="B212" s="153">
        <v>2019</v>
      </c>
      <c r="C212" s="153">
        <v>2020</v>
      </c>
      <c r="D212" s="153">
        <v>2021</v>
      </c>
    </row>
    <row r="213" spans="1:4" ht="12.75">
      <c r="A213" s="146" t="s">
        <v>116</v>
      </c>
      <c r="B213" s="263">
        <f>SUM(B214:B219)</f>
        <v>1992952</v>
      </c>
      <c r="C213" s="263">
        <f>SUM(C214:C219)</f>
        <v>0</v>
      </c>
      <c r="D213" s="263">
        <f>SUM(D214:D219)</f>
        <v>2547538</v>
      </c>
    </row>
    <row r="214" spans="1:4" ht="12.75">
      <c r="A214" s="143" t="s">
        <v>105</v>
      </c>
      <c r="B214" s="258"/>
      <c r="C214" s="258"/>
      <c r="D214" s="258"/>
    </row>
    <row r="215" spans="1:4" ht="12.75">
      <c r="A215" s="143" t="s">
        <v>106</v>
      </c>
      <c r="B215" s="258"/>
      <c r="C215" s="258"/>
      <c r="D215" s="258"/>
    </row>
    <row r="216" spans="1:4" ht="12.75">
      <c r="A216" s="143" t="s">
        <v>107</v>
      </c>
      <c r="B216" s="258"/>
      <c r="C216" s="258"/>
      <c r="D216" s="258"/>
    </row>
    <row r="217" spans="1:4" ht="12.75">
      <c r="A217" s="143" t="s">
        <v>108</v>
      </c>
      <c r="B217" s="258">
        <v>1992952</v>
      </c>
      <c r="C217" s="258"/>
      <c r="D217" s="264">
        <v>2547538</v>
      </c>
    </row>
    <row r="218" spans="1:4" ht="12.75">
      <c r="A218" s="143" t="s">
        <v>136</v>
      </c>
      <c r="B218" s="258"/>
      <c r="C218" s="258"/>
      <c r="D218" s="258"/>
    </row>
    <row r="219" spans="1:4" ht="12.75">
      <c r="A219" s="143" t="s">
        <v>137</v>
      </c>
      <c r="B219" s="258"/>
      <c r="C219" s="258"/>
      <c r="D219" s="258"/>
    </row>
    <row r="220" spans="1:4" ht="12.75">
      <c r="A220" s="146" t="s">
        <v>104</v>
      </c>
      <c r="B220" s="263">
        <f>SUM(B221:B224)</f>
        <v>42521638</v>
      </c>
      <c r="C220" s="263">
        <f>SUM(C221:C224)</f>
        <v>0</v>
      </c>
      <c r="D220" s="263">
        <f>SUM(D221:D224)</f>
        <v>8248012</v>
      </c>
    </row>
    <row r="221" spans="1:4" ht="12.75">
      <c r="A221" s="143" t="s">
        <v>135</v>
      </c>
      <c r="B221" s="258"/>
      <c r="C221" s="258"/>
      <c r="D221" s="258"/>
    </row>
    <row r="222" spans="1:4" ht="12.75">
      <c r="A222" s="143" t="s">
        <v>138</v>
      </c>
      <c r="B222" s="258"/>
      <c r="C222" s="258"/>
      <c r="D222" s="258"/>
    </row>
    <row r="223" spans="1:4" ht="12.75">
      <c r="A223" s="143" t="s">
        <v>113</v>
      </c>
      <c r="B223" s="258">
        <v>42521638</v>
      </c>
      <c r="C223" s="258"/>
      <c r="D223" s="264">
        <v>8248012</v>
      </c>
    </row>
    <row r="224" spans="1:4" ht="12.75">
      <c r="A224" s="143" t="s">
        <v>114</v>
      </c>
      <c r="B224" s="258"/>
      <c r="C224" s="258"/>
      <c r="D224" s="258"/>
    </row>
    <row r="225" spans="1:4" ht="12.75">
      <c r="A225" s="146" t="s">
        <v>92</v>
      </c>
      <c r="B225" s="263">
        <f>SUM(B226)</f>
        <v>610495</v>
      </c>
      <c r="C225" s="263">
        <f>SUM(C226)</f>
        <v>0</v>
      </c>
      <c r="D225" s="263">
        <f>SUM(D226)</f>
        <v>4062088</v>
      </c>
    </row>
    <row r="226" spans="1:4" ht="12.75">
      <c r="A226" s="143" t="s">
        <v>115</v>
      </c>
      <c r="B226" s="258">
        <v>610495</v>
      </c>
      <c r="C226" s="258"/>
      <c r="D226" s="258">
        <v>4062088</v>
      </c>
    </row>
    <row r="227" spans="1:4" ht="12.75">
      <c r="A227" s="148" t="s">
        <v>322</v>
      </c>
      <c r="B227" s="261">
        <f>SUM(B213+B220+B225)</f>
        <v>45125085</v>
      </c>
      <c r="C227" s="261">
        <f>SUM(C213+C220+C225)</f>
        <v>0</v>
      </c>
      <c r="D227" s="261">
        <f>SUM(D213+D220+D225)</f>
        <v>14857638</v>
      </c>
    </row>
    <row r="229" spans="1:4" ht="38.25">
      <c r="A229" s="152" t="s">
        <v>468</v>
      </c>
      <c r="B229" s="153">
        <v>2019</v>
      </c>
      <c r="C229" s="153">
        <v>2020</v>
      </c>
      <c r="D229" s="153">
        <v>2021</v>
      </c>
    </row>
    <row r="230" spans="1:4" ht="12.75">
      <c r="A230" s="146" t="s">
        <v>116</v>
      </c>
      <c r="B230" s="263">
        <f>SUM(B231:B236)</f>
        <v>9125680</v>
      </c>
      <c r="C230" s="263">
        <f>SUM(C231:C236)</f>
        <v>0</v>
      </c>
      <c r="D230" s="263">
        <f>SUM(D231:D236)</f>
        <v>2547538</v>
      </c>
    </row>
    <row r="231" spans="1:4" ht="12.75">
      <c r="A231" s="143" t="s">
        <v>105</v>
      </c>
      <c r="B231" s="258"/>
      <c r="C231" s="258"/>
      <c r="D231" s="258"/>
    </row>
    <row r="232" spans="1:4" ht="12.75">
      <c r="A232" s="143" t="s">
        <v>106</v>
      </c>
      <c r="B232" s="258"/>
      <c r="C232" s="258"/>
      <c r="D232" s="258"/>
    </row>
    <row r="233" spans="1:4" ht="12.75">
      <c r="A233" s="143" t="s">
        <v>107</v>
      </c>
      <c r="B233" s="258"/>
      <c r="C233" s="258"/>
      <c r="D233" s="258"/>
    </row>
    <row r="234" spans="1:4" ht="12.75">
      <c r="A234" s="143" t="s">
        <v>108</v>
      </c>
      <c r="B234" s="258">
        <v>9125680</v>
      </c>
      <c r="C234" s="258"/>
      <c r="D234" s="258">
        <v>2547538</v>
      </c>
    </row>
    <row r="235" spans="1:4" ht="12.75">
      <c r="A235" s="143" t="s">
        <v>136</v>
      </c>
      <c r="B235" s="258"/>
      <c r="C235" s="258"/>
      <c r="D235" s="258"/>
    </row>
    <row r="236" spans="1:4" ht="12.75">
      <c r="A236" s="143" t="s">
        <v>137</v>
      </c>
      <c r="B236" s="258"/>
      <c r="C236" s="258"/>
      <c r="D236" s="258"/>
    </row>
    <row r="237" spans="1:4" ht="12.75">
      <c r="A237" s="146" t="s">
        <v>104</v>
      </c>
      <c r="B237" s="263">
        <f>SUM(B238:B241)</f>
        <v>29214678</v>
      </c>
      <c r="C237" s="263">
        <f>SUM(C238:C241)</f>
        <v>0</v>
      </c>
      <c r="D237" s="263">
        <f>SUM(D238:D241)</f>
        <v>8248012</v>
      </c>
    </row>
    <row r="238" spans="1:4" ht="12.75">
      <c r="A238" s="143" t="s">
        <v>135</v>
      </c>
      <c r="B238" s="258"/>
      <c r="C238" s="258"/>
      <c r="D238" s="258"/>
    </row>
    <row r="239" spans="1:4" ht="12.75">
      <c r="A239" s="143" t="s">
        <v>138</v>
      </c>
      <c r="B239" s="258"/>
      <c r="C239" s="258"/>
      <c r="D239" s="258"/>
    </row>
    <row r="240" spans="1:4" ht="12.75">
      <c r="A240" s="143" t="s">
        <v>113</v>
      </c>
      <c r="B240" s="258">
        <v>29214678</v>
      </c>
      <c r="C240" s="258"/>
      <c r="D240" s="264">
        <v>8248012</v>
      </c>
    </row>
    <row r="241" spans="1:4" ht="12.75">
      <c r="A241" s="143" t="s">
        <v>114</v>
      </c>
      <c r="B241" s="258"/>
      <c r="C241" s="258"/>
      <c r="D241" s="258"/>
    </row>
    <row r="242" spans="1:4" ht="12.75">
      <c r="A242" s="146" t="s">
        <v>92</v>
      </c>
      <c r="B242" s="263">
        <f>SUM(B243)</f>
        <v>4889718</v>
      </c>
      <c r="C242" s="263">
        <f>SUM(C243)</f>
        <v>0</v>
      </c>
      <c r="D242" s="263">
        <f>SUM(D243)</f>
        <v>4062088</v>
      </c>
    </row>
    <row r="243" spans="1:4" ht="12.75">
      <c r="A243" s="143" t="s">
        <v>115</v>
      </c>
      <c r="B243" s="258">
        <v>4889718</v>
      </c>
      <c r="C243" s="258"/>
      <c r="D243" s="258">
        <v>4062088</v>
      </c>
    </row>
    <row r="244" spans="1:4" ht="12.75">
      <c r="A244" s="148" t="s">
        <v>323</v>
      </c>
      <c r="B244" s="261">
        <f>SUM(B230+B237+B242)</f>
        <v>43230076</v>
      </c>
      <c r="C244" s="261">
        <f>SUM(C230+C237+C242)</f>
        <v>0</v>
      </c>
      <c r="D244" s="261">
        <f>SUM(D230+D237+D242)</f>
        <v>14857638</v>
      </c>
    </row>
    <row r="246" spans="1:4" ht="38.25">
      <c r="A246" s="152" t="s">
        <v>469</v>
      </c>
      <c r="B246" s="153">
        <v>2019</v>
      </c>
      <c r="C246" s="153">
        <v>2020</v>
      </c>
      <c r="D246" s="153">
        <v>2021</v>
      </c>
    </row>
    <row r="247" spans="1:4" ht="12.75">
      <c r="A247" s="146" t="s">
        <v>116</v>
      </c>
      <c r="B247" s="263">
        <f>SUM(B248:B253)</f>
        <v>6623604</v>
      </c>
      <c r="C247" s="263">
        <f>SUM(C248:C253)</f>
        <v>0</v>
      </c>
      <c r="D247" s="263">
        <f>SUM(D248:D253)</f>
        <v>2547538</v>
      </c>
    </row>
    <row r="248" spans="1:4" ht="12.75">
      <c r="A248" s="143" t="s">
        <v>105</v>
      </c>
      <c r="B248" s="258"/>
      <c r="C248" s="258"/>
      <c r="D248" s="258"/>
    </row>
    <row r="249" spans="1:4" ht="12.75">
      <c r="A249" s="143" t="s">
        <v>106</v>
      </c>
      <c r="B249" s="258"/>
      <c r="C249" s="258"/>
      <c r="D249" s="258"/>
    </row>
    <row r="250" spans="1:4" ht="12.75">
      <c r="A250" s="143" t="s">
        <v>107</v>
      </c>
      <c r="B250" s="258"/>
      <c r="C250" s="258"/>
      <c r="D250" s="258"/>
    </row>
    <row r="251" spans="1:4" ht="12.75">
      <c r="A251" s="143" t="s">
        <v>108</v>
      </c>
      <c r="B251" s="258">
        <v>6623604</v>
      </c>
      <c r="C251" s="258"/>
      <c r="D251" s="264">
        <v>2547538</v>
      </c>
    </row>
    <row r="252" spans="1:4" ht="12.75">
      <c r="A252" s="143" t="s">
        <v>136</v>
      </c>
      <c r="B252" s="258"/>
      <c r="C252" s="258"/>
      <c r="D252" s="258"/>
    </row>
    <row r="253" spans="1:4" ht="12.75">
      <c r="A253" s="143" t="s">
        <v>137</v>
      </c>
      <c r="B253" s="258"/>
      <c r="C253" s="258"/>
      <c r="D253" s="258"/>
    </row>
    <row r="254" spans="1:4" ht="12.75">
      <c r="A254" s="146" t="s">
        <v>104</v>
      </c>
      <c r="B254" s="263">
        <f>SUM(B255:B258)</f>
        <v>19309727</v>
      </c>
      <c r="C254" s="263">
        <f>SUM(C255:C258)</f>
        <v>0</v>
      </c>
      <c r="D254" s="263">
        <f>SUM(D255:D258)</f>
        <v>8248012</v>
      </c>
    </row>
    <row r="255" spans="1:4" ht="12.75">
      <c r="A255" s="143" t="s">
        <v>135</v>
      </c>
      <c r="B255" s="258"/>
      <c r="C255" s="258"/>
      <c r="D255" s="258"/>
    </row>
    <row r="256" spans="1:4" ht="12.75">
      <c r="A256" s="143" t="s">
        <v>138</v>
      </c>
      <c r="B256" s="258"/>
      <c r="C256" s="258"/>
      <c r="D256" s="258"/>
    </row>
    <row r="257" spans="1:4" ht="12.75">
      <c r="A257" s="143" t="s">
        <v>113</v>
      </c>
      <c r="B257" s="258">
        <v>19309727</v>
      </c>
      <c r="C257" s="258"/>
      <c r="D257" s="264">
        <v>8248012</v>
      </c>
    </row>
    <row r="258" spans="1:4" ht="12.75">
      <c r="A258" s="143" t="s">
        <v>114</v>
      </c>
      <c r="B258" s="258"/>
      <c r="C258" s="258"/>
      <c r="D258" s="258"/>
    </row>
    <row r="259" spans="1:4" ht="12.75">
      <c r="A259" s="146" t="s">
        <v>92</v>
      </c>
      <c r="B259" s="263">
        <f>SUM(B260)</f>
        <v>4889717</v>
      </c>
      <c r="C259" s="263">
        <f>SUM(C260)</f>
        <v>0</v>
      </c>
      <c r="D259" s="263">
        <f>SUM(D260)</f>
        <v>4062088</v>
      </c>
    </row>
    <row r="260" spans="1:4" ht="12.75">
      <c r="A260" s="143" t="s">
        <v>115</v>
      </c>
      <c r="B260" s="258">
        <v>4889717</v>
      </c>
      <c r="C260" s="258"/>
      <c r="D260" s="258">
        <v>4062088</v>
      </c>
    </row>
    <row r="261" spans="1:4" ht="12.75">
      <c r="A261" s="254" t="s">
        <v>324</v>
      </c>
      <c r="B261" s="261">
        <f>SUM(B247+B254+B259)</f>
        <v>30823048</v>
      </c>
      <c r="C261" s="261">
        <f>SUM(C247+C254+C259)</f>
        <v>0</v>
      </c>
      <c r="D261" s="261">
        <f>SUM(D247+D254+D259)</f>
        <v>14857638</v>
      </c>
    </row>
  </sheetData>
  <sheetProtection/>
  <printOptions/>
  <pageMargins left="0.7086614173228347" right="0.5118110236220472" top="0.7480314960629921" bottom="0.7480314960629921" header="0.31496062992125984" footer="0.31496062992125984"/>
  <pageSetup horizontalDpi="600" verticalDpi="600" orientation="portrait" paperSize="9"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sheetPr>
    <tabColor theme="9" tint="-0.24997000396251678"/>
  </sheetPr>
  <dimension ref="A1:W148"/>
  <sheetViews>
    <sheetView view="pageLayout" zoomScaleSheetLayoutView="100" workbookViewId="0" topLeftCell="A82">
      <selection activeCell="Q17" sqref="Q17"/>
    </sheetView>
  </sheetViews>
  <sheetFormatPr defaultColWidth="11.28125" defaultRowHeight="12.75"/>
  <cols>
    <col min="1" max="1" width="3.8515625" style="113" customWidth="1"/>
    <col min="2" max="2" width="25.7109375" style="113" customWidth="1"/>
    <col min="3" max="3" width="2.57421875" style="113" customWidth="1"/>
    <col min="4" max="4" width="9.57421875" style="113" customWidth="1"/>
    <col min="5" max="5" width="8.57421875" style="113" customWidth="1"/>
    <col min="6" max="6" width="8.7109375" style="113" customWidth="1"/>
    <col min="7" max="7" width="4.28125" style="113" customWidth="1"/>
    <col min="8" max="8" width="7.57421875" style="113" customWidth="1"/>
    <col min="9" max="9" width="9.7109375" style="113" customWidth="1"/>
    <col min="10" max="10" width="3.57421875" style="113" customWidth="1"/>
    <col min="11" max="11" width="3.8515625" style="113" customWidth="1"/>
    <col min="12" max="12" width="8.7109375" style="113" bestFit="1" customWidth="1"/>
    <col min="13" max="13" width="8.8515625" style="113" customWidth="1"/>
    <col min="14" max="14" width="8.7109375" style="113" bestFit="1" customWidth="1"/>
    <col min="15" max="16" width="7.7109375" style="113" customWidth="1"/>
    <col min="17" max="17" width="10.00390625" style="113" bestFit="1" customWidth="1"/>
    <col min="18" max="18" width="5.8515625" style="113" customWidth="1"/>
    <col min="19" max="16384" width="11.28125" style="113" customWidth="1"/>
  </cols>
  <sheetData>
    <row r="1" spans="1:18" s="112" customFormat="1" ht="12" thickBot="1">
      <c r="A1" s="104" t="s">
        <v>397</v>
      </c>
      <c r="B1" s="104"/>
      <c r="C1" s="200"/>
      <c r="D1" s="200"/>
      <c r="E1" s="200"/>
      <c r="F1" s="200"/>
      <c r="G1" s="200"/>
      <c r="H1" s="201"/>
      <c r="I1" s="201"/>
      <c r="J1" s="201"/>
      <c r="K1" s="201"/>
      <c r="L1" s="201"/>
      <c r="M1" s="201"/>
      <c r="N1" s="201"/>
      <c r="O1" s="201"/>
      <c r="P1" s="201"/>
      <c r="Q1" s="201"/>
      <c r="R1" s="201"/>
    </row>
    <row r="2" spans="1:23" s="112" customFormat="1" ht="12" thickBot="1">
      <c r="A2" s="270" t="s">
        <v>454</v>
      </c>
      <c r="B2" s="106"/>
      <c r="C2" s="106"/>
      <c r="D2" s="106"/>
      <c r="E2" s="106"/>
      <c r="F2" s="106"/>
      <c r="G2" s="106"/>
      <c r="H2" s="106"/>
      <c r="I2" s="106"/>
      <c r="J2" s="106"/>
      <c r="K2" s="106"/>
      <c r="L2" s="106"/>
      <c r="M2" s="106"/>
      <c r="N2" s="106"/>
      <c r="O2" s="106"/>
      <c r="P2" s="106"/>
      <c r="Q2" s="106"/>
      <c r="R2" s="106"/>
      <c r="S2" s="111"/>
      <c r="T2" s="111"/>
      <c r="U2" s="111"/>
      <c r="V2" s="111"/>
      <c r="W2" s="111"/>
    </row>
    <row r="3" spans="1:18" s="117" customFormat="1" ht="27.75" customHeight="1" thickBot="1">
      <c r="A3" s="1510" t="s">
        <v>481</v>
      </c>
      <c r="B3" s="1515" t="s">
        <v>277</v>
      </c>
      <c r="C3" s="1512" t="s">
        <v>116</v>
      </c>
      <c r="D3" s="1513"/>
      <c r="E3" s="1513"/>
      <c r="F3" s="1513"/>
      <c r="G3" s="1513"/>
      <c r="H3" s="1513"/>
      <c r="I3" s="1514"/>
      <c r="J3" s="1512" t="s">
        <v>104</v>
      </c>
      <c r="K3" s="1513"/>
      <c r="L3" s="1513"/>
      <c r="M3" s="1513"/>
      <c r="N3" s="1514"/>
      <c r="O3" s="1512" t="s">
        <v>92</v>
      </c>
      <c r="P3" s="1514"/>
      <c r="Q3" s="1512" t="s">
        <v>0</v>
      </c>
      <c r="R3" s="1514"/>
    </row>
    <row r="4" spans="1:18" s="118" customFormat="1" ht="109.5" customHeight="1" thickBot="1">
      <c r="A4" s="1511"/>
      <c r="B4" s="1516"/>
      <c r="C4" s="202" t="s">
        <v>105</v>
      </c>
      <c r="D4" s="203" t="s">
        <v>106</v>
      </c>
      <c r="E4" s="203" t="s">
        <v>107</v>
      </c>
      <c r="F4" s="203" t="s">
        <v>108</v>
      </c>
      <c r="G4" s="203" t="s">
        <v>109</v>
      </c>
      <c r="H4" s="203" t="s">
        <v>110</v>
      </c>
      <c r="I4" s="204" t="s">
        <v>101</v>
      </c>
      <c r="J4" s="202" t="s">
        <v>111</v>
      </c>
      <c r="K4" s="203" t="s">
        <v>112</v>
      </c>
      <c r="L4" s="203" t="s">
        <v>113</v>
      </c>
      <c r="M4" s="203" t="s">
        <v>114</v>
      </c>
      <c r="N4" s="204" t="s">
        <v>102</v>
      </c>
      <c r="O4" s="202" t="s">
        <v>115</v>
      </c>
      <c r="P4" s="204" t="s">
        <v>103</v>
      </c>
      <c r="Q4" s="205" t="s">
        <v>139</v>
      </c>
      <c r="R4" s="206" t="s">
        <v>90</v>
      </c>
    </row>
    <row r="5" spans="1:18" ht="11.25" customHeight="1">
      <c r="A5" s="1517" t="s">
        <v>482</v>
      </c>
      <c r="B5" s="265" t="s">
        <v>470</v>
      </c>
      <c r="C5" s="281"/>
      <c r="D5" s="282">
        <v>6107563</v>
      </c>
      <c r="E5" s="282">
        <v>1522653</v>
      </c>
      <c r="F5" s="282">
        <v>11225955</v>
      </c>
      <c r="G5" s="282"/>
      <c r="H5" s="282">
        <v>1369114</v>
      </c>
      <c r="I5" s="273">
        <f>SUM(C5:H5)</f>
        <v>20225285</v>
      </c>
      <c r="J5" s="284"/>
      <c r="K5" s="282"/>
      <c r="L5" s="282">
        <v>61160016</v>
      </c>
      <c r="M5" s="282"/>
      <c r="N5" s="273">
        <f>SUM(J5:M5)</f>
        <v>61160016</v>
      </c>
      <c r="O5" s="284"/>
      <c r="P5" s="273">
        <f>SUM(O5)</f>
        <v>0</v>
      </c>
      <c r="Q5" s="272">
        <f>SUM(I5+N5+P5)</f>
        <v>81385301</v>
      </c>
      <c r="R5" s="301">
        <f>+(Q5/$Q$17)*100</f>
        <v>16.97835038540525</v>
      </c>
    </row>
    <row r="6" spans="1:18" ht="12.75" customHeight="1">
      <c r="A6" s="1518"/>
      <c r="B6" s="266" t="s">
        <v>471</v>
      </c>
      <c r="C6" s="276"/>
      <c r="D6" s="275">
        <v>627490</v>
      </c>
      <c r="E6" s="275"/>
      <c r="F6" s="275">
        <v>411071</v>
      </c>
      <c r="G6" s="275"/>
      <c r="H6" s="275"/>
      <c r="I6" s="273">
        <f aca="true" t="shared" si="0" ref="I6:I16">SUM(C6:H6)</f>
        <v>1038561</v>
      </c>
      <c r="J6" s="285"/>
      <c r="K6" s="275"/>
      <c r="L6" s="275"/>
      <c r="M6" s="275"/>
      <c r="N6" s="273">
        <f aca="true" t="shared" si="1" ref="N6:N16">SUM(J6:M6)</f>
        <v>0</v>
      </c>
      <c r="O6" s="285"/>
      <c r="P6" s="273">
        <f aca="true" t="shared" si="2" ref="P6:P16">SUM(O6)</f>
        <v>0</v>
      </c>
      <c r="Q6" s="272">
        <f aca="true" t="shared" si="3" ref="Q6:Q16">SUM(I6+N6+P6)</f>
        <v>1038561</v>
      </c>
      <c r="R6" s="301">
        <f aca="true" t="shared" si="4" ref="R6:R16">+(Q6/$Q$17)*100</f>
        <v>0.2166613914055176</v>
      </c>
    </row>
    <row r="7" spans="1:18" ht="12.75" customHeight="1">
      <c r="A7" s="1518"/>
      <c r="B7" s="266" t="s">
        <v>486</v>
      </c>
      <c r="C7" s="274"/>
      <c r="D7" s="275">
        <v>745467</v>
      </c>
      <c r="E7" s="275">
        <v>2400</v>
      </c>
      <c r="F7" s="275">
        <v>214448</v>
      </c>
      <c r="G7" s="275"/>
      <c r="H7" s="275"/>
      <c r="I7" s="273">
        <f t="shared" si="0"/>
        <v>962315</v>
      </c>
      <c r="J7" s="285"/>
      <c r="K7" s="275"/>
      <c r="L7" s="275"/>
      <c r="M7" s="275"/>
      <c r="N7" s="273">
        <f t="shared" si="1"/>
        <v>0</v>
      </c>
      <c r="O7" s="285"/>
      <c r="P7" s="273">
        <f t="shared" si="2"/>
        <v>0</v>
      </c>
      <c r="Q7" s="272">
        <f t="shared" si="3"/>
        <v>962315</v>
      </c>
      <c r="R7" s="301">
        <f t="shared" si="4"/>
        <v>0.20075518613774315</v>
      </c>
    </row>
    <row r="8" spans="1:18" ht="12.75" customHeight="1">
      <c r="A8" s="1518"/>
      <c r="B8" s="266" t="s">
        <v>472</v>
      </c>
      <c r="C8" s="274"/>
      <c r="D8" s="275">
        <v>2361172</v>
      </c>
      <c r="E8" s="275">
        <v>318831</v>
      </c>
      <c r="F8" s="275">
        <v>1573103</v>
      </c>
      <c r="G8" s="275"/>
      <c r="H8" s="275"/>
      <c r="I8" s="273">
        <f t="shared" si="0"/>
        <v>4253106</v>
      </c>
      <c r="J8" s="285"/>
      <c r="K8" s="275"/>
      <c r="L8" s="275"/>
      <c r="M8" s="275"/>
      <c r="N8" s="273">
        <f t="shared" si="1"/>
        <v>0</v>
      </c>
      <c r="O8" s="285"/>
      <c r="P8" s="273">
        <f t="shared" si="2"/>
        <v>0</v>
      </c>
      <c r="Q8" s="272">
        <f t="shared" si="3"/>
        <v>4253106</v>
      </c>
      <c r="R8" s="301">
        <f t="shared" si="4"/>
        <v>0.8872698510296028</v>
      </c>
    </row>
    <row r="9" spans="1:18" ht="12.75" customHeight="1">
      <c r="A9" s="1518"/>
      <c r="B9" s="266" t="s">
        <v>473</v>
      </c>
      <c r="C9" s="276"/>
      <c r="D9" s="275">
        <v>1106990</v>
      </c>
      <c r="E9" s="275">
        <v>242572</v>
      </c>
      <c r="F9" s="275">
        <v>478747</v>
      </c>
      <c r="G9" s="275"/>
      <c r="H9" s="275"/>
      <c r="I9" s="273">
        <f t="shared" si="0"/>
        <v>1828309</v>
      </c>
      <c r="J9" s="285"/>
      <c r="K9" s="275"/>
      <c r="L9" s="275"/>
      <c r="M9" s="275"/>
      <c r="N9" s="273">
        <f t="shared" si="1"/>
        <v>0</v>
      </c>
      <c r="O9" s="285"/>
      <c r="P9" s="273">
        <f t="shared" si="2"/>
        <v>0</v>
      </c>
      <c r="Q9" s="272">
        <f t="shared" si="3"/>
        <v>1828309</v>
      </c>
      <c r="R9" s="301">
        <f t="shared" si="4"/>
        <v>0.3814161824478586</v>
      </c>
    </row>
    <row r="10" spans="1:18" ht="12.75" customHeight="1">
      <c r="A10" s="1518"/>
      <c r="B10" s="266" t="s">
        <v>474</v>
      </c>
      <c r="C10" s="276"/>
      <c r="D10" s="275">
        <v>12870145</v>
      </c>
      <c r="E10" s="275">
        <v>6600981</v>
      </c>
      <c r="F10" s="275">
        <v>1724964</v>
      </c>
      <c r="G10" s="275"/>
      <c r="H10" s="275"/>
      <c r="I10" s="273">
        <f t="shared" si="0"/>
        <v>21196090</v>
      </c>
      <c r="J10" s="285"/>
      <c r="K10" s="275"/>
      <c r="L10" s="275"/>
      <c r="M10" s="275"/>
      <c r="N10" s="273">
        <f t="shared" si="1"/>
        <v>0</v>
      </c>
      <c r="O10" s="285"/>
      <c r="P10" s="273">
        <f t="shared" si="2"/>
        <v>0</v>
      </c>
      <c r="Q10" s="272">
        <f t="shared" si="3"/>
        <v>21196090</v>
      </c>
      <c r="R10" s="301">
        <f t="shared" si="4"/>
        <v>4.421862896600755</v>
      </c>
    </row>
    <row r="11" spans="1:18" ht="12.75" customHeight="1">
      <c r="A11" s="1518"/>
      <c r="B11" s="266" t="s">
        <v>475</v>
      </c>
      <c r="C11" s="276"/>
      <c r="D11" s="275">
        <v>87738493</v>
      </c>
      <c r="E11" s="275">
        <v>2443544</v>
      </c>
      <c r="F11" s="275">
        <v>4148865</v>
      </c>
      <c r="G11" s="275"/>
      <c r="H11" s="275"/>
      <c r="I11" s="273">
        <f t="shared" si="0"/>
        <v>94330902</v>
      </c>
      <c r="J11" s="285"/>
      <c r="K11" s="275"/>
      <c r="L11" s="275"/>
      <c r="M11" s="275"/>
      <c r="N11" s="273">
        <f t="shared" si="1"/>
        <v>0</v>
      </c>
      <c r="O11" s="285"/>
      <c r="P11" s="273">
        <f t="shared" si="2"/>
        <v>0</v>
      </c>
      <c r="Q11" s="272">
        <f t="shared" si="3"/>
        <v>94330902</v>
      </c>
      <c r="R11" s="301">
        <f t="shared" si="4"/>
        <v>19.679021723189607</v>
      </c>
    </row>
    <row r="12" spans="1:18" s="151" customFormat="1" ht="12.75" customHeight="1">
      <c r="A12" s="1518"/>
      <c r="B12" s="267" t="s">
        <v>476</v>
      </c>
      <c r="C12" s="277"/>
      <c r="D12" s="283">
        <v>41984222</v>
      </c>
      <c r="E12" s="283">
        <v>1201663</v>
      </c>
      <c r="F12" s="283">
        <v>1006364</v>
      </c>
      <c r="G12" s="283"/>
      <c r="H12" s="283"/>
      <c r="I12" s="273">
        <f t="shared" si="0"/>
        <v>44192249</v>
      </c>
      <c r="J12" s="286"/>
      <c r="K12" s="283"/>
      <c r="L12" s="283"/>
      <c r="M12" s="283"/>
      <c r="N12" s="273">
        <f t="shared" si="1"/>
        <v>0</v>
      </c>
      <c r="O12" s="286"/>
      <c r="P12" s="273">
        <f t="shared" si="2"/>
        <v>0</v>
      </c>
      <c r="Q12" s="272">
        <f t="shared" si="3"/>
        <v>44192249</v>
      </c>
      <c r="R12" s="301">
        <f>+(Q12/$Q$17)*100</f>
        <v>9.21925063398211</v>
      </c>
    </row>
    <row r="13" spans="1:18" s="151" customFormat="1" ht="12.75" customHeight="1">
      <c r="A13" s="1518"/>
      <c r="B13" s="267" t="s">
        <v>477</v>
      </c>
      <c r="C13" s="277"/>
      <c r="D13" s="283">
        <v>105743140</v>
      </c>
      <c r="E13" s="283">
        <v>1172870</v>
      </c>
      <c r="F13" s="283">
        <v>3028072</v>
      </c>
      <c r="G13" s="283"/>
      <c r="H13" s="283"/>
      <c r="I13" s="273">
        <f t="shared" si="0"/>
        <v>109944082</v>
      </c>
      <c r="J13" s="286"/>
      <c r="K13" s="283"/>
      <c r="L13" s="283"/>
      <c r="M13" s="283"/>
      <c r="N13" s="273">
        <f t="shared" si="1"/>
        <v>0</v>
      </c>
      <c r="O13" s="286"/>
      <c r="P13" s="273">
        <f t="shared" si="2"/>
        <v>0</v>
      </c>
      <c r="Q13" s="272">
        <f t="shared" si="3"/>
        <v>109944082</v>
      </c>
      <c r="R13" s="301">
        <f t="shared" si="4"/>
        <v>22.936195161307158</v>
      </c>
    </row>
    <row r="14" spans="1:18" s="151" customFormat="1" ht="12.75" customHeight="1">
      <c r="A14" s="1518"/>
      <c r="B14" s="267" t="s">
        <v>478</v>
      </c>
      <c r="C14" s="277"/>
      <c r="D14" s="283">
        <v>29546346</v>
      </c>
      <c r="E14" s="283">
        <v>387277</v>
      </c>
      <c r="F14" s="283">
        <v>8533859</v>
      </c>
      <c r="G14" s="283"/>
      <c r="H14" s="283"/>
      <c r="I14" s="273">
        <f>SUM(C14:H14)</f>
        <v>38467482</v>
      </c>
      <c r="J14" s="286"/>
      <c r="K14" s="283"/>
      <c r="L14" s="283">
        <v>22400</v>
      </c>
      <c r="M14" s="283"/>
      <c r="N14" s="273">
        <f t="shared" si="1"/>
        <v>22400</v>
      </c>
      <c r="O14" s="286"/>
      <c r="P14" s="273">
        <f t="shared" si="2"/>
        <v>0</v>
      </c>
      <c r="Q14" s="272">
        <f t="shared" si="3"/>
        <v>38489882</v>
      </c>
      <c r="R14" s="301">
        <f t="shared" si="4"/>
        <v>8.029640424735945</v>
      </c>
    </row>
    <row r="15" spans="1:18" s="151" customFormat="1" ht="12.75" customHeight="1">
      <c r="A15" s="1518"/>
      <c r="B15" s="267" t="s">
        <v>479</v>
      </c>
      <c r="C15" s="277"/>
      <c r="D15" s="283">
        <v>11336364</v>
      </c>
      <c r="E15" s="283">
        <v>229050</v>
      </c>
      <c r="F15" s="283">
        <v>35044098</v>
      </c>
      <c r="G15" s="283"/>
      <c r="H15" s="283"/>
      <c r="I15" s="273">
        <f t="shared" si="0"/>
        <v>46609512</v>
      </c>
      <c r="J15" s="286"/>
      <c r="K15" s="283"/>
      <c r="L15" s="283"/>
      <c r="M15" s="283"/>
      <c r="N15" s="273">
        <f t="shared" si="1"/>
        <v>0</v>
      </c>
      <c r="O15" s="286"/>
      <c r="P15" s="273">
        <f t="shared" si="2"/>
        <v>0</v>
      </c>
      <c r="Q15" s="272">
        <f t="shared" si="3"/>
        <v>46609512</v>
      </c>
      <c r="R15" s="301">
        <f t="shared" si="4"/>
        <v>9.723532582729536</v>
      </c>
    </row>
    <row r="16" spans="1:18" ht="13.5" customHeight="1" thickBot="1">
      <c r="A16" s="1519"/>
      <c r="B16" s="268" t="s">
        <v>487</v>
      </c>
      <c r="C16" s="277"/>
      <c r="D16" s="283">
        <v>26525096</v>
      </c>
      <c r="E16" s="283">
        <v>197541</v>
      </c>
      <c r="F16" s="283">
        <v>8372171</v>
      </c>
      <c r="G16" s="283"/>
      <c r="H16" s="283"/>
      <c r="I16" s="273">
        <f t="shared" si="0"/>
        <v>35094808</v>
      </c>
      <c r="J16" s="286"/>
      <c r="K16" s="283"/>
      <c r="L16" s="283">
        <v>22400</v>
      </c>
      <c r="M16" s="283"/>
      <c r="N16" s="273">
        <f t="shared" si="1"/>
        <v>22400</v>
      </c>
      <c r="O16" s="286"/>
      <c r="P16" s="273">
        <f t="shared" si="2"/>
        <v>0</v>
      </c>
      <c r="Q16" s="272">
        <f t="shared" si="3"/>
        <v>35117208</v>
      </c>
      <c r="R16" s="301">
        <f t="shared" si="4"/>
        <v>7.326043581028918</v>
      </c>
    </row>
    <row r="17" spans="1:18" ht="12" thickBot="1">
      <c r="A17" s="271"/>
      <c r="B17" s="269" t="s">
        <v>83</v>
      </c>
      <c r="C17" s="278">
        <f aca="true" t="shared" si="5" ref="C17:R17">SUM(C5:C16)</f>
        <v>0</v>
      </c>
      <c r="D17" s="278">
        <f t="shared" si="5"/>
        <v>326692488</v>
      </c>
      <c r="E17" s="278">
        <f t="shared" si="5"/>
        <v>14319382</v>
      </c>
      <c r="F17" s="278">
        <f t="shared" si="5"/>
        <v>75761717</v>
      </c>
      <c r="G17" s="278">
        <f t="shared" si="5"/>
        <v>0</v>
      </c>
      <c r="H17" s="278">
        <f t="shared" si="5"/>
        <v>1369114</v>
      </c>
      <c r="I17" s="279">
        <f t="shared" si="5"/>
        <v>418142701</v>
      </c>
      <c r="J17" s="278">
        <f t="shared" si="5"/>
        <v>0</v>
      </c>
      <c r="K17" s="278">
        <f t="shared" si="5"/>
        <v>0</v>
      </c>
      <c r="L17" s="278">
        <f t="shared" si="5"/>
        <v>61204816</v>
      </c>
      <c r="M17" s="278">
        <f t="shared" si="5"/>
        <v>0</v>
      </c>
      <c r="N17" s="279">
        <f t="shared" si="5"/>
        <v>61204816</v>
      </c>
      <c r="O17" s="278">
        <f t="shared" si="5"/>
        <v>0</v>
      </c>
      <c r="P17" s="279">
        <f t="shared" si="5"/>
        <v>0</v>
      </c>
      <c r="Q17" s="278">
        <f t="shared" si="5"/>
        <v>479347517</v>
      </c>
      <c r="R17" s="280">
        <f t="shared" si="5"/>
        <v>99.99999999999999</v>
      </c>
    </row>
    <row r="18" spans="1:18" ht="11.25">
      <c r="A18" s="119"/>
      <c r="B18" s="119"/>
      <c r="C18" s="120"/>
      <c r="D18" s="121"/>
      <c r="E18" s="122"/>
      <c r="F18" s="122"/>
      <c r="G18" s="122"/>
      <c r="H18" s="122"/>
      <c r="I18" s="122"/>
      <c r="J18" s="122"/>
      <c r="K18" s="122"/>
      <c r="L18" s="122"/>
      <c r="M18" s="122"/>
      <c r="N18" s="122"/>
      <c r="O18" s="122"/>
      <c r="P18" s="122"/>
      <c r="Q18" s="122"/>
      <c r="R18" s="122"/>
    </row>
    <row r="20" spans="2:18" ht="11.25">
      <c r="B20" s="303"/>
      <c r="C20" s="304"/>
      <c r="D20" s="304"/>
      <c r="E20" s="304"/>
      <c r="F20" s="304"/>
      <c r="G20" s="304"/>
      <c r="H20" s="304"/>
      <c r="I20" s="304"/>
      <c r="J20" s="304"/>
      <c r="K20" s="304"/>
      <c r="L20" s="304"/>
      <c r="M20" s="304"/>
      <c r="N20" s="304"/>
      <c r="O20" s="304"/>
      <c r="P20" s="304"/>
      <c r="Q20" s="304"/>
      <c r="R20" s="303"/>
    </row>
    <row r="21" spans="2:18" ht="11.25">
      <c r="B21" s="303"/>
      <c r="C21" s="304"/>
      <c r="D21" s="304"/>
      <c r="E21" s="304"/>
      <c r="F21" s="304"/>
      <c r="G21" s="304"/>
      <c r="H21" s="304"/>
      <c r="I21" s="304"/>
      <c r="J21" s="304"/>
      <c r="K21" s="304"/>
      <c r="L21" s="304"/>
      <c r="M21" s="304"/>
      <c r="N21" s="304"/>
      <c r="O21" s="304"/>
      <c r="P21" s="304"/>
      <c r="Q21" s="304"/>
      <c r="R21" s="304"/>
    </row>
    <row r="22" spans="2:18" ht="11.25">
      <c r="B22" s="303"/>
      <c r="C22" s="304"/>
      <c r="D22" s="304"/>
      <c r="E22" s="304"/>
      <c r="F22" s="304"/>
      <c r="G22" s="304"/>
      <c r="H22" s="304"/>
      <c r="I22" s="304"/>
      <c r="J22" s="304"/>
      <c r="K22" s="304"/>
      <c r="L22" s="304"/>
      <c r="M22" s="304"/>
      <c r="N22" s="304"/>
      <c r="O22" s="304"/>
      <c r="P22" s="304"/>
      <c r="Q22" s="304"/>
      <c r="R22" s="303"/>
    </row>
    <row r="23" spans="2:18" ht="11.25">
      <c r="B23" s="303"/>
      <c r="C23" s="304"/>
      <c r="D23" s="304"/>
      <c r="E23" s="304"/>
      <c r="F23" s="304"/>
      <c r="G23" s="304"/>
      <c r="H23" s="304"/>
      <c r="I23" s="304"/>
      <c r="J23" s="304"/>
      <c r="K23" s="304"/>
      <c r="L23" s="304"/>
      <c r="M23" s="304"/>
      <c r="N23" s="304"/>
      <c r="O23" s="304"/>
      <c r="P23" s="304"/>
      <c r="Q23" s="304"/>
      <c r="R23" s="304"/>
    </row>
    <row r="24" spans="2:18" ht="11.25">
      <c r="B24" s="303"/>
      <c r="C24" s="304"/>
      <c r="D24" s="304"/>
      <c r="E24" s="304"/>
      <c r="F24" s="304"/>
      <c r="G24" s="304"/>
      <c r="H24" s="304"/>
      <c r="I24" s="304"/>
      <c r="J24" s="304"/>
      <c r="K24" s="304"/>
      <c r="L24" s="304"/>
      <c r="M24" s="304"/>
      <c r="N24" s="304"/>
      <c r="O24" s="304"/>
      <c r="P24" s="304"/>
      <c r="Q24" s="304"/>
      <c r="R24" s="304"/>
    </row>
    <row r="25" spans="2:18" ht="11.25">
      <c r="B25" s="303"/>
      <c r="C25" s="303"/>
      <c r="D25" s="303"/>
      <c r="E25" s="303"/>
      <c r="F25" s="303"/>
      <c r="G25" s="303"/>
      <c r="H25" s="303"/>
      <c r="I25" s="303"/>
      <c r="J25" s="303"/>
      <c r="K25" s="303"/>
      <c r="L25" s="303"/>
      <c r="M25" s="303"/>
      <c r="N25" s="303"/>
      <c r="O25" s="303"/>
      <c r="P25" s="303"/>
      <c r="Q25" s="303"/>
      <c r="R25" s="303"/>
    </row>
    <row r="33" spans="1:18" ht="12" thickBot="1">
      <c r="A33" s="104" t="s">
        <v>397</v>
      </c>
      <c r="B33" s="104"/>
      <c r="C33" s="200"/>
      <c r="D33" s="200"/>
      <c r="E33" s="200"/>
      <c r="F33" s="200"/>
      <c r="G33" s="200"/>
      <c r="H33" s="201"/>
      <c r="I33" s="201"/>
      <c r="J33" s="201"/>
      <c r="K33" s="201"/>
      <c r="L33" s="201"/>
      <c r="M33" s="201"/>
      <c r="N33" s="201"/>
      <c r="O33" s="201"/>
      <c r="P33" s="201"/>
      <c r="Q33" s="201"/>
      <c r="R33" s="201"/>
    </row>
    <row r="34" spans="1:18" ht="12" thickBot="1">
      <c r="A34" s="270" t="s">
        <v>454</v>
      </c>
      <c r="B34" s="106"/>
      <c r="C34" s="106"/>
      <c r="D34" s="106"/>
      <c r="E34" s="106"/>
      <c r="F34" s="106"/>
      <c r="G34" s="106"/>
      <c r="H34" s="106"/>
      <c r="I34" s="106"/>
      <c r="J34" s="106"/>
      <c r="K34" s="106"/>
      <c r="L34" s="106"/>
      <c r="M34" s="106"/>
      <c r="N34" s="106"/>
      <c r="O34" s="106"/>
      <c r="P34" s="106"/>
      <c r="Q34" s="106"/>
      <c r="R34" s="106"/>
    </row>
    <row r="35" spans="1:18" ht="12" thickBot="1">
      <c r="A35" s="1510" t="s">
        <v>481</v>
      </c>
      <c r="B35" s="1515" t="s">
        <v>277</v>
      </c>
      <c r="C35" s="1512" t="s">
        <v>116</v>
      </c>
      <c r="D35" s="1513"/>
      <c r="E35" s="1513"/>
      <c r="F35" s="1513"/>
      <c r="G35" s="1513"/>
      <c r="H35" s="1513"/>
      <c r="I35" s="1514"/>
      <c r="J35" s="1512" t="s">
        <v>104</v>
      </c>
      <c r="K35" s="1513"/>
      <c r="L35" s="1513"/>
      <c r="M35" s="1513"/>
      <c r="N35" s="1514"/>
      <c r="O35" s="1512" t="s">
        <v>92</v>
      </c>
      <c r="P35" s="1514"/>
      <c r="Q35" s="1512" t="s">
        <v>0</v>
      </c>
      <c r="R35" s="1514"/>
    </row>
    <row r="36" spans="1:18" ht="160.5" thickBot="1">
      <c r="A36" s="1511"/>
      <c r="B36" s="1516"/>
      <c r="C36" s="202" t="s">
        <v>105</v>
      </c>
      <c r="D36" s="203" t="s">
        <v>106</v>
      </c>
      <c r="E36" s="203" t="s">
        <v>107</v>
      </c>
      <c r="F36" s="203" t="s">
        <v>108</v>
      </c>
      <c r="G36" s="203" t="s">
        <v>109</v>
      </c>
      <c r="H36" s="203" t="s">
        <v>110</v>
      </c>
      <c r="I36" s="204" t="s">
        <v>101</v>
      </c>
      <c r="J36" s="202" t="s">
        <v>111</v>
      </c>
      <c r="K36" s="203" t="s">
        <v>112</v>
      </c>
      <c r="L36" s="203" t="s">
        <v>113</v>
      </c>
      <c r="M36" s="203" t="s">
        <v>114</v>
      </c>
      <c r="N36" s="204" t="s">
        <v>102</v>
      </c>
      <c r="O36" s="202" t="s">
        <v>115</v>
      </c>
      <c r="P36" s="204" t="s">
        <v>103</v>
      </c>
      <c r="Q36" s="205" t="s">
        <v>139</v>
      </c>
      <c r="R36" s="206" t="s">
        <v>90</v>
      </c>
    </row>
    <row r="37" spans="1:18" ht="11.25">
      <c r="A37" s="1517" t="s">
        <v>483</v>
      </c>
      <c r="B37" s="265" t="s">
        <v>470</v>
      </c>
      <c r="C37" s="281"/>
      <c r="D37" s="296"/>
      <c r="E37" s="296"/>
      <c r="F37" s="296">
        <v>341007</v>
      </c>
      <c r="G37" s="296"/>
      <c r="H37" s="296">
        <v>284878</v>
      </c>
      <c r="I37" s="273">
        <f>SUM(C37:H37)</f>
        <v>625885</v>
      </c>
      <c r="J37" s="281"/>
      <c r="K37" s="296"/>
      <c r="L37" s="296"/>
      <c r="M37" s="296"/>
      <c r="N37" s="273">
        <f>SUM(J37:M37)</f>
        <v>0</v>
      </c>
      <c r="O37" s="281"/>
      <c r="P37" s="273">
        <f>SUM(O37)</f>
        <v>0</v>
      </c>
      <c r="Q37" s="272">
        <f>SUM(I37+N37+P37)</f>
        <v>625885</v>
      </c>
      <c r="R37" s="301">
        <f>+(Q37/$Q$49)*100</f>
        <v>17.03623396299137</v>
      </c>
    </row>
    <row r="38" spans="1:18" ht="11.25">
      <c r="A38" s="1518"/>
      <c r="B38" s="266" t="s">
        <v>471</v>
      </c>
      <c r="C38" s="276"/>
      <c r="D38" s="292"/>
      <c r="E38" s="292"/>
      <c r="F38" s="292">
        <v>44589</v>
      </c>
      <c r="G38" s="292"/>
      <c r="H38" s="292"/>
      <c r="I38" s="273">
        <f aca="true" t="shared" si="6" ref="I38:I48">SUM(C38:H38)</f>
        <v>44589</v>
      </c>
      <c r="J38" s="276"/>
      <c r="K38" s="292"/>
      <c r="L38" s="292"/>
      <c r="M38" s="292"/>
      <c r="N38" s="273">
        <f aca="true" t="shared" si="7" ref="N38:N48">SUM(J38:M38)</f>
        <v>0</v>
      </c>
      <c r="O38" s="276"/>
      <c r="P38" s="273">
        <f aca="true" t="shared" si="8" ref="P38:P48">SUM(O38)</f>
        <v>0</v>
      </c>
      <c r="Q38" s="272">
        <f aca="true" t="shared" si="9" ref="Q38:Q48">SUM(I38+N38+P38)</f>
        <v>44589</v>
      </c>
      <c r="R38" s="301">
        <f aca="true" t="shared" si="10" ref="R38:R48">+(Q38/$Q$49)*100</f>
        <v>1.2136872367540719</v>
      </c>
    </row>
    <row r="39" spans="1:18" ht="11.25">
      <c r="A39" s="1518"/>
      <c r="B39" s="266" t="s">
        <v>486</v>
      </c>
      <c r="C39" s="274"/>
      <c r="D39" s="291"/>
      <c r="E39" s="275"/>
      <c r="F39" s="275">
        <v>9521</v>
      </c>
      <c r="G39" s="275"/>
      <c r="H39" s="275"/>
      <c r="I39" s="273">
        <f t="shared" si="6"/>
        <v>9521</v>
      </c>
      <c r="J39" s="274"/>
      <c r="K39" s="291"/>
      <c r="L39" s="291"/>
      <c r="M39" s="291"/>
      <c r="N39" s="273">
        <f t="shared" si="7"/>
        <v>0</v>
      </c>
      <c r="O39" s="274"/>
      <c r="P39" s="273">
        <f t="shared" si="8"/>
        <v>0</v>
      </c>
      <c r="Q39" s="272">
        <f t="shared" si="9"/>
        <v>9521</v>
      </c>
      <c r="R39" s="301">
        <f t="shared" si="10"/>
        <v>0.2591562085073789</v>
      </c>
    </row>
    <row r="40" spans="1:18" ht="11.25">
      <c r="A40" s="1518"/>
      <c r="B40" s="266" t="s">
        <v>472</v>
      </c>
      <c r="C40" s="274"/>
      <c r="D40" s="291"/>
      <c r="E40" s="275"/>
      <c r="F40" s="275">
        <v>18376</v>
      </c>
      <c r="G40" s="275"/>
      <c r="H40" s="275"/>
      <c r="I40" s="273">
        <f t="shared" si="6"/>
        <v>18376</v>
      </c>
      <c r="J40" s="274"/>
      <c r="K40" s="291"/>
      <c r="L40" s="291"/>
      <c r="M40" s="291"/>
      <c r="N40" s="273">
        <f t="shared" si="7"/>
        <v>0</v>
      </c>
      <c r="O40" s="274"/>
      <c r="P40" s="273">
        <f t="shared" si="8"/>
        <v>0</v>
      </c>
      <c r="Q40" s="272">
        <f t="shared" si="9"/>
        <v>18376</v>
      </c>
      <c r="R40" s="301">
        <f t="shared" si="10"/>
        <v>0.5001842755521053</v>
      </c>
    </row>
    <row r="41" spans="1:18" ht="11.25">
      <c r="A41" s="1518"/>
      <c r="B41" s="266" t="s">
        <v>473</v>
      </c>
      <c r="C41" s="276"/>
      <c r="D41" s="292"/>
      <c r="E41" s="292"/>
      <c r="F41" s="292">
        <v>855401</v>
      </c>
      <c r="G41" s="292"/>
      <c r="H41" s="292"/>
      <c r="I41" s="273">
        <f t="shared" si="6"/>
        <v>855401</v>
      </c>
      <c r="J41" s="276"/>
      <c r="K41" s="292"/>
      <c r="L41" s="292"/>
      <c r="M41" s="292"/>
      <c r="N41" s="273">
        <f t="shared" si="7"/>
        <v>0</v>
      </c>
      <c r="O41" s="276"/>
      <c r="P41" s="273">
        <f t="shared" si="8"/>
        <v>0</v>
      </c>
      <c r="Q41" s="272">
        <f t="shared" si="9"/>
        <v>855401</v>
      </c>
      <c r="R41" s="301">
        <f t="shared" si="10"/>
        <v>23.283529031973575</v>
      </c>
    </row>
    <row r="42" spans="1:18" ht="11.25">
      <c r="A42" s="1518"/>
      <c r="B42" s="266" t="s">
        <v>474</v>
      </c>
      <c r="C42" s="276"/>
      <c r="D42" s="292"/>
      <c r="E42" s="292"/>
      <c r="F42" s="292">
        <v>50238</v>
      </c>
      <c r="G42" s="292"/>
      <c r="H42" s="292"/>
      <c r="I42" s="273">
        <f t="shared" si="6"/>
        <v>50238</v>
      </c>
      <c r="J42" s="276"/>
      <c r="K42" s="292"/>
      <c r="L42" s="292"/>
      <c r="M42" s="292"/>
      <c r="N42" s="273">
        <f t="shared" si="7"/>
        <v>0</v>
      </c>
      <c r="O42" s="276"/>
      <c r="P42" s="273">
        <f t="shared" si="8"/>
        <v>0</v>
      </c>
      <c r="Q42" s="272">
        <f t="shared" si="9"/>
        <v>50238</v>
      </c>
      <c r="R42" s="301">
        <f t="shared" si="10"/>
        <v>1.3674498060071107</v>
      </c>
    </row>
    <row r="43" spans="1:18" ht="11.25">
      <c r="A43" s="1518"/>
      <c r="B43" s="266" t="s">
        <v>475</v>
      </c>
      <c r="C43" s="276"/>
      <c r="D43" s="292"/>
      <c r="E43" s="292"/>
      <c r="F43" s="292">
        <v>203190</v>
      </c>
      <c r="G43" s="292"/>
      <c r="H43" s="292"/>
      <c r="I43" s="273">
        <f t="shared" si="6"/>
        <v>203190</v>
      </c>
      <c r="J43" s="276"/>
      <c r="K43" s="292"/>
      <c r="L43" s="292"/>
      <c r="M43" s="292"/>
      <c r="N43" s="273">
        <f t="shared" si="7"/>
        <v>0</v>
      </c>
      <c r="O43" s="276"/>
      <c r="P43" s="273">
        <f t="shared" si="8"/>
        <v>0</v>
      </c>
      <c r="Q43" s="272">
        <f t="shared" si="9"/>
        <v>203190</v>
      </c>
      <c r="R43" s="301">
        <f t="shared" si="10"/>
        <v>5.530716312006546</v>
      </c>
    </row>
    <row r="44" spans="1:18" ht="11.25">
      <c r="A44" s="1518"/>
      <c r="B44" s="267" t="s">
        <v>476</v>
      </c>
      <c r="C44" s="277"/>
      <c r="D44" s="293"/>
      <c r="E44" s="293"/>
      <c r="F44" s="293">
        <v>86917</v>
      </c>
      <c r="G44" s="293"/>
      <c r="H44" s="293"/>
      <c r="I44" s="273">
        <f t="shared" si="6"/>
        <v>86917</v>
      </c>
      <c r="J44" s="277"/>
      <c r="K44" s="293"/>
      <c r="L44" s="293"/>
      <c r="M44" s="293"/>
      <c r="N44" s="273">
        <f t="shared" si="7"/>
        <v>0</v>
      </c>
      <c r="O44" s="277"/>
      <c r="P44" s="273">
        <f t="shared" si="8"/>
        <v>0</v>
      </c>
      <c r="Q44" s="272">
        <f t="shared" si="9"/>
        <v>86917</v>
      </c>
      <c r="R44" s="301">
        <f t="shared" si="10"/>
        <v>2.365831338602652</v>
      </c>
    </row>
    <row r="45" spans="1:18" ht="11.25">
      <c r="A45" s="1518"/>
      <c r="B45" s="267" t="s">
        <v>477</v>
      </c>
      <c r="C45" s="277"/>
      <c r="D45" s="293"/>
      <c r="E45" s="293"/>
      <c r="F45" s="293">
        <v>100478</v>
      </c>
      <c r="G45" s="293"/>
      <c r="H45" s="293"/>
      <c r="I45" s="273">
        <f t="shared" si="6"/>
        <v>100478</v>
      </c>
      <c r="J45" s="277"/>
      <c r="K45" s="293"/>
      <c r="L45" s="293"/>
      <c r="M45" s="293"/>
      <c r="N45" s="273">
        <f t="shared" si="7"/>
        <v>0</v>
      </c>
      <c r="O45" s="277"/>
      <c r="P45" s="273">
        <f t="shared" si="8"/>
        <v>0</v>
      </c>
      <c r="Q45" s="272">
        <f t="shared" si="9"/>
        <v>100478</v>
      </c>
      <c r="R45" s="301">
        <f t="shared" si="10"/>
        <v>2.734954050877473</v>
      </c>
    </row>
    <row r="46" spans="1:18" ht="11.25">
      <c r="A46" s="1518"/>
      <c r="B46" s="267" t="s">
        <v>478</v>
      </c>
      <c r="C46" s="277"/>
      <c r="D46" s="293"/>
      <c r="E46" s="293"/>
      <c r="F46" s="293">
        <v>540186</v>
      </c>
      <c r="G46" s="293"/>
      <c r="H46" s="293"/>
      <c r="I46" s="273">
        <f t="shared" si="6"/>
        <v>540186</v>
      </c>
      <c r="J46" s="277"/>
      <c r="K46" s="293"/>
      <c r="L46" s="293"/>
      <c r="M46" s="293"/>
      <c r="N46" s="273">
        <f t="shared" si="7"/>
        <v>0</v>
      </c>
      <c r="O46" s="277"/>
      <c r="P46" s="273">
        <f t="shared" si="8"/>
        <v>0</v>
      </c>
      <c r="Q46" s="272">
        <f t="shared" si="9"/>
        <v>540186</v>
      </c>
      <c r="R46" s="301">
        <f t="shared" si="10"/>
        <v>14.703555892108705</v>
      </c>
    </row>
    <row r="47" spans="1:18" ht="11.25">
      <c r="A47" s="1518"/>
      <c r="B47" s="267" t="s">
        <v>479</v>
      </c>
      <c r="C47" s="277"/>
      <c r="D47" s="293"/>
      <c r="E47" s="293"/>
      <c r="F47" s="293">
        <v>523197</v>
      </c>
      <c r="G47" s="293"/>
      <c r="H47" s="293"/>
      <c r="I47" s="273">
        <f t="shared" si="6"/>
        <v>523197</v>
      </c>
      <c r="J47" s="277"/>
      <c r="K47" s="293"/>
      <c r="L47" s="293"/>
      <c r="M47" s="293"/>
      <c r="N47" s="273">
        <f t="shared" si="7"/>
        <v>0</v>
      </c>
      <c r="O47" s="277"/>
      <c r="P47" s="273">
        <f t="shared" si="8"/>
        <v>0</v>
      </c>
      <c r="Q47" s="272">
        <f t="shared" si="9"/>
        <v>523197</v>
      </c>
      <c r="R47" s="301">
        <f t="shared" si="10"/>
        <v>14.241124968221314</v>
      </c>
    </row>
    <row r="48" spans="1:18" ht="12" thickBot="1">
      <c r="A48" s="1519"/>
      <c r="B48" s="268" t="s">
        <v>487</v>
      </c>
      <c r="C48" s="277"/>
      <c r="D48" s="293"/>
      <c r="E48" s="293"/>
      <c r="F48" s="293">
        <v>615868</v>
      </c>
      <c r="G48" s="293"/>
      <c r="H48" s="293"/>
      <c r="I48" s="273">
        <f t="shared" si="6"/>
        <v>615868</v>
      </c>
      <c r="J48" s="277"/>
      <c r="K48" s="293"/>
      <c r="L48" s="293"/>
      <c r="M48" s="293"/>
      <c r="N48" s="273">
        <f t="shared" si="7"/>
        <v>0</v>
      </c>
      <c r="O48" s="277"/>
      <c r="P48" s="273">
        <f t="shared" si="8"/>
        <v>0</v>
      </c>
      <c r="Q48" s="272">
        <f t="shared" si="9"/>
        <v>615868</v>
      </c>
      <c r="R48" s="301">
        <f t="shared" si="10"/>
        <v>16.763576916397692</v>
      </c>
    </row>
    <row r="49" spans="1:18" ht="12" thickBot="1">
      <c r="A49" s="287"/>
      <c r="B49" s="269" t="s">
        <v>83</v>
      </c>
      <c r="C49" s="278">
        <v>0</v>
      </c>
      <c r="D49" s="278">
        <f aca="true" t="shared" si="11" ref="D49:R49">SUM(D37:D48)</f>
        <v>0</v>
      </c>
      <c r="E49" s="278">
        <f t="shared" si="11"/>
        <v>0</v>
      </c>
      <c r="F49" s="278">
        <f t="shared" si="11"/>
        <v>3388968</v>
      </c>
      <c r="G49" s="278">
        <f t="shared" si="11"/>
        <v>0</v>
      </c>
      <c r="H49" s="278">
        <f t="shared" si="11"/>
        <v>284878</v>
      </c>
      <c r="I49" s="279">
        <f t="shared" si="11"/>
        <v>3673846</v>
      </c>
      <c r="J49" s="278">
        <f t="shared" si="11"/>
        <v>0</v>
      </c>
      <c r="K49" s="278">
        <f t="shared" si="11"/>
        <v>0</v>
      </c>
      <c r="L49" s="278">
        <f t="shared" si="11"/>
        <v>0</v>
      </c>
      <c r="M49" s="278">
        <f t="shared" si="11"/>
        <v>0</v>
      </c>
      <c r="N49" s="279">
        <f t="shared" si="11"/>
        <v>0</v>
      </c>
      <c r="O49" s="278">
        <f t="shared" si="11"/>
        <v>0</v>
      </c>
      <c r="P49" s="279">
        <f t="shared" si="11"/>
        <v>0</v>
      </c>
      <c r="Q49" s="278">
        <f t="shared" si="11"/>
        <v>3673846</v>
      </c>
      <c r="R49" s="280">
        <f t="shared" si="11"/>
        <v>100</v>
      </c>
    </row>
    <row r="66" spans="1:18" ht="12" thickBot="1">
      <c r="A66" s="104" t="s">
        <v>397</v>
      </c>
      <c r="B66" s="104"/>
      <c r="C66" s="200"/>
      <c r="D66" s="200"/>
      <c r="E66" s="200"/>
      <c r="F66" s="200"/>
      <c r="G66" s="200"/>
      <c r="H66" s="201"/>
      <c r="I66" s="201"/>
      <c r="J66" s="201"/>
      <c r="K66" s="201"/>
      <c r="L66" s="201"/>
      <c r="M66" s="201"/>
      <c r="N66" s="201"/>
      <c r="O66" s="201"/>
      <c r="P66" s="201"/>
      <c r="Q66" s="201"/>
      <c r="R66" s="201"/>
    </row>
    <row r="67" spans="1:18" ht="12" thickBot="1">
      <c r="A67" s="270" t="s">
        <v>454</v>
      </c>
      <c r="B67" s="106"/>
      <c r="C67" s="106"/>
      <c r="D67" s="106"/>
      <c r="E67" s="106"/>
      <c r="F67" s="106"/>
      <c r="G67" s="106"/>
      <c r="H67" s="106"/>
      <c r="I67" s="106"/>
      <c r="J67" s="106"/>
      <c r="K67" s="106"/>
      <c r="L67" s="106"/>
      <c r="M67" s="106"/>
      <c r="N67" s="106"/>
      <c r="O67" s="106"/>
      <c r="P67" s="106"/>
      <c r="Q67" s="106"/>
      <c r="R67" s="106"/>
    </row>
    <row r="68" spans="1:18" ht="12" thickBot="1">
      <c r="A68" s="1510" t="s">
        <v>481</v>
      </c>
      <c r="B68" s="1515" t="s">
        <v>277</v>
      </c>
      <c r="C68" s="1512" t="s">
        <v>116</v>
      </c>
      <c r="D68" s="1513"/>
      <c r="E68" s="1513"/>
      <c r="F68" s="1513"/>
      <c r="G68" s="1513"/>
      <c r="H68" s="1513"/>
      <c r="I68" s="1514"/>
      <c r="J68" s="1512" t="s">
        <v>104</v>
      </c>
      <c r="K68" s="1513"/>
      <c r="L68" s="1513"/>
      <c r="M68" s="1513"/>
      <c r="N68" s="1514"/>
      <c r="O68" s="1512" t="s">
        <v>92</v>
      </c>
      <c r="P68" s="1514"/>
      <c r="Q68" s="1512" t="s">
        <v>0</v>
      </c>
      <c r="R68" s="1514"/>
    </row>
    <row r="69" spans="1:18" ht="157.5" customHeight="1" thickBot="1">
      <c r="A69" s="1511"/>
      <c r="B69" s="1516"/>
      <c r="C69" s="202" t="s">
        <v>105</v>
      </c>
      <c r="D69" s="203" t="s">
        <v>106</v>
      </c>
      <c r="E69" s="203" t="s">
        <v>107</v>
      </c>
      <c r="F69" s="203" t="s">
        <v>108</v>
      </c>
      <c r="G69" s="203" t="s">
        <v>109</v>
      </c>
      <c r="H69" s="203" t="s">
        <v>110</v>
      </c>
      <c r="I69" s="204" t="s">
        <v>101</v>
      </c>
      <c r="J69" s="202" t="s">
        <v>111</v>
      </c>
      <c r="K69" s="203" t="s">
        <v>112</v>
      </c>
      <c r="L69" s="203" t="s">
        <v>113</v>
      </c>
      <c r="M69" s="203" t="s">
        <v>114</v>
      </c>
      <c r="N69" s="204" t="s">
        <v>102</v>
      </c>
      <c r="O69" s="202" t="s">
        <v>115</v>
      </c>
      <c r="P69" s="204" t="s">
        <v>103</v>
      </c>
      <c r="Q69" s="205" t="s">
        <v>139</v>
      </c>
      <c r="R69" s="206" t="s">
        <v>90</v>
      </c>
    </row>
    <row r="70" spans="1:18" ht="11.25">
      <c r="A70" s="1517" t="s">
        <v>484</v>
      </c>
      <c r="B70" s="265" t="s">
        <v>470</v>
      </c>
      <c r="C70" s="281"/>
      <c r="D70" s="296"/>
      <c r="E70" s="296"/>
      <c r="F70" s="296"/>
      <c r="G70" s="296"/>
      <c r="H70" s="296"/>
      <c r="I70" s="273">
        <f>SUM(C70:H70)</f>
        <v>0</v>
      </c>
      <c r="J70" s="281"/>
      <c r="K70" s="296"/>
      <c r="L70" s="296"/>
      <c r="M70" s="296">
        <v>82455429</v>
      </c>
      <c r="N70" s="273">
        <f>SUM(J70:M70)</f>
        <v>82455429</v>
      </c>
      <c r="O70" s="281"/>
      <c r="P70" s="273">
        <f>SUM(O70)</f>
        <v>0</v>
      </c>
      <c r="Q70" s="272">
        <f>SUM(I70+N70+P70)</f>
        <v>82455429</v>
      </c>
      <c r="R70" s="301">
        <f>+(Q70/$Q$82)*100</f>
        <v>100</v>
      </c>
    </row>
    <row r="71" spans="1:18" ht="11.25">
      <c r="A71" s="1518"/>
      <c r="B71" s="266" t="s">
        <v>471</v>
      </c>
      <c r="C71" s="276"/>
      <c r="D71" s="292"/>
      <c r="E71" s="292"/>
      <c r="F71" s="292"/>
      <c r="G71" s="292"/>
      <c r="H71" s="292"/>
      <c r="I71" s="273">
        <f aca="true" t="shared" si="12" ref="I71:I81">SUM(C71:H71)</f>
        <v>0</v>
      </c>
      <c r="J71" s="276"/>
      <c r="K71" s="292"/>
      <c r="L71" s="292"/>
      <c r="M71" s="292"/>
      <c r="N71" s="273">
        <f aca="true" t="shared" si="13" ref="N71:N81">SUM(J71:M71)</f>
        <v>0</v>
      </c>
      <c r="O71" s="276"/>
      <c r="P71" s="273">
        <f aca="true" t="shared" si="14" ref="P71:P81">SUM(O71)</f>
        <v>0</v>
      </c>
      <c r="Q71" s="272">
        <f aca="true" t="shared" si="15" ref="Q71:Q81">SUM(I71+N71+P71)</f>
        <v>0</v>
      </c>
      <c r="R71" s="301">
        <f aca="true" t="shared" si="16" ref="R71:R81">+(Q71/$Q$82)*100</f>
        <v>0</v>
      </c>
    </row>
    <row r="72" spans="1:18" ht="11.25">
      <c r="A72" s="1518"/>
      <c r="B72" s="266" t="s">
        <v>486</v>
      </c>
      <c r="C72" s="274"/>
      <c r="D72" s="291"/>
      <c r="E72" s="275"/>
      <c r="F72" s="275"/>
      <c r="G72" s="275"/>
      <c r="H72" s="275"/>
      <c r="I72" s="273">
        <f t="shared" si="12"/>
        <v>0</v>
      </c>
      <c r="J72" s="274"/>
      <c r="K72" s="291"/>
      <c r="L72" s="291"/>
      <c r="M72" s="291"/>
      <c r="N72" s="273">
        <f t="shared" si="13"/>
        <v>0</v>
      </c>
      <c r="O72" s="274"/>
      <c r="P72" s="273">
        <f t="shared" si="14"/>
        <v>0</v>
      </c>
      <c r="Q72" s="272">
        <f t="shared" si="15"/>
        <v>0</v>
      </c>
      <c r="R72" s="301">
        <f t="shared" si="16"/>
        <v>0</v>
      </c>
    </row>
    <row r="73" spans="1:18" ht="11.25">
      <c r="A73" s="1518"/>
      <c r="B73" s="266" t="s">
        <v>472</v>
      </c>
      <c r="C73" s="274"/>
      <c r="D73" s="291"/>
      <c r="E73" s="275"/>
      <c r="F73" s="275"/>
      <c r="G73" s="275"/>
      <c r="H73" s="275"/>
      <c r="I73" s="273">
        <f t="shared" si="12"/>
        <v>0</v>
      </c>
      <c r="J73" s="274"/>
      <c r="K73" s="291"/>
      <c r="L73" s="291"/>
      <c r="M73" s="291"/>
      <c r="N73" s="273">
        <f t="shared" si="13"/>
        <v>0</v>
      </c>
      <c r="O73" s="274"/>
      <c r="P73" s="273">
        <f t="shared" si="14"/>
        <v>0</v>
      </c>
      <c r="Q73" s="272">
        <f t="shared" si="15"/>
        <v>0</v>
      </c>
      <c r="R73" s="301">
        <f t="shared" si="16"/>
        <v>0</v>
      </c>
    </row>
    <row r="74" spans="1:18" ht="11.25">
      <c r="A74" s="1518"/>
      <c r="B74" s="266" t="s">
        <v>473</v>
      </c>
      <c r="C74" s="276"/>
      <c r="D74" s="292"/>
      <c r="E74" s="292"/>
      <c r="F74" s="292"/>
      <c r="G74" s="292"/>
      <c r="H74" s="292"/>
      <c r="I74" s="273">
        <f t="shared" si="12"/>
        <v>0</v>
      </c>
      <c r="J74" s="276"/>
      <c r="K74" s="292"/>
      <c r="L74" s="292"/>
      <c r="M74" s="292"/>
      <c r="N74" s="273">
        <f t="shared" si="13"/>
        <v>0</v>
      </c>
      <c r="O74" s="276"/>
      <c r="P74" s="273">
        <f t="shared" si="14"/>
        <v>0</v>
      </c>
      <c r="Q74" s="272">
        <f t="shared" si="15"/>
        <v>0</v>
      </c>
      <c r="R74" s="301">
        <f t="shared" si="16"/>
        <v>0</v>
      </c>
    </row>
    <row r="75" spans="1:18" ht="11.25">
      <c r="A75" s="1518"/>
      <c r="B75" s="266" t="s">
        <v>474</v>
      </c>
      <c r="C75" s="276"/>
      <c r="D75" s="292"/>
      <c r="E75" s="292"/>
      <c r="F75" s="292"/>
      <c r="G75" s="292"/>
      <c r="H75" s="292"/>
      <c r="I75" s="273">
        <f t="shared" si="12"/>
        <v>0</v>
      </c>
      <c r="J75" s="276"/>
      <c r="K75" s="292"/>
      <c r="L75" s="292"/>
      <c r="M75" s="292"/>
      <c r="N75" s="273">
        <f t="shared" si="13"/>
        <v>0</v>
      </c>
      <c r="O75" s="276"/>
      <c r="P75" s="273">
        <f t="shared" si="14"/>
        <v>0</v>
      </c>
      <c r="Q75" s="272">
        <f t="shared" si="15"/>
        <v>0</v>
      </c>
      <c r="R75" s="301">
        <f t="shared" si="16"/>
        <v>0</v>
      </c>
    </row>
    <row r="76" spans="1:18" ht="11.25">
      <c r="A76" s="1518"/>
      <c r="B76" s="266" t="s">
        <v>475</v>
      </c>
      <c r="C76" s="276"/>
      <c r="D76" s="292"/>
      <c r="E76" s="292"/>
      <c r="F76" s="292"/>
      <c r="G76" s="292"/>
      <c r="H76" s="292"/>
      <c r="I76" s="273">
        <f t="shared" si="12"/>
        <v>0</v>
      </c>
      <c r="J76" s="276"/>
      <c r="K76" s="292"/>
      <c r="L76" s="292"/>
      <c r="M76" s="292"/>
      <c r="N76" s="273">
        <f t="shared" si="13"/>
        <v>0</v>
      </c>
      <c r="O76" s="276"/>
      <c r="P76" s="273">
        <f t="shared" si="14"/>
        <v>0</v>
      </c>
      <c r="Q76" s="272">
        <f t="shared" si="15"/>
        <v>0</v>
      </c>
      <c r="R76" s="301">
        <f t="shared" si="16"/>
        <v>0</v>
      </c>
    </row>
    <row r="77" spans="1:18" ht="11.25">
      <c r="A77" s="1518"/>
      <c r="B77" s="267" t="s">
        <v>476</v>
      </c>
      <c r="C77" s="277"/>
      <c r="D77" s="293"/>
      <c r="E77" s="293"/>
      <c r="F77" s="293"/>
      <c r="G77" s="293"/>
      <c r="H77" s="293"/>
      <c r="I77" s="273">
        <f t="shared" si="12"/>
        <v>0</v>
      </c>
      <c r="J77" s="277"/>
      <c r="K77" s="293"/>
      <c r="L77" s="293"/>
      <c r="M77" s="293"/>
      <c r="N77" s="273">
        <f t="shared" si="13"/>
        <v>0</v>
      </c>
      <c r="O77" s="277"/>
      <c r="P77" s="273">
        <f t="shared" si="14"/>
        <v>0</v>
      </c>
      <c r="Q77" s="272">
        <f t="shared" si="15"/>
        <v>0</v>
      </c>
      <c r="R77" s="301">
        <f t="shared" si="16"/>
        <v>0</v>
      </c>
    </row>
    <row r="78" spans="1:18" ht="11.25">
      <c r="A78" s="1518"/>
      <c r="B78" s="267" t="s">
        <v>477</v>
      </c>
      <c r="C78" s="277"/>
      <c r="D78" s="293"/>
      <c r="E78" s="293"/>
      <c r="F78" s="293"/>
      <c r="G78" s="293"/>
      <c r="H78" s="293"/>
      <c r="I78" s="273">
        <f t="shared" si="12"/>
        <v>0</v>
      </c>
      <c r="J78" s="277"/>
      <c r="K78" s="293"/>
      <c r="L78" s="293"/>
      <c r="M78" s="293"/>
      <c r="N78" s="273">
        <f t="shared" si="13"/>
        <v>0</v>
      </c>
      <c r="O78" s="277"/>
      <c r="P78" s="273">
        <f t="shared" si="14"/>
        <v>0</v>
      </c>
      <c r="Q78" s="272">
        <f t="shared" si="15"/>
        <v>0</v>
      </c>
      <c r="R78" s="301">
        <f t="shared" si="16"/>
        <v>0</v>
      </c>
    </row>
    <row r="79" spans="1:18" ht="11.25">
      <c r="A79" s="1518"/>
      <c r="B79" s="267" t="s">
        <v>478</v>
      </c>
      <c r="C79" s="277"/>
      <c r="D79" s="293"/>
      <c r="E79" s="293"/>
      <c r="F79" s="293"/>
      <c r="G79" s="293"/>
      <c r="H79" s="293"/>
      <c r="I79" s="273">
        <f t="shared" si="12"/>
        <v>0</v>
      </c>
      <c r="J79" s="277"/>
      <c r="K79" s="293"/>
      <c r="L79" s="293"/>
      <c r="M79" s="293"/>
      <c r="N79" s="273">
        <f t="shared" si="13"/>
        <v>0</v>
      </c>
      <c r="O79" s="277"/>
      <c r="P79" s="273">
        <f t="shared" si="14"/>
        <v>0</v>
      </c>
      <c r="Q79" s="272">
        <f t="shared" si="15"/>
        <v>0</v>
      </c>
      <c r="R79" s="301">
        <f t="shared" si="16"/>
        <v>0</v>
      </c>
    </row>
    <row r="80" spans="1:18" ht="11.25">
      <c r="A80" s="1518"/>
      <c r="B80" s="267" t="s">
        <v>479</v>
      </c>
      <c r="C80" s="277"/>
      <c r="D80" s="293"/>
      <c r="E80" s="293"/>
      <c r="F80" s="293"/>
      <c r="G80" s="293"/>
      <c r="H80" s="293"/>
      <c r="I80" s="273">
        <f t="shared" si="12"/>
        <v>0</v>
      </c>
      <c r="J80" s="277"/>
      <c r="K80" s="293"/>
      <c r="L80" s="293"/>
      <c r="M80" s="293"/>
      <c r="N80" s="273">
        <f t="shared" si="13"/>
        <v>0</v>
      </c>
      <c r="O80" s="277"/>
      <c r="P80" s="273">
        <f t="shared" si="14"/>
        <v>0</v>
      </c>
      <c r="Q80" s="272">
        <f t="shared" si="15"/>
        <v>0</v>
      </c>
      <c r="R80" s="301">
        <f t="shared" si="16"/>
        <v>0</v>
      </c>
    </row>
    <row r="81" spans="1:18" ht="16.5" customHeight="1" thickBot="1">
      <c r="A81" s="1519"/>
      <c r="B81" s="268" t="s">
        <v>480</v>
      </c>
      <c r="C81" s="277"/>
      <c r="D81" s="293"/>
      <c r="E81" s="293"/>
      <c r="F81" s="293"/>
      <c r="G81" s="293"/>
      <c r="H81" s="293"/>
      <c r="I81" s="273">
        <f t="shared" si="12"/>
        <v>0</v>
      </c>
      <c r="J81" s="277"/>
      <c r="K81" s="293"/>
      <c r="L81" s="293"/>
      <c r="M81" s="293"/>
      <c r="N81" s="273">
        <f t="shared" si="13"/>
        <v>0</v>
      </c>
      <c r="O81" s="277"/>
      <c r="P81" s="273">
        <f t="shared" si="14"/>
        <v>0</v>
      </c>
      <c r="Q81" s="272">
        <f t="shared" si="15"/>
        <v>0</v>
      </c>
      <c r="R81" s="301">
        <f t="shared" si="16"/>
        <v>0</v>
      </c>
    </row>
    <row r="82" spans="1:18" ht="12" thickBot="1">
      <c r="A82" s="287"/>
      <c r="B82" s="269" t="s">
        <v>83</v>
      </c>
      <c r="C82" s="278">
        <f aca="true" t="shared" si="17" ref="C82:R82">SUM(C70:C81)</f>
        <v>0</v>
      </c>
      <c r="D82" s="278">
        <f t="shared" si="17"/>
        <v>0</v>
      </c>
      <c r="E82" s="278">
        <f t="shared" si="17"/>
        <v>0</v>
      </c>
      <c r="F82" s="278">
        <f t="shared" si="17"/>
        <v>0</v>
      </c>
      <c r="G82" s="278">
        <f t="shared" si="17"/>
        <v>0</v>
      </c>
      <c r="H82" s="278">
        <f t="shared" si="17"/>
        <v>0</v>
      </c>
      <c r="I82" s="279">
        <f t="shared" si="17"/>
        <v>0</v>
      </c>
      <c r="J82" s="278">
        <f t="shared" si="17"/>
        <v>0</v>
      </c>
      <c r="K82" s="278">
        <f t="shared" si="17"/>
        <v>0</v>
      </c>
      <c r="L82" s="278">
        <f t="shared" si="17"/>
        <v>0</v>
      </c>
      <c r="M82" s="278">
        <f t="shared" si="17"/>
        <v>82455429</v>
      </c>
      <c r="N82" s="279">
        <f t="shared" si="17"/>
        <v>82455429</v>
      </c>
      <c r="O82" s="278">
        <f t="shared" si="17"/>
        <v>0</v>
      </c>
      <c r="P82" s="279">
        <f t="shared" si="17"/>
        <v>0</v>
      </c>
      <c r="Q82" s="278">
        <f t="shared" si="17"/>
        <v>82455429</v>
      </c>
      <c r="R82" s="280">
        <f t="shared" si="17"/>
        <v>100</v>
      </c>
    </row>
    <row r="99" spans="1:18" ht="12" thickBot="1">
      <c r="A99" s="104" t="s">
        <v>397</v>
      </c>
      <c r="B99" s="104"/>
      <c r="C99" s="200"/>
      <c r="D99" s="200"/>
      <c r="E99" s="200"/>
      <c r="F99" s="200"/>
      <c r="G99" s="200"/>
      <c r="H99" s="201"/>
      <c r="I99" s="201"/>
      <c r="J99" s="201"/>
      <c r="K99" s="201"/>
      <c r="L99" s="201"/>
      <c r="M99" s="201"/>
      <c r="N99" s="201"/>
      <c r="O99" s="201"/>
      <c r="P99" s="201"/>
      <c r="Q99" s="201"/>
      <c r="R99" s="201"/>
    </row>
    <row r="100" spans="1:18" ht="12" thickBot="1">
      <c r="A100" s="270" t="s">
        <v>454</v>
      </c>
      <c r="B100" s="106"/>
      <c r="C100" s="106"/>
      <c r="D100" s="106"/>
      <c r="E100" s="106"/>
      <c r="F100" s="106"/>
      <c r="G100" s="106"/>
      <c r="H100" s="106"/>
      <c r="I100" s="106"/>
      <c r="J100" s="106"/>
      <c r="K100" s="106"/>
      <c r="L100" s="106"/>
      <c r="M100" s="106"/>
      <c r="N100" s="106"/>
      <c r="O100" s="106"/>
      <c r="P100" s="106"/>
      <c r="Q100" s="106"/>
      <c r="R100" s="106"/>
    </row>
    <row r="101" spans="1:18" ht="12" thickBot="1">
      <c r="A101" s="1510" t="s">
        <v>481</v>
      </c>
      <c r="B101" s="1515" t="s">
        <v>277</v>
      </c>
      <c r="C101" s="1512" t="s">
        <v>116</v>
      </c>
      <c r="D101" s="1513"/>
      <c r="E101" s="1513"/>
      <c r="F101" s="1513"/>
      <c r="G101" s="1513"/>
      <c r="H101" s="1513"/>
      <c r="I101" s="1514"/>
      <c r="J101" s="1512" t="s">
        <v>104</v>
      </c>
      <c r="K101" s="1513"/>
      <c r="L101" s="1513"/>
      <c r="M101" s="1513"/>
      <c r="N101" s="1514"/>
      <c r="O101" s="1512" t="s">
        <v>92</v>
      </c>
      <c r="P101" s="1514"/>
      <c r="Q101" s="1512" t="s">
        <v>0</v>
      </c>
      <c r="R101" s="1514"/>
    </row>
    <row r="102" spans="1:18" ht="131.25" thickBot="1">
      <c r="A102" s="1511"/>
      <c r="B102" s="1516"/>
      <c r="C102" s="202" t="s">
        <v>105</v>
      </c>
      <c r="D102" s="203" t="s">
        <v>106</v>
      </c>
      <c r="E102" s="203" t="s">
        <v>107</v>
      </c>
      <c r="F102" s="203" t="s">
        <v>108</v>
      </c>
      <c r="G102" s="203" t="s">
        <v>109</v>
      </c>
      <c r="H102" s="203" t="s">
        <v>110</v>
      </c>
      <c r="I102" s="204" t="s">
        <v>101</v>
      </c>
      <c r="J102" s="202" t="s">
        <v>111</v>
      </c>
      <c r="K102" s="203" t="s">
        <v>112</v>
      </c>
      <c r="L102" s="203" t="s">
        <v>113</v>
      </c>
      <c r="M102" s="203" t="s">
        <v>114</v>
      </c>
      <c r="N102" s="204" t="s">
        <v>102</v>
      </c>
      <c r="O102" s="202" t="s">
        <v>115</v>
      </c>
      <c r="P102" s="204" t="s">
        <v>103</v>
      </c>
      <c r="Q102" s="205" t="s">
        <v>139</v>
      </c>
      <c r="R102" s="206" t="s">
        <v>90</v>
      </c>
    </row>
    <row r="103" spans="1:18" ht="11.25">
      <c r="A103" s="1517" t="s">
        <v>485</v>
      </c>
      <c r="B103" s="265" t="s">
        <v>470</v>
      </c>
      <c r="C103" s="272"/>
      <c r="D103" s="288"/>
      <c r="E103" s="288"/>
      <c r="F103" s="288"/>
      <c r="G103" s="288"/>
      <c r="H103" s="288"/>
      <c r="I103" s="273">
        <f>SUM(C103:H103)</f>
        <v>0</v>
      </c>
      <c r="J103" s="272"/>
      <c r="K103" s="288"/>
      <c r="L103" s="288"/>
      <c r="M103" s="288"/>
      <c r="N103" s="273">
        <f>SUM(J103:M103)</f>
        <v>0</v>
      </c>
      <c r="O103" s="272"/>
      <c r="P103" s="273">
        <f>SUM(O103)</f>
        <v>0</v>
      </c>
      <c r="Q103" s="272">
        <f>SUM(I103+N103+P103)</f>
        <v>0</v>
      </c>
      <c r="R103" s="301">
        <f>+(Q103/$Q$115)*100</f>
        <v>0</v>
      </c>
    </row>
    <row r="104" spans="1:18" ht="11.25">
      <c r="A104" s="1518"/>
      <c r="B104" s="266" t="s">
        <v>471</v>
      </c>
      <c r="C104" s="289"/>
      <c r="D104" s="290"/>
      <c r="E104" s="290"/>
      <c r="F104" s="290"/>
      <c r="G104" s="290"/>
      <c r="H104" s="290"/>
      <c r="I104" s="273">
        <f aca="true" t="shared" si="18" ref="I104:I114">SUM(C104:H104)</f>
        <v>0</v>
      </c>
      <c r="J104" s="289"/>
      <c r="K104" s="290"/>
      <c r="L104" s="290"/>
      <c r="M104" s="290"/>
      <c r="N104" s="273">
        <f aca="true" t="shared" si="19" ref="N104:N114">SUM(J104:M104)</f>
        <v>0</v>
      </c>
      <c r="O104" s="289"/>
      <c r="P104" s="273">
        <f aca="true" t="shared" si="20" ref="P104:P114">SUM(O104)</f>
        <v>0</v>
      </c>
      <c r="Q104" s="272">
        <f aca="true" t="shared" si="21" ref="Q104:Q114">SUM(I104+N104+P104)</f>
        <v>0</v>
      </c>
      <c r="R104" s="301">
        <f aca="true" t="shared" si="22" ref="R104:R114">+(Q104/$Q$115)*100</f>
        <v>0</v>
      </c>
    </row>
    <row r="105" spans="1:18" ht="11.25">
      <c r="A105" s="1518"/>
      <c r="B105" s="266" t="s">
        <v>486</v>
      </c>
      <c r="C105" s="274"/>
      <c r="D105" s="291"/>
      <c r="E105" s="275"/>
      <c r="F105" s="275"/>
      <c r="G105" s="275"/>
      <c r="H105" s="275"/>
      <c r="I105" s="273">
        <f t="shared" si="18"/>
        <v>0</v>
      </c>
      <c r="J105" s="274"/>
      <c r="K105" s="291"/>
      <c r="L105" s="291"/>
      <c r="M105" s="291"/>
      <c r="N105" s="273">
        <f t="shared" si="19"/>
        <v>0</v>
      </c>
      <c r="O105" s="274"/>
      <c r="P105" s="273">
        <f t="shared" si="20"/>
        <v>0</v>
      </c>
      <c r="Q105" s="272">
        <f t="shared" si="21"/>
        <v>0</v>
      </c>
      <c r="R105" s="301">
        <f t="shared" si="22"/>
        <v>0</v>
      </c>
    </row>
    <row r="106" spans="1:18" ht="11.25">
      <c r="A106" s="1518"/>
      <c r="B106" s="266" t="s">
        <v>472</v>
      </c>
      <c r="C106" s="274"/>
      <c r="D106" s="291"/>
      <c r="E106" s="275"/>
      <c r="F106" s="275"/>
      <c r="G106" s="275"/>
      <c r="H106" s="275"/>
      <c r="I106" s="273">
        <f t="shared" si="18"/>
        <v>0</v>
      </c>
      <c r="J106" s="274"/>
      <c r="K106" s="291"/>
      <c r="L106" s="291"/>
      <c r="M106" s="291"/>
      <c r="N106" s="273">
        <f t="shared" si="19"/>
        <v>0</v>
      </c>
      <c r="O106" s="274"/>
      <c r="P106" s="273">
        <f t="shared" si="20"/>
        <v>0</v>
      </c>
      <c r="Q106" s="272">
        <f t="shared" si="21"/>
        <v>0</v>
      </c>
      <c r="R106" s="301">
        <f t="shared" si="22"/>
        <v>0</v>
      </c>
    </row>
    <row r="107" spans="1:18" ht="11.25">
      <c r="A107" s="1518"/>
      <c r="B107" s="266" t="s">
        <v>473</v>
      </c>
      <c r="C107" s="289"/>
      <c r="D107" s="290"/>
      <c r="E107" s="290"/>
      <c r="F107" s="290"/>
      <c r="G107" s="290"/>
      <c r="H107" s="290"/>
      <c r="I107" s="273">
        <f t="shared" si="18"/>
        <v>0</v>
      </c>
      <c r="J107" s="289"/>
      <c r="K107" s="290"/>
      <c r="L107" s="290"/>
      <c r="M107" s="290"/>
      <c r="N107" s="273">
        <f t="shared" si="19"/>
        <v>0</v>
      </c>
      <c r="O107" s="289"/>
      <c r="P107" s="273">
        <f t="shared" si="20"/>
        <v>0</v>
      </c>
      <c r="Q107" s="272">
        <f t="shared" si="21"/>
        <v>0</v>
      </c>
      <c r="R107" s="301">
        <f t="shared" si="22"/>
        <v>0</v>
      </c>
    </row>
    <row r="108" spans="1:18" ht="11.25">
      <c r="A108" s="1518"/>
      <c r="B108" s="266" t="s">
        <v>474</v>
      </c>
      <c r="C108" s="276"/>
      <c r="D108" s="292"/>
      <c r="E108" s="292"/>
      <c r="F108" s="292"/>
      <c r="G108" s="292"/>
      <c r="H108" s="292"/>
      <c r="I108" s="273">
        <f t="shared" si="18"/>
        <v>0</v>
      </c>
      <c r="J108" s="276"/>
      <c r="K108" s="292"/>
      <c r="L108" s="292"/>
      <c r="M108" s="292"/>
      <c r="N108" s="273">
        <f t="shared" si="19"/>
        <v>0</v>
      </c>
      <c r="O108" s="276"/>
      <c r="P108" s="273">
        <f t="shared" si="20"/>
        <v>0</v>
      </c>
      <c r="Q108" s="272">
        <f t="shared" si="21"/>
        <v>0</v>
      </c>
      <c r="R108" s="301">
        <f t="shared" si="22"/>
        <v>0</v>
      </c>
    </row>
    <row r="109" spans="1:18" ht="11.25">
      <c r="A109" s="1518"/>
      <c r="B109" s="266" t="s">
        <v>475</v>
      </c>
      <c r="C109" s="276"/>
      <c r="D109" s="292"/>
      <c r="E109" s="292"/>
      <c r="F109" s="292"/>
      <c r="G109" s="292"/>
      <c r="H109" s="292"/>
      <c r="I109" s="273">
        <f t="shared" si="18"/>
        <v>0</v>
      </c>
      <c r="J109" s="276"/>
      <c r="K109" s="292"/>
      <c r="L109" s="292"/>
      <c r="M109" s="292"/>
      <c r="N109" s="273">
        <f t="shared" si="19"/>
        <v>0</v>
      </c>
      <c r="O109" s="276"/>
      <c r="P109" s="273">
        <f t="shared" si="20"/>
        <v>0</v>
      </c>
      <c r="Q109" s="272">
        <f t="shared" si="21"/>
        <v>0</v>
      </c>
      <c r="R109" s="301">
        <f t="shared" si="22"/>
        <v>0</v>
      </c>
    </row>
    <row r="110" spans="1:18" ht="11.25">
      <c r="A110" s="1518"/>
      <c r="B110" s="267" t="s">
        <v>476</v>
      </c>
      <c r="C110" s="277"/>
      <c r="D110" s="293"/>
      <c r="E110" s="293"/>
      <c r="F110" s="293"/>
      <c r="G110" s="293"/>
      <c r="H110" s="293"/>
      <c r="I110" s="273">
        <f t="shared" si="18"/>
        <v>0</v>
      </c>
      <c r="J110" s="277"/>
      <c r="K110" s="293"/>
      <c r="L110" s="293"/>
      <c r="M110" s="293"/>
      <c r="N110" s="273">
        <f t="shared" si="19"/>
        <v>0</v>
      </c>
      <c r="O110" s="277"/>
      <c r="P110" s="273">
        <f t="shared" si="20"/>
        <v>0</v>
      </c>
      <c r="Q110" s="272">
        <f t="shared" si="21"/>
        <v>0</v>
      </c>
      <c r="R110" s="301">
        <f t="shared" si="22"/>
        <v>0</v>
      </c>
    </row>
    <row r="111" spans="1:18" ht="11.25">
      <c r="A111" s="1518"/>
      <c r="B111" s="267" t="s">
        <v>477</v>
      </c>
      <c r="C111" s="277"/>
      <c r="D111" s="293"/>
      <c r="E111" s="293"/>
      <c r="F111" s="293"/>
      <c r="G111" s="293"/>
      <c r="H111" s="293"/>
      <c r="I111" s="273">
        <f t="shared" si="18"/>
        <v>0</v>
      </c>
      <c r="J111" s="277"/>
      <c r="K111" s="293"/>
      <c r="L111" s="293"/>
      <c r="M111" s="293"/>
      <c r="N111" s="273">
        <f t="shared" si="19"/>
        <v>0</v>
      </c>
      <c r="O111" s="277"/>
      <c r="P111" s="273">
        <f t="shared" si="20"/>
        <v>0</v>
      </c>
      <c r="Q111" s="272">
        <f t="shared" si="21"/>
        <v>0</v>
      </c>
      <c r="R111" s="301">
        <f t="shared" si="22"/>
        <v>0</v>
      </c>
    </row>
    <row r="112" spans="1:18" ht="11.25">
      <c r="A112" s="1518"/>
      <c r="B112" s="267" t="s">
        <v>478</v>
      </c>
      <c r="C112" s="277"/>
      <c r="D112" s="293"/>
      <c r="E112" s="293"/>
      <c r="F112" s="293">
        <v>188820</v>
      </c>
      <c r="G112" s="293"/>
      <c r="H112" s="293"/>
      <c r="I112" s="273">
        <f t="shared" si="18"/>
        <v>188820</v>
      </c>
      <c r="J112" s="277"/>
      <c r="K112" s="293"/>
      <c r="L112" s="293"/>
      <c r="M112" s="293"/>
      <c r="N112" s="273">
        <f t="shared" si="19"/>
        <v>0</v>
      </c>
      <c r="O112" s="277"/>
      <c r="P112" s="273">
        <f t="shared" si="20"/>
        <v>0</v>
      </c>
      <c r="Q112" s="272">
        <f t="shared" si="21"/>
        <v>188820</v>
      </c>
      <c r="R112" s="301">
        <f t="shared" si="22"/>
        <v>39.99983052714531</v>
      </c>
    </row>
    <row r="113" spans="1:18" ht="11.25">
      <c r="A113" s="1518"/>
      <c r="B113" s="267" t="s">
        <v>479</v>
      </c>
      <c r="C113" s="277"/>
      <c r="D113" s="293"/>
      <c r="E113" s="293"/>
      <c r="F113" s="293">
        <v>141616</v>
      </c>
      <c r="G113" s="293"/>
      <c r="H113" s="293"/>
      <c r="I113" s="273">
        <f t="shared" si="18"/>
        <v>141616</v>
      </c>
      <c r="J113" s="277"/>
      <c r="K113" s="293"/>
      <c r="L113" s="293"/>
      <c r="M113" s="293"/>
      <c r="N113" s="273">
        <f t="shared" si="19"/>
        <v>0</v>
      </c>
      <c r="O113" s="277"/>
      <c r="P113" s="273">
        <f t="shared" si="20"/>
        <v>0</v>
      </c>
      <c r="Q113" s="272">
        <f t="shared" si="21"/>
        <v>141616</v>
      </c>
      <c r="R113" s="301">
        <f t="shared" si="22"/>
        <v>30.00008473642734</v>
      </c>
    </row>
    <row r="114" spans="1:18" ht="12" thickBot="1">
      <c r="A114" s="1519"/>
      <c r="B114" s="268" t="s">
        <v>487</v>
      </c>
      <c r="C114" s="294"/>
      <c r="D114" s="295"/>
      <c r="E114" s="295"/>
      <c r="F114" s="293">
        <v>141616</v>
      </c>
      <c r="G114" s="295"/>
      <c r="H114" s="295"/>
      <c r="I114" s="273">
        <f t="shared" si="18"/>
        <v>141616</v>
      </c>
      <c r="J114" s="294"/>
      <c r="K114" s="295"/>
      <c r="L114" s="295"/>
      <c r="M114" s="295"/>
      <c r="N114" s="273">
        <f t="shared" si="19"/>
        <v>0</v>
      </c>
      <c r="O114" s="294"/>
      <c r="P114" s="273">
        <f t="shared" si="20"/>
        <v>0</v>
      </c>
      <c r="Q114" s="272">
        <f t="shared" si="21"/>
        <v>141616</v>
      </c>
      <c r="R114" s="301">
        <f t="shared" si="22"/>
        <v>30.00008473642734</v>
      </c>
    </row>
    <row r="115" spans="1:18" ht="12" thickBot="1">
      <c r="A115" s="271"/>
      <c r="B115" s="269" t="s">
        <v>83</v>
      </c>
      <c r="C115" s="278">
        <f aca="true" t="shared" si="23" ref="C115:R115">SUM(C103:C114)</f>
        <v>0</v>
      </c>
      <c r="D115" s="278">
        <f t="shared" si="23"/>
        <v>0</v>
      </c>
      <c r="E115" s="278">
        <f t="shared" si="23"/>
        <v>0</v>
      </c>
      <c r="F115" s="278">
        <f t="shared" si="23"/>
        <v>472052</v>
      </c>
      <c r="G115" s="278">
        <f t="shared" si="23"/>
        <v>0</v>
      </c>
      <c r="H115" s="278">
        <f t="shared" si="23"/>
        <v>0</v>
      </c>
      <c r="I115" s="279">
        <f t="shared" si="23"/>
        <v>472052</v>
      </c>
      <c r="J115" s="278">
        <f t="shared" si="23"/>
        <v>0</v>
      </c>
      <c r="K115" s="278">
        <f t="shared" si="23"/>
        <v>0</v>
      </c>
      <c r="L115" s="278">
        <f t="shared" si="23"/>
        <v>0</v>
      </c>
      <c r="M115" s="278">
        <f t="shared" si="23"/>
        <v>0</v>
      </c>
      <c r="N115" s="279">
        <f t="shared" si="23"/>
        <v>0</v>
      </c>
      <c r="O115" s="278">
        <f t="shared" si="23"/>
        <v>0</v>
      </c>
      <c r="P115" s="279">
        <f t="shared" si="23"/>
        <v>0</v>
      </c>
      <c r="Q115" s="278">
        <f t="shared" si="23"/>
        <v>472052</v>
      </c>
      <c r="R115" s="280">
        <f t="shared" si="23"/>
        <v>100</v>
      </c>
    </row>
    <row r="132" spans="1:18" ht="12" thickBot="1">
      <c r="A132" s="104" t="s">
        <v>397</v>
      </c>
      <c r="B132" s="104"/>
      <c r="C132" s="200"/>
      <c r="D132" s="200"/>
      <c r="E132" s="200"/>
      <c r="F132" s="200"/>
      <c r="G132" s="200"/>
      <c r="H132" s="201"/>
      <c r="I132" s="201"/>
      <c r="J132" s="201"/>
      <c r="K132" s="201"/>
      <c r="L132" s="201"/>
      <c r="M132" s="201"/>
      <c r="N132" s="201"/>
      <c r="O132" s="201"/>
      <c r="P132" s="201"/>
      <c r="Q132" s="201"/>
      <c r="R132" s="201"/>
    </row>
    <row r="133" spans="1:18" ht="12" thickBot="1">
      <c r="A133" s="270" t="s">
        <v>454</v>
      </c>
      <c r="B133" s="106"/>
      <c r="C133" s="106"/>
      <c r="D133" s="106"/>
      <c r="E133" s="106"/>
      <c r="F133" s="106"/>
      <c r="G133" s="106"/>
      <c r="H133" s="106"/>
      <c r="I133" s="106"/>
      <c r="J133" s="106"/>
      <c r="K133" s="106"/>
      <c r="L133" s="106"/>
      <c r="M133" s="106"/>
      <c r="N133" s="106"/>
      <c r="O133" s="106"/>
      <c r="P133" s="106"/>
      <c r="Q133" s="106"/>
      <c r="R133" s="106"/>
    </row>
    <row r="134" spans="1:18" ht="12" thickBot="1">
      <c r="A134" s="1510" t="s">
        <v>481</v>
      </c>
      <c r="B134" s="1515" t="s">
        <v>277</v>
      </c>
      <c r="C134" s="1512" t="s">
        <v>116</v>
      </c>
      <c r="D134" s="1513"/>
      <c r="E134" s="1513"/>
      <c r="F134" s="1513"/>
      <c r="G134" s="1513"/>
      <c r="H134" s="1513"/>
      <c r="I134" s="1514"/>
      <c r="J134" s="1512" t="s">
        <v>104</v>
      </c>
      <c r="K134" s="1513"/>
      <c r="L134" s="1513"/>
      <c r="M134" s="1513"/>
      <c r="N134" s="1514"/>
      <c r="O134" s="1512" t="s">
        <v>92</v>
      </c>
      <c r="P134" s="1514"/>
      <c r="Q134" s="1512" t="s">
        <v>0</v>
      </c>
      <c r="R134" s="1514"/>
    </row>
    <row r="135" spans="1:18" ht="131.25" thickBot="1">
      <c r="A135" s="1511"/>
      <c r="B135" s="1516"/>
      <c r="C135" s="202" t="s">
        <v>105</v>
      </c>
      <c r="D135" s="203" t="s">
        <v>106</v>
      </c>
      <c r="E135" s="203" t="s">
        <v>107</v>
      </c>
      <c r="F135" s="203" t="s">
        <v>108</v>
      </c>
      <c r="G135" s="203" t="s">
        <v>109</v>
      </c>
      <c r="H135" s="203" t="s">
        <v>110</v>
      </c>
      <c r="I135" s="204" t="s">
        <v>101</v>
      </c>
      <c r="J135" s="202" t="s">
        <v>111</v>
      </c>
      <c r="K135" s="203" t="s">
        <v>112</v>
      </c>
      <c r="L135" s="203" t="s">
        <v>113</v>
      </c>
      <c r="M135" s="203" t="s">
        <v>114</v>
      </c>
      <c r="N135" s="204" t="s">
        <v>102</v>
      </c>
      <c r="O135" s="202" t="s">
        <v>115</v>
      </c>
      <c r="P135" s="204" t="s">
        <v>103</v>
      </c>
      <c r="Q135" s="205" t="s">
        <v>139</v>
      </c>
      <c r="R135" s="206" t="s">
        <v>90</v>
      </c>
    </row>
    <row r="136" spans="1:18" ht="11.25">
      <c r="A136" s="1517" t="s">
        <v>37</v>
      </c>
      <c r="B136" s="265" t="s">
        <v>470</v>
      </c>
      <c r="C136" s="281"/>
      <c r="D136" s="296"/>
      <c r="E136" s="296"/>
      <c r="F136" s="296">
        <v>2547538</v>
      </c>
      <c r="G136" s="296"/>
      <c r="H136" s="296"/>
      <c r="I136" s="273">
        <f>SUM(C136:H136)</f>
        <v>2547538</v>
      </c>
      <c r="J136" s="281"/>
      <c r="K136" s="296"/>
      <c r="L136" s="296">
        <v>8248012</v>
      </c>
      <c r="M136" s="296"/>
      <c r="N136" s="273">
        <f>SUM(J136:M136)</f>
        <v>8248012</v>
      </c>
      <c r="O136" s="281">
        <v>4062088</v>
      </c>
      <c r="P136" s="273">
        <f>SUM(O136)</f>
        <v>4062088</v>
      </c>
      <c r="Q136" s="272">
        <f>SUM(I136+N136+P136)</f>
        <v>14857638</v>
      </c>
      <c r="R136" s="301">
        <f>+(Q136/$Q$148)*100</f>
        <v>100</v>
      </c>
    </row>
    <row r="137" spans="1:18" ht="11.25">
      <c r="A137" s="1518"/>
      <c r="B137" s="266" t="s">
        <v>471</v>
      </c>
      <c r="C137" s="276"/>
      <c r="D137" s="292"/>
      <c r="E137" s="292"/>
      <c r="F137" s="292"/>
      <c r="G137" s="292"/>
      <c r="H137" s="292"/>
      <c r="I137" s="273">
        <f aca="true" t="shared" si="24" ref="I137:I147">SUM(C137:H137)</f>
        <v>0</v>
      </c>
      <c r="J137" s="276"/>
      <c r="K137" s="292"/>
      <c r="L137" s="292"/>
      <c r="M137" s="292"/>
      <c r="N137" s="273">
        <f aca="true" t="shared" si="25" ref="N137:N147">SUM(J137:M137)</f>
        <v>0</v>
      </c>
      <c r="O137" s="276"/>
      <c r="P137" s="273">
        <f aca="true" t="shared" si="26" ref="P137:P147">SUM(O137)</f>
        <v>0</v>
      </c>
      <c r="Q137" s="272">
        <f aca="true" t="shared" si="27" ref="Q137:Q147">SUM(I137+N137+P137)</f>
        <v>0</v>
      </c>
      <c r="R137" s="301">
        <f aca="true" t="shared" si="28" ref="R137:R147">+(Q137/$Q$148)*100</f>
        <v>0</v>
      </c>
    </row>
    <row r="138" spans="1:18" ht="11.25">
      <c r="A138" s="1518"/>
      <c r="B138" s="266" t="s">
        <v>486</v>
      </c>
      <c r="C138" s="274"/>
      <c r="D138" s="291"/>
      <c r="E138" s="275"/>
      <c r="F138" s="275"/>
      <c r="G138" s="275"/>
      <c r="H138" s="275"/>
      <c r="I138" s="273">
        <f t="shared" si="24"/>
        <v>0</v>
      </c>
      <c r="J138" s="274"/>
      <c r="K138" s="291"/>
      <c r="L138" s="291"/>
      <c r="M138" s="291"/>
      <c r="N138" s="273">
        <f t="shared" si="25"/>
        <v>0</v>
      </c>
      <c r="O138" s="274"/>
      <c r="P138" s="273">
        <f t="shared" si="26"/>
        <v>0</v>
      </c>
      <c r="Q138" s="272">
        <f t="shared" si="27"/>
        <v>0</v>
      </c>
      <c r="R138" s="301">
        <f t="shared" si="28"/>
        <v>0</v>
      </c>
    </row>
    <row r="139" spans="1:18" ht="11.25">
      <c r="A139" s="1518"/>
      <c r="B139" s="266" t="s">
        <v>472</v>
      </c>
      <c r="C139" s="274"/>
      <c r="D139" s="291"/>
      <c r="E139" s="275"/>
      <c r="F139" s="275"/>
      <c r="G139" s="275"/>
      <c r="H139" s="275"/>
      <c r="I139" s="273">
        <f t="shared" si="24"/>
        <v>0</v>
      </c>
      <c r="J139" s="274"/>
      <c r="K139" s="291"/>
      <c r="L139" s="291"/>
      <c r="M139" s="291"/>
      <c r="N139" s="273">
        <f t="shared" si="25"/>
        <v>0</v>
      </c>
      <c r="O139" s="274"/>
      <c r="P139" s="273">
        <f t="shared" si="26"/>
        <v>0</v>
      </c>
      <c r="Q139" s="272">
        <f t="shared" si="27"/>
        <v>0</v>
      </c>
      <c r="R139" s="301">
        <f t="shared" si="28"/>
        <v>0</v>
      </c>
    </row>
    <row r="140" spans="1:18" ht="11.25">
      <c r="A140" s="1518"/>
      <c r="B140" s="266" t="s">
        <v>473</v>
      </c>
      <c r="C140" s="276"/>
      <c r="D140" s="292"/>
      <c r="E140" s="292"/>
      <c r="F140" s="292"/>
      <c r="G140" s="292"/>
      <c r="H140" s="292"/>
      <c r="I140" s="273">
        <f t="shared" si="24"/>
        <v>0</v>
      </c>
      <c r="J140" s="276"/>
      <c r="K140" s="292"/>
      <c r="L140" s="292"/>
      <c r="M140" s="292"/>
      <c r="N140" s="273">
        <f t="shared" si="25"/>
        <v>0</v>
      </c>
      <c r="O140" s="276"/>
      <c r="P140" s="273">
        <f t="shared" si="26"/>
        <v>0</v>
      </c>
      <c r="Q140" s="272">
        <f t="shared" si="27"/>
        <v>0</v>
      </c>
      <c r="R140" s="301">
        <f t="shared" si="28"/>
        <v>0</v>
      </c>
    </row>
    <row r="141" spans="1:18" ht="11.25">
      <c r="A141" s="1518"/>
      <c r="B141" s="266" t="s">
        <v>474</v>
      </c>
      <c r="C141" s="276"/>
      <c r="D141" s="292"/>
      <c r="E141" s="292"/>
      <c r="F141" s="292"/>
      <c r="G141" s="292"/>
      <c r="H141" s="292"/>
      <c r="I141" s="273">
        <f t="shared" si="24"/>
        <v>0</v>
      </c>
      <c r="J141" s="276"/>
      <c r="K141" s="292"/>
      <c r="L141" s="292"/>
      <c r="M141" s="292"/>
      <c r="N141" s="273">
        <f t="shared" si="25"/>
        <v>0</v>
      </c>
      <c r="O141" s="276"/>
      <c r="P141" s="273">
        <f t="shared" si="26"/>
        <v>0</v>
      </c>
      <c r="Q141" s="272">
        <f t="shared" si="27"/>
        <v>0</v>
      </c>
      <c r="R141" s="301">
        <f t="shared" si="28"/>
        <v>0</v>
      </c>
    </row>
    <row r="142" spans="1:18" ht="11.25">
      <c r="A142" s="1518"/>
      <c r="B142" s="266" t="s">
        <v>475</v>
      </c>
      <c r="C142" s="276"/>
      <c r="D142" s="292"/>
      <c r="E142" s="292"/>
      <c r="F142" s="292"/>
      <c r="G142" s="292"/>
      <c r="H142" s="292"/>
      <c r="I142" s="273">
        <f t="shared" si="24"/>
        <v>0</v>
      </c>
      <c r="J142" s="276"/>
      <c r="K142" s="292"/>
      <c r="L142" s="292"/>
      <c r="M142" s="292"/>
      <c r="N142" s="273">
        <f t="shared" si="25"/>
        <v>0</v>
      </c>
      <c r="O142" s="276"/>
      <c r="P142" s="273">
        <f t="shared" si="26"/>
        <v>0</v>
      </c>
      <c r="Q142" s="272">
        <f t="shared" si="27"/>
        <v>0</v>
      </c>
      <c r="R142" s="301">
        <f t="shared" si="28"/>
        <v>0</v>
      </c>
    </row>
    <row r="143" spans="1:18" ht="11.25">
      <c r="A143" s="1518"/>
      <c r="B143" s="267" t="s">
        <v>476</v>
      </c>
      <c r="C143" s="277"/>
      <c r="D143" s="293"/>
      <c r="E143" s="293"/>
      <c r="F143" s="293"/>
      <c r="G143" s="293"/>
      <c r="H143" s="293"/>
      <c r="I143" s="273">
        <f t="shared" si="24"/>
        <v>0</v>
      </c>
      <c r="J143" s="277"/>
      <c r="K143" s="293"/>
      <c r="L143" s="293"/>
      <c r="M143" s="293"/>
      <c r="N143" s="273">
        <f t="shared" si="25"/>
        <v>0</v>
      </c>
      <c r="O143" s="277"/>
      <c r="P143" s="273">
        <f t="shared" si="26"/>
        <v>0</v>
      </c>
      <c r="Q143" s="272">
        <f t="shared" si="27"/>
        <v>0</v>
      </c>
      <c r="R143" s="301">
        <f t="shared" si="28"/>
        <v>0</v>
      </c>
    </row>
    <row r="144" spans="1:18" ht="11.25">
      <c r="A144" s="1518"/>
      <c r="B144" s="267" t="s">
        <v>477</v>
      </c>
      <c r="C144" s="277"/>
      <c r="D144" s="293"/>
      <c r="E144" s="293"/>
      <c r="F144" s="293"/>
      <c r="G144" s="293"/>
      <c r="H144" s="293"/>
      <c r="I144" s="273">
        <f t="shared" si="24"/>
        <v>0</v>
      </c>
      <c r="J144" s="277"/>
      <c r="K144" s="293"/>
      <c r="L144" s="293"/>
      <c r="M144" s="293"/>
      <c r="N144" s="273">
        <f t="shared" si="25"/>
        <v>0</v>
      </c>
      <c r="O144" s="277"/>
      <c r="P144" s="273">
        <f t="shared" si="26"/>
        <v>0</v>
      </c>
      <c r="Q144" s="272">
        <f t="shared" si="27"/>
        <v>0</v>
      </c>
      <c r="R144" s="301">
        <f t="shared" si="28"/>
        <v>0</v>
      </c>
    </row>
    <row r="145" spans="1:18" ht="11.25">
      <c r="A145" s="1518"/>
      <c r="B145" s="267" t="s">
        <v>478</v>
      </c>
      <c r="C145" s="277"/>
      <c r="D145" s="293"/>
      <c r="E145" s="293"/>
      <c r="F145" s="293"/>
      <c r="G145" s="293"/>
      <c r="H145" s="293"/>
      <c r="I145" s="273">
        <f t="shared" si="24"/>
        <v>0</v>
      </c>
      <c r="J145" s="277"/>
      <c r="K145" s="293"/>
      <c r="L145" s="293"/>
      <c r="M145" s="293"/>
      <c r="N145" s="273">
        <f t="shared" si="25"/>
        <v>0</v>
      </c>
      <c r="O145" s="277"/>
      <c r="P145" s="273">
        <f t="shared" si="26"/>
        <v>0</v>
      </c>
      <c r="Q145" s="272">
        <f t="shared" si="27"/>
        <v>0</v>
      </c>
      <c r="R145" s="301">
        <f t="shared" si="28"/>
        <v>0</v>
      </c>
    </row>
    <row r="146" spans="1:18" ht="11.25">
      <c r="A146" s="1518"/>
      <c r="B146" s="267" t="s">
        <v>479</v>
      </c>
      <c r="C146" s="277"/>
      <c r="D146" s="293"/>
      <c r="E146" s="293"/>
      <c r="F146" s="293"/>
      <c r="G146" s="293"/>
      <c r="H146" s="293"/>
      <c r="I146" s="273">
        <f t="shared" si="24"/>
        <v>0</v>
      </c>
      <c r="J146" s="277"/>
      <c r="K146" s="293"/>
      <c r="L146" s="293"/>
      <c r="M146" s="293"/>
      <c r="N146" s="273">
        <f t="shared" si="25"/>
        <v>0</v>
      </c>
      <c r="O146" s="277"/>
      <c r="P146" s="273">
        <f t="shared" si="26"/>
        <v>0</v>
      </c>
      <c r="Q146" s="272">
        <f t="shared" si="27"/>
        <v>0</v>
      </c>
      <c r="R146" s="301">
        <f t="shared" si="28"/>
        <v>0</v>
      </c>
    </row>
    <row r="147" spans="1:18" ht="12" thickBot="1">
      <c r="A147" s="1519"/>
      <c r="B147" s="268" t="s">
        <v>487</v>
      </c>
      <c r="C147" s="277"/>
      <c r="D147" s="293"/>
      <c r="E147" s="293"/>
      <c r="F147" s="293"/>
      <c r="G147" s="293"/>
      <c r="H147" s="293"/>
      <c r="I147" s="273">
        <f t="shared" si="24"/>
        <v>0</v>
      </c>
      <c r="J147" s="277"/>
      <c r="K147" s="293"/>
      <c r="L147" s="293"/>
      <c r="M147" s="293"/>
      <c r="N147" s="273">
        <f t="shared" si="25"/>
        <v>0</v>
      </c>
      <c r="O147" s="277"/>
      <c r="P147" s="273">
        <f t="shared" si="26"/>
        <v>0</v>
      </c>
      <c r="Q147" s="272">
        <f t="shared" si="27"/>
        <v>0</v>
      </c>
      <c r="R147" s="301">
        <f t="shared" si="28"/>
        <v>0</v>
      </c>
    </row>
    <row r="148" spans="1:18" ht="12" thickBot="1">
      <c r="A148" s="287"/>
      <c r="B148" s="269" t="s">
        <v>83</v>
      </c>
      <c r="C148" s="278">
        <f aca="true" t="shared" si="29" ref="C148:R148">SUM(C136:C147)</f>
        <v>0</v>
      </c>
      <c r="D148" s="278">
        <f t="shared" si="29"/>
        <v>0</v>
      </c>
      <c r="E148" s="278">
        <f t="shared" si="29"/>
        <v>0</v>
      </c>
      <c r="F148" s="278">
        <f t="shared" si="29"/>
        <v>2547538</v>
      </c>
      <c r="G148" s="278">
        <f t="shared" si="29"/>
        <v>0</v>
      </c>
      <c r="H148" s="278">
        <f t="shared" si="29"/>
        <v>0</v>
      </c>
      <c r="I148" s="279">
        <f t="shared" si="29"/>
        <v>2547538</v>
      </c>
      <c r="J148" s="278">
        <f t="shared" si="29"/>
        <v>0</v>
      </c>
      <c r="K148" s="278">
        <f t="shared" si="29"/>
        <v>0</v>
      </c>
      <c r="L148" s="278">
        <f t="shared" si="29"/>
        <v>8248012</v>
      </c>
      <c r="M148" s="278">
        <f t="shared" si="29"/>
        <v>0</v>
      </c>
      <c r="N148" s="279">
        <f t="shared" si="29"/>
        <v>8248012</v>
      </c>
      <c r="O148" s="278">
        <f t="shared" si="29"/>
        <v>4062088</v>
      </c>
      <c r="P148" s="279">
        <f t="shared" si="29"/>
        <v>4062088</v>
      </c>
      <c r="Q148" s="278">
        <f t="shared" si="29"/>
        <v>14857638</v>
      </c>
      <c r="R148" s="280">
        <f t="shared" si="29"/>
        <v>100</v>
      </c>
    </row>
  </sheetData>
  <sheetProtection/>
  <mergeCells count="35">
    <mergeCell ref="A101:A102"/>
    <mergeCell ref="B101:B102"/>
    <mergeCell ref="C101:I101"/>
    <mergeCell ref="J101:N101"/>
    <mergeCell ref="O101:P101"/>
    <mergeCell ref="A70:A81"/>
    <mergeCell ref="A136:A147"/>
    <mergeCell ref="Q101:R101"/>
    <mergeCell ref="A103:A114"/>
    <mergeCell ref="A134:A135"/>
    <mergeCell ref="B134:B135"/>
    <mergeCell ref="C134:I134"/>
    <mergeCell ref="J134:N134"/>
    <mergeCell ref="O134:P134"/>
    <mergeCell ref="Q134:R134"/>
    <mergeCell ref="Q68:R68"/>
    <mergeCell ref="O35:P35"/>
    <mergeCell ref="Q35:R35"/>
    <mergeCell ref="A37:A48"/>
    <mergeCell ref="A68:A69"/>
    <mergeCell ref="B68:B69"/>
    <mergeCell ref="C68:I68"/>
    <mergeCell ref="J68:N68"/>
    <mergeCell ref="A5:A16"/>
    <mergeCell ref="A35:A36"/>
    <mergeCell ref="B35:B36"/>
    <mergeCell ref="C35:I35"/>
    <mergeCell ref="J35:N35"/>
    <mergeCell ref="O68:P68"/>
    <mergeCell ref="A3:A4"/>
    <mergeCell ref="J3:N3"/>
    <mergeCell ref="O3:P3"/>
    <mergeCell ref="Q3:R3"/>
    <mergeCell ref="C3:I3"/>
    <mergeCell ref="B3:B4"/>
  </mergeCells>
  <printOptions/>
  <pageMargins left="0.2362204724409449" right="0.2362204724409449" top="0.7480314960629921" bottom="0.7480314960629921" header="0.31496062992125984" footer="0.31496062992125984"/>
  <pageSetup horizontalDpi="600" verticalDpi="600" orientation="landscape" paperSize="9" r:id="rId1"/>
  <headerFooter alignWithMargins="0">
    <oddHeader>&amp;C&amp;"Arial,Negrita"&amp;18PROYECTO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sheetPr>
    <tabColor theme="9" tint="-0.24997000396251678"/>
  </sheetPr>
  <dimension ref="A1:D120"/>
  <sheetViews>
    <sheetView view="pageLayout" workbookViewId="0" topLeftCell="A55">
      <selection activeCell="D40" sqref="D40"/>
    </sheetView>
  </sheetViews>
  <sheetFormatPr defaultColWidth="11.28125" defaultRowHeight="12.75"/>
  <cols>
    <col min="1" max="1" width="58.57421875" style="0" customWidth="1"/>
    <col min="2" max="4" width="11.140625" style="0" bestFit="1" customWidth="1"/>
  </cols>
  <sheetData>
    <row r="1" ht="12.75">
      <c r="A1" s="104" t="s">
        <v>398</v>
      </c>
    </row>
    <row r="2" ht="12.75">
      <c r="A2" s="106" t="s">
        <v>489</v>
      </c>
    </row>
    <row r="3" spans="1:4" s="142" customFormat="1" ht="27.75" customHeight="1">
      <c r="A3" s="348" t="s">
        <v>331</v>
      </c>
      <c r="B3" s="349">
        <v>2019</v>
      </c>
      <c r="C3" s="350">
        <v>2020</v>
      </c>
      <c r="D3" s="350">
        <v>2021</v>
      </c>
    </row>
    <row r="4" spans="1:4" ht="13.5">
      <c r="A4" s="342" t="s">
        <v>492</v>
      </c>
      <c r="B4" s="343">
        <v>20765936</v>
      </c>
      <c r="C4" s="343">
        <v>20602790</v>
      </c>
      <c r="D4" s="343">
        <v>20953539</v>
      </c>
    </row>
    <row r="5" spans="1:4" s="145" customFormat="1" ht="13.5">
      <c r="A5" s="342" t="s">
        <v>493</v>
      </c>
      <c r="B5" s="344">
        <v>20619218</v>
      </c>
      <c r="C5" s="344">
        <v>20362633</v>
      </c>
      <c r="D5" s="343">
        <v>23365856</v>
      </c>
    </row>
    <row r="6" spans="1:4" s="145" customFormat="1" ht="13.5">
      <c r="A6" s="342" t="s">
        <v>494</v>
      </c>
      <c r="B6" s="344">
        <v>3585651</v>
      </c>
      <c r="C6" s="344">
        <v>3588417</v>
      </c>
      <c r="D6" s="343">
        <v>3493579</v>
      </c>
    </row>
    <row r="7" spans="1:4" s="145" customFormat="1" ht="13.5">
      <c r="A7" s="342" t="s">
        <v>495</v>
      </c>
      <c r="B7" s="344">
        <v>2010787</v>
      </c>
      <c r="C7" s="344">
        <v>2035554</v>
      </c>
      <c r="D7" s="343">
        <v>2000333</v>
      </c>
    </row>
    <row r="8" spans="1:4" s="145" customFormat="1" ht="13.5">
      <c r="A8" s="342" t="s">
        <v>496</v>
      </c>
      <c r="B8" s="344">
        <v>2189032</v>
      </c>
      <c r="C8" s="344">
        <v>2421703</v>
      </c>
      <c r="D8" s="343">
        <v>2371695</v>
      </c>
    </row>
    <row r="9" spans="1:4" s="145" customFormat="1" ht="13.5">
      <c r="A9" s="342" t="s">
        <v>497</v>
      </c>
      <c r="B9" s="344">
        <v>1142992</v>
      </c>
      <c r="C9" s="344">
        <v>1164303</v>
      </c>
      <c r="D9" s="343">
        <v>1389465</v>
      </c>
    </row>
    <row r="10" spans="1:4" s="145" customFormat="1" ht="13.5">
      <c r="A10" s="342" t="s">
        <v>498</v>
      </c>
      <c r="B10" s="345">
        <v>0</v>
      </c>
      <c r="C10" s="345"/>
      <c r="D10" s="343"/>
    </row>
    <row r="11" spans="1:4" s="145" customFormat="1" ht="13.5">
      <c r="A11" s="342" t="s">
        <v>499</v>
      </c>
      <c r="B11" s="344">
        <v>57415</v>
      </c>
      <c r="C11" s="344">
        <v>46934</v>
      </c>
      <c r="D11" s="343">
        <v>41324</v>
      </c>
    </row>
    <row r="12" spans="1:4" s="145" customFormat="1" ht="13.5">
      <c r="A12" s="342" t="s">
        <v>500</v>
      </c>
      <c r="B12" s="345">
        <v>0</v>
      </c>
      <c r="C12" s="345"/>
      <c r="D12" s="346"/>
    </row>
    <row r="13" spans="1:4" s="149" customFormat="1" ht="25.5">
      <c r="A13" s="355" t="s">
        <v>501</v>
      </c>
      <c r="B13" s="356">
        <v>55434</v>
      </c>
      <c r="C13" s="356">
        <v>56500</v>
      </c>
      <c r="D13" s="357">
        <v>6000</v>
      </c>
    </row>
    <row r="14" spans="1:4" s="145" customFormat="1" ht="13.5">
      <c r="A14" s="342" t="s">
        <v>502</v>
      </c>
      <c r="B14" s="344">
        <v>8000</v>
      </c>
      <c r="C14" s="344">
        <v>385600</v>
      </c>
      <c r="D14" s="343">
        <v>529819</v>
      </c>
    </row>
    <row r="15" spans="1:4" s="145" customFormat="1" ht="13.5">
      <c r="A15" s="342" t="s">
        <v>503</v>
      </c>
      <c r="B15" s="344">
        <v>3382719</v>
      </c>
      <c r="C15" s="344">
        <v>2872776</v>
      </c>
      <c r="D15" s="343">
        <v>2843211</v>
      </c>
    </row>
    <row r="16" spans="1:4" s="145" customFormat="1" ht="13.5">
      <c r="A16" s="342" t="s">
        <v>504</v>
      </c>
      <c r="B16" s="345">
        <v>0</v>
      </c>
      <c r="C16" s="345">
        <v>0</v>
      </c>
      <c r="D16" s="346"/>
    </row>
    <row r="17" spans="1:4" s="149" customFormat="1" ht="12.75">
      <c r="A17" s="342" t="s">
        <v>505</v>
      </c>
      <c r="B17" s="345">
        <v>0</v>
      </c>
      <c r="C17" s="345">
        <v>0</v>
      </c>
      <c r="D17" s="346"/>
    </row>
    <row r="18" spans="1:4" ht="13.5">
      <c r="A18" s="342" t="s">
        <v>506</v>
      </c>
      <c r="B18" s="344"/>
      <c r="C18" s="344">
        <v>0</v>
      </c>
      <c r="D18" s="346"/>
    </row>
    <row r="19" spans="1:4" s="142" customFormat="1" ht="12.75">
      <c r="A19" s="342" t="s">
        <v>507</v>
      </c>
      <c r="B19" s="344">
        <v>5063939</v>
      </c>
      <c r="C19" s="344">
        <v>4944022</v>
      </c>
      <c r="D19" s="346"/>
    </row>
    <row r="20" spans="1:4" ht="13.5">
      <c r="A20" s="342" t="s">
        <v>508</v>
      </c>
      <c r="B20" s="344">
        <v>9679571</v>
      </c>
      <c r="C20" s="344">
        <v>9555172</v>
      </c>
      <c r="D20" s="343">
        <v>21660000</v>
      </c>
    </row>
    <row r="21" spans="1:4" s="145" customFormat="1" ht="13.5">
      <c r="A21" s="342" t="s">
        <v>509</v>
      </c>
      <c r="B21" s="344">
        <v>3001</v>
      </c>
      <c r="C21" s="344">
        <v>3001</v>
      </c>
      <c r="D21" s="343">
        <v>3001</v>
      </c>
    </row>
    <row r="22" spans="1:4" s="145" customFormat="1" ht="13.5">
      <c r="A22" s="342" t="s">
        <v>510</v>
      </c>
      <c r="B22" s="344">
        <v>206991614</v>
      </c>
      <c r="C22" s="344">
        <v>232552400</v>
      </c>
      <c r="D22" s="343">
        <v>235835762</v>
      </c>
    </row>
    <row r="23" spans="1:4" s="145" customFormat="1" ht="13.5">
      <c r="A23" s="342" t="s">
        <v>511</v>
      </c>
      <c r="B23" s="344">
        <v>166802</v>
      </c>
      <c r="C23" s="344">
        <v>0</v>
      </c>
      <c r="D23" s="343"/>
    </row>
    <row r="24" spans="1:4" s="145" customFormat="1" ht="13.5">
      <c r="A24" s="342" t="s">
        <v>512</v>
      </c>
      <c r="B24" s="344">
        <v>791994</v>
      </c>
      <c r="C24" s="344">
        <v>326686</v>
      </c>
      <c r="D24" s="343">
        <v>335090</v>
      </c>
    </row>
    <row r="25" spans="1:4" s="145" customFormat="1" ht="13.5">
      <c r="A25" s="342" t="s">
        <v>513</v>
      </c>
      <c r="B25" s="344">
        <v>456446</v>
      </c>
      <c r="C25" s="344">
        <v>482294</v>
      </c>
      <c r="D25" s="343">
        <v>503718</v>
      </c>
    </row>
    <row r="26" spans="1:4" s="145" customFormat="1" ht="13.5">
      <c r="A26" s="342" t="s">
        <v>514</v>
      </c>
      <c r="B26" s="344">
        <v>1591790</v>
      </c>
      <c r="C26" s="344">
        <v>1700355</v>
      </c>
      <c r="D26" s="343">
        <v>1935065</v>
      </c>
    </row>
    <row r="27" spans="1:4" s="145" customFormat="1" ht="13.5">
      <c r="A27" s="342" t="s">
        <v>515</v>
      </c>
      <c r="B27" s="344">
        <v>1627858</v>
      </c>
      <c r="C27" s="344">
        <v>1912512</v>
      </c>
      <c r="D27" s="347">
        <v>2282771</v>
      </c>
    </row>
    <row r="28" spans="1:4" s="145" customFormat="1" ht="13.5">
      <c r="A28" s="342" t="s">
        <v>516</v>
      </c>
      <c r="B28" s="344">
        <v>109552</v>
      </c>
      <c r="C28" s="344">
        <v>221706</v>
      </c>
      <c r="D28" s="347">
        <v>282324</v>
      </c>
    </row>
    <row r="29" spans="1:4" s="145" customFormat="1" ht="13.5">
      <c r="A29" s="342" t="s">
        <v>517</v>
      </c>
      <c r="B29" s="345">
        <v>0</v>
      </c>
      <c r="C29" s="345"/>
      <c r="D29" s="346"/>
    </row>
    <row r="30" spans="1:4" s="145" customFormat="1" ht="13.5">
      <c r="A30" s="342" t="s">
        <v>518</v>
      </c>
      <c r="B30" s="344">
        <v>221060</v>
      </c>
      <c r="C30" s="344">
        <v>231060</v>
      </c>
      <c r="D30" s="347">
        <v>232254</v>
      </c>
    </row>
    <row r="31" spans="1:4" s="145" customFormat="1" ht="13.5">
      <c r="A31" s="342" t="s">
        <v>519</v>
      </c>
      <c r="B31" s="344">
        <v>4066676</v>
      </c>
      <c r="C31" s="344">
        <v>3800000</v>
      </c>
      <c r="D31" s="347">
        <v>4000000</v>
      </c>
    </row>
    <row r="32" spans="1:4" s="145" customFormat="1" ht="13.5">
      <c r="A32" s="342" t="s">
        <v>520</v>
      </c>
      <c r="B32" s="344">
        <v>772978</v>
      </c>
      <c r="C32" s="344">
        <v>1730944</v>
      </c>
      <c r="D32" s="347">
        <v>2185130</v>
      </c>
    </row>
    <row r="33" spans="1:4" s="149" customFormat="1" ht="12.75">
      <c r="A33" s="342" t="s">
        <v>521</v>
      </c>
      <c r="B33" s="344">
        <v>63714336</v>
      </c>
      <c r="C33" s="344">
        <v>76264393</v>
      </c>
      <c r="D33" s="347">
        <v>107096003</v>
      </c>
    </row>
    <row r="34" spans="1:4" ht="13.5">
      <c r="A34" s="342" t="s">
        <v>522</v>
      </c>
      <c r="B34" s="345">
        <v>0</v>
      </c>
      <c r="C34" s="344">
        <v>0</v>
      </c>
      <c r="D34" s="346"/>
    </row>
    <row r="35" spans="1:4" s="142" customFormat="1" ht="12.75">
      <c r="A35" s="342" t="s">
        <v>523</v>
      </c>
      <c r="B35" s="344">
        <v>80239</v>
      </c>
      <c r="C35" s="344">
        <v>243748</v>
      </c>
      <c r="D35" s="347">
        <v>210223</v>
      </c>
    </row>
    <row r="36" spans="1:4" ht="13.5">
      <c r="A36" s="342" t="s">
        <v>524</v>
      </c>
      <c r="B36" s="344">
        <v>0</v>
      </c>
      <c r="C36" s="344">
        <v>79448</v>
      </c>
      <c r="D36" s="347">
        <v>167562</v>
      </c>
    </row>
    <row r="37" spans="1:4" s="145" customFormat="1" ht="13.5">
      <c r="A37" s="342" t="s">
        <v>525</v>
      </c>
      <c r="B37" s="344">
        <v>0</v>
      </c>
      <c r="C37" s="344">
        <v>0</v>
      </c>
      <c r="D37" s="347">
        <v>40296</v>
      </c>
    </row>
    <row r="38" spans="1:4" s="145" customFormat="1" ht="13.5">
      <c r="A38" s="342" t="s">
        <v>526</v>
      </c>
      <c r="B38" s="344">
        <v>62348708</v>
      </c>
      <c r="C38" s="344">
        <v>80218873</v>
      </c>
      <c r="D38" s="347">
        <v>62776416</v>
      </c>
    </row>
    <row r="39" spans="1:4" s="145" customFormat="1" ht="13.5">
      <c r="A39" s="342" t="s">
        <v>527</v>
      </c>
      <c r="B39" s="344">
        <v>144598102</v>
      </c>
      <c r="C39" s="344">
        <v>88448238</v>
      </c>
      <c r="D39" s="347">
        <v>148129935</v>
      </c>
    </row>
    <row r="40" spans="1:4" s="145" customFormat="1" ht="12.75">
      <c r="A40" s="351" t="s">
        <v>322</v>
      </c>
      <c r="B40" s="352">
        <f>SUM(B4:B39)</f>
        <v>556101850</v>
      </c>
      <c r="C40" s="352">
        <f>SUM(C4:C39)</f>
        <v>556252062</v>
      </c>
      <c r="D40" s="352">
        <f>SUM(D4:D39)</f>
        <v>644670371</v>
      </c>
    </row>
    <row r="41" spans="1:4" s="145" customFormat="1" ht="12.75">
      <c r="A41" s="67"/>
      <c r="B41" s="67"/>
      <c r="C41" s="67"/>
      <c r="D41" s="67"/>
    </row>
    <row r="42" spans="1:4" s="145" customFormat="1" ht="22.5">
      <c r="A42" s="348" t="s">
        <v>332</v>
      </c>
      <c r="B42" s="349">
        <v>2019</v>
      </c>
      <c r="C42" s="350" t="s">
        <v>392</v>
      </c>
      <c r="D42" s="350" t="s">
        <v>393</v>
      </c>
    </row>
    <row r="43" spans="1:4" s="145" customFormat="1" ht="13.5">
      <c r="A43" s="342" t="s">
        <v>492</v>
      </c>
      <c r="B43" s="343">
        <v>29707929</v>
      </c>
      <c r="C43" s="343">
        <v>23465149</v>
      </c>
      <c r="D43" s="343">
        <v>20953539</v>
      </c>
    </row>
    <row r="44" spans="1:4" s="145" customFormat="1" ht="13.5">
      <c r="A44" s="342" t="s">
        <v>493</v>
      </c>
      <c r="B44" s="344">
        <v>75717245</v>
      </c>
      <c r="C44" s="344">
        <v>46830411</v>
      </c>
      <c r="D44" s="343">
        <v>23365856</v>
      </c>
    </row>
    <row r="45" spans="1:4" s="145" customFormat="1" ht="13.5">
      <c r="A45" s="342" t="s">
        <v>494</v>
      </c>
      <c r="B45" s="344">
        <v>3253440</v>
      </c>
      <c r="C45" s="344">
        <v>3457202</v>
      </c>
      <c r="D45" s="343">
        <v>3493579</v>
      </c>
    </row>
    <row r="46" spans="1:4" s="145" customFormat="1" ht="13.5">
      <c r="A46" s="342" t="s">
        <v>495</v>
      </c>
      <c r="B46" s="344">
        <v>1955792</v>
      </c>
      <c r="C46" s="344">
        <v>1879696</v>
      </c>
      <c r="D46" s="343">
        <v>2000333</v>
      </c>
    </row>
    <row r="47" spans="1:4" s="145" customFormat="1" ht="13.5">
      <c r="A47" s="342" t="s">
        <v>496</v>
      </c>
      <c r="B47" s="344">
        <v>4452197</v>
      </c>
      <c r="C47" s="344">
        <v>3679860</v>
      </c>
      <c r="D47" s="343">
        <v>2371695</v>
      </c>
    </row>
    <row r="48" spans="1:4" s="145" customFormat="1" ht="13.5">
      <c r="A48" s="342" t="s">
        <v>497</v>
      </c>
      <c r="B48" s="344">
        <v>1442795</v>
      </c>
      <c r="C48" s="344">
        <v>1440540</v>
      </c>
      <c r="D48" s="343">
        <v>1389465</v>
      </c>
    </row>
    <row r="49" spans="1:4" s="149" customFormat="1" ht="12.75">
      <c r="A49" s="342" t="s">
        <v>498</v>
      </c>
      <c r="B49" s="344">
        <v>56069</v>
      </c>
      <c r="C49" s="344">
        <v>34799</v>
      </c>
      <c r="D49" s="343"/>
    </row>
    <row r="50" spans="1:4" ht="13.5">
      <c r="A50" s="342" t="s">
        <v>499</v>
      </c>
      <c r="B50" s="344">
        <v>6855471</v>
      </c>
      <c r="C50" s="344">
        <v>598589</v>
      </c>
      <c r="D50" s="343">
        <v>41324</v>
      </c>
    </row>
    <row r="51" spans="1:4" ht="13.5">
      <c r="A51" s="342" t="s">
        <v>500</v>
      </c>
      <c r="B51" s="344">
        <v>1106740</v>
      </c>
      <c r="C51" s="344">
        <v>395651</v>
      </c>
      <c r="D51" s="346"/>
    </row>
    <row r="52" spans="1:4" ht="13.5">
      <c r="A52" s="342" t="s">
        <v>501</v>
      </c>
      <c r="B52" s="344">
        <v>56734</v>
      </c>
      <c r="C52" s="344">
        <v>56500</v>
      </c>
      <c r="D52" s="357">
        <v>6000</v>
      </c>
    </row>
    <row r="53" spans="1:4" ht="13.5">
      <c r="A53" s="342" t="s">
        <v>502</v>
      </c>
      <c r="B53" s="344">
        <v>8000</v>
      </c>
      <c r="C53" s="344">
        <v>385600</v>
      </c>
      <c r="D53" s="343">
        <v>529819</v>
      </c>
    </row>
    <row r="54" spans="1:4" ht="13.5">
      <c r="A54" s="342" t="s">
        <v>503</v>
      </c>
      <c r="B54" s="344">
        <v>19250005</v>
      </c>
      <c r="C54" s="344">
        <v>18688642</v>
      </c>
      <c r="D54" s="343">
        <v>2843211</v>
      </c>
    </row>
    <row r="55" spans="1:4" ht="13.5">
      <c r="A55" s="342" t="s">
        <v>504</v>
      </c>
      <c r="B55" s="345">
        <v>914</v>
      </c>
      <c r="C55" s="344">
        <v>0</v>
      </c>
      <c r="D55" s="346"/>
    </row>
    <row r="56" spans="1:4" ht="13.5">
      <c r="A56" s="342" t="s">
        <v>505</v>
      </c>
      <c r="B56" s="344">
        <v>2713292</v>
      </c>
      <c r="C56" s="344">
        <v>451270</v>
      </c>
      <c r="D56" s="346"/>
    </row>
    <row r="57" spans="1:4" ht="13.5">
      <c r="A57" s="342" t="s">
        <v>506</v>
      </c>
      <c r="B57" s="344">
        <v>0</v>
      </c>
      <c r="C57" s="344">
        <v>1280072</v>
      </c>
      <c r="D57" s="346"/>
    </row>
    <row r="58" spans="1:4" ht="13.5">
      <c r="A58" s="342" t="s">
        <v>507</v>
      </c>
      <c r="B58" s="344">
        <v>12172852</v>
      </c>
      <c r="C58" s="344">
        <v>14590561</v>
      </c>
      <c r="D58" s="346"/>
    </row>
    <row r="59" spans="1:4" ht="13.5">
      <c r="A59" s="342" t="s">
        <v>508</v>
      </c>
      <c r="B59" s="344">
        <v>11943440</v>
      </c>
      <c r="C59" s="344">
        <v>10994834</v>
      </c>
      <c r="D59" s="343">
        <v>21660000</v>
      </c>
    </row>
    <row r="60" spans="1:4" ht="13.5">
      <c r="A60" s="342" t="s">
        <v>509</v>
      </c>
      <c r="B60" s="344">
        <v>3316</v>
      </c>
      <c r="C60" s="344">
        <v>3001</v>
      </c>
      <c r="D60" s="343">
        <v>3001</v>
      </c>
    </row>
    <row r="61" spans="1:4" ht="13.5">
      <c r="A61" s="342" t="s">
        <v>510</v>
      </c>
      <c r="B61" s="344">
        <v>251348999</v>
      </c>
      <c r="C61" s="344">
        <v>256057639</v>
      </c>
      <c r="D61" s="343">
        <v>235835762</v>
      </c>
    </row>
    <row r="62" spans="1:4" ht="13.5">
      <c r="A62" s="342" t="s">
        <v>511</v>
      </c>
      <c r="B62" s="344">
        <v>2153201</v>
      </c>
      <c r="C62" s="344">
        <v>0</v>
      </c>
      <c r="D62" s="343"/>
    </row>
    <row r="63" spans="1:4" ht="13.5">
      <c r="A63" s="342" t="s">
        <v>512</v>
      </c>
      <c r="B63" s="344">
        <v>832638</v>
      </c>
      <c r="C63" s="344">
        <v>706131</v>
      </c>
      <c r="D63" s="343">
        <v>335090</v>
      </c>
    </row>
    <row r="64" spans="1:4" ht="13.5">
      <c r="A64" s="342" t="s">
        <v>513</v>
      </c>
      <c r="B64" s="344">
        <v>768508</v>
      </c>
      <c r="C64" s="344">
        <v>848572</v>
      </c>
      <c r="D64" s="343">
        <v>503718</v>
      </c>
    </row>
    <row r="65" spans="1:4" ht="13.5">
      <c r="A65" s="342" t="s">
        <v>514</v>
      </c>
      <c r="B65" s="344">
        <v>1807976</v>
      </c>
      <c r="C65" s="344">
        <v>2273000</v>
      </c>
      <c r="D65" s="343">
        <v>1935065</v>
      </c>
    </row>
    <row r="66" spans="1:4" ht="13.5">
      <c r="A66" s="342" t="s">
        <v>515</v>
      </c>
      <c r="B66" s="344">
        <v>2744695</v>
      </c>
      <c r="C66" s="344">
        <v>2160596</v>
      </c>
      <c r="D66" s="347">
        <v>2282771</v>
      </c>
    </row>
    <row r="67" spans="1:4" ht="13.5">
      <c r="A67" s="342" t="s">
        <v>516</v>
      </c>
      <c r="B67" s="344">
        <v>160537</v>
      </c>
      <c r="C67" s="344">
        <v>393643</v>
      </c>
      <c r="D67" s="347">
        <v>282324</v>
      </c>
    </row>
    <row r="68" spans="1:4" ht="13.5">
      <c r="A68" s="342" t="s">
        <v>517</v>
      </c>
      <c r="B68" s="344">
        <v>329808</v>
      </c>
      <c r="C68" s="344">
        <v>284065</v>
      </c>
      <c r="D68" s="346"/>
    </row>
    <row r="69" spans="1:4" ht="13.5">
      <c r="A69" s="342" t="s">
        <v>518</v>
      </c>
      <c r="B69" s="344">
        <v>221060</v>
      </c>
      <c r="C69" s="344">
        <v>112086</v>
      </c>
      <c r="D69" s="347">
        <v>232254</v>
      </c>
    </row>
    <row r="70" spans="1:4" ht="13.5">
      <c r="A70" s="342" t="s">
        <v>519</v>
      </c>
      <c r="B70" s="344">
        <v>4238635</v>
      </c>
      <c r="C70" s="344">
        <v>3827834</v>
      </c>
      <c r="D70" s="347">
        <v>4000000</v>
      </c>
    </row>
    <row r="71" spans="1:4" ht="13.5">
      <c r="A71" s="342" t="s">
        <v>520</v>
      </c>
      <c r="B71" s="344">
        <v>2937832</v>
      </c>
      <c r="C71" s="344">
        <v>2651190</v>
      </c>
      <c r="D71" s="347">
        <v>2185130</v>
      </c>
    </row>
    <row r="72" spans="1:4" ht="13.5">
      <c r="A72" s="342" t="s">
        <v>521</v>
      </c>
      <c r="B72" s="344">
        <v>95053817</v>
      </c>
      <c r="C72" s="344">
        <v>58100999</v>
      </c>
      <c r="D72" s="347">
        <v>107096003</v>
      </c>
    </row>
    <row r="73" spans="1:4" ht="13.5">
      <c r="A73" s="342" t="s">
        <v>522</v>
      </c>
      <c r="B73" s="344">
        <v>2000</v>
      </c>
      <c r="C73" s="344">
        <v>0</v>
      </c>
      <c r="D73" s="346"/>
    </row>
    <row r="74" spans="1:4" ht="13.5">
      <c r="A74" s="342" t="s">
        <v>523</v>
      </c>
      <c r="B74" s="344">
        <v>275089</v>
      </c>
      <c r="C74" s="344">
        <v>442607</v>
      </c>
      <c r="D74" s="347">
        <v>210223</v>
      </c>
    </row>
    <row r="75" spans="1:4" ht="13.5">
      <c r="A75" s="342" t="s">
        <v>524</v>
      </c>
      <c r="B75" s="344">
        <v>0</v>
      </c>
      <c r="C75" s="344">
        <v>1649102</v>
      </c>
      <c r="D75" s="347">
        <v>167562</v>
      </c>
    </row>
    <row r="76" spans="1:4" ht="13.5">
      <c r="A76" s="342" t="s">
        <v>525</v>
      </c>
      <c r="B76" s="344">
        <v>0</v>
      </c>
      <c r="C76" s="344">
        <v>0</v>
      </c>
      <c r="D76" s="347">
        <v>40296</v>
      </c>
    </row>
    <row r="77" spans="1:4" ht="13.5">
      <c r="A77" s="342" t="s">
        <v>526</v>
      </c>
      <c r="B77" s="344">
        <v>75724418</v>
      </c>
      <c r="C77" s="344">
        <v>72872729</v>
      </c>
      <c r="D77" s="347">
        <v>62776416</v>
      </c>
    </row>
    <row r="78" spans="1:4" ht="13.5">
      <c r="A78" s="342" t="s">
        <v>527</v>
      </c>
      <c r="B78" s="344">
        <v>193520941</v>
      </c>
      <c r="C78" s="344">
        <v>166189684</v>
      </c>
      <c r="D78" s="347">
        <v>148129935</v>
      </c>
    </row>
    <row r="79" spans="1:4" ht="12.75">
      <c r="A79" s="351" t="s">
        <v>322</v>
      </c>
      <c r="B79" s="352">
        <f>SUM(B42:B78)</f>
        <v>802818404</v>
      </c>
      <c r="C79" s="352">
        <f>SUM(C42:C78)</f>
        <v>696802254</v>
      </c>
      <c r="D79" s="352">
        <f>SUM(D42:D78)</f>
        <v>644670371</v>
      </c>
    </row>
    <row r="80" spans="1:4" ht="12.75">
      <c r="A80" s="67"/>
      <c r="B80" s="67"/>
      <c r="C80" s="67"/>
      <c r="D80" s="67"/>
    </row>
    <row r="81" spans="1:4" ht="22.5">
      <c r="A81" s="348" t="s">
        <v>333</v>
      </c>
      <c r="B81" s="349">
        <v>2019</v>
      </c>
      <c r="C81" s="350" t="s">
        <v>392</v>
      </c>
      <c r="D81" s="350" t="s">
        <v>393</v>
      </c>
    </row>
    <row r="82" spans="1:4" ht="13.5">
      <c r="A82" s="342" t="s">
        <v>492</v>
      </c>
      <c r="B82" s="343">
        <v>27727770</v>
      </c>
      <c r="C82" s="343">
        <v>23465149</v>
      </c>
      <c r="D82" s="343">
        <v>20953539</v>
      </c>
    </row>
    <row r="83" spans="1:4" ht="13.5">
      <c r="A83" s="342" t="s">
        <v>493</v>
      </c>
      <c r="B83" s="344">
        <v>66915905</v>
      </c>
      <c r="C83" s="344">
        <v>46830411</v>
      </c>
      <c r="D83" s="343">
        <v>23365856</v>
      </c>
    </row>
    <row r="84" spans="1:4" ht="13.5">
      <c r="A84" s="342" t="s">
        <v>494</v>
      </c>
      <c r="B84" s="344">
        <v>3188261</v>
      </c>
      <c r="C84" s="344">
        <v>3457202</v>
      </c>
      <c r="D84" s="343">
        <v>3493579</v>
      </c>
    </row>
    <row r="85" spans="1:4" ht="13.5">
      <c r="A85" s="342" t="s">
        <v>495</v>
      </c>
      <c r="B85" s="344">
        <v>1902881</v>
      </c>
      <c r="C85" s="344">
        <v>1879696</v>
      </c>
      <c r="D85" s="343">
        <v>2000333</v>
      </c>
    </row>
    <row r="86" spans="1:4" ht="13.5">
      <c r="A86" s="342" t="s">
        <v>496</v>
      </c>
      <c r="B86" s="344">
        <v>3720483</v>
      </c>
      <c r="C86" s="344">
        <v>3679860</v>
      </c>
      <c r="D86" s="343">
        <v>2371695</v>
      </c>
    </row>
    <row r="87" spans="1:4" ht="13.5">
      <c r="A87" s="342" t="s">
        <v>497</v>
      </c>
      <c r="B87" s="344">
        <v>1387385</v>
      </c>
      <c r="C87" s="344">
        <v>1440540</v>
      </c>
      <c r="D87" s="343">
        <v>1389465</v>
      </c>
    </row>
    <row r="88" spans="1:4" ht="13.5">
      <c r="A88" s="342" t="s">
        <v>498</v>
      </c>
      <c r="B88" s="344">
        <v>25852</v>
      </c>
      <c r="C88" s="344">
        <v>34799</v>
      </c>
      <c r="D88" s="343"/>
    </row>
    <row r="89" spans="1:4" ht="13.5">
      <c r="A89" s="342" t="s">
        <v>499</v>
      </c>
      <c r="B89" s="344">
        <v>5899358</v>
      </c>
      <c r="C89" s="344">
        <v>598589</v>
      </c>
      <c r="D89" s="343">
        <v>41324</v>
      </c>
    </row>
    <row r="90" spans="1:4" ht="13.5">
      <c r="A90" s="342" t="s">
        <v>500</v>
      </c>
      <c r="B90" s="344">
        <v>703282</v>
      </c>
      <c r="C90" s="344">
        <v>395651</v>
      </c>
      <c r="D90" s="346"/>
    </row>
    <row r="91" spans="1:4" ht="13.5">
      <c r="A91" s="342" t="s">
        <v>501</v>
      </c>
      <c r="B91" s="344">
        <v>56650</v>
      </c>
      <c r="C91" s="344">
        <v>56500</v>
      </c>
      <c r="D91" s="357">
        <v>6000</v>
      </c>
    </row>
    <row r="92" spans="1:4" ht="13.5">
      <c r="A92" s="342" t="s">
        <v>502</v>
      </c>
      <c r="B92" s="344">
        <v>7732</v>
      </c>
      <c r="C92" s="344">
        <v>385600</v>
      </c>
      <c r="D92" s="343">
        <v>529819</v>
      </c>
    </row>
    <row r="93" spans="1:4" ht="13.5">
      <c r="A93" s="342" t="s">
        <v>503</v>
      </c>
      <c r="B93" s="344">
        <v>5896880</v>
      </c>
      <c r="C93" s="344">
        <v>18688642</v>
      </c>
      <c r="D93" s="343">
        <v>2843211</v>
      </c>
    </row>
    <row r="94" spans="1:4" ht="13.5">
      <c r="A94" s="342" t="s">
        <v>504</v>
      </c>
      <c r="B94" s="345">
        <v>0</v>
      </c>
      <c r="C94" s="344">
        <v>0</v>
      </c>
      <c r="D94" s="346"/>
    </row>
    <row r="95" spans="1:4" ht="13.5">
      <c r="A95" s="342" t="s">
        <v>505</v>
      </c>
      <c r="B95" s="344">
        <v>2060046</v>
      </c>
      <c r="C95" s="344">
        <v>451270</v>
      </c>
      <c r="D95" s="346"/>
    </row>
    <row r="96" spans="1:4" ht="13.5">
      <c r="A96" s="342" t="s">
        <v>506</v>
      </c>
      <c r="B96" s="344"/>
      <c r="C96" s="344">
        <v>1280072</v>
      </c>
      <c r="D96" s="346"/>
    </row>
    <row r="97" spans="1:4" ht="13.5">
      <c r="A97" s="342" t="s">
        <v>507</v>
      </c>
      <c r="B97" s="344">
        <v>10112172</v>
      </c>
      <c r="C97" s="344">
        <v>14590561</v>
      </c>
      <c r="D97" s="346"/>
    </row>
    <row r="98" spans="1:4" ht="13.5">
      <c r="A98" s="342" t="s">
        <v>508</v>
      </c>
      <c r="B98" s="344">
        <v>8337168</v>
      </c>
      <c r="C98" s="344">
        <v>10994834</v>
      </c>
      <c r="D98" s="343">
        <v>21660000</v>
      </c>
    </row>
    <row r="99" spans="1:4" ht="13.5">
      <c r="A99" s="342" t="s">
        <v>509</v>
      </c>
      <c r="B99" s="344">
        <v>3316</v>
      </c>
      <c r="C99" s="344">
        <v>3001</v>
      </c>
      <c r="D99" s="343">
        <v>3001</v>
      </c>
    </row>
    <row r="100" spans="1:4" ht="13.5">
      <c r="A100" s="342" t="s">
        <v>510</v>
      </c>
      <c r="B100" s="344">
        <v>233980571</v>
      </c>
      <c r="C100" s="344">
        <v>256057639</v>
      </c>
      <c r="D100" s="343">
        <v>235835762</v>
      </c>
    </row>
    <row r="101" spans="1:4" ht="13.5">
      <c r="A101" s="342" t="s">
        <v>511</v>
      </c>
      <c r="B101" s="344">
        <v>1373907</v>
      </c>
      <c r="C101" s="344">
        <v>0</v>
      </c>
      <c r="D101" s="343"/>
    </row>
    <row r="102" spans="1:4" ht="13.5">
      <c r="A102" s="342" t="s">
        <v>512</v>
      </c>
      <c r="B102" s="344">
        <v>773896</v>
      </c>
      <c r="C102" s="344">
        <v>706131</v>
      </c>
      <c r="D102" s="343">
        <v>335090</v>
      </c>
    </row>
    <row r="103" spans="1:4" ht="13.5">
      <c r="A103" s="342" t="s">
        <v>513</v>
      </c>
      <c r="B103" s="344">
        <v>740169</v>
      </c>
      <c r="C103" s="344">
        <v>848572</v>
      </c>
      <c r="D103" s="343">
        <v>503718</v>
      </c>
    </row>
    <row r="104" spans="1:4" ht="13.5">
      <c r="A104" s="342" t="s">
        <v>514</v>
      </c>
      <c r="B104" s="344">
        <v>1752897</v>
      </c>
      <c r="C104" s="344">
        <v>2273000</v>
      </c>
      <c r="D104" s="343">
        <v>1935065</v>
      </c>
    </row>
    <row r="105" spans="1:4" ht="13.5">
      <c r="A105" s="342" t="s">
        <v>515</v>
      </c>
      <c r="B105" s="344">
        <v>2711556</v>
      </c>
      <c r="C105" s="344">
        <v>2160596</v>
      </c>
      <c r="D105" s="347">
        <v>2282771</v>
      </c>
    </row>
    <row r="106" spans="1:4" ht="13.5">
      <c r="A106" s="342" t="s">
        <v>516</v>
      </c>
      <c r="B106" s="344">
        <v>159454</v>
      </c>
      <c r="C106" s="344">
        <v>393643</v>
      </c>
      <c r="D106" s="347">
        <v>282324</v>
      </c>
    </row>
    <row r="107" spans="1:4" ht="13.5">
      <c r="A107" s="342" t="s">
        <v>517</v>
      </c>
      <c r="B107" s="344">
        <v>281142</v>
      </c>
      <c r="C107" s="344">
        <v>284065</v>
      </c>
      <c r="D107" s="346"/>
    </row>
    <row r="108" spans="1:4" ht="13.5">
      <c r="A108" s="342" t="s">
        <v>518</v>
      </c>
      <c r="B108" s="344">
        <v>221040</v>
      </c>
      <c r="C108" s="344">
        <v>112086</v>
      </c>
      <c r="D108" s="347">
        <v>232254</v>
      </c>
    </row>
    <row r="109" spans="1:4" ht="13.5">
      <c r="A109" s="342" t="s">
        <v>519</v>
      </c>
      <c r="B109" s="344">
        <v>4072650</v>
      </c>
      <c r="C109" s="344">
        <v>3827834</v>
      </c>
      <c r="D109" s="347">
        <v>4000000</v>
      </c>
    </row>
    <row r="110" spans="1:4" ht="13.5">
      <c r="A110" s="342" t="s">
        <v>520</v>
      </c>
      <c r="B110" s="344">
        <v>2513576</v>
      </c>
      <c r="C110" s="344">
        <v>2651190</v>
      </c>
      <c r="D110" s="347">
        <v>2185130</v>
      </c>
    </row>
    <row r="111" spans="1:4" ht="13.5">
      <c r="A111" s="342" t="s">
        <v>521</v>
      </c>
      <c r="B111" s="344">
        <v>51018165</v>
      </c>
      <c r="C111" s="344">
        <v>58100999</v>
      </c>
      <c r="D111" s="347">
        <v>107096003</v>
      </c>
    </row>
    <row r="112" spans="1:4" ht="13.5">
      <c r="A112" s="342" t="s">
        <v>522</v>
      </c>
      <c r="B112" s="344">
        <v>1848</v>
      </c>
      <c r="C112" s="344">
        <v>0</v>
      </c>
      <c r="D112" s="346"/>
    </row>
    <row r="113" spans="1:4" ht="13.5">
      <c r="A113" s="342" t="s">
        <v>523</v>
      </c>
      <c r="B113" s="344">
        <v>202036</v>
      </c>
      <c r="C113" s="344">
        <v>442607</v>
      </c>
      <c r="D113" s="347">
        <v>210223</v>
      </c>
    </row>
    <row r="114" spans="1:4" ht="13.5">
      <c r="A114" s="342" t="s">
        <v>524</v>
      </c>
      <c r="B114" s="344">
        <v>0</v>
      </c>
      <c r="C114" s="344">
        <v>1649102</v>
      </c>
      <c r="D114" s="347">
        <v>167562</v>
      </c>
    </row>
    <row r="115" spans="1:4" ht="13.5">
      <c r="A115" s="342" t="s">
        <v>525</v>
      </c>
      <c r="B115" s="344">
        <v>0</v>
      </c>
      <c r="C115" s="344">
        <v>0</v>
      </c>
      <c r="D115" s="347">
        <v>40296</v>
      </c>
    </row>
    <row r="116" spans="1:4" ht="13.5">
      <c r="A116" s="342" t="s">
        <v>526</v>
      </c>
      <c r="B116" s="344">
        <v>71506961</v>
      </c>
      <c r="C116" s="344">
        <v>72872729</v>
      </c>
      <c r="D116" s="347">
        <v>62776416</v>
      </c>
    </row>
    <row r="117" spans="1:4" ht="13.5">
      <c r="A117" s="342" t="s">
        <v>527</v>
      </c>
      <c r="B117" s="344">
        <v>160497592</v>
      </c>
      <c r="C117" s="344">
        <v>166189684</v>
      </c>
      <c r="D117" s="347">
        <v>148129935</v>
      </c>
    </row>
    <row r="118" spans="1:4" ht="12.75">
      <c r="A118" s="353" t="s">
        <v>322</v>
      </c>
      <c r="B118" s="354">
        <f>SUM(B82:B117)</f>
        <v>669752601</v>
      </c>
      <c r="C118" s="354">
        <f>SUM(C82:C117)</f>
        <v>696802254</v>
      </c>
      <c r="D118" s="354">
        <f>SUM(D82:D117)</f>
        <v>644670371</v>
      </c>
    </row>
    <row r="119" spans="1:4" ht="12.75">
      <c r="A119" s="255" t="s">
        <v>394</v>
      </c>
      <c r="B119" s="67"/>
      <c r="C119" s="67"/>
      <c r="D119" s="67"/>
    </row>
    <row r="120" spans="1:4" ht="12.75">
      <c r="A120" s="256" t="s">
        <v>395</v>
      </c>
      <c r="B120" s="67"/>
      <c r="C120" s="67"/>
      <c r="D120" s="67"/>
    </row>
  </sheetData>
  <sheetProtection/>
  <printOptions/>
  <pageMargins left="0.46875" right="0.5118110236220472" top="0.7480314960629921" bottom="0.7480314960629921" header="0.31496062992125984" footer="0.31496062992125984"/>
  <pageSetup horizontalDpi="600" verticalDpi="600" orientation="portrait" paperSize="9"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ignoredErrors>
    <ignoredError sqref="B40:D40 B118" formulaRange="1"/>
  </ignoredErrors>
</worksheet>
</file>

<file path=xl/worksheets/sheet7.xml><?xml version="1.0" encoding="utf-8"?>
<worksheet xmlns="http://schemas.openxmlformats.org/spreadsheetml/2006/main" xmlns:r="http://schemas.openxmlformats.org/officeDocument/2006/relationships">
  <sheetPr>
    <tabColor theme="9" tint="-0.24997000396251678"/>
  </sheetPr>
  <dimension ref="A1:N352"/>
  <sheetViews>
    <sheetView view="pageLayout" zoomScale="90" zoomScaleSheetLayoutView="70" zoomScalePageLayoutView="90" workbookViewId="0" topLeftCell="A28">
      <selection activeCell="D358" sqref="D358"/>
    </sheetView>
  </sheetViews>
  <sheetFormatPr defaultColWidth="11.28125" defaultRowHeight="12.75"/>
  <cols>
    <col min="1" max="1" width="30.7109375" style="113" customWidth="1"/>
    <col min="2" max="2" width="11.57421875" style="113" bestFit="1" customWidth="1"/>
    <col min="3" max="3" width="11.28125" style="113" bestFit="1" customWidth="1"/>
    <col min="4" max="4" width="12.57421875" style="151" bestFit="1" customWidth="1"/>
    <col min="5" max="5" width="11.28125" style="151" bestFit="1" customWidth="1"/>
    <col min="6" max="6" width="11.57421875" style="113" bestFit="1" customWidth="1"/>
    <col min="7" max="7" width="10.8515625" style="113" bestFit="1" customWidth="1"/>
    <col min="8" max="8" width="12.57421875" style="113" bestFit="1" customWidth="1"/>
    <col min="9" max="14" width="8.7109375" style="113" customWidth="1"/>
    <col min="15" max="16384" width="11.28125" style="113" customWidth="1"/>
  </cols>
  <sheetData>
    <row r="1" spans="1:14" s="109" customFormat="1" ht="14.25" customHeight="1">
      <c r="A1" s="207" t="s">
        <v>399</v>
      </c>
      <c r="B1" s="208"/>
      <c r="C1" s="208"/>
      <c r="D1" s="208"/>
      <c r="E1" s="208"/>
      <c r="F1" s="208"/>
      <c r="G1" s="208"/>
      <c r="H1" s="208"/>
      <c r="I1" s="208"/>
      <c r="J1" s="208"/>
      <c r="K1" s="208"/>
      <c r="L1" s="208"/>
      <c r="M1" s="208"/>
      <c r="N1" s="208"/>
    </row>
    <row r="2" spans="1:14" s="112" customFormat="1" ht="11.25">
      <c r="A2" s="106" t="s">
        <v>488</v>
      </c>
      <c r="B2" s="106"/>
      <c r="C2" s="106"/>
      <c r="D2" s="106"/>
      <c r="E2" s="106"/>
      <c r="F2" s="106"/>
      <c r="G2" s="106"/>
      <c r="H2" s="106"/>
      <c r="I2" s="106"/>
      <c r="J2" s="106"/>
      <c r="K2" s="106"/>
      <c r="L2" s="106"/>
      <c r="M2" s="106"/>
      <c r="N2" s="106"/>
    </row>
    <row r="3" spans="1:14" s="112" customFormat="1" ht="12" thickBot="1">
      <c r="A3" s="106" t="s">
        <v>552</v>
      </c>
      <c r="B3" s="106"/>
      <c r="C3" s="106"/>
      <c r="D3" s="106"/>
      <c r="E3" s="106"/>
      <c r="F3" s="106"/>
      <c r="G3" s="106"/>
      <c r="H3" s="106"/>
      <c r="I3" s="106"/>
      <c r="J3" s="106"/>
      <c r="K3" s="106"/>
      <c r="L3" s="106"/>
      <c r="M3" s="106"/>
      <c r="N3" s="106"/>
    </row>
    <row r="4" spans="1:14" s="114" customFormat="1" ht="12.75" customHeight="1" thickBot="1">
      <c r="A4" s="1520" t="s">
        <v>204</v>
      </c>
      <c r="B4" s="1522" t="s">
        <v>237</v>
      </c>
      <c r="C4" s="1523"/>
      <c r="D4" s="1523"/>
      <c r="E4" s="1523"/>
      <c r="F4" s="1524" t="s">
        <v>238</v>
      </c>
      <c r="G4" s="1525"/>
      <c r="H4" s="1526"/>
      <c r="I4" s="1524" t="s">
        <v>236</v>
      </c>
      <c r="J4" s="1525"/>
      <c r="K4" s="1525"/>
      <c r="L4" s="1525"/>
      <c r="M4" s="1525"/>
      <c r="N4" s="1526"/>
    </row>
    <row r="5" spans="1:14" s="129" customFormat="1" ht="84.75" customHeight="1" thickBot="1">
      <c r="A5" s="1521"/>
      <c r="B5" s="209">
        <v>2019</v>
      </c>
      <c r="C5" s="210">
        <v>2020</v>
      </c>
      <c r="D5" s="210" t="s">
        <v>400</v>
      </c>
      <c r="E5" s="212" t="s">
        <v>401</v>
      </c>
      <c r="F5" s="209">
        <v>2019</v>
      </c>
      <c r="G5" s="210">
        <v>2020</v>
      </c>
      <c r="H5" s="210" t="s">
        <v>400</v>
      </c>
      <c r="I5" s="209">
        <v>2019</v>
      </c>
      <c r="J5" s="210" t="s">
        <v>392</v>
      </c>
      <c r="K5" s="210" t="s">
        <v>400</v>
      </c>
      <c r="L5" s="211" t="s">
        <v>402</v>
      </c>
      <c r="M5" s="211" t="s">
        <v>401</v>
      </c>
      <c r="N5" s="212" t="s">
        <v>403</v>
      </c>
    </row>
    <row r="6" spans="1:14" ht="11.25">
      <c r="A6" s="213"/>
      <c r="B6" s="214"/>
      <c r="C6" s="215"/>
      <c r="D6" s="215"/>
      <c r="E6" s="216"/>
      <c r="F6" s="214"/>
      <c r="G6" s="215"/>
      <c r="H6" s="217"/>
      <c r="I6" s="214"/>
      <c r="J6" s="215"/>
      <c r="K6" s="217"/>
      <c r="L6" s="216"/>
      <c r="M6" s="216"/>
      <c r="N6" s="217"/>
    </row>
    <row r="7" spans="1:14" ht="22.5">
      <c r="A7" s="218" t="s">
        <v>235</v>
      </c>
      <c r="B7" s="219"/>
      <c r="C7" s="220"/>
      <c r="D7" s="220"/>
      <c r="E7" s="221"/>
      <c r="F7" s="219"/>
      <c r="G7" s="220"/>
      <c r="H7" s="222"/>
      <c r="I7" s="219"/>
      <c r="J7" s="220"/>
      <c r="K7" s="222"/>
      <c r="L7" s="221"/>
      <c r="M7" s="221"/>
      <c r="N7" s="222"/>
    </row>
    <row r="8" spans="1:14" ht="11.25">
      <c r="A8" s="223" t="s">
        <v>205</v>
      </c>
      <c r="B8" s="224"/>
      <c r="C8" s="225"/>
      <c r="D8" s="225"/>
      <c r="E8" s="226"/>
      <c r="F8" s="224"/>
      <c r="G8" s="225"/>
      <c r="H8" s="227"/>
      <c r="I8" s="224"/>
      <c r="J8" s="225"/>
      <c r="K8" s="227"/>
      <c r="L8" s="226"/>
      <c r="M8" s="226"/>
      <c r="N8" s="227"/>
    </row>
    <row r="9" spans="1:14" s="114" customFormat="1" ht="11.25">
      <c r="A9" s="228"/>
      <c r="B9" s="224"/>
      <c r="C9" s="225"/>
      <c r="D9" s="225"/>
      <c r="E9" s="226"/>
      <c r="F9" s="224"/>
      <c r="G9" s="225"/>
      <c r="H9" s="227"/>
      <c r="I9" s="224"/>
      <c r="J9" s="225"/>
      <c r="K9" s="227"/>
      <c r="L9" s="226"/>
      <c r="M9" s="226"/>
      <c r="N9" s="227"/>
    </row>
    <row r="10" spans="1:14" ht="11.25">
      <c r="A10" s="218" t="s">
        <v>210</v>
      </c>
      <c r="B10" s="224"/>
      <c r="C10" s="225"/>
      <c r="D10" s="225"/>
      <c r="E10" s="226"/>
      <c r="F10" s="224"/>
      <c r="G10" s="225"/>
      <c r="H10" s="227"/>
      <c r="I10" s="224"/>
      <c r="J10" s="225"/>
      <c r="K10" s="227"/>
      <c r="L10" s="226"/>
      <c r="M10" s="226"/>
      <c r="N10" s="227"/>
    </row>
    <row r="11" spans="1:14" ht="11.25">
      <c r="A11" s="229" t="s">
        <v>206</v>
      </c>
      <c r="B11" s="224"/>
      <c r="C11" s="225"/>
      <c r="D11" s="225"/>
      <c r="E11" s="226"/>
      <c r="F11" s="224"/>
      <c r="G11" s="225"/>
      <c r="H11" s="227"/>
      <c r="I11" s="224"/>
      <c r="J11" s="225"/>
      <c r="K11" s="227"/>
      <c r="L11" s="226"/>
      <c r="M11" s="226"/>
      <c r="N11" s="227"/>
    </row>
    <row r="12" spans="1:14" ht="11.25">
      <c r="A12" s="229" t="s">
        <v>207</v>
      </c>
      <c r="B12" s="224"/>
      <c r="C12" s="225"/>
      <c r="D12" s="225"/>
      <c r="E12" s="226"/>
      <c r="F12" s="224"/>
      <c r="G12" s="225"/>
      <c r="H12" s="227"/>
      <c r="I12" s="224"/>
      <c r="J12" s="225"/>
      <c r="K12" s="227"/>
      <c r="L12" s="226"/>
      <c r="M12" s="226"/>
      <c r="N12" s="227"/>
    </row>
    <row r="13" spans="1:14" ht="11.25">
      <c r="A13" s="229" t="s">
        <v>208</v>
      </c>
      <c r="B13" s="224"/>
      <c r="C13" s="225"/>
      <c r="D13" s="225"/>
      <c r="E13" s="226"/>
      <c r="F13" s="224"/>
      <c r="G13" s="225"/>
      <c r="H13" s="227"/>
      <c r="I13" s="224"/>
      <c r="J13" s="225"/>
      <c r="K13" s="227"/>
      <c r="L13" s="226"/>
      <c r="M13" s="226"/>
      <c r="N13" s="227"/>
    </row>
    <row r="14" spans="1:14" ht="11.25">
      <c r="A14" s="229" t="s">
        <v>209</v>
      </c>
      <c r="B14" s="224"/>
      <c r="C14" s="225"/>
      <c r="D14" s="225"/>
      <c r="E14" s="226"/>
      <c r="F14" s="224"/>
      <c r="G14" s="225"/>
      <c r="H14" s="227"/>
      <c r="I14" s="224"/>
      <c r="J14" s="225"/>
      <c r="K14" s="227"/>
      <c r="L14" s="226"/>
      <c r="M14" s="226"/>
      <c r="N14" s="227"/>
    </row>
    <row r="15" spans="1:14" ht="11.25">
      <c r="A15" s="229"/>
      <c r="B15" s="219"/>
      <c r="C15" s="220"/>
      <c r="D15" s="220"/>
      <c r="E15" s="221"/>
      <c r="F15" s="219"/>
      <c r="G15" s="220"/>
      <c r="H15" s="222"/>
      <c r="I15" s="219"/>
      <c r="J15" s="220"/>
      <c r="K15" s="222"/>
      <c r="L15" s="221"/>
      <c r="M15" s="221"/>
      <c r="N15" s="222"/>
    </row>
    <row r="16" spans="1:14" ht="11.25">
      <c r="A16" s="218" t="s">
        <v>229</v>
      </c>
      <c r="B16" s="224"/>
      <c r="C16" s="225"/>
      <c r="D16" s="225"/>
      <c r="E16" s="226"/>
      <c r="F16" s="224"/>
      <c r="G16" s="225"/>
      <c r="H16" s="227"/>
      <c r="I16" s="224"/>
      <c r="J16" s="225"/>
      <c r="K16" s="227"/>
      <c r="L16" s="226"/>
      <c r="M16" s="226"/>
      <c r="N16" s="227"/>
    </row>
    <row r="17" spans="1:14" ht="11.25">
      <c r="A17" s="229" t="s">
        <v>211</v>
      </c>
      <c r="B17" s="224"/>
      <c r="C17" s="225"/>
      <c r="D17" s="225"/>
      <c r="E17" s="226"/>
      <c r="F17" s="224"/>
      <c r="G17" s="225"/>
      <c r="H17" s="227"/>
      <c r="I17" s="224"/>
      <c r="J17" s="225"/>
      <c r="K17" s="227"/>
      <c r="L17" s="226"/>
      <c r="M17" s="226"/>
      <c r="N17" s="227"/>
    </row>
    <row r="18" spans="1:14" ht="11.25">
      <c r="A18" s="229" t="s">
        <v>212</v>
      </c>
      <c r="B18" s="224"/>
      <c r="C18" s="225"/>
      <c r="D18" s="225"/>
      <c r="E18" s="226"/>
      <c r="F18" s="224"/>
      <c r="G18" s="225"/>
      <c r="H18" s="227"/>
      <c r="I18" s="224"/>
      <c r="J18" s="225"/>
      <c r="K18" s="227"/>
      <c r="L18" s="226"/>
      <c r="M18" s="226"/>
      <c r="N18" s="227"/>
    </row>
    <row r="19" spans="1:14" ht="11.25">
      <c r="A19" s="229" t="s">
        <v>213</v>
      </c>
      <c r="B19" s="224"/>
      <c r="C19" s="225"/>
      <c r="D19" s="225"/>
      <c r="E19" s="226"/>
      <c r="F19" s="224"/>
      <c r="G19" s="225"/>
      <c r="H19" s="227"/>
      <c r="I19" s="224"/>
      <c r="J19" s="225"/>
      <c r="K19" s="227"/>
      <c r="L19" s="226"/>
      <c r="M19" s="226"/>
      <c r="N19" s="227"/>
    </row>
    <row r="20" spans="1:14" ht="11.25">
      <c r="A20" s="229" t="s">
        <v>214</v>
      </c>
      <c r="B20" s="224"/>
      <c r="C20" s="225"/>
      <c r="D20" s="225"/>
      <c r="E20" s="226"/>
      <c r="F20" s="224"/>
      <c r="G20" s="225"/>
      <c r="H20" s="227"/>
      <c r="I20" s="224"/>
      <c r="J20" s="225"/>
      <c r="K20" s="227"/>
      <c r="L20" s="226"/>
      <c r="M20" s="226"/>
      <c r="N20" s="227"/>
    </row>
    <row r="21" spans="1:14" ht="22.5">
      <c r="A21" s="229" t="s">
        <v>215</v>
      </c>
      <c r="B21" s="224"/>
      <c r="C21" s="225"/>
      <c r="D21" s="225"/>
      <c r="E21" s="226"/>
      <c r="F21" s="224"/>
      <c r="G21" s="225"/>
      <c r="H21" s="227"/>
      <c r="I21" s="224"/>
      <c r="J21" s="225"/>
      <c r="K21" s="227"/>
      <c r="L21" s="226"/>
      <c r="M21" s="226"/>
      <c r="N21" s="227"/>
    </row>
    <row r="22" spans="1:14" ht="11.25">
      <c r="A22" s="230"/>
      <c r="B22" s="224"/>
      <c r="C22" s="225"/>
      <c r="D22" s="225"/>
      <c r="E22" s="226"/>
      <c r="F22" s="224"/>
      <c r="G22" s="225"/>
      <c r="H22" s="227"/>
      <c r="I22" s="224"/>
      <c r="J22" s="225"/>
      <c r="K22" s="227"/>
      <c r="L22" s="226"/>
      <c r="M22" s="226"/>
      <c r="N22" s="227"/>
    </row>
    <row r="23" spans="1:14" ht="11.25">
      <c r="A23" s="231" t="s">
        <v>230</v>
      </c>
      <c r="B23" s="224">
        <v>5280</v>
      </c>
      <c r="C23" s="225">
        <v>10235</v>
      </c>
      <c r="D23" s="225">
        <v>4955</v>
      </c>
      <c r="E23" s="226">
        <v>0</v>
      </c>
      <c r="F23" s="224">
        <v>44556</v>
      </c>
      <c r="G23" s="225">
        <v>28146</v>
      </c>
      <c r="H23" s="227">
        <v>-16410</v>
      </c>
      <c r="I23" s="224"/>
      <c r="J23" s="225"/>
      <c r="K23" s="227"/>
      <c r="L23" s="226"/>
      <c r="M23" s="226"/>
      <c r="N23" s="227"/>
    </row>
    <row r="24" spans="1:14" ht="11.25">
      <c r="A24" s="229" t="s">
        <v>216</v>
      </c>
      <c r="B24" s="224"/>
      <c r="C24" s="225"/>
      <c r="D24" s="225"/>
      <c r="E24" s="226"/>
      <c r="F24" s="224"/>
      <c r="G24" s="225"/>
      <c r="H24" s="227"/>
      <c r="I24" s="224"/>
      <c r="J24" s="225"/>
      <c r="K24" s="227"/>
      <c r="L24" s="226"/>
      <c r="M24" s="226"/>
      <c r="N24" s="227"/>
    </row>
    <row r="25" spans="1:14" ht="11.25">
      <c r="A25" s="229" t="s">
        <v>217</v>
      </c>
      <c r="B25" s="224">
        <v>5280</v>
      </c>
      <c r="C25" s="225">
        <v>10235</v>
      </c>
      <c r="D25" s="225">
        <v>4955</v>
      </c>
      <c r="E25" s="226"/>
      <c r="F25" s="224">
        <v>44556</v>
      </c>
      <c r="G25" s="225">
        <v>28146</v>
      </c>
      <c r="H25" s="227">
        <v>-16410</v>
      </c>
      <c r="I25" s="224"/>
      <c r="J25" s="225"/>
      <c r="K25" s="227"/>
      <c r="L25" s="226"/>
      <c r="M25" s="226"/>
      <c r="N25" s="227"/>
    </row>
    <row r="26" spans="1:14" ht="11.25">
      <c r="A26" s="229" t="s">
        <v>218</v>
      </c>
      <c r="B26" s="224"/>
      <c r="C26" s="225"/>
      <c r="D26" s="225"/>
      <c r="E26" s="226"/>
      <c r="F26" s="224"/>
      <c r="G26" s="225"/>
      <c r="H26" s="227"/>
      <c r="I26" s="224"/>
      <c r="J26" s="225"/>
      <c r="K26" s="227"/>
      <c r="L26" s="226"/>
      <c r="M26" s="226"/>
      <c r="N26" s="227"/>
    </row>
    <row r="27" spans="1:14" ht="11.25">
      <c r="A27" s="229"/>
      <c r="B27" s="224"/>
      <c r="C27" s="225"/>
      <c r="D27" s="225"/>
      <c r="E27" s="226"/>
      <c r="F27" s="224"/>
      <c r="G27" s="225"/>
      <c r="H27" s="227"/>
      <c r="I27" s="224"/>
      <c r="J27" s="225"/>
      <c r="K27" s="227"/>
      <c r="L27" s="226"/>
      <c r="M27" s="226"/>
      <c r="N27" s="227"/>
    </row>
    <row r="28" spans="1:14" ht="11.25">
      <c r="A28" s="231" t="s">
        <v>231</v>
      </c>
      <c r="B28" s="224">
        <v>19672</v>
      </c>
      <c r="C28" s="225">
        <v>0</v>
      </c>
      <c r="D28" s="225">
        <v>-19672</v>
      </c>
      <c r="E28" s="226">
        <v>0</v>
      </c>
      <c r="F28" s="224">
        <v>28532</v>
      </c>
      <c r="G28" s="225">
        <v>49454</v>
      </c>
      <c r="H28" s="227">
        <v>20922</v>
      </c>
      <c r="I28" s="224"/>
      <c r="J28" s="225"/>
      <c r="K28" s="227"/>
      <c r="L28" s="226"/>
      <c r="M28" s="226"/>
      <c r="N28" s="227"/>
    </row>
    <row r="29" spans="1:14" ht="11.25">
      <c r="A29" s="229" t="s">
        <v>219</v>
      </c>
      <c r="B29" s="224"/>
      <c r="C29" s="225"/>
      <c r="D29" s="225"/>
      <c r="E29" s="226"/>
      <c r="F29" s="224"/>
      <c r="G29" s="225"/>
      <c r="H29" s="227"/>
      <c r="I29" s="224"/>
      <c r="J29" s="225"/>
      <c r="K29" s="227"/>
      <c r="L29" s="226"/>
      <c r="M29" s="226"/>
      <c r="N29" s="227"/>
    </row>
    <row r="30" spans="1:14" ht="11.25">
      <c r="A30" s="229" t="s">
        <v>217</v>
      </c>
      <c r="B30" s="224">
        <v>19672</v>
      </c>
      <c r="C30" s="225">
        <v>0</v>
      </c>
      <c r="D30" s="225">
        <v>-19672</v>
      </c>
      <c r="E30" s="226"/>
      <c r="F30" s="224">
        <v>28532</v>
      </c>
      <c r="G30" s="225">
        <v>49454</v>
      </c>
      <c r="H30" s="227">
        <v>20922</v>
      </c>
      <c r="I30" s="224"/>
      <c r="J30" s="225"/>
      <c r="K30" s="227"/>
      <c r="L30" s="226"/>
      <c r="M30" s="226"/>
      <c r="N30" s="227"/>
    </row>
    <row r="31" spans="1:14" ht="11.25">
      <c r="A31" s="229"/>
      <c r="B31" s="224"/>
      <c r="C31" s="225"/>
      <c r="D31" s="225"/>
      <c r="E31" s="226"/>
      <c r="F31" s="224"/>
      <c r="G31" s="225"/>
      <c r="H31" s="227"/>
      <c r="I31" s="224"/>
      <c r="J31" s="225"/>
      <c r="K31" s="227"/>
      <c r="L31" s="226"/>
      <c r="M31" s="226"/>
      <c r="N31" s="227"/>
    </row>
    <row r="32" spans="1:14" ht="11.25">
      <c r="A32" s="231" t="s">
        <v>232</v>
      </c>
      <c r="B32" s="224">
        <v>73532</v>
      </c>
      <c r="C32" s="225">
        <v>28324</v>
      </c>
      <c r="D32" s="225">
        <v>-45208</v>
      </c>
      <c r="E32" s="226">
        <v>2718</v>
      </c>
      <c r="F32" s="224">
        <v>277771</v>
      </c>
      <c r="G32" s="225">
        <v>65047</v>
      </c>
      <c r="H32" s="227">
        <v>-212724</v>
      </c>
      <c r="I32" s="224"/>
      <c r="J32" s="225"/>
      <c r="K32" s="227"/>
      <c r="L32" s="226"/>
      <c r="M32" s="226"/>
      <c r="N32" s="227"/>
    </row>
    <row r="33" spans="1:14" ht="11.25">
      <c r="A33" s="229" t="s">
        <v>220</v>
      </c>
      <c r="B33" s="224">
        <v>2616</v>
      </c>
      <c r="C33" s="225">
        <v>0</v>
      </c>
      <c r="D33" s="225">
        <v>-2616</v>
      </c>
      <c r="E33" s="226"/>
      <c r="F33" s="224">
        <v>116028</v>
      </c>
      <c r="G33" s="225">
        <v>0</v>
      </c>
      <c r="H33" s="227">
        <v>-116028</v>
      </c>
      <c r="I33" s="224"/>
      <c r="J33" s="225"/>
      <c r="K33" s="227"/>
      <c r="L33" s="226"/>
      <c r="M33" s="226"/>
      <c r="N33" s="227"/>
    </row>
    <row r="34" spans="1:14" ht="11.25">
      <c r="A34" s="229" t="s">
        <v>218</v>
      </c>
      <c r="B34" s="224"/>
      <c r="C34" s="225"/>
      <c r="D34" s="225"/>
      <c r="E34" s="226"/>
      <c r="F34" s="224"/>
      <c r="G34" s="225"/>
      <c r="H34" s="227"/>
      <c r="I34" s="224"/>
      <c r="J34" s="225"/>
      <c r="K34" s="227"/>
      <c r="L34" s="226"/>
      <c r="M34" s="226"/>
      <c r="N34" s="227"/>
    </row>
    <row r="35" spans="1:14" ht="11.25">
      <c r="A35" s="229" t="s">
        <v>221</v>
      </c>
      <c r="B35" s="224">
        <v>70916</v>
      </c>
      <c r="C35" s="225">
        <v>28324</v>
      </c>
      <c r="D35" s="225">
        <v>-42592</v>
      </c>
      <c r="E35" s="226">
        <v>2718</v>
      </c>
      <c r="F35" s="224">
        <v>161743</v>
      </c>
      <c r="G35" s="225">
        <v>65047</v>
      </c>
      <c r="H35" s="227">
        <v>-96696</v>
      </c>
      <c r="I35" s="224"/>
      <c r="J35" s="225"/>
      <c r="K35" s="227"/>
      <c r="L35" s="226"/>
      <c r="M35" s="226"/>
      <c r="N35" s="227"/>
    </row>
    <row r="36" spans="1:14" ht="11.25">
      <c r="A36" s="229" t="s">
        <v>222</v>
      </c>
      <c r="B36" s="224"/>
      <c r="C36" s="225"/>
      <c r="D36" s="225"/>
      <c r="E36" s="226"/>
      <c r="F36" s="224"/>
      <c r="G36" s="225"/>
      <c r="H36" s="227"/>
      <c r="I36" s="224"/>
      <c r="J36" s="225"/>
      <c r="K36" s="227"/>
      <c r="L36" s="226"/>
      <c r="M36" s="226"/>
      <c r="N36" s="227"/>
    </row>
    <row r="37" spans="1:14" ht="11.25">
      <c r="A37" s="229"/>
      <c r="B37" s="224"/>
      <c r="C37" s="225"/>
      <c r="D37" s="225"/>
      <c r="E37" s="226"/>
      <c r="F37" s="224"/>
      <c r="G37" s="225"/>
      <c r="H37" s="227"/>
      <c r="I37" s="224"/>
      <c r="J37" s="225"/>
      <c r="K37" s="227"/>
      <c r="L37" s="226"/>
      <c r="M37" s="226"/>
      <c r="N37" s="227"/>
    </row>
    <row r="38" spans="1:14" ht="11.25">
      <c r="A38" s="231" t="s">
        <v>233</v>
      </c>
      <c r="B38" s="224">
        <v>6962695</v>
      </c>
      <c r="C38" s="225">
        <v>8240983</v>
      </c>
      <c r="D38" s="225">
        <v>1278288</v>
      </c>
      <c r="E38" s="226">
        <v>7979786</v>
      </c>
      <c r="F38" s="224">
        <v>10814011</v>
      </c>
      <c r="G38" s="225">
        <v>9205947</v>
      </c>
      <c r="H38" s="227">
        <v>-1608064</v>
      </c>
      <c r="I38" s="224"/>
      <c r="J38" s="225"/>
      <c r="K38" s="227"/>
      <c r="L38" s="226"/>
      <c r="M38" s="226"/>
      <c r="N38" s="227"/>
    </row>
    <row r="39" spans="1:14" ht="11.25">
      <c r="A39" s="229" t="s">
        <v>223</v>
      </c>
      <c r="B39" s="224"/>
      <c r="C39" s="225"/>
      <c r="D39" s="225"/>
      <c r="E39" s="226"/>
      <c r="F39" s="224"/>
      <c r="G39" s="225"/>
      <c r="H39" s="227"/>
      <c r="I39" s="224"/>
      <c r="J39" s="225"/>
      <c r="K39" s="227"/>
      <c r="L39" s="226"/>
      <c r="M39" s="226"/>
      <c r="N39" s="227"/>
    </row>
    <row r="40" spans="1:14" ht="11.25">
      <c r="A40" s="229" t="s">
        <v>224</v>
      </c>
      <c r="B40" s="224"/>
      <c r="C40" s="225"/>
      <c r="D40" s="225"/>
      <c r="E40" s="226"/>
      <c r="F40" s="224"/>
      <c r="G40" s="225"/>
      <c r="H40" s="227"/>
      <c r="I40" s="224"/>
      <c r="J40" s="225"/>
      <c r="K40" s="227"/>
      <c r="L40" s="226"/>
      <c r="M40" s="226"/>
      <c r="N40" s="227"/>
    </row>
    <row r="41" spans="1:14" ht="22.5">
      <c r="A41" s="229" t="s">
        <v>225</v>
      </c>
      <c r="B41" s="224"/>
      <c r="C41" s="225"/>
      <c r="D41" s="225"/>
      <c r="E41" s="226"/>
      <c r="F41" s="224"/>
      <c r="G41" s="225"/>
      <c r="H41" s="227"/>
      <c r="I41" s="224"/>
      <c r="J41" s="225"/>
      <c r="K41" s="227"/>
      <c r="L41" s="226"/>
      <c r="M41" s="226"/>
      <c r="N41" s="227"/>
    </row>
    <row r="42" spans="1:14" ht="22.5">
      <c r="A42" s="229" t="s">
        <v>226</v>
      </c>
      <c r="B42" s="224">
        <v>6962695</v>
      </c>
      <c r="C42" s="225">
        <v>8240983</v>
      </c>
      <c r="D42" s="225">
        <v>1278288</v>
      </c>
      <c r="E42" s="226">
        <v>7979786</v>
      </c>
      <c r="F42" s="224">
        <v>10814011</v>
      </c>
      <c r="G42" s="225">
        <v>9205947</v>
      </c>
      <c r="H42" s="227">
        <v>-1608064</v>
      </c>
      <c r="I42" s="224"/>
      <c r="J42" s="225"/>
      <c r="K42" s="227"/>
      <c r="L42" s="226"/>
      <c r="M42" s="226"/>
      <c r="N42" s="227"/>
    </row>
    <row r="43" spans="1:14" ht="11.25">
      <c r="A43" s="229"/>
      <c r="B43" s="224"/>
      <c r="C43" s="225"/>
      <c r="D43" s="225"/>
      <c r="E43" s="226"/>
      <c r="F43" s="224"/>
      <c r="G43" s="225"/>
      <c r="H43" s="227"/>
      <c r="I43" s="224"/>
      <c r="J43" s="225"/>
      <c r="K43" s="227"/>
      <c r="L43" s="226"/>
      <c r="M43" s="226"/>
      <c r="N43" s="227"/>
    </row>
    <row r="44" spans="1:14" ht="11.25">
      <c r="A44" s="231" t="s">
        <v>234</v>
      </c>
      <c r="B44" s="224"/>
      <c r="C44" s="225"/>
      <c r="D44" s="225"/>
      <c r="E44" s="226"/>
      <c r="F44" s="224"/>
      <c r="G44" s="225"/>
      <c r="H44" s="227"/>
      <c r="I44" s="224"/>
      <c r="J44" s="225"/>
      <c r="K44" s="227"/>
      <c r="L44" s="226"/>
      <c r="M44" s="226"/>
      <c r="N44" s="227"/>
    </row>
    <row r="45" spans="1:14" ht="11.25">
      <c r="A45" s="229" t="s">
        <v>227</v>
      </c>
      <c r="B45" s="224"/>
      <c r="C45" s="225"/>
      <c r="D45" s="225"/>
      <c r="E45" s="226"/>
      <c r="F45" s="224"/>
      <c r="G45" s="225"/>
      <c r="H45" s="227"/>
      <c r="I45" s="224"/>
      <c r="J45" s="225"/>
      <c r="K45" s="227"/>
      <c r="L45" s="226"/>
      <c r="M45" s="226"/>
      <c r="N45" s="227"/>
    </row>
    <row r="46" spans="1:14" s="114" customFormat="1" ht="22.5">
      <c r="A46" s="229" t="s">
        <v>228</v>
      </c>
      <c r="B46" s="224"/>
      <c r="C46" s="225"/>
      <c r="D46" s="225"/>
      <c r="E46" s="226"/>
      <c r="F46" s="224"/>
      <c r="G46" s="225"/>
      <c r="H46" s="227"/>
      <c r="I46" s="224"/>
      <c r="J46" s="225"/>
      <c r="K46" s="227"/>
      <c r="L46" s="226"/>
      <c r="M46" s="226"/>
      <c r="N46" s="227"/>
    </row>
    <row r="47" spans="1:14" ht="12" thickBot="1">
      <c r="A47" s="1182"/>
      <c r="B47" s="224"/>
      <c r="C47" s="225"/>
      <c r="D47" s="225"/>
      <c r="E47" s="226"/>
      <c r="F47" s="224"/>
      <c r="G47" s="225"/>
      <c r="H47" s="227"/>
      <c r="I47" s="224"/>
      <c r="J47" s="225"/>
      <c r="K47" s="227"/>
      <c r="L47" s="226"/>
      <c r="M47" s="226"/>
      <c r="N47" s="227"/>
    </row>
    <row r="48" spans="1:14" s="112" customFormat="1" ht="15" customHeight="1" thickBot="1">
      <c r="A48" s="239" t="s">
        <v>0</v>
      </c>
      <c r="B48" s="240">
        <f aca="true" t="shared" si="0" ref="B48:H48">SUM(B6:B47)</f>
        <v>14122358</v>
      </c>
      <c r="C48" s="240">
        <f t="shared" si="0"/>
        <v>16559084</v>
      </c>
      <c r="D48" s="240">
        <f t="shared" si="0"/>
        <v>2436726</v>
      </c>
      <c r="E48" s="240">
        <f t="shared" si="0"/>
        <v>15965008</v>
      </c>
      <c r="F48" s="240">
        <f t="shared" si="0"/>
        <v>22329740</v>
      </c>
      <c r="G48" s="240">
        <f t="shared" si="0"/>
        <v>18697188</v>
      </c>
      <c r="H48" s="240">
        <f t="shared" si="0"/>
        <v>-3632552</v>
      </c>
      <c r="I48" s="240"/>
      <c r="J48" s="241"/>
      <c r="K48" s="245"/>
      <c r="L48" s="242"/>
      <c r="M48" s="242"/>
      <c r="N48" s="243"/>
    </row>
    <row r="49" spans="1:14" s="112" customFormat="1" ht="12" thickBot="1">
      <c r="A49" s="1183" t="s">
        <v>21</v>
      </c>
      <c r="B49" s="1184"/>
      <c r="C49" s="1185"/>
      <c r="D49" s="1186"/>
      <c r="E49" s="1187"/>
      <c r="F49" s="1184"/>
      <c r="G49" s="1188"/>
      <c r="H49" s="1187"/>
      <c r="I49" s="1184"/>
      <c r="J49" s="1185"/>
      <c r="K49" s="1189"/>
      <c r="L49" s="1188"/>
      <c r="M49" s="1188"/>
      <c r="N49" s="1187"/>
    </row>
    <row r="50" spans="1:14" ht="11.25">
      <c r="A50" s="67" t="s">
        <v>404</v>
      </c>
      <c r="B50" s="67"/>
      <c r="C50" s="67"/>
      <c r="D50" s="67"/>
      <c r="E50" s="67"/>
      <c r="F50" s="67"/>
      <c r="G50" s="67"/>
      <c r="H50" s="67"/>
      <c r="I50" s="67"/>
      <c r="J50" s="67"/>
      <c r="K50" s="67"/>
      <c r="L50" s="67"/>
      <c r="M50" s="67"/>
      <c r="N50" s="67"/>
    </row>
    <row r="51" spans="1:14" ht="11.25">
      <c r="A51" s="67" t="s">
        <v>405</v>
      </c>
      <c r="B51" s="67"/>
      <c r="C51" s="67"/>
      <c r="D51" s="67"/>
      <c r="E51" s="67"/>
      <c r="F51" s="67"/>
      <c r="G51" s="67"/>
      <c r="H51" s="67"/>
      <c r="I51" s="67"/>
      <c r="J51" s="67"/>
      <c r="K51" s="67"/>
      <c r="L51" s="67"/>
      <c r="M51" s="67"/>
      <c r="N51" s="67"/>
    </row>
    <row r="53" spans="1:14" ht="12" thickBot="1">
      <c r="A53" s="106" t="s">
        <v>556</v>
      </c>
      <c r="B53" s="106"/>
      <c r="C53" s="106"/>
      <c r="D53" s="106"/>
      <c r="E53" s="106"/>
      <c r="F53" s="106"/>
      <c r="G53" s="106"/>
      <c r="H53" s="106"/>
      <c r="I53" s="106"/>
      <c r="J53" s="106"/>
      <c r="K53" s="106"/>
      <c r="L53" s="106"/>
      <c r="M53" s="106"/>
      <c r="N53" s="106"/>
    </row>
    <row r="54" spans="1:14" ht="12" thickBot="1">
      <c r="A54" s="1520" t="s">
        <v>204</v>
      </c>
      <c r="B54" s="1522" t="s">
        <v>237</v>
      </c>
      <c r="C54" s="1523"/>
      <c r="D54" s="1523"/>
      <c r="E54" s="1523"/>
      <c r="F54" s="1524" t="s">
        <v>238</v>
      </c>
      <c r="G54" s="1525"/>
      <c r="H54" s="1526"/>
      <c r="I54" s="1524" t="s">
        <v>236</v>
      </c>
      <c r="J54" s="1525"/>
      <c r="K54" s="1525"/>
      <c r="L54" s="1525"/>
      <c r="M54" s="1525"/>
      <c r="N54" s="1526"/>
    </row>
    <row r="55" spans="1:14" ht="49.5" thickBot="1">
      <c r="A55" s="1521"/>
      <c r="B55" s="209">
        <v>2019</v>
      </c>
      <c r="C55" s="210">
        <v>2020</v>
      </c>
      <c r="D55" s="210" t="s">
        <v>400</v>
      </c>
      <c r="E55" s="212" t="s">
        <v>401</v>
      </c>
      <c r="F55" s="209">
        <v>2019</v>
      </c>
      <c r="G55" s="210">
        <v>2020</v>
      </c>
      <c r="H55" s="210" t="s">
        <v>400</v>
      </c>
      <c r="I55" s="209">
        <v>2019</v>
      </c>
      <c r="J55" s="210" t="s">
        <v>392</v>
      </c>
      <c r="K55" s="210" t="s">
        <v>400</v>
      </c>
      <c r="L55" s="211" t="s">
        <v>402</v>
      </c>
      <c r="M55" s="211" t="s">
        <v>401</v>
      </c>
      <c r="N55" s="212" t="s">
        <v>403</v>
      </c>
    </row>
    <row r="56" spans="1:14" ht="11.25">
      <c r="A56" s="213"/>
      <c r="B56" s="214"/>
      <c r="C56" s="215"/>
      <c r="D56" s="215"/>
      <c r="E56" s="216"/>
      <c r="F56" s="214"/>
      <c r="G56" s="215"/>
      <c r="H56" s="217"/>
      <c r="I56" s="214"/>
      <c r="J56" s="215"/>
      <c r="K56" s="217"/>
      <c r="L56" s="216"/>
      <c r="M56" s="216"/>
      <c r="N56" s="217"/>
    </row>
    <row r="57" spans="1:14" ht="22.5">
      <c r="A57" s="218" t="s">
        <v>235</v>
      </c>
      <c r="B57" s="219"/>
      <c r="C57" s="220"/>
      <c r="D57" s="220"/>
      <c r="E57" s="221"/>
      <c r="F57" s="219"/>
      <c r="G57" s="220"/>
      <c r="H57" s="222"/>
      <c r="I57" s="219"/>
      <c r="J57" s="220"/>
      <c r="K57" s="222"/>
      <c r="L57" s="221"/>
      <c r="M57" s="221"/>
      <c r="N57" s="222"/>
    </row>
    <row r="58" spans="1:14" ht="11.25">
      <c r="A58" s="223" t="s">
        <v>205</v>
      </c>
      <c r="B58" s="224"/>
      <c r="C58" s="225"/>
      <c r="D58" s="225"/>
      <c r="E58" s="226"/>
      <c r="F58" s="224"/>
      <c r="G58" s="225"/>
      <c r="H58" s="227"/>
      <c r="I58" s="224"/>
      <c r="J58" s="225"/>
      <c r="K58" s="227"/>
      <c r="L58" s="226"/>
      <c r="M58" s="226"/>
      <c r="N58" s="227"/>
    </row>
    <row r="59" spans="1:14" ht="11.25">
      <c r="A59" s="228"/>
      <c r="B59" s="224"/>
      <c r="C59" s="225"/>
      <c r="D59" s="225"/>
      <c r="E59" s="226"/>
      <c r="F59" s="224"/>
      <c r="G59" s="225"/>
      <c r="H59" s="227"/>
      <c r="I59" s="224"/>
      <c r="J59" s="225"/>
      <c r="K59" s="227"/>
      <c r="L59" s="226"/>
      <c r="M59" s="226"/>
      <c r="N59" s="227"/>
    </row>
    <row r="60" spans="1:14" ht="11.25">
      <c r="A60" s="218" t="s">
        <v>210</v>
      </c>
      <c r="B60" s="224"/>
      <c r="C60" s="225"/>
      <c r="D60" s="225"/>
      <c r="E60" s="226"/>
      <c r="F60" s="224"/>
      <c r="G60" s="225"/>
      <c r="H60" s="227"/>
      <c r="I60" s="224"/>
      <c r="J60" s="225"/>
      <c r="K60" s="227"/>
      <c r="L60" s="226"/>
      <c r="M60" s="226"/>
      <c r="N60" s="227"/>
    </row>
    <row r="61" spans="1:14" ht="11.25">
      <c r="A61" s="229" t="s">
        <v>206</v>
      </c>
      <c r="B61" s="224"/>
      <c r="C61" s="225"/>
      <c r="D61" s="225"/>
      <c r="E61" s="226"/>
      <c r="F61" s="224"/>
      <c r="G61" s="225"/>
      <c r="H61" s="227"/>
      <c r="I61" s="224"/>
      <c r="J61" s="225"/>
      <c r="K61" s="227"/>
      <c r="L61" s="226"/>
      <c r="M61" s="226"/>
      <c r="N61" s="227"/>
    </row>
    <row r="62" spans="1:14" ht="11.25">
      <c r="A62" s="229" t="s">
        <v>207</v>
      </c>
      <c r="B62" s="224"/>
      <c r="C62" s="225"/>
      <c r="D62" s="225"/>
      <c r="E62" s="226"/>
      <c r="F62" s="224"/>
      <c r="G62" s="225"/>
      <c r="H62" s="227"/>
      <c r="I62" s="224"/>
      <c r="J62" s="225"/>
      <c r="K62" s="227"/>
      <c r="L62" s="226"/>
      <c r="M62" s="226"/>
      <c r="N62" s="227"/>
    </row>
    <row r="63" spans="1:14" ht="11.25">
      <c r="A63" s="229" t="s">
        <v>208</v>
      </c>
      <c r="B63" s="224"/>
      <c r="C63" s="225"/>
      <c r="D63" s="225"/>
      <c r="E63" s="226"/>
      <c r="F63" s="224"/>
      <c r="G63" s="225"/>
      <c r="H63" s="227"/>
      <c r="I63" s="224"/>
      <c r="J63" s="225"/>
      <c r="K63" s="227"/>
      <c r="L63" s="226"/>
      <c r="M63" s="226"/>
      <c r="N63" s="227"/>
    </row>
    <row r="64" spans="1:14" ht="11.25">
      <c r="A64" s="229" t="s">
        <v>209</v>
      </c>
      <c r="B64" s="224"/>
      <c r="C64" s="225"/>
      <c r="D64" s="225"/>
      <c r="E64" s="226"/>
      <c r="F64" s="224"/>
      <c r="G64" s="225"/>
      <c r="H64" s="227"/>
      <c r="I64" s="224"/>
      <c r="J64" s="225"/>
      <c r="K64" s="227"/>
      <c r="L64" s="226"/>
      <c r="M64" s="226"/>
      <c r="N64" s="227"/>
    </row>
    <row r="65" spans="1:14" ht="11.25">
      <c r="A65" s="229"/>
      <c r="B65" s="219"/>
      <c r="C65" s="220"/>
      <c r="D65" s="220"/>
      <c r="E65" s="221"/>
      <c r="F65" s="219"/>
      <c r="G65" s="220"/>
      <c r="H65" s="222"/>
      <c r="I65" s="219"/>
      <c r="J65" s="220"/>
      <c r="K65" s="222"/>
      <c r="L65" s="221"/>
      <c r="M65" s="221"/>
      <c r="N65" s="222"/>
    </row>
    <row r="66" spans="1:14" ht="11.25">
      <c r="A66" s="218" t="s">
        <v>229</v>
      </c>
      <c r="B66" s="224"/>
      <c r="C66" s="225"/>
      <c r="D66" s="225"/>
      <c r="E66" s="226"/>
      <c r="F66" s="224"/>
      <c r="G66" s="225"/>
      <c r="H66" s="227"/>
      <c r="I66" s="224"/>
      <c r="J66" s="225"/>
      <c r="K66" s="227"/>
      <c r="L66" s="226"/>
      <c r="M66" s="226"/>
      <c r="N66" s="227"/>
    </row>
    <row r="67" spans="1:14" ht="11.25">
      <c r="A67" s="229" t="s">
        <v>211</v>
      </c>
      <c r="B67" s="224"/>
      <c r="C67" s="225"/>
      <c r="D67" s="225"/>
      <c r="E67" s="226"/>
      <c r="F67" s="224"/>
      <c r="G67" s="225"/>
      <c r="H67" s="227"/>
      <c r="I67" s="224"/>
      <c r="J67" s="225"/>
      <c r="K67" s="227"/>
      <c r="L67" s="226"/>
      <c r="M67" s="226"/>
      <c r="N67" s="227"/>
    </row>
    <row r="68" spans="1:14" ht="11.25">
      <c r="A68" s="229" t="s">
        <v>212</v>
      </c>
      <c r="B68" s="224"/>
      <c r="C68" s="225"/>
      <c r="D68" s="225"/>
      <c r="E68" s="226"/>
      <c r="F68" s="224"/>
      <c r="G68" s="225"/>
      <c r="H68" s="227"/>
      <c r="I68" s="224"/>
      <c r="J68" s="225"/>
      <c r="K68" s="227"/>
      <c r="L68" s="226"/>
      <c r="M68" s="226"/>
      <c r="N68" s="227"/>
    </row>
    <row r="69" spans="1:14" ht="11.25">
      <c r="A69" s="229" t="s">
        <v>213</v>
      </c>
      <c r="B69" s="224"/>
      <c r="C69" s="225"/>
      <c r="D69" s="225"/>
      <c r="E69" s="226"/>
      <c r="F69" s="224"/>
      <c r="G69" s="225"/>
      <c r="H69" s="227"/>
      <c r="I69" s="224"/>
      <c r="J69" s="225"/>
      <c r="K69" s="227"/>
      <c r="L69" s="226"/>
      <c r="M69" s="226"/>
      <c r="N69" s="227"/>
    </row>
    <row r="70" spans="1:14" ht="11.25">
      <c r="A70" s="229" t="s">
        <v>214</v>
      </c>
      <c r="B70" s="224"/>
      <c r="C70" s="225"/>
      <c r="D70" s="225"/>
      <c r="E70" s="226"/>
      <c r="F70" s="224"/>
      <c r="G70" s="225"/>
      <c r="H70" s="227"/>
      <c r="I70" s="224"/>
      <c r="J70" s="225"/>
      <c r="K70" s="227"/>
      <c r="L70" s="226"/>
      <c r="M70" s="226"/>
      <c r="N70" s="227"/>
    </row>
    <row r="71" spans="1:14" ht="22.5">
      <c r="A71" s="229" t="s">
        <v>215</v>
      </c>
      <c r="B71" s="224"/>
      <c r="C71" s="225"/>
      <c r="D71" s="225"/>
      <c r="E71" s="226"/>
      <c r="F71" s="224"/>
      <c r="G71" s="225"/>
      <c r="H71" s="227"/>
      <c r="I71" s="224"/>
      <c r="J71" s="225"/>
      <c r="K71" s="227"/>
      <c r="L71" s="226"/>
      <c r="M71" s="226"/>
      <c r="N71" s="227"/>
    </row>
    <row r="72" spans="1:14" ht="11.25">
      <c r="A72" s="230"/>
      <c r="B72" s="224"/>
      <c r="C72" s="225"/>
      <c r="D72" s="225"/>
      <c r="E72" s="226"/>
      <c r="F72" s="224"/>
      <c r="G72" s="225"/>
      <c r="H72" s="227"/>
      <c r="I72" s="224"/>
      <c r="J72" s="225"/>
      <c r="K72" s="227"/>
      <c r="L72" s="226"/>
      <c r="M72" s="226"/>
      <c r="N72" s="227"/>
    </row>
    <row r="73" spans="1:14" ht="11.25">
      <c r="A73" s="231" t="s">
        <v>230</v>
      </c>
      <c r="B73" s="224"/>
      <c r="C73" s="225"/>
      <c r="D73" s="225"/>
      <c r="E73" s="226"/>
      <c r="F73" s="224"/>
      <c r="G73" s="225"/>
      <c r="H73" s="227"/>
      <c r="I73" s="224"/>
      <c r="J73" s="225"/>
      <c r="K73" s="227"/>
      <c r="L73" s="226"/>
      <c r="M73" s="226"/>
      <c r="N73" s="227"/>
    </row>
    <row r="74" spans="1:14" ht="11.25">
      <c r="A74" s="229" t="s">
        <v>216</v>
      </c>
      <c r="B74" s="224"/>
      <c r="C74" s="225"/>
      <c r="D74" s="225"/>
      <c r="E74" s="226"/>
      <c r="F74" s="224"/>
      <c r="G74" s="225"/>
      <c r="H74" s="227"/>
      <c r="I74" s="224"/>
      <c r="J74" s="225"/>
      <c r="K74" s="227"/>
      <c r="L74" s="226"/>
      <c r="M74" s="226"/>
      <c r="N74" s="227"/>
    </row>
    <row r="75" spans="1:14" ht="11.25">
      <c r="A75" s="229" t="s">
        <v>217</v>
      </c>
      <c r="B75" s="224">
        <v>10538657</v>
      </c>
      <c r="C75" s="225"/>
      <c r="D75" s="225"/>
      <c r="E75" s="226"/>
      <c r="F75" s="224">
        <v>13883222</v>
      </c>
      <c r="G75" s="225"/>
      <c r="H75" s="227"/>
      <c r="I75" s="224">
        <v>2000</v>
      </c>
      <c r="J75" s="225">
        <v>1200</v>
      </c>
      <c r="K75" s="227">
        <v>2400</v>
      </c>
      <c r="L75" s="226">
        <v>2400</v>
      </c>
      <c r="M75" s="226">
        <v>2400</v>
      </c>
      <c r="N75" s="227">
        <v>0</v>
      </c>
    </row>
    <row r="76" spans="1:14" ht="11.25">
      <c r="A76" s="229" t="s">
        <v>218</v>
      </c>
      <c r="B76" s="224"/>
      <c r="C76" s="225"/>
      <c r="D76" s="225"/>
      <c r="E76" s="226"/>
      <c r="F76" s="224"/>
      <c r="G76" s="225"/>
      <c r="H76" s="227"/>
      <c r="I76" s="224"/>
      <c r="J76" s="225"/>
      <c r="K76" s="227"/>
      <c r="L76" s="226"/>
      <c r="M76" s="226"/>
      <c r="N76" s="227"/>
    </row>
    <row r="77" spans="1:14" ht="11.25">
      <c r="A77" s="229"/>
      <c r="B77" s="224"/>
      <c r="C77" s="225"/>
      <c r="D77" s="225"/>
      <c r="E77" s="226"/>
      <c r="F77" s="224"/>
      <c r="G77" s="225"/>
      <c r="H77" s="227"/>
      <c r="I77" s="224"/>
      <c r="J77" s="225"/>
      <c r="K77" s="227"/>
      <c r="L77" s="226"/>
      <c r="M77" s="226"/>
      <c r="N77" s="227"/>
    </row>
    <row r="78" spans="1:14" ht="11.25">
      <c r="A78" s="231" t="s">
        <v>231</v>
      </c>
      <c r="B78" s="224"/>
      <c r="C78" s="225"/>
      <c r="D78" s="225"/>
      <c r="E78" s="226"/>
      <c r="F78" s="224"/>
      <c r="G78" s="225"/>
      <c r="H78" s="227"/>
      <c r="I78" s="224"/>
      <c r="J78" s="225"/>
      <c r="K78" s="227"/>
      <c r="L78" s="226"/>
      <c r="M78" s="226"/>
      <c r="N78" s="227"/>
    </row>
    <row r="79" spans="1:14" ht="11.25">
      <c r="A79" s="229" t="s">
        <v>219</v>
      </c>
      <c r="B79" s="224"/>
      <c r="C79" s="225"/>
      <c r="D79" s="225"/>
      <c r="E79" s="226"/>
      <c r="F79" s="224"/>
      <c r="G79" s="225"/>
      <c r="H79" s="227"/>
      <c r="I79" s="224"/>
      <c r="J79" s="225"/>
      <c r="K79" s="227"/>
      <c r="L79" s="226"/>
      <c r="M79" s="226"/>
      <c r="N79" s="227"/>
    </row>
    <row r="80" spans="1:14" ht="11.25">
      <c r="A80" s="229" t="s">
        <v>217</v>
      </c>
      <c r="B80" s="224">
        <v>32198113</v>
      </c>
      <c r="C80" s="225"/>
      <c r="D80" s="225"/>
      <c r="E80" s="226"/>
      <c r="F80" s="224">
        <v>41064122</v>
      </c>
      <c r="G80" s="225"/>
      <c r="H80" s="227"/>
      <c r="I80" s="224">
        <v>4000</v>
      </c>
      <c r="J80" s="225">
        <v>2280</v>
      </c>
      <c r="K80" s="227">
        <v>4560</v>
      </c>
      <c r="L80" s="226">
        <v>4560</v>
      </c>
      <c r="M80" s="226">
        <v>4560</v>
      </c>
      <c r="N80" s="227">
        <v>0</v>
      </c>
    </row>
    <row r="81" spans="1:14" ht="11.25">
      <c r="A81" s="229"/>
      <c r="B81" s="224"/>
      <c r="C81" s="225"/>
      <c r="D81" s="225"/>
      <c r="E81" s="226"/>
      <c r="F81" s="224"/>
      <c r="G81" s="225"/>
      <c r="H81" s="227"/>
      <c r="I81" s="224"/>
      <c r="J81" s="225"/>
      <c r="K81" s="227"/>
      <c r="L81" s="226"/>
      <c r="M81" s="226"/>
      <c r="N81" s="227"/>
    </row>
    <row r="82" spans="1:14" ht="11.25">
      <c r="A82" s="231" t="s">
        <v>232</v>
      </c>
      <c r="B82" s="224"/>
      <c r="C82" s="225"/>
      <c r="D82" s="225"/>
      <c r="E82" s="226"/>
      <c r="F82" s="224"/>
      <c r="G82" s="225"/>
      <c r="H82" s="227"/>
      <c r="I82" s="224"/>
      <c r="J82" s="225"/>
      <c r="K82" s="227"/>
      <c r="L82" s="226"/>
      <c r="M82" s="226"/>
      <c r="N82" s="227"/>
    </row>
    <row r="83" spans="1:14" ht="11.25">
      <c r="A83" s="229" t="s">
        <v>220</v>
      </c>
      <c r="B83" s="224"/>
      <c r="C83" s="225"/>
      <c r="D83" s="225"/>
      <c r="E83" s="226"/>
      <c r="F83" s="224"/>
      <c r="G83" s="225"/>
      <c r="H83" s="227"/>
      <c r="I83" s="224"/>
      <c r="J83" s="225"/>
      <c r="K83" s="227"/>
      <c r="L83" s="226"/>
      <c r="M83" s="226"/>
      <c r="N83" s="227"/>
    </row>
    <row r="84" spans="1:14" ht="11.25">
      <c r="A84" s="229" t="s">
        <v>218</v>
      </c>
      <c r="B84" s="224"/>
      <c r="C84" s="225"/>
      <c r="D84" s="225"/>
      <c r="E84" s="226"/>
      <c r="F84" s="224"/>
      <c r="G84" s="225"/>
      <c r="H84" s="227"/>
      <c r="I84" s="224"/>
      <c r="J84" s="225"/>
      <c r="K84" s="227"/>
      <c r="L84" s="226"/>
      <c r="M84" s="226"/>
      <c r="N84" s="227"/>
    </row>
    <row r="85" spans="1:14" ht="11.25">
      <c r="A85" s="229" t="s">
        <v>221</v>
      </c>
      <c r="B85" s="224">
        <v>24765051</v>
      </c>
      <c r="C85" s="225"/>
      <c r="D85" s="225"/>
      <c r="E85" s="226"/>
      <c r="F85" s="224">
        <v>28828749</v>
      </c>
      <c r="G85" s="225"/>
      <c r="H85" s="227"/>
      <c r="I85" s="224">
        <v>900</v>
      </c>
      <c r="J85" s="225">
        <v>480</v>
      </c>
      <c r="K85" s="227">
        <v>960</v>
      </c>
      <c r="L85" s="226">
        <v>960</v>
      </c>
      <c r="M85" s="226">
        <v>960</v>
      </c>
      <c r="N85" s="227">
        <v>0</v>
      </c>
    </row>
    <row r="86" spans="1:14" ht="11.25">
      <c r="A86" s="229" t="s">
        <v>222</v>
      </c>
      <c r="B86" s="224"/>
      <c r="C86" s="225"/>
      <c r="D86" s="225"/>
      <c r="E86" s="226"/>
      <c r="F86" s="224"/>
      <c r="G86" s="225"/>
      <c r="H86" s="227"/>
      <c r="I86" s="224"/>
      <c r="J86" s="225"/>
      <c r="K86" s="227"/>
      <c r="L86" s="226"/>
      <c r="M86" s="226"/>
      <c r="N86" s="227"/>
    </row>
    <row r="87" spans="1:14" ht="11.25">
      <c r="A87" s="229"/>
      <c r="B87" s="224"/>
      <c r="C87" s="225"/>
      <c r="D87" s="225"/>
      <c r="E87" s="226"/>
      <c r="F87" s="224"/>
      <c r="G87" s="225"/>
      <c r="H87" s="227"/>
      <c r="I87" s="224"/>
      <c r="J87" s="225"/>
      <c r="K87" s="227"/>
      <c r="L87" s="226"/>
      <c r="M87" s="226"/>
      <c r="N87" s="227"/>
    </row>
    <row r="88" spans="1:14" ht="11.25">
      <c r="A88" s="231" t="s">
        <v>233</v>
      </c>
      <c r="B88" s="224"/>
      <c r="C88" s="225"/>
      <c r="D88" s="225"/>
      <c r="E88" s="226"/>
      <c r="F88" s="224"/>
      <c r="G88" s="225"/>
      <c r="H88" s="227"/>
      <c r="I88" s="224"/>
      <c r="J88" s="225"/>
      <c r="K88" s="227"/>
      <c r="L88" s="226"/>
      <c r="M88" s="226"/>
      <c r="N88" s="227"/>
    </row>
    <row r="89" spans="1:14" ht="11.25">
      <c r="A89" s="229" t="s">
        <v>223</v>
      </c>
      <c r="B89" s="224"/>
      <c r="C89" s="225"/>
      <c r="D89" s="225"/>
      <c r="E89" s="226"/>
      <c r="F89" s="224"/>
      <c r="G89" s="225"/>
      <c r="H89" s="227"/>
      <c r="I89" s="224"/>
      <c r="J89" s="225"/>
      <c r="K89" s="227"/>
      <c r="L89" s="226"/>
      <c r="M89" s="226"/>
      <c r="N89" s="227"/>
    </row>
    <row r="90" spans="1:14" ht="11.25">
      <c r="A90" s="229" t="s">
        <v>224</v>
      </c>
      <c r="B90" s="224"/>
      <c r="C90" s="225"/>
      <c r="D90" s="225"/>
      <c r="E90" s="226"/>
      <c r="F90" s="224"/>
      <c r="G90" s="225"/>
      <c r="H90" s="227"/>
      <c r="I90" s="224"/>
      <c r="J90" s="225"/>
      <c r="K90" s="227"/>
      <c r="L90" s="226"/>
      <c r="M90" s="226"/>
      <c r="N90" s="227"/>
    </row>
    <row r="91" spans="1:14" ht="22.5">
      <c r="A91" s="229" t="s">
        <v>225</v>
      </c>
      <c r="B91" s="224"/>
      <c r="C91" s="225"/>
      <c r="D91" s="225"/>
      <c r="E91" s="226"/>
      <c r="F91" s="224"/>
      <c r="G91" s="225"/>
      <c r="H91" s="227"/>
      <c r="I91" s="224"/>
      <c r="J91" s="225"/>
      <c r="K91" s="227"/>
      <c r="L91" s="226"/>
      <c r="M91" s="226"/>
      <c r="N91" s="227"/>
    </row>
    <row r="92" spans="1:14" ht="22.5">
      <c r="A92" s="229" t="s">
        <v>226</v>
      </c>
      <c r="B92" s="224"/>
      <c r="C92" s="225"/>
      <c r="D92" s="225"/>
      <c r="E92" s="226"/>
      <c r="F92" s="224"/>
      <c r="G92" s="225"/>
      <c r="H92" s="227"/>
      <c r="I92" s="224"/>
      <c r="J92" s="225"/>
      <c r="K92" s="227"/>
      <c r="L92" s="226"/>
      <c r="M92" s="226"/>
      <c r="N92" s="227"/>
    </row>
    <row r="93" spans="1:14" ht="11.25">
      <c r="A93" s="229"/>
      <c r="B93" s="224"/>
      <c r="C93" s="225"/>
      <c r="D93" s="225"/>
      <c r="E93" s="226"/>
      <c r="F93" s="224"/>
      <c r="G93" s="225"/>
      <c r="H93" s="227"/>
      <c r="I93" s="224"/>
      <c r="J93" s="225"/>
      <c r="K93" s="227"/>
      <c r="L93" s="226"/>
      <c r="M93" s="226"/>
      <c r="N93" s="227"/>
    </row>
    <row r="94" spans="1:14" ht="11.25">
      <c r="A94" s="231" t="s">
        <v>234</v>
      </c>
      <c r="B94" s="224"/>
      <c r="C94" s="225"/>
      <c r="D94" s="225"/>
      <c r="E94" s="226"/>
      <c r="F94" s="224"/>
      <c r="G94" s="225"/>
      <c r="H94" s="227"/>
      <c r="I94" s="224"/>
      <c r="J94" s="225"/>
      <c r="K94" s="227"/>
      <c r="L94" s="226"/>
      <c r="M94" s="226"/>
      <c r="N94" s="227"/>
    </row>
    <row r="95" spans="1:14" ht="11.25">
      <c r="A95" s="229" t="s">
        <v>227</v>
      </c>
      <c r="B95" s="224"/>
      <c r="C95" s="225"/>
      <c r="D95" s="225"/>
      <c r="E95" s="226"/>
      <c r="F95" s="224"/>
      <c r="G95" s="225"/>
      <c r="H95" s="227"/>
      <c r="I95" s="224"/>
      <c r="J95" s="225"/>
      <c r="K95" s="227"/>
      <c r="L95" s="226"/>
      <c r="M95" s="226"/>
      <c r="N95" s="227"/>
    </row>
    <row r="96" spans="1:14" ht="22.5">
      <c r="A96" s="229" t="s">
        <v>228</v>
      </c>
      <c r="B96" s="224"/>
      <c r="C96" s="225"/>
      <c r="D96" s="225"/>
      <c r="E96" s="226"/>
      <c r="F96" s="224"/>
      <c r="G96" s="225"/>
      <c r="H96" s="227"/>
      <c r="I96" s="224"/>
      <c r="J96" s="225"/>
      <c r="K96" s="227"/>
      <c r="L96" s="226"/>
      <c r="M96" s="226"/>
      <c r="N96" s="227"/>
    </row>
    <row r="97" spans="1:14" ht="12" thickBot="1">
      <c r="A97" s="232"/>
      <c r="B97" s="224"/>
      <c r="C97" s="225"/>
      <c r="D97" s="225"/>
      <c r="E97" s="226"/>
      <c r="F97" s="224"/>
      <c r="G97" s="225"/>
      <c r="H97" s="227"/>
      <c r="I97" s="224"/>
      <c r="J97" s="225"/>
      <c r="K97" s="227"/>
      <c r="L97" s="226"/>
      <c r="M97" s="226"/>
      <c r="N97" s="227"/>
    </row>
    <row r="98" spans="1:14" ht="19.5" customHeight="1" thickBot="1">
      <c r="A98" s="234" t="s">
        <v>0</v>
      </c>
      <c r="B98" s="1190">
        <f>SUM(B56:B97)</f>
        <v>67501821</v>
      </c>
      <c r="C98" s="1190">
        <f aca="true" t="shared" si="1" ref="C98:N98">SUM(C56:C97)</f>
        <v>0</v>
      </c>
      <c r="D98" s="1190">
        <f t="shared" si="1"/>
        <v>0</v>
      </c>
      <c r="E98" s="1190">
        <f t="shared" si="1"/>
        <v>0</v>
      </c>
      <c r="F98" s="1190">
        <f t="shared" si="1"/>
        <v>83776093</v>
      </c>
      <c r="G98" s="1190">
        <f t="shared" si="1"/>
        <v>0</v>
      </c>
      <c r="H98" s="1190">
        <f t="shared" si="1"/>
        <v>0</v>
      </c>
      <c r="I98" s="1190">
        <f t="shared" si="1"/>
        <v>6900</v>
      </c>
      <c r="J98" s="1190">
        <f t="shared" si="1"/>
        <v>3960</v>
      </c>
      <c r="K98" s="1190">
        <f t="shared" si="1"/>
        <v>7920</v>
      </c>
      <c r="L98" s="1190">
        <f t="shared" si="1"/>
        <v>7920</v>
      </c>
      <c r="M98" s="1190">
        <f t="shared" si="1"/>
        <v>7920</v>
      </c>
      <c r="N98" s="1190">
        <f t="shared" si="1"/>
        <v>0</v>
      </c>
    </row>
    <row r="99" spans="1:14" ht="12.75" thickBot="1" thickTop="1">
      <c r="A99" s="239" t="s">
        <v>21</v>
      </c>
      <c r="B99" s="240"/>
      <c r="C99" s="241"/>
      <c r="D99" s="247"/>
      <c r="E99" s="243"/>
      <c r="F99" s="240"/>
      <c r="G99" s="242"/>
      <c r="H99" s="243"/>
      <c r="I99" s="240"/>
      <c r="J99" s="241"/>
      <c r="K99" s="245"/>
      <c r="L99" s="242"/>
      <c r="M99" s="242"/>
      <c r="N99" s="243"/>
    </row>
    <row r="100" spans="1:14" ht="11.25">
      <c r="A100" s="67" t="s">
        <v>404</v>
      </c>
      <c r="B100" s="67"/>
      <c r="C100" s="67"/>
      <c r="D100" s="67"/>
      <c r="E100" s="67"/>
      <c r="F100" s="67"/>
      <c r="G100" s="67"/>
      <c r="H100" s="67"/>
      <c r="I100" s="67"/>
      <c r="J100" s="67"/>
      <c r="K100" s="67"/>
      <c r="L100" s="67"/>
      <c r="M100" s="67"/>
      <c r="N100" s="67"/>
    </row>
    <row r="101" spans="1:14" ht="11.25">
      <c r="A101" s="67" t="s">
        <v>405</v>
      </c>
      <c r="B101" s="67"/>
      <c r="C101" s="67"/>
      <c r="D101" s="67"/>
      <c r="E101" s="67"/>
      <c r="F101" s="67"/>
      <c r="G101" s="67"/>
      <c r="H101" s="67"/>
      <c r="I101" s="67"/>
      <c r="J101" s="67"/>
      <c r="K101" s="67"/>
      <c r="L101" s="67"/>
      <c r="M101" s="67"/>
      <c r="N101" s="67"/>
    </row>
    <row r="103" spans="1:14" ht="12" thickBot="1">
      <c r="A103" s="106" t="s">
        <v>557</v>
      </c>
      <c r="B103" s="106"/>
      <c r="C103" s="106"/>
      <c r="D103" s="106"/>
      <c r="E103" s="106"/>
      <c r="F103" s="106"/>
      <c r="G103" s="106"/>
      <c r="H103" s="106"/>
      <c r="I103" s="106"/>
      <c r="J103" s="106"/>
      <c r="K103" s="106"/>
      <c r="L103" s="106"/>
      <c r="M103" s="106"/>
      <c r="N103" s="106"/>
    </row>
    <row r="104" spans="1:14" ht="12" thickBot="1">
      <c r="A104" s="1520" t="s">
        <v>204</v>
      </c>
      <c r="B104" s="1522" t="s">
        <v>237</v>
      </c>
      <c r="C104" s="1523"/>
      <c r="D104" s="1523"/>
      <c r="E104" s="1523"/>
      <c r="F104" s="1524" t="s">
        <v>238</v>
      </c>
      <c r="G104" s="1525"/>
      <c r="H104" s="1526"/>
      <c r="I104" s="1524" t="s">
        <v>236</v>
      </c>
      <c r="J104" s="1525"/>
      <c r="K104" s="1525"/>
      <c r="L104" s="1525"/>
      <c r="M104" s="1525"/>
      <c r="N104" s="1526"/>
    </row>
    <row r="105" spans="1:14" ht="49.5" thickBot="1">
      <c r="A105" s="1521"/>
      <c r="B105" s="209">
        <v>2019</v>
      </c>
      <c r="C105" s="210">
        <v>2020</v>
      </c>
      <c r="D105" s="210" t="s">
        <v>400</v>
      </c>
      <c r="E105" s="212" t="s">
        <v>401</v>
      </c>
      <c r="F105" s="209">
        <v>2019</v>
      </c>
      <c r="G105" s="210">
        <v>2020</v>
      </c>
      <c r="H105" s="210" t="s">
        <v>400</v>
      </c>
      <c r="I105" s="209">
        <v>2019</v>
      </c>
      <c r="J105" s="210" t="s">
        <v>392</v>
      </c>
      <c r="K105" s="210" t="s">
        <v>400</v>
      </c>
      <c r="L105" s="211" t="s">
        <v>402</v>
      </c>
      <c r="M105" s="211" t="s">
        <v>401</v>
      </c>
      <c r="N105" s="212" t="s">
        <v>403</v>
      </c>
    </row>
    <row r="106" spans="1:14" ht="11.25">
      <c r="A106" s="213"/>
      <c r="B106" s="214"/>
      <c r="C106" s="215"/>
      <c r="D106" s="215"/>
      <c r="E106" s="216"/>
      <c r="F106" s="214"/>
      <c r="G106" s="215"/>
      <c r="H106" s="217"/>
      <c r="I106" s="214"/>
      <c r="J106" s="215"/>
      <c r="K106" s="217"/>
      <c r="L106" s="216"/>
      <c r="M106" s="216"/>
      <c r="N106" s="217"/>
    </row>
    <row r="107" spans="1:14" ht="22.5">
      <c r="A107" s="218" t="s">
        <v>235</v>
      </c>
      <c r="B107" s="219"/>
      <c r="C107" s="220"/>
      <c r="D107" s="220"/>
      <c r="E107" s="221"/>
      <c r="F107" s="219"/>
      <c r="G107" s="220"/>
      <c r="H107" s="222"/>
      <c r="I107" s="219"/>
      <c r="J107" s="220"/>
      <c r="K107" s="222"/>
      <c r="L107" s="221"/>
      <c r="M107" s="221"/>
      <c r="N107" s="222"/>
    </row>
    <row r="108" spans="1:14" ht="11.25">
      <c r="A108" s="223" t="s">
        <v>205</v>
      </c>
      <c r="B108" s="224"/>
      <c r="C108" s="225"/>
      <c r="D108" s="225"/>
      <c r="E108" s="226"/>
      <c r="F108" s="224"/>
      <c r="G108" s="225"/>
      <c r="H108" s="227"/>
      <c r="I108" s="224"/>
      <c r="J108" s="225"/>
      <c r="K108" s="227"/>
      <c r="L108" s="226"/>
      <c r="M108" s="226"/>
      <c r="N108" s="227"/>
    </row>
    <row r="109" spans="1:14" ht="11.25">
      <c r="A109" s="228"/>
      <c r="B109" s="224"/>
      <c r="C109" s="225"/>
      <c r="D109" s="225"/>
      <c r="E109" s="226"/>
      <c r="F109" s="224"/>
      <c r="G109" s="225"/>
      <c r="H109" s="227"/>
      <c r="I109" s="224"/>
      <c r="J109" s="225"/>
      <c r="K109" s="227"/>
      <c r="L109" s="226"/>
      <c r="M109" s="226"/>
      <c r="N109" s="227"/>
    </row>
    <row r="110" spans="1:14" ht="11.25">
      <c r="A110" s="218" t="s">
        <v>210</v>
      </c>
      <c r="B110" s="224"/>
      <c r="C110" s="225"/>
      <c r="D110" s="225"/>
      <c r="E110" s="226"/>
      <c r="F110" s="224"/>
      <c r="G110" s="225"/>
      <c r="H110" s="227"/>
      <c r="I110" s="224"/>
      <c r="J110" s="225"/>
      <c r="K110" s="227"/>
      <c r="L110" s="226"/>
      <c r="M110" s="226"/>
      <c r="N110" s="227"/>
    </row>
    <row r="111" spans="1:14" ht="11.25">
      <c r="A111" s="229" t="s">
        <v>206</v>
      </c>
      <c r="B111" s="224"/>
      <c r="C111" s="225"/>
      <c r="D111" s="225"/>
      <c r="E111" s="226"/>
      <c r="F111" s="224"/>
      <c r="G111" s="225"/>
      <c r="H111" s="227"/>
      <c r="I111" s="224"/>
      <c r="J111" s="225"/>
      <c r="K111" s="227"/>
      <c r="L111" s="226"/>
      <c r="M111" s="226"/>
      <c r="N111" s="227"/>
    </row>
    <row r="112" spans="1:14" ht="11.25">
      <c r="A112" s="229" t="s">
        <v>207</v>
      </c>
      <c r="B112" s="224"/>
      <c r="C112" s="225"/>
      <c r="D112" s="225"/>
      <c r="E112" s="226"/>
      <c r="F112" s="224"/>
      <c r="G112" s="225"/>
      <c r="H112" s="227"/>
      <c r="I112" s="224"/>
      <c r="J112" s="225"/>
      <c r="K112" s="227"/>
      <c r="L112" s="226"/>
      <c r="M112" s="226"/>
      <c r="N112" s="227"/>
    </row>
    <row r="113" spans="1:14" ht="11.25">
      <c r="A113" s="229" t="s">
        <v>208</v>
      </c>
      <c r="B113" s="224"/>
      <c r="C113" s="225"/>
      <c r="D113" s="225"/>
      <c r="E113" s="226"/>
      <c r="F113" s="224"/>
      <c r="G113" s="225"/>
      <c r="H113" s="227"/>
      <c r="I113" s="224"/>
      <c r="J113" s="225"/>
      <c r="K113" s="227"/>
      <c r="L113" s="226"/>
      <c r="M113" s="226"/>
      <c r="N113" s="227"/>
    </row>
    <row r="114" spans="1:14" ht="11.25">
      <c r="A114" s="229" t="s">
        <v>209</v>
      </c>
      <c r="B114" s="224"/>
      <c r="C114" s="225"/>
      <c r="D114" s="225"/>
      <c r="E114" s="226"/>
      <c r="F114" s="224"/>
      <c r="G114" s="225"/>
      <c r="H114" s="227"/>
      <c r="I114" s="224"/>
      <c r="J114" s="225"/>
      <c r="K114" s="227"/>
      <c r="L114" s="226"/>
      <c r="M114" s="226"/>
      <c r="N114" s="227"/>
    </row>
    <row r="115" spans="1:14" ht="11.25">
      <c r="A115" s="229"/>
      <c r="B115" s="219"/>
      <c r="C115" s="220"/>
      <c r="D115" s="220"/>
      <c r="E115" s="221"/>
      <c r="F115" s="219"/>
      <c r="G115" s="220"/>
      <c r="H115" s="222"/>
      <c r="I115" s="219"/>
      <c r="J115" s="220"/>
      <c r="K115" s="222"/>
      <c r="L115" s="221"/>
      <c r="M115" s="221"/>
      <c r="N115" s="222"/>
    </row>
    <row r="116" spans="1:14" ht="11.25">
      <c r="A116" s="218" t="s">
        <v>229</v>
      </c>
      <c r="B116" s="224"/>
      <c r="C116" s="225"/>
      <c r="D116" s="225"/>
      <c r="E116" s="226"/>
      <c r="F116" s="224"/>
      <c r="G116" s="225"/>
      <c r="H116" s="227"/>
      <c r="I116" s="224"/>
      <c r="J116" s="225"/>
      <c r="K116" s="227"/>
      <c r="L116" s="226"/>
      <c r="M116" s="226"/>
      <c r="N116" s="227"/>
    </row>
    <row r="117" spans="1:14" ht="11.25">
      <c r="A117" s="229" t="s">
        <v>211</v>
      </c>
      <c r="B117" s="224"/>
      <c r="C117" s="225"/>
      <c r="D117" s="225"/>
      <c r="E117" s="226"/>
      <c r="F117" s="224"/>
      <c r="G117" s="225"/>
      <c r="H117" s="227"/>
      <c r="I117" s="224"/>
      <c r="J117" s="225"/>
      <c r="K117" s="227"/>
      <c r="L117" s="226"/>
      <c r="M117" s="226"/>
      <c r="N117" s="227"/>
    </row>
    <row r="118" spans="1:14" ht="11.25">
      <c r="A118" s="229" t="s">
        <v>212</v>
      </c>
      <c r="B118" s="224"/>
      <c r="C118" s="225"/>
      <c r="D118" s="225"/>
      <c r="E118" s="226"/>
      <c r="F118" s="224"/>
      <c r="G118" s="225"/>
      <c r="H118" s="227"/>
      <c r="I118" s="224"/>
      <c r="J118" s="225"/>
      <c r="K118" s="227"/>
      <c r="L118" s="226"/>
      <c r="M118" s="226"/>
      <c r="N118" s="227"/>
    </row>
    <row r="119" spans="1:14" ht="11.25">
      <c r="A119" s="229" t="s">
        <v>213</v>
      </c>
      <c r="B119" s="224"/>
      <c r="C119" s="225"/>
      <c r="D119" s="225"/>
      <c r="E119" s="226"/>
      <c r="F119" s="224"/>
      <c r="G119" s="225"/>
      <c r="H119" s="227"/>
      <c r="I119" s="224"/>
      <c r="J119" s="225"/>
      <c r="K119" s="227"/>
      <c r="L119" s="226"/>
      <c r="M119" s="226"/>
      <c r="N119" s="227"/>
    </row>
    <row r="120" spans="1:14" ht="11.25">
      <c r="A120" s="229" t="s">
        <v>214</v>
      </c>
      <c r="B120" s="224"/>
      <c r="C120" s="225"/>
      <c r="D120" s="225"/>
      <c r="E120" s="226"/>
      <c r="F120" s="224"/>
      <c r="G120" s="225"/>
      <c r="H120" s="227"/>
      <c r="I120" s="224"/>
      <c r="J120" s="225"/>
      <c r="K120" s="227"/>
      <c r="L120" s="226"/>
      <c r="M120" s="226"/>
      <c r="N120" s="227"/>
    </row>
    <row r="121" spans="1:14" ht="22.5">
      <c r="A121" s="229" t="s">
        <v>215</v>
      </c>
      <c r="B121" s="224"/>
      <c r="C121" s="225"/>
      <c r="D121" s="225"/>
      <c r="E121" s="226"/>
      <c r="F121" s="224"/>
      <c r="G121" s="225"/>
      <c r="H121" s="227"/>
      <c r="I121" s="224"/>
      <c r="J121" s="225"/>
      <c r="K121" s="227"/>
      <c r="L121" s="226"/>
      <c r="M121" s="226"/>
      <c r="N121" s="227"/>
    </row>
    <row r="122" spans="1:14" ht="11.25">
      <c r="A122" s="230"/>
      <c r="B122" s="224"/>
      <c r="C122" s="225"/>
      <c r="D122" s="225"/>
      <c r="E122" s="226"/>
      <c r="F122" s="224"/>
      <c r="G122" s="225"/>
      <c r="H122" s="227"/>
      <c r="I122" s="224"/>
      <c r="J122" s="225"/>
      <c r="K122" s="227"/>
      <c r="L122" s="226"/>
      <c r="M122" s="226"/>
      <c r="N122" s="227"/>
    </row>
    <row r="123" spans="1:14" ht="11.25">
      <c r="A123" s="231" t="s">
        <v>230</v>
      </c>
      <c r="B123" s="224"/>
      <c r="C123" s="225"/>
      <c r="D123" s="225"/>
      <c r="E123" s="226"/>
      <c r="F123" s="224"/>
      <c r="G123" s="225"/>
      <c r="H123" s="227"/>
      <c r="I123" s="224"/>
      <c r="J123" s="225"/>
      <c r="K123" s="227"/>
      <c r="L123" s="226"/>
      <c r="M123" s="226"/>
      <c r="N123" s="227"/>
    </row>
    <row r="124" spans="1:14" ht="11.25">
      <c r="A124" s="229" t="s">
        <v>216</v>
      </c>
      <c r="B124" s="224"/>
      <c r="C124" s="225"/>
      <c r="D124" s="225"/>
      <c r="E124" s="226"/>
      <c r="F124" s="224"/>
      <c r="G124" s="225"/>
      <c r="H124" s="227"/>
      <c r="I124" s="224"/>
      <c r="J124" s="225"/>
      <c r="K124" s="227"/>
      <c r="L124" s="226"/>
      <c r="M124" s="226"/>
      <c r="N124" s="227"/>
    </row>
    <row r="125" spans="1:14" ht="11.25">
      <c r="A125" s="229" t="s">
        <v>217</v>
      </c>
      <c r="B125" s="224"/>
      <c r="C125" s="225"/>
      <c r="D125" s="225"/>
      <c r="E125" s="226"/>
      <c r="F125" s="224"/>
      <c r="G125" s="225"/>
      <c r="H125" s="227"/>
      <c r="I125" s="224"/>
      <c r="J125" s="225"/>
      <c r="K125" s="227"/>
      <c r="L125" s="226"/>
      <c r="M125" s="226"/>
      <c r="N125" s="227"/>
    </row>
    <row r="126" spans="1:14" ht="11.25">
      <c r="A126" s="229" t="s">
        <v>218</v>
      </c>
      <c r="B126" s="224"/>
      <c r="C126" s="225"/>
      <c r="D126" s="225"/>
      <c r="E126" s="226"/>
      <c r="F126" s="224"/>
      <c r="G126" s="225"/>
      <c r="H126" s="227"/>
      <c r="I126" s="224"/>
      <c r="J126" s="225"/>
      <c r="K126" s="227"/>
      <c r="L126" s="226"/>
      <c r="M126" s="226"/>
      <c r="N126" s="227"/>
    </row>
    <row r="127" spans="1:14" ht="11.25">
      <c r="A127" s="229"/>
      <c r="B127" s="224"/>
      <c r="C127" s="225"/>
      <c r="D127" s="225"/>
      <c r="E127" s="226"/>
      <c r="F127" s="224"/>
      <c r="G127" s="225"/>
      <c r="H127" s="227"/>
      <c r="I127" s="224"/>
      <c r="J127" s="225"/>
      <c r="K127" s="227"/>
      <c r="L127" s="226"/>
      <c r="M127" s="226"/>
      <c r="N127" s="227"/>
    </row>
    <row r="128" spans="1:14" ht="11.25">
      <c r="A128" s="231" t="s">
        <v>231</v>
      </c>
      <c r="B128" s="224"/>
      <c r="C128" s="225"/>
      <c r="D128" s="225"/>
      <c r="E128" s="226"/>
      <c r="F128" s="224"/>
      <c r="G128" s="225"/>
      <c r="H128" s="227"/>
      <c r="I128" s="224"/>
      <c r="J128" s="225"/>
      <c r="K128" s="227"/>
      <c r="L128" s="226"/>
      <c r="M128" s="226"/>
      <c r="N128" s="227"/>
    </row>
    <row r="129" spans="1:14" ht="11.25">
      <c r="A129" s="229" t="s">
        <v>219</v>
      </c>
      <c r="B129" s="1191">
        <f>+B130</f>
        <v>669247</v>
      </c>
      <c r="C129" s="1192">
        <f aca="true" t="shared" si="2" ref="C129:N129">+C130</f>
        <v>0</v>
      </c>
      <c r="D129" s="1192">
        <f t="shared" si="2"/>
        <v>-669247</v>
      </c>
      <c r="E129" s="391">
        <f t="shared" si="2"/>
        <v>0</v>
      </c>
      <c r="F129" s="1191">
        <f t="shared" si="2"/>
        <v>535593</v>
      </c>
      <c r="G129" s="1192">
        <f t="shared" si="2"/>
        <v>0</v>
      </c>
      <c r="H129" s="391">
        <f t="shared" si="2"/>
        <v>-535593</v>
      </c>
      <c r="I129" s="1191">
        <f t="shared" si="2"/>
        <v>362</v>
      </c>
      <c r="J129" s="1192">
        <f t="shared" si="2"/>
        <v>0</v>
      </c>
      <c r="K129" s="391">
        <f t="shared" si="2"/>
        <v>-362</v>
      </c>
      <c r="L129" s="1191">
        <f t="shared" si="2"/>
        <v>0</v>
      </c>
      <c r="M129" s="1192">
        <f t="shared" si="2"/>
        <v>0</v>
      </c>
      <c r="N129" s="391">
        <f t="shared" si="2"/>
        <v>0</v>
      </c>
    </row>
    <row r="130" spans="1:14" ht="11.25">
      <c r="A130" s="229" t="s">
        <v>217</v>
      </c>
      <c r="B130" s="387">
        <v>669247</v>
      </c>
      <c r="C130" s="388">
        <v>0</v>
      </c>
      <c r="D130" s="388">
        <f>+C130-B130</f>
        <v>-669247</v>
      </c>
      <c r="E130" s="389">
        <v>0</v>
      </c>
      <c r="F130" s="390">
        <v>535593</v>
      </c>
      <c r="G130" s="387">
        <v>0</v>
      </c>
      <c r="H130" s="391">
        <f>+G130-F130</f>
        <v>-535593</v>
      </c>
      <c r="I130" s="390">
        <v>362</v>
      </c>
      <c r="J130" s="388">
        <v>0</v>
      </c>
      <c r="K130" s="392">
        <f>+J130-I130</f>
        <v>-362</v>
      </c>
      <c r="L130" s="389">
        <v>0</v>
      </c>
      <c r="M130" s="389">
        <v>0</v>
      </c>
      <c r="N130" s="392">
        <f>+L130-M130</f>
        <v>0</v>
      </c>
    </row>
    <row r="131" spans="1:14" ht="11.25">
      <c r="A131" s="229"/>
      <c r="B131" s="224"/>
      <c r="C131" s="225"/>
      <c r="D131" s="225"/>
      <c r="E131" s="226"/>
      <c r="F131" s="224"/>
      <c r="G131" s="225"/>
      <c r="H131" s="227"/>
      <c r="I131" s="224"/>
      <c r="J131" s="225"/>
      <c r="K131" s="227"/>
      <c r="L131" s="226"/>
      <c r="M131" s="226"/>
      <c r="N131" s="227"/>
    </row>
    <row r="132" spans="1:14" ht="11.25">
      <c r="A132" s="231" t="s">
        <v>232</v>
      </c>
      <c r="B132" s="224"/>
      <c r="C132" s="225"/>
      <c r="D132" s="225"/>
      <c r="E132" s="226"/>
      <c r="F132" s="224"/>
      <c r="G132" s="225"/>
      <c r="H132" s="227"/>
      <c r="I132" s="224"/>
      <c r="J132" s="225"/>
      <c r="K132" s="227"/>
      <c r="L132" s="226"/>
      <c r="M132" s="226"/>
      <c r="N132" s="227"/>
    </row>
    <row r="133" spans="1:14" ht="11.25">
      <c r="A133" s="229" t="s">
        <v>220</v>
      </c>
      <c r="B133" s="224"/>
      <c r="C133" s="225"/>
      <c r="D133" s="225"/>
      <c r="E133" s="226"/>
      <c r="F133" s="224"/>
      <c r="G133" s="225"/>
      <c r="H133" s="227"/>
      <c r="I133" s="224"/>
      <c r="J133" s="225"/>
      <c r="K133" s="227"/>
      <c r="L133" s="226"/>
      <c r="M133" s="226"/>
      <c r="N133" s="227"/>
    </row>
    <row r="134" spans="1:14" ht="11.25">
      <c r="A134" s="229" t="s">
        <v>218</v>
      </c>
      <c r="B134" s="224"/>
      <c r="C134" s="225"/>
      <c r="D134" s="225"/>
      <c r="E134" s="226"/>
      <c r="F134" s="224"/>
      <c r="G134" s="225"/>
      <c r="H134" s="227"/>
      <c r="I134" s="224"/>
      <c r="J134" s="225"/>
      <c r="K134" s="227"/>
      <c r="L134" s="226"/>
      <c r="M134" s="226"/>
      <c r="N134" s="227"/>
    </row>
    <row r="135" spans="1:14" ht="11.25">
      <c r="A135" s="229" t="s">
        <v>221</v>
      </c>
      <c r="B135" s="224"/>
      <c r="C135" s="225"/>
      <c r="D135" s="225"/>
      <c r="E135" s="226"/>
      <c r="F135" s="224"/>
      <c r="G135" s="225"/>
      <c r="H135" s="227"/>
      <c r="I135" s="224"/>
      <c r="J135" s="225"/>
      <c r="K135" s="227"/>
      <c r="L135" s="226"/>
      <c r="M135" s="226"/>
      <c r="N135" s="227"/>
    </row>
    <row r="136" spans="1:14" ht="11.25">
      <c r="A136" s="229" t="s">
        <v>222</v>
      </c>
      <c r="B136" s="224"/>
      <c r="C136" s="225"/>
      <c r="D136" s="225"/>
      <c r="E136" s="226"/>
      <c r="F136" s="224"/>
      <c r="G136" s="225"/>
      <c r="H136" s="227"/>
      <c r="I136" s="224"/>
      <c r="J136" s="225"/>
      <c r="K136" s="227"/>
      <c r="L136" s="226"/>
      <c r="M136" s="226"/>
      <c r="N136" s="227"/>
    </row>
    <row r="137" spans="1:14" ht="11.25">
      <c r="A137" s="229"/>
      <c r="B137" s="224"/>
      <c r="C137" s="225"/>
      <c r="D137" s="225"/>
      <c r="E137" s="226"/>
      <c r="F137" s="224"/>
      <c r="G137" s="225"/>
      <c r="H137" s="227"/>
      <c r="I137" s="224"/>
      <c r="J137" s="225"/>
      <c r="K137" s="227"/>
      <c r="L137" s="226"/>
      <c r="M137" s="226"/>
      <c r="N137" s="227"/>
    </row>
    <row r="138" spans="1:14" ht="11.25">
      <c r="A138" s="231" t="s">
        <v>233</v>
      </c>
      <c r="B138" s="224"/>
      <c r="C138" s="225"/>
      <c r="D138" s="225"/>
      <c r="E138" s="226"/>
      <c r="F138" s="224"/>
      <c r="G138" s="225"/>
      <c r="H138" s="227"/>
      <c r="I138" s="224"/>
      <c r="J138" s="225"/>
      <c r="K138" s="227"/>
      <c r="L138" s="226"/>
      <c r="M138" s="226"/>
      <c r="N138" s="227"/>
    </row>
    <row r="139" spans="1:14" ht="11.25">
      <c r="A139" s="229" t="s">
        <v>223</v>
      </c>
      <c r="B139" s="224"/>
      <c r="C139" s="225"/>
      <c r="D139" s="225"/>
      <c r="E139" s="226"/>
      <c r="F139" s="224"/>
      <c r="G139" s="225"/>
      <c r="H139" s="227"/>
      <c r="I139" s="224"/>
      <c r="J139" s="225"/>
      <c r="K139" s="227"/>
      <c r="L139" s="226"/>
      <c r="M139" s="226"/>
      <c r="N139" s="227"/>
    </row>
    <row r="140" spans="1:14" ht="11.25">
      <c r="A140" s="229" t="s">
        <v>224</v>
      </c>
      <c r="B140" s="224"/>
      <c r="C140" s="225"/>
      <c r="D140" s="225"/>
      <c r="E140" s="226"/>
      <c r="F140" s="224"/>
      <c r="G140" s="225"/>
      <c r="H140" s="227"/>
      <c r="I140" s="224"/>
      <c r="J140" s="225"/>
      <c r="K140" s="227"/>
      <c r="L140" s="226"/>
      <c r="M140" s="226"/>
      <c r="N140" s="227"/>
    </row>
    <row r="141" spans="1:14" ht="22.5">
      <c r="A141" s="229" t="s">
        <v>225</v>
      </c>
      <c r="B141" s="224"/>
      <c r="C141" s="225"/>
      <c r="D141" s="225"/>
      <c r="E141" s="226"/>
      <c r="F141" s="224"/>
      <c r="G141" s="225"/>
      <c r="H141" s="227"/>
      <c r="I141" s="224"/>
      <c r="J141" s="225"/>
      <c r="K141" s="227"/>
      <c r="L141" s="226"/>
      <c r="M141" s="226"/>
      <c r="N141" s="227"/>
    </row>
    <row r="142" spans="1:14" ht="22.5">
      <c r="A142" s="229" t="s">
        <v>226</v>
      </c>
      <c r="B142" s="224"/>
      <c r="C142" s="225"/>
      <c r="D142" s="225"/>
      <c r="E142" s="226"/>
      <c r="F142" s="224"/>
      <c r="G142" s="225"/>
      <c r="H142" s="227"/>
      <c r="I142" s="224"/>
      <c r="J142" s="225"/>
      <c r="K142" s="227"/>
      <c r="L142" s="226"/>
      <c r="M142" s="226"/>
      <c r="N142" s="227"/>
    </row>
    <row r="143" spans="1:14" ht="11.25">
      <c r="A143" s="229"/>
      <c r="B143" s="224"/>
      <c r="C143" s="225"/>
      <c r="D143" s="225"/>
      <c r="E143" s="226"/>
      <c r="F143" s="224"/>
      <c r="G143" s="225"/>
      <c r="H143" s="227"/>
      <c r="I143" s="224"/>
      <c r="J143" s="225"/>
      <c r="K143" s="227"/>
      <c r="L143" s="226"/>
      <c r="M143" s="226"/>
      <c r="N143" s="227"/>
    </row>
    <row r="144" spans="1:14" ht="11.25">
      <c r="A144" s="231" t="s">
        <v>234</v>
      </c>
      <c r="B144" s="224"/>
      <c r="C144" s="225"/>
      <c r="D144" s="225"/>
      <c r="E144" s="226"/>
      <c r="F144" s="224"/>
      <c r="G144" s="225"/>
      <c r="H144" s="227"/>
      <c r="I144" s="224"/>
      <c r="J144" s="225"/>
      <c r="K144" s="227"/>
      <c r="L144" s="226"/>
      <c r="M144" s="226"/>
      <c r="N144" s="227"/>
    </row>
    <row r="145" spans="1:14" ht="11.25">
      <c r="A145" s="229" t="s">
        <v>227</v>
      </c>
      <c r="B145" s="224"/>
      <c r="C145" s="225"/>
      <c r="D145" s="225"/>
      <c r="E145" s="226"/>
      <c r="F145" s="224"/>
      <c r="G145" s="225"/>
      <c r="H145" s="227"/>
      <c r="I145" s="224"/>
      <c r="J145" s="225"/>
      <c r="K145" s="227"/>
      <c r="L145" s="226"/>
      <c r="M145" s="226"/>
      <c r="N145" s="227"/>
    </row>
    <row r="146" spans="1:14" ht="22.5">
      <c r="A146" s="229" t="s">
        <v>228</v>
      </c>
      <c r="B146" s="224"/>
      <c r="C146" s="225"/>
      <c r="D146" s="225"/>
      <c r="E146" s="226"/>
      <c r="F146" s="224"/>
      <c r="G146" s="225"/>
      <c r="H146" s="227"/>
      <c r="I146" s="224"/>
      <c r="J146" s="225"/>
      <c r="K146" s="227"/>
      <c r="L146" s="226"/>
      <c r="M146" s="226"/>
      <c r="N146" s="227"/>
    </row>
    <row r="147" spans="1:14" ht="12" thickBot="1">
      <c r="A147" s="232"/>
      <c r="B147" s="224"/>
      <c r="C147" s="225"/>
      <c r="D147" s="225"/>
      <c r="E147" s="226"/>
      <c r="F147" s="224"/>
      <c r="G147" s="225"/>
      <c r="H147" s="227"/>
      <c r="I147" s="224"/>
      <c r="J147" s="225"/>
      <c r="K147" s="227"/>
      <c r="L147" s="226"/>
      <c r="M147" s="226"/>
      <c r="N147" s="227"/>
    </row>
    <row r="148" spans="1:14" ht="12" thickBot="1">
      <c r="A148" s="234" t="s">
        <v>0</v>
      </c>
      <c r="B148" s="240">
        <f>SUM(B106:B147)</f>
        <v>1338494</v>
      </c>
      <c r="C148" s="240">
        <f aca="true" t="shared" si="3" ref="C148:N148">SUM(C106:C147)</f>
        <v>0</v>
      </c>
      <c r="D148" s="240">
        <f t="shared" si="3"/>
        <v>-1338494</v>
      </c>
      <c r="E148" s="240">
        <f t="shared" si="3"/>
        <v>0</v>
      </c>
      <c r="F148" s="240">
        <f t="shared" si="3"/>
        <v>1071186</v>
      </c>
      <c r="G148" s="240">
        <f t="shared" si="3"/>
        <v>0</v>
      </c>
      <c r="H148" s="240">
        <f t="shared" si="3"/>
        <v>-1071186</v>
      </c>
      <c r="I148" s="240">
        <f t="shared" si="3"/>
        <v>724</v>
      </c>
      <c r="J148" s="240">
        <f t="shared" si="3"/>
        <v>0</v>
      </c>
      <c r="K148" s="240">
        <f t="shared" si="3"/>
        <v>-724</v>
      </c>
      <c r="L148" s="240">
        <f t="shared" si="3"/>
        <v>0</v>
      </c>
      <c r="M148" s="240">
        <f t="shared" si="3"/>
        <v>0</v>
      </c>
      <c r="N148" s="240">
        <f t="shared" si="3"/>
        <v>0</v>
      </c>
    </row>
    <row r="149" spans="1:14" ht="12.75" thickBot="1" thickTop="1">
      <c r="A149" s="239" t="s">
        <v>21</v>
      </c>
      <c r="B149" s="1184"/>
      <c r="C149" s="1185"/>
      <c r="D149" s="1186"/>
      <c r="E149" s="1187"/>
      <c r="F149" s="1184"/>
      <c r="G149" s="1188"/>
      <c r="H149" s="1187"/>
      <c r="I149" s="1184"/>
      <c r="J149" s="1185"/>
      <c r="K149" s="1189"/>
      <c r="L149" s="1188"/>
      <c r="M149" s="1188"/>
      <c r="N149" s="1187"/>
    </row>
    <row r="150" spans="1:14" s="151" customFormat="1" ht="11.25">
      <c r="A150" s="67" t="s">
        <v>404</v>
      </c>
      <c r="B150" s="408"/>
      <c r="C150" s="408"/>
      <c r="D150" s="408"/>
      <c r="E150" s="408"/>
      <c r="F150" s="408"/>
      <c r="G150" s="408"/>
      <c r="H150" s="408"/>
      <c r="I150" s="408"/>
      <c r="J150" s="408"/>
      <c r="K150" s="408"/>
      <c r="L150" s="408"/>
      <c r="M150" s="408"/>
      <c r="N150" s="408"/>
    </row>
    <row r="151" spans="1:14" s="151" customFormat="1" ht="11.25">
      <c r="A151" s="67" t="s">
        <v>405</v>
      </c>
      <c r="B151" s="408"/>
      <c r="C151" s="408"/>
      <c r="D151" s="408"/>
      <c r="E151" s="408"/>
      <c r="F151" s="408"/>
      <c r="G151" s="408"/>
      <c r="H151" s="408"/>
      <c r="I151" s="408"/>
      <c r="J151" s="408"/>
      <c r="K151" s="408"/>
      <c r="L151" s="408"/>
      <c r="M151" s="408"/>
      <c r="N151" s="408"/>
    </row>
    <row r="152" spans="1:14" s="151" customFormat="1" ht="11.25">
      <c r="A152" s="67"/>
      <c r="B152" s="408"/>
      <c r="C152" s="408"/>
      <c r="D152" s="408"/>
      <c r="E152" s="408"/>
      <c r="F152" s="408"/>
      <c r="G152" s="408"/>
      <c r="H152" s="408"/>
      <c r="I152" s="408"/>
      <c r="J152" s="408"/>
      <c r="K152" s="408"/>
      <c r="L152" s="408"/>
      <c r="M152" s="408"/>
      <c r="N152" s="408"/>
    </row>
    <row r="153" spans="1:14" s="151" customFormat="1" ht="12" thickBot="1">
      <c r="A153" s="106" t="s">
        <v>558</v>
      </c>
      <c r="B153" s="106"/>
      <c r="C153" s="106"/>
      <c r="D153" s="106"/>
      <c r="E153" s="106"/>
      <c r="F153" s="106"/>
      <c r="G153" s="106"/>
      <c r="H153" s="106"/>
      <c r="I153" s="106"/>
      <c r="J153" s="106"/>
      <c r="K153" s="106"/>
      <c r="L153" s="106"/>
      <c r="M153" s="106"/>
      <c r="N153" s="106"/>
    </row>
    <row r="154" spans="1:14" s="151" customFormat="1" ht="12" thickBot="1">
      <c r="A154" s="1520" t="s">
        <v>204</v>
      </c>
      <c r="B154" s="1522" t="s">
        <v>237</v>
      </c>
      <c r="C154" s="1523"/>
      <c r="D154" s="1523"/>
      <c r="E154" s="1523"/>
      <c r="F154" s="1524" t="s">
        <v>238</v>
      </c>
      <c r="G154" s="1525"/>
      <c r="H154" s="1526"/>
      <c r="I154" s="1524" t="s">
        <v>236</v>
      </c>
      <c r="J154" s="1525"/>
      <c r="K154" s="1525"/>
      <c r="L154" s="1525"/>
      <c r="M154" s="1525"/>
      <c r="N154" s="1526"/>
    </row>
    <row r="155" spans="1:14" s="151" customFormat="1" ht="49.5" thickBot="1">
      <c r="A155" s="1521"/>
      <c r="B155" s="209">
        <v>2019</v>
      </c>
      <c r="C155" s="210">
        <v>2020</v>
      </c>
      <c r="D155" s="210" t="s">
        <v>400</v>
      </c>
      <c r="E155" s="212" t="s">
        <v>401</v>
      </c>
      <c r="F155" s="209">
        <v>2019</v>
      </c>
      <c r="G155" s="210">
        <v>2020</v>
      </c>
      <c r="H155" s="210" t="s">
        <v>400</v>
      </c>
      <c r="I155" s="209">
        <v>2019</v>
      </c>
      <c r="J155" s="210" t="s">
        <v>392</v>
      </c>
      <c r="K155" s="210" t="s">
        <v>400</v>
      </c>
      <c r="L155" s="211" t="s">
        <v>402</v>
      </c>
      <c r="M155" s="211" t="s">
        <v>401</v>
      </c>
      <c r="N155" s="212" t="s">
        <v>403</v>
      </c>
    </row>
    <row r="156" spans="1:14" s="151" customFormat="1" ht="11.25">
      <c r="A156" s="213"/>
      <c r="B156" s="214"/>
      <c r="C156" s="215"/>
      <c r="D156" s="215"/>
      <c r="E156" s="216"/>
      <c r="F156" s="214"/>
      <c r="G156" s="215"/>
      <c r="H156" s="217"/>
      <c r="I156" s="214"/>
      <c r="J156" s="215"/>
      <c r="K156" s="217"/>
      <c r="L156" s="216"/>
      <c r="M156" s="216"/>
      <c r="N156" s="217"/>
    </row>
    <row r="157" spans="1:14" s="151" customFormat="1" ht="22.5">
      <c r="A157" s="218" t="s">
        <v>235</v>
      </c>
      <c r="B157" s="219"/>
      <c r="C157" s="220"/>
      <c r="D157" s="220"/>
      <c r="E157" s="221"/>
      <c r="F157" s="219"/>
      <c r="G157" s="220"/>
      <c r="H157" s="222"/>
      <c r="I157" s="219"/>
      <c r="J157" s="220"/>
      <c r="K157" s="222"/>
      <c r="L157" s="221"/>
      <c r="M157" s="221"/>
      <c r="N157" s="222"/>
    </row>
    <row r="158" spans="1:14" s="151" customFormat="1" ht="11.25">
      <c r="A158" s="223" t="s">
        <v>205</v>
      </c>
      <c r="B158" s="224"/>
      <c r="C158" s="225"/>
      <c r="D158" s="225"/>
      <c r="E158" s="226"/>
      <c r="F158" s="224"/>
      <c r="G158" s="225"/>
      <c r="H158" s="227"/>
      <c r="I158" s="224"/>
      <c r="J158" s="225"/>
      <c r="K158" s="227"/>
      <c r="L158" s="226"/>
      <c r="M158" s="226"/>
      <c r="N158" s="227"/>
    </row>
    <row r="159" spans="1:14" s="151" customFormat="1" ht="11.25">
      <c r="A159" s="228"/>
      <c r="B159" s="224"/>
      <c r="C159" s="225"/>
      <c r="D159" s="225"/>
      <c r="E159" s="226"/>
      <c r="F159" s="224"/>
      <c r="G159" s="225"/>
      <c r="H159" s="227"/>
      <c r="I159" s="224"/>
      <c r="J159" s="225"/>
      <c r="K159" s="227"/>
      <c r="L159" s="226"/>
      <c r="M159" s="226"/>
      <c r="N159" s="227"/>
    </row>
    <row r="160" spans="1:14" s="151" customFormat="1" ht="11.25">
      <c r="A160" s="218" t="s">
        <v>210</v>
      </c>
      <c r="B160" s="224"/>
      <c r="C160" s="225"/>
      <c r="D160" s="225"/>
      <c r="E160" s="226"/>
      <c r="F160" s="224"/>
      <c r="G160" s="225"/>
      <c r="H160" s="227"/>
      <c r="I160" s="224"/>
      <c r="J160" s="225"/>
      <c r="K160" s="227"/>
      <c r="L160" s="226"/>
      <c r="M160" s="226"/>
      <c r="N160" s="227"/>
    </row>
    <row r="161" spans="1:14" s="151" customFormat="1" ht="11.25">
      <c r="A161" s="229" t="s">
        <v>206</v>
      </c>
      <c r="B161" s="224"/>
      <c r="C161" s="225"/>
      <c r="D161" s="225"/>
      <c r="E161" s="226"/>
      <c r="F161" s="224"/>
      <c r="G161" s="225"/>
      <c r="H161" s="227"/>
      <c r="I161" s="224"/>
      <c r="J161" s="225"/>
      <c r="K161" s="227"/>
      <c r="L161" s="226"/>
      <c r="M161" s="226"/>
      <c r="N161" s="227"/>
    </row>
    <row r="162" spans="1:14" s="151" customFormat="1" ht="11.25">
      <c r="A162" s="229" t="s">
        <v>207</v>
      </c>
      <c r="B162" s="224"/>
      <c r="C162" s="225"/>
      <c r="D162" s="225"/>
      <c r="E162" s="226"/>
      <c r="F162" s="224"/>
      <c r="G162" s="225"/>
      <c r="H162" s="227"/>
      <c r="I162" s="224"/>
      <c r="J162" s="225"/>
      <c r="K162" s="227"/>
      <c r="L162" s="226"/>
      <c r="M162" s="226"/>
      <c r="N162" s="227"/>
    </row>
    <row r="163" spans="1:14" s="151" customFormat="1" ht="11.25">
      <c r="A163" s="229" t="s">
        <v>208</v>
      </c>
      <c r="B163" s="224"/>
      <c r="C163" s="225"/>
      <c r="D163" s="225"/>
      <c r="E163" s="226"/>
      <c r="F163" s="224"/>
      <c r="G163" s="225"/>
      <c r="H163" s="227"/>
      <c r="I163" s="224"/>
      <c r="J163" s="225"/>
      <c r="K163" s="227"/>
      <c r="L163" s="226"/>
      <c r="M163" s="226"/>
      <c r="N163" s="227"/>
    </row>
    <row r="164" spans="1:14" s="151" customFormat="1" ht="11.25">
      <c r="A164" s="229" t="s">
        <v>209</v>
      </c>
      <c r="B164" s="224"/>
      <c r="C164" s="225"/>
      <c r="D164" s="225"/>
      <c r="E164" s="226"/>
      <c r="F164" s="224"/>
      <c r="G164" s="225"/>
      <c r="H164" s="227"/>
      <c r="I164" s="224"/>
      <c r="J164" s="225"/>
      <c r="K164" s="227"/>
      <c r="L164" s="226"/>
      <c r="M164" s="226"/>
      <c r="N164" s="227"/>
    </row>
    <row r="165" spans="1:14" s="151" customFormat="1" ht="11.25">
      <c r="A165" s="229"/>
      <c r="B165" s="219"/>
      <c r="C165" s="220"/>
      <c r="D165" s="220"/>
      <c r="E165" s="221"/>
      <c r="F165" s="219"/>
      <c r="G165" s="220"/>
      <c r="H165" s="222"/>
      <c r="I165" s="219"/>
      <c r="J165" s="220"/>
      <c r="K165" s="222"/>
      <c r="L165" s="221"/>
      <c r="M165" s="221"/>
      <c r="N165" s="222"/>
    </row>
    <row r="166" spans="1:14" s="151" customFormat="1" ht="11.25">
      <c r="A166" s="218" t="s">
        <v>229</v>
      </c>
      <c r="B166" s="224"/>
      <c r="C166" s="225"/>
      <c r="D166" s="225"/>
      <c r="E166" s="226"/>
      <c r="F166" s="224"/>
      <c r="G166" s="225"/>
      <c r="H166" s="227"/>
      <c r="I166" s="224"/>
      <c r="J166" s="225"/>
      <c r="K166" s="227"/>
      <c r="L166" s="226"/>
      <c r="M166" s="226"/>
      <c r="N166" s="227"/>
    </row>
    <row r="167" spans="1:14" s="151" customFormat="1" ht="11.25">
      <c r="A167" s="229" t="s">
        <v>211</v>
      </c>
      <c r="B167" s="224"/>
      <c r="C167" s="225"/>
      <c r="D167" s="225"/>
      <c r="E167" s="226"/>
      <c r="F167" s="224"/>
      <c r="G167" s="225"/>
      <c r="H167" s="227"/>
      <c r="I167" s="224"/>
      <c r="J167" s="225"/>
      <c r="K167" s="227"/>
      <c r="L167" s="226"/>
      <c r="M167" s="226"/>
      <c r="N167" s="227"/>
    </row>
    <row r="168" spans="1:14" s="151" customFormat="1" ht="11.25">
      <c r="A168" s="229" t="s">
        <v>212</v>
      </c>
      <c r="B168" s="224"/>
      <c r="C168" s="225"/>
      <c r="D168" s="225"/>
      <c r="E168" s="226"/>
      <c r="F168" s="224"/>
      <c r="G168" s="225"/>
      <c r="H168" s="227"/>
      <c r="I168" s="224"/>
      <c r="J168" s="225"/>
      <c r="K168" s="227"/>
      <c r="L168" s="226"/>
      <c r="M168" s="226"/>
      <c r="N168" s="227"/>
    </row>
    <row r="169" spans="1:14" s="151" customFormat="1" ht="11.25">
      <c r="A169" s="229" t="s">
        <v>213</v>
      </c>
      <c r="B169" s="224"/>
      <c r="C169" s="225"/>
      <c r="D169" s="225"/>
      <c r="E169" s="226"/>
      <c r="F169" s="224"/>
      <c r="G169" s="225"/>
      <c r="H169" s="227"/>
      <c r="I169" s="224"/>
      <c r="J169" s="225"/>
      <c r="K169" s="227"/>
      <c r="L169" s="226"/>
      <c r="M169" s="226"/>
      <c r="N169" s="227"/>
    </row>
    <row r="170" spans="1:14" s="151" customFormat="1" ht="11.25">
      <c r="A170" s="229" t="s">
        <v>214</v>
      </c>
      <c r="B170" s="224"/>
      <c r="C170" s="225"/>
      <c r="D170" s="225"/>
      <c r="E170" s="226"/>
      <c r="F170" s="224"/>
      <c r="G170" s="225"/>
      <c r="H170" s="227"/>
      <c r="I170" s="224"/>
      <c r="J170" s="225"/>
      <c r="K170" s="227"/>
      <c r="L170" s="226"/>
      <c r="M170" s="226"/>
      <c r="N170" s="227"/>
    </row>
    <row r="171" spans="1:14" s="151" customFormat="1" ht="22.5">
      <c r="A171" s="229" t="s">
        <v>215</v>
      </c>
      <c r="B171" s="224"/>
      <c r="C171" s="225"/>
      <c r="D171" s="225"/>
      <c r="E171" s="226"/>
      <c r="F171" s="224"/>
      <c r="G171" s="225"/>
      <c r="H171" s="227"/>
      <c r="I171" s="224"/>
      <c r="J171" s="225"/>
      <c r="K171" s="227"/>
      <c r="L171" s="226"/>
      <c r="M171" s="226"/>
      <c r="N171" s="227"/>
    </row>
    <row r="172" spans="1:14" s="151" customFormat="1" ht="11.25">
      <c r="A172" s="230"/>
      <c r="B172" s="224"/>
      <c r="C172" s="225"/>
      <c r="D172" s="225"/>
      <c r="E172" s="226"/>
      <c r="F172" s="224"/>
      <c r="G172" s="225"/>
      <c r="H172" s="227"/>
      <c r="I172" s="224"/>
      <c r="J172" s="225"/>
      <c r="K172" s="227"/>
      <c r="L172" s="226"/>
      <c r="M172" s="226"/>
      <c r="N172" s="227"/>
    </row>
    <row r="173" spans="1:14" s="151" customFormat="1" ht="11.25">
      <c r="A173" s="231" t="s">
        <v>230</v>
      </c>
      <c r="B173" s="224"/>
      <c r="C173" s="225"/>
      <c r="D173" s="225"/>
      <c r="E173" s="226"/>
      <c r="F173" s="224"/>
      <c r="G173" s="225"/>
      <c r="H173" s="227"/>
      <c r="I173" s="224"/>
      <c r="J173" s="225"/>
      <c r="K173" s="227"/>
      <c r="L173" s="226"/>
      <c r="M173" s="226"/>
      <c r="N173" s="227"/>
    </row>
    <row r="174" spans="1:14" s="151" customFormat="1" ht="11.25">
      <c r="A174" s="229" t="s">
        <v>216</v>
      </c>
      <c r="B174" s="224"/>
      <c r="C174" s="225"/>
      <c r="D174" s="225"/>
      <c r="E174" s="226"/>
      <c r="F174" s="224"/>
      <c r="G174" s="225"/>
      <c r="H174" s="227"/>
      <c r="I174" s="224"/>
      <c r="J174" s="225"/>
      <c r="K174" s="227"/>
      <c r="L174" s="226"/>
      <c r="M174" s="226"/>
      <c r="N174" s="227"/>
    </row>
    <row r="175" spans="1:14" s="151" customFormat="1" ht="11.25">
      <c r="A175" s="229" t="s">
        <v>217</v>
      </c>
      <c r="B175" s="224">
        <v>14502853</v>
      </c>
      <c r="C175" s="225">
        <v>15479256</v>
      </c>
      <c r="D175" s="225">
        <f>+B175-C175</f>
        <v>-976403</v>
      </c>
      <c r="E175" s="226">
        <v>14585502</v>
      </c>
      <c r="F175" s="224">
        <v>16684120</v>
      </c>
      <c r="G175" s="225">
        <v>16971249</v>
      </c>
      <c r="H175" s="227">
        <f>+F175-G175</f>
        <v>-287129</v>
      </c>
      <c r="I175" s="224">
        <v>7443</v>
      </c>
      <c r="J175" s="224">
        <v>7648</v>
      </c>
      <c r="K175" s="227">
        <f>+I175-J175</f>
        <v>-205</v>
      </c>
      <c r="L175" s="224">
        <v>7656</v>
      </c>
      <c r="M175" s="224">
        <v>7848</v>
      </c>
      <c r="N175" s="227">
        <f>+L175-M175</f>
        <v>-192</v>
      </c>
    </row>
    <row r="176" spans="1:14" s="151" customFormat="1" ht="11.25">
      <c r="A176" s="229" t="s">
        <v>218</v>
      </c>
      <c r="B176" s="224"/>
      <c r="C176" s="225"/>
      <c r="D176" s="225"/>
      <c r="E176" s="226"/>
      <c r="F176" s="224"/>
      <c r="G176" s="225"/>
      <c r="H176" s="227"/>
      <c r="I176" s="224"/>
      <c r="J176" s="224"/>
      <c r="K176" s="227"/>
      <c r="L176" s="224"/>
      <c r="M176" s="224"/>
      <c r="N176" s="227"/>
    </row>
    <row r="177" spans="1:14" s="151" customFormat="1" ht="11.25">
      <c r="A177" s="229"/>
      <c r="B177" s="224"/>
      <c r="C177" s="225"/>
      <c r="D177" s="225"/>
      <c r="E177" s="226"/>
      <c r="F177" s="224"/>
      <c r="G177" s="225"/>
      <c r="H177" s="227"/>
      <c r="I177" s="224"/>
      <c r="J177" s="224"/>
      <c r="K177" s="227"/>
      <c r="L177" s="224"/>
      <c r="M177" s="224"/>
      <c r="N177" s="227"/>
    </row>
    <row r="178" spans="1:14" s="151" customFormat="1" ht="11.25">
      <c r="A178" s="231" t="s">
        <v>231</v>
      </c>
      <c r="B178" s="224"/>
      <c r="C178" s="225"/>
      <c r="D178" s="225"/>
      <c r="E178" s="226"/>
      <c r="F178" s="224"/>
      <c r="G178" s="225"/>
      <c r="H178" s="227"/>
      <c r="I178" s="224"/>
      <c r="J178" s="224"/>
      <c r="K178" s="227"/>
      <c r="L178" s="224"/>
      <c r="M178" s="224"/>
      <c r="N178" s="227"/>
    </row>
    <row r="179" spans="1:14" s="151" customFormat="1" ht="11.25">
      <c r="A179" s="229" t="s">
        <v>219</v>
      </c>
      <c r="B179" s="224">
        <v>34828789</v>
      </c>
      <c r="C179" s="225">
        <v>38423012</v>
      </c>
      <c r="D179" s="225">
        <f>+B179-C179</f>
        <v>-3594223</v>
      </c>
      <c r="E179" s="226">
        <v>35102881</v>
      </c>
      <c r="F179" s="224">
        <v>38196082</v>
      </c>
      <c r="G179" s="225">
        <v>39679227</v>
      </c>
      <c r="H179" s="227">
        <f>+F179-G179</f>
        <v>-1483145</v>
      </c>
      <c r="I179" s="224">
        <v>12513</v>
      </c>
      <c r="J179" s="224">
        <v>12876</v>
      </c>
      <c r="K179" s="227">
        <f>+I179-J179</f>
        <v>-363</v>
      </c>
      <c r="L179" s="224">
        <v>12896</v>
      </c>
      <c r="M179" s="224">
        <v>13176</v>
      </c>
      <c r="N179" s="227">
        <f>+L179-M179</f>
        <v>-280</v>
      </c>
    </row>
    <row r="180" spans="1:14" s="151" customFormat="1" ht="11.25">
      <c r="A180" s="229" t="s">
        <v>217</v>
      </c>
      <c r="B180" s="224"/>
      <c r="C180" s="225"/>
      <c r="D180" s="225"/>
      <c r="E180" s="226"/>
      <c r="F180" s="224"/>
      <c r="G180" s="225"/>
      <c r="H180" s="227"/>
      <c r="I180" s="224"/>
      <c r="J180" s="224"/>
      <c r="K180" s="227"/>
      <c r="L180" s="224"/>
      <c r="M180" s="224"/>
      <c r="N180" s="227"/>
    </row>
    <row r="181" spans="1:14" s="151" customFormat="1" ht="11.25">
      <c r="A181" s="229"/>
      <c r="B181" s="224"/>
      <c r="C181" s="225"/>
      <c r="D181" s="225"/>
      <c r="E181" s="226"/>
      <c r="F181" s="224"/>
      <c r="G181" s="225"/>
      <c r="H181" s="227"/>
      <c r="I181" s="224"/>
      <c r="J181" s="224"/>
      <c r="K181" s="227"/>
      <c r="L181" s="224"/>
      <c r="M181" s="224"/>
      <c r="N181" s="227"/>
    </row>
    <row r="182" spans="1:14" s="151" customFormat="1" ht="11.25">
      <c r="A182" s="231" t="s">
        <v>232</v>
      </c>
      <c r="B182" s="224"/>
      <c r="C182" s="225"/>
      <c r="D182" s="225"/>
      <c r="E182" s="226"/>
      <c r="F182" s="224"/>
      <c r="G182" s="225"/>
      <c r="H182" s="227"/>
      <c r="I182" s="224"/>
      <c r="J182" s="224"/>
      <c r="K182" s="227"/>
      <c r="L182" s="224"/>
      <c r="M182" s="224"/>
      <c r="N182" s="227"/>
    </row>
    <row r="183" spans="1:14" s="151" customFormat="1" ht="11.25">
      <c r="A183" s="229" t="s">
        <v>220</v>
      </c>
      <c r="B183" s="224">
        <v>37241906</v>
      </c>
      <c r="C183" s="225">
        <v>39861005</v>
      </c>
      <c r="D183" s="225">
        <f>+B183-C183</f>
        <v>-2619099</v>
      </c>
      <c r="E183" s="226">
        <v>36400659</v>
      </c>
      <c r="F183" s="224">
        <v>41187094</v>
      </c>
      <c r="G183" s="225">
        <v>44748209</v>
      </c>
      <c r="H183" s="227">
        <f>+F183-G183</f>
        <v>-3561115</v>
      </c>
      <c r="I183" s="224">
        <v>8990</v>
      </c>
      <c r="J183" s="224">
        <v>9018</v>
      </c>
      <c r="K183" s="227">
        <f>+I183-J183</f>
        <v>-28</v>
      </c>
      <c r="L183" s="224">
        <v>9036</v>
      </c>
      <c r="M183" s="224">
        <v>9057</v>
      </c>
      <c r="N183" s="227">
        <f>+L183-M183</f>
        <v>-21</v>
      </c>
    </row>
    <row r="184" spans="1:14" s="151" customFormat="1" ht="11.25">
      <c r="A184" s="229" t="s">
        <v>218</v>
      </c>
      <c r="B184" s="224"/>
      <c r="C184" s="225"/>
      <c r="D184" s="225"/>
      <c r="E184" s="226"/>
      <c r="F184" s="224"/>
      <c r="G184" s="225"/>
      <c r="H184" s="227"/>
      <c r="I184" s="224"/>
      <c r="J184" s="225"/>
      <c r="K184" s="227"/>
      <c r="L184" s="226"/>
      <c r="M184" s="226"/>
      <c r="N184" s="227"/>
    </row>
    <row r="185" spans="1:14" s="151" customFormat="1" ht="11.25">
      <c r="A185" s="229" t="s">
        <v>221</v>
      </c>
      <c r="B185" s="224"/>
      <c r="C185" s="225"/>
      <c r="D185" s="225"/>
      <c r="E185" s="226"/>
      <c r="F185" s="224"/>
      <c r="G185" s="225"/>
      <c r="H185" s="227"/>
      <c r="I185" s="224"/>
      <c r="J185" s="225"/>
      <c r="K185" s="227"/>
      <c r="L185" s="226"/>
      <c r="M185" s="226"/>
      <c r="N185" s="227"/>
    </row>
    <row r="186" spans="1:14" s="151" customFormat="1" ht="11.25">
      <c r="A186" s="229" t="s">
        <v>222</v>
      </c>
      <c r="B186" s="224"/>
      <c r="C186" s="225"/>
      <c r="D186" s="225"/>
      <c r="E186" s="226"/>
      <c r="F186" s="224"/>
      <c r="G186" s="225"/>
      <c r="H186" s="227"/>
      <c r="I186" s="224"/>
      <c r="J186" s="225"/>
      <c r="K186" s="227"/>
      <c r="L186" s="226"/>
      <c r="M186" s="226"/>
      <c r="N186" s="227"/>
    </row>
    <row r="187" spans="1:14" s="151" customFormat="1" ht="11.25">
      <c r="A187" s="229"/>
      <c r="B187" s="224"/>
      <c r="C187" s="225"/>
      <c r="D187" s="225"/>
      <c r="E187" s="226"/>
      <c r="F187" s="224"/>
      <c r="G187" s="225"/>
      <c r="H187" s="227"/>
      <c r="I187" s="224"/>
      <c r="J187" s="225"/>
      <c r="K187" s="227"/>
      <c r="L187" s="226"/>
      <c r="M187" s="226"/>
      <c r="N187" s="227"/>
    </row>
    <row r="188" spans="1:14" s="151" customFormat="1" ht="11.25">
      <c r="A188" s="231" t="s">
        <v>233</v>
      </c>
      <c r="B188" s="224"/>
      <c r="C188" s="225"/>
      <c r="D188" s="225"/>
      <c r="E188" s="226"/>
      <c r="F188" s="224"/>
      <c r="G188" s="225"/>
      <c r="H188" s="227"/>
      <c r="I188" s="224"/>
      <c r="J188" s="225"/>
      <c r="K188" s="227"/>
      <c r="L188" s="226"/>
      <c r="M188" s="226"/>
      <c r="N188" s="227"/>
    </row>
    <row r="189" spans="1:14" s="151" customFormat="1" ht="11.25">
      <c r="A189" s="229" t="s">
        <v>223</v>
      </c>
      <c r="B189" s="224"/>
      <c r="C189" s="225"/>
      <c r="D189" s="225"/>
      <c r="E189" s="226"/>
      <c r="F189" s="224"/>
      <c r="G189" s="225"/>
      <c r="H189" s="227"/>
      <c r="I189" s="224"/>
      <c r="J189" s="225"/>
      <c r="K189" s="227"/>
      <c r="L189" s="226"/>
      <c r="M189" s="226"/>
      <c r="N189" s="227"/>
    </row>
    <row r="190" spans="1:14" s="151" customFormat="1" ht="11.25">
      <c r="A190" s="229" t="s">
        <v>224</v>
      </c>
      <c r="B190" s="224"/>
      <c r="C190" s="225"/>
      <c r="D190" s="225"/>
      <c r="E190" s="226"/>
      <c r="F190" s="224"/>
      <c r="G190" s="225"/>
      <c r="H190" s="227"/>
      <c r="I190" s="224"/>
      <c r="J190" s="225"/>
      <c r="K190" s="227"/>
      <c r="L190" s="226"/>
      <c r="M190" s="226"/>
      <c r="N190" s="227"/>
    </row>
    <row r="191" spans="1:14" s="151" customFormat="1" ht="22.5">
      <c r="A191" s="229" t="s">
        <v>225</v>
      </c>
      <c r="B191" s="224"/>
      <c r="C191" s="225"/>
      <c r="D191" s="225"/>
      <c r="E191" s="226"/>
      <c r="F191" s="224"/>
      <c r="G191" s="225"/>
      <c r="H191" s="227"/>
      <c r="I191" s="224"/>
      <c r="J191" s="225"/>
      <c r="K191" s="227"/>
      <c r="L191" s="226"/>
      <c r="M191" s="226"/>
      <c r="N191" s="227"/>
    </row>
    <row r="192" spans="1:14" s="151" customFormat="1" ht="22.5">
      <c r="A192" s="229" t="s">
        <v>226</v>
      </c>
      <c r="B192" s="224"/>
      <c r="C192" s="225"/>
      <c r="D192" s="225"/>
      <c r="E192" s="226"/>
      <c r="F192" s="224"/>
      <c r="G192" s="225"/>
      <c r="H192" s="227"/>
      <c r="I192" s="224"/>
      <c r="J192" s="225"/>
      <c r="K192" s="227"/>
      <c r="L192" s="226"/>
      <c r="M192" s="226"/>
      <c r="N192" s="227"/>
    </row>
    <row r="193" spans="1:14" s="151" customFormat="1" ht="11.25">
      <c r="A193" s="229"/>
      <c r="B193" s="224"/>
      <c r="C193" s="225"/>
      <c r="D193" s="225"/>
      <c r="E193" s="226"/>
      <c r="F193" s="224"/>
      <c r="G193" s="225"/>
      <c r="H193" s="227"/>
      <c r="I193" s="224"/>
      <c r="J193" s="225"/>
      <c r="K193" s="227"/>
      <c r="L193" s="226"/>
      <c r="M193" s="226"/>
      <c r="N193" s="227"/>
    </row>
    <row r="194" spans="1:14" s="151" customFormat="1" ht="11.25">
      <c r="A194" s="231" t="s">
        <v>234</v>
      </c>
      <c r="B194" s="224"/>
      <c r="C194" s="225"/>
      <c r="D194" s="225"/>
      <c r="E194" s="226"/>
      <c r="F194" s="224"/>
      <c r="G194" s="225"/>
      <c r="H194" s="227"/>
      <c r="I194" s="224"/>
      <c r="J194" s="225"/>
      <c r="K194" s="227"/>
      <c r="L194" s="226"/>
      <c r="M194" s="226"/>
      <c r="N194" s="227"/>
    </row>
    <row r="195" spans="1:14" s="151" customFormat="1" ht="11.25">
      <c r="A195" s="229" t="s">
        <v>227</v>
      </c>
      <c r="B195" s="224"/>
      <c r="C195" s="225"/>
      <c r="D195" s="225"/>
      <c r="E195" s="226"/>
      <c r="F195" s="224"/>
      <c r="G195" s="225"/>
      <c r="H195" s="227"/>
      <c r="I195" s="224"/>
      <c r="J195" s="225"/>
      <c r="K195" s="227"/>
      <c r="L195" s="226"/>
      <c r="M195" s="226"/>
      <c r="N195" s="227"/>
    </row>
    <row r="196" spans="1:14" s="151" customFormat="1" ht="22.5">
      <c r="A196" s="229" t="s">
        <v>228</v>
      </c>
      <c r="B196" s="224"/>
      <c r="C196" s="225"/>
      <c r="D196" s="225"/>
      <c r="E196" s="226"/>
      <c r="F196" s="224"/>
      <c r="G196" s="225"/>
      <c r="H196" s="227"/>
      <c r="I196" s="224"/>
      <c r="J196" s="225"/>
      <c r="K196" s="227"/>
      <c r="L196" s="226"/>
      <c r="M196" s="226"/>
      <c r="N196" s="227"/>
    </row>
    <row r="197" spans="1:14" s="151" customFormat="1" ht="12" thickBot="1">
      <c r="A197" s="232"/>
      <c r="B197" s="224"/>
      <c r="C197" s="225"/>
      <c r="D197" s="225"/>
      <c r="E197" s="226"/>
      <c r="F197" s="224"/>
      <c r="G197" s="225"/>
      <c r="H197" s="227"/>
      <c r="I197" s="224"/>
      <c r="J197" s="225"/>
      <c r="K197" s="227"/>
      <c r="L197" s="226"/>
      <c r="M197" s="226"/>
      <c r="N197" s="227"/>
    </row>
    <row r="198" spans="1:14" s="151" customFormat="1" ht="11.25">
      <c r="A198" s="233"/>
      <c r="B198" s="1190">
        <f>SUM(B156:B197)</f>
        <v>86573548</v>
      </c>
      <c r="C198" s="1190">
        <f aca="true" t="shared" si="4" ref="C198:N198">SUM(C156:C197)</f>
        <v>93763273</v>
      </c>
      <c r="D198" s="1190">
        <f t="shared" si="4"/>
        <v>-7189725</v>
      </c>
      <c r="E198" s="1190">
        <f t="shared" si="4"/>
        <v>86089042</v>
      </c>
      <c r="F198" s="1190">
        <f t="shared" si="4"/>
        <v>96067296</v>
      </c>
      <c r="G198" s="1190">
        <f t="shared" si="4"/>
        <v>101398685</v>
      </c>
      <c r="H198" s="1190">
        <f t="shared" si="4"/>
        <v>-5331389</v>
      </c>
      <c r="I198" s="1190">
        <f t="shared" si="4"/>
        <v>28946</v>
      </c>
      <c r="J198" s="1190">
        <f t="shared" si="4"/>
        <v>29542</v>
      </c>
      <c r="K198" s="1190">
        <f t="shared" si="4"/>
        <v>-596</v>
      </c>
      <c r="L198" s="1190">
        <f t="shared" si="4"/>
        <v>29588</v>
      </c>
      <c r="M198" s="1190">
        <f t="shared" si="4"/>
        <v>30081</v>
      </c>
      <c r="N198" s="1190">
        <f t="shared" si="4"/>
        <v>-493</v>
      </c>
    </row>
    <row r="199" spans="1:14" s="151" customFormat="1" ht="12" thickBot="1">
      <c r="A199" s="234" t="s">
        <v>0</v>
      </c>
      <c r="B199" s="235"/>
      <c r="C199" s="236"/>
      <c r="D199" s="246"/>
      <c r="E199" s="238"/>
      <c r="F199" s="235"/>
      <c r="G199" s="237"/>
      <c r="H199" s="238"/>
      <c r="I199" s="235"/>
      <c r="J199" s="236"/>
      <c r="K199" s="244"/>
      <c r="L199" s="237"/>
      <c r="M199" s="237"/>
      <c r="N199" s="238"/>
    </row>
    <row r="200" spans="1:14" s="151" customFormat="1" ht="12.75" thickBot="1" thickTop="1">
      <c r="A200" s="239" t="s">
        <v>21</v>
      </c>
      <c r="B200" s="240"/>
      <c r="C200" s="241"/>
      <c r="D200" s="247"/>
      <c r="E200" s="243"/>
      <c r="F200" s="240"/>
      <c r="G200" s="242"/>
      <c r="H200" s="243"/>
      <c r="I200" s="240"/>
      <c r="J200" s="241"/>
      <c r="K200" s="245"/>
      <c r="L200" s="242"/>
      <c r="M200" s="242"/>
      <c r="N200" s="243"/>
    </row>
    <row r="201" spans="1:14" s="151" customFormat="1" ht="11.25">
      <c r="A201" s="67" t="s">
        <v>404</v>
      </c>
      <c r="B201" s="408"/>
      <c r="C201" s="408"/>
      <c r="D201" s="408"/>
      <c r="E201" s="408"/>
      <c r="F201" s="408"/>
      <c r="G201" s="408"/>
      <c r="H201" s="408"/>
      <c r="I201" s="408"/>
      <c r="J201" s="408"/>
      <c r="K201" s="408"/>
      <c r="L201" s="408"/>
      <c r="M201" s="408"/>
      <c r="N201" s="408"/>
    </row>
    <row r="202" spans="1:14" s="151" customFormat="1" ht="11.25">
      <c r="A202" s="67" t="s">
        <v>405</v>
      </c>
      <c r="B202" s="408"/>
      <c r="C202" s="408"/>
      <c r="D202" s="408"/>
      <c r="E202" s="408"/>
      <c r="F202" s="408"/>
      <c r="G202" s="408"/>
      <c r="H202" s="408"/>
      <c r="I202" s="408"/>
      <c r="J202" s="408"/>
      <c r="K202" s="408"/>
      <c r="L202" s="408"/>
      <c r="M202" s="408"/>
      <c r="N202" s="408"/>
    </row>
    <row r="203" spans="1:14" s="151" customFormat="1" ht="11.25">
      <c r="A203" s="67"/>
      <c r="B203" s="408"/>
      <c r="C203" s="408"/>
      <c r="D203" s="408"/>
      <c r="E203" s="408"/>
      <c r="F203" s="408"/>
      <c r="G203" s="408"/>
      <c r="H203" s="408"/>
      <c r="I203" s="408"/>
      <c r="J203" s="408"/>
      <c r="K203" s="408"/>
      <c r="L203" s="408"/>
      <c r="M203" s="408"/>
      <c r="N203" s="408"/>
    </row>
    <row r="204" spans="1:14" s="151" customFormat="1" ht="12" thickBot="1">
      <c r="A204" s="106" t="s">
        <v>559</v>
      </c>
      <c r="B204" s="106"/>
      <c r="C204" s="106"/>
      <c r="D204" s="106"/>
      <c r="E204" s="106"/>
      <c r="F204" s="106"/>
      <c r="G204" s="106"/>
      <c r="H204" s="106"/>
      <c r="I204" s="106"/>
      <c r="J204" s="106"/>
      <c r="K204" s="106"/>
      <c r="L204" s="106"/>
      <c r="M204" s="106"/>
      <c r="N204" s="106"/>
    </row>
    <row r="205" spans="1:14" s="151" customFormat="1" ht="12" thickBot="1">
      <c r="A205" s="1520" t="s">
        <v>204</v>
      </c>
      <c r="B205" s="1522" t="s">
        <v>237</v>
      </c>
      <c r="C205" s="1523"/>
      <c r="D205" s="1523"/>
      <c r="E205" s="1523"/>
      <c r="F205" s="1524" t="s">
        <v>238</v>
      </c>
      <c r="G205" s="1525"/>
      <c r="H205" s="1526"/>
      <c r="I205" s="1524" t="s">
        <v>236</v>
      </c>
      <c r="J205" s="1525"/>
      <c r="K205" s="1525"/>
      <c r="L205" s="1525"/>
      <c r="M205" s="1525"/>
      <c r="N205" s="1526"/>
    </row>
    <row r="206" spans="1:14" s="151" customFormat="1" ht="49.5" thickBot="1">
      <c r="A206" s="1521"/>
      <c r="B206" s="209">
        <v>2019</v>
      </c>
      <c r="C206" s="210">
        <v>2020</v>
      </c>
      <c r="D206" s="210" t="s">
        <v>400</v>
      </c>
      <c r="E206" s="212" t="s">
        <v>401</v>
      </c>
      <c r="F206" s="209">
        <v>2019</v>
      </c>
      <c r="G206" s="210">
        <v>2020</v>
      </c>
      <c r="H206" s="210" t="s">
        <v>400</v>
      </c>
      <c r="I206" s="209">
        <v>2019</v>
      </c>
      <c r="J206" s="210" t="s">
        <v>392</v>
      </c>
      <c r="K206" s="210" t="s">
        <v>400</v>
      </c>
      <c r="L206" s="211" t="s">
        <v>402</v>
      </c>
      <c r="M206" s="211" t="s">
        <v>401</v>
      </c>
      <c r="N206" s="212" t="s">
        <v>403</v>
      </c>
    </row>
    <row r="207" spans="1:14" s="151" customFormat="1" ht="11.25">
      <c r="A207" s="213"/>
      <c r="B207" s="214"/>
      <c r="C207" s="215"/>
      <c r="D207" s="215"/>
      <c r="E207" s="216"/>
      <c r="F207" s="214"/>
      <c r="G207" s="215"/>
      <c r="H207" s="217"/>
      <c r="I207" s="214"/>
      <c r="J207" s="215"/>
      <c r="K207" s="217"/>
      <c r="L207" s="216"/>
      <c r="M207" s="216"/>
      <c r="N207" s="217"/>
    </row>
    <row r="208" spans="1:14" s="151" customFormat="1" ht="22.5">
      <c r="A208" s="218" t="s">
        <v>235</v>
      </c>
      <c r="B208" s="219"/>
      <c r="C208" s="220"/>
      <c r="D208" s="220"/>
      <c r="E208" s="221"/>
      <c r="F208" s="219"/>
      <c r="G208" s="220"/>
      <c r="H208" s="222"/>
      <c r="I208" s="219"/>
      <c r="J208" s="220"/>
      <c r="K208" s="222"/>
      <c r="L208" s="221"/>
      <c r="M208" s="221"/>
      <c r="N208" s="222"/>
    </row>
    <row r="209" spans="1:14" s="151" customFormat="1" ht="11.25">
      <c r="A209" s="223" t="s">
        <v>205</v>
      </c>
      <c r="B209" s="224"/>
      <c r="C209" s="225"/>
      <c r="D209" s="225"/>
      <c r="E209" s="226"/>
      <c r="F209" s="224"/>
      <c r="G209" s="225"/>
      <c r="H209" s="227"/>
      <c r="I209" s="224"/>
      <c r="J209" s="225"/>
      <c r="K209" s="227"/>
      <c r="L209" s="226"/>
      <c r="M209" s="226"/>
      <c r="N209" s="227"/>
    </row>
    <row r="210" spans="1:14" s="151" customFormat="1" ht="11.25">
      <c r="A210" s="228"/>
      <c r="B210" s="224"/>
      <c r="C210" s="225"/>
      <c r="D210" s="225"/>
      <c r="E210" s="226"/>
      <c r="F210" s="224"/>
      <c r="G210" s="225"/>
      <c r="H210" s="227"/>
      <c r="I210" s="224"/>
      <c r="J210" s="225"/>
      <c r="K210" s="227"/>
      <c r="L210" s="226"/>
      <c r="M210" s="226"/>
      <c r="N210" s="227"/>
    </row>
    <row r="211" spans="1:14" s="151" customFormat="1" ht="11.25">
      <c r="A211" s="218" t="s">
        <v>210</v>
      </c>
      <c r="B211" s="224"/>
      <c r="C211" s="225"/>
      <c r="D211" s="225"/>
      <c r="E211" s="226"/>
      <c r="F211" s="224"/>
      <c r="G211" s="225"/>
      <c r="H211" s="227"/>
      <c r="I211" s="224"/>
      <c r="J211" s="225"/>
      <c r="K211" s="227"/>
      <c r="L211" s="226"/>
      <c r="M211" s="226"/>
      <c r="N211" s="227"/>
    </row>
    <row r="212" spans="1:14" s="151" customFormat="1" ht="11.25">
      <c r="A212" s="229" t="s">
        <v>206</v>
      </c>
      <c r="B212" s="224">
        <v>0</v>
      </c>
      <c r="C212" s="225">
        <v>8000</v>
      </c>
      <c r="D212" s="225">
        <f>+C212-B212</f>
        <v>8000</v>
      </c>
      <c r="E212" s="226">
        <v>0</v>
      </c>
      <c r="F212" s="224">
        <v>317730</v>
      </c>
      <c r="G212" s="225">
        <v>0</v>
      </c>
      <c r="H212" s="227">
        <f>+F212-G212</f>
        <v>317730</v>
      </c>
      <c r="I212" s="224"/>
      <c r="J212" s="225"/>
      <c r="K212" s="227"/>
      <c r="L212" s="226"/>
      <c r="M212" s="226"/>
      <c r="N212" s="227"/>
    </row>
    <row r="213" spans="1:14" s="151" customFormat="1" ht="11.25">
      <c r="A213" s="229" t="s">
        <v>207</v>
      </c>
      <c r="B213" s="224"/>
      <c r="C213" s="225"/>
      <c r="D213" s="225"/>
      <c r="E213" s="226"/>
      <c r="F213" s="224"/>
      <c r="G213" s="225"/>
      <c r="H213" s="227"/>
      <c r="I213" s="224"/>
      <c r="J213" s="225"/>
      <c r="K213" s="227"/>
      <c r="L213" s="226"/>
      <c r="M213" s="226"/>
      <c r="N213" s="227"/>
    </row>
    <row r="214" spans="1:14" s="151" customFormat="1" ht="11.25">
      <c r="A214" s="229" t="s">
        <v>208</v>
      </c>
      <c r="B214" s="224">
        <v>9583898</v>
      </c>
      <c r="C214" s="225">
        <v>9681141</v>
      </c>
      <c r="D214" s="225">
        <f>+B214-C214</f>
        <v>-97243</v>
      </c>
      <c r="E214" s="226">
        <v>11542714</v>
      </c>
      <c r="F214" s="224">
        <v>11030970</v>
      </c>
      <c r="G214" s="225">
        <v>10078743</v>
      </c>
      <c r="H214" s="227">
        <f>+F214-G214</f>
        <v>952227</v>
      </c>
      <c r="I214" s="224">
        <v>4</v>
      </c>
      <c r="J214" s="225">
        <v>2</v>
      </c>
      <c r="K214" s="227">
        <f>+I214-J214</f>
        <v>2</v>
      </c>
      <c r="L214" s="226"/>
      <c r="M214" s="226"/>
      <c r="N214" s="227"/>
    </row>
    <row r="215" spans="1:14" s="151" customFormat="1" ht="11.25">
      <c r="A215" s="229" t="s">
        <v>209</v>
      </c>
      <c r="B215" s="224">
        <v>9583898</v>
      </c>
      <c r="C215" s="225">
        <v>9681141</v>
      </c>
      <c r="D215" s="225">
        <f>+B215-C215</f>
        <v>-97243</v>
      </c>
      <c r="E215" s="226">
        <v>11542714</v>
      </c>
      <c r="F215" s="224">
        <v>11030970</v>
      </c>
      <c r="G215" s="225">
        <v>10078743</v>
      </c>
      <c r="H215" s="227">
        <f>+F215-G215</f>
        <v>952227</v>
      </c>
      <c r="I215" s="224">
        <v>66</v>
      </c>
      <c r="J215" s="225">
        <v>43</v>
      </c>
      <c r="K215" s="227">
        <f>+I215-J215</f>
        <v>23</v>
      </c>
      <c r="L215" s="226"/>
      <c r="M215" s="226"/>
      <c r="N215" s="227"/>
    </row>
    <row r="216" spans="1:14" s="151" customFormat="1" ht="11.25">
      <c r="A216" s="229"/>
      <c r="B216" s="219"/>
      <c r="C216" s="220"/>
      <c r="D216" s="220"/>
      <c r="E216" s="221"/>
      <c r="F216" s="219"/>
      <c r="G216" s="220"/>
      <c r="H216" s="222"/>
      <c r="I216" s="219"/>
      <c r="J216" s="220"/>
      <c r="K216" s="222"/>
      <c r="L216" s="221"/>
      <c r="M216" s="221"/>
      <c r="N216" s="222"/>
    </row>
    <row r="217" spans="1:14" s="151" customFormat="1" ht="11.25">
      <c r="A217" s="218" t="s">
        <v>229</v>
      </c>
      <c r="B217" s="224"/>
      <c r="C217" s="225"/>
      <c r="D217" s="225"/>
      <c r="E217" s="226"/>
      <c r="F217" s="224"/>
      <c r="G217" s="225"/>
      <c r="H217" s="227"/>
      <c r="I217" s="224"/>
      <c r="J217" s="225"/>
      <c r="K217" s="227"/>
      <c r="L217" s="226"/>
      <c r="M217" s="226"/>
      <c r="N217" s="227"/>
    </row>
    <row r="218" spans="1:14" s="151" customFormat="1" ht="11.25">
      <c r="A218" s="229" t="s">
        <v>211</v>
      </c>
      <c r="B218" s="224">
        <v>11911774</v>
      </c>
      <c r="C218" s="225">
        <v>12249119</v>
      </c>
      <c r="D218" s="225">
        <f>+B218-C218</f>
        <v>-337345</v>
      </c>
      <c r="E218" s="226">
        <v>12375305</v>
      </c>
      <c r="F218" s="224">
        <v>12374857</v>
      </c>
      <c r="G218" s="225">
        <v>12102107</v>
      </c>
      <c r="H218" s="227">
        <f>+F218-G218</f>
        <v>272750</v>
      </c>
      <c r="I218" s="224"/>
      <c r="J218" s="225"/>
      <c r="K218" s="227"/>
      <c r="L218" s="226"/>
      <c r="M218" s="226"/>
      <c r="N218" s="227"/>
    </row>
    <row r="219" spans="1:14" s="151" customFormat="1" ht="11.25">
      <c r="A219" s="229" t="s">
        <v>212</v>
      </c>
      <c r="B219" s="224"/>
      <c r="C219" s="225"/>
      <c r="D219" s="225"/>
      <c r="E219" s="226"/>
      <c r="F219" s="224"/>
      <c r="G219" s="225"/>
      <c r="H219" s="227"/>
      <c r="I219" s="224"/>
      <c r="J219" s="225"/>
      <c r="K219" s="227"/>
      <c r="L219" s="226"/>
      <c r="M219" s="226"/>
      <c r="N219" s="227"/>
    </row>
    <row r="220" spans="1:14" s="151" customFormat="1" ht="11.25">
      <c r="A220" s="229" t="s">
        <v>213</v>
      </c>
      <c r="B220" s="224">
        <v>11911774</v>
      </c>
      <c r="C220" s="225">
        <v>12249119</v>
      </c>
      <c r="D220" s="225">
        <f>+B220-C220</f>
        <v>-337345</v>
      </c>
      <c r="E220" s="226">
        <v>12375305</v>
      </c>
      <c r="F220" s="224">
        <v>12374857</v>
      </c>
      <c r="G220" s="225">
        <v>12102107</v>
      </c>
      <c r="H220" s="227">
        <f>+F220-G220</f>
        <v>272750</v>
      </c>
      <c r="I220" s="224">
        <v>12402</v>
      </c>
      <c r="J220" s="225">
        <v>4159</v>
      </c>
      <c r="K220" s="227">
        <f>+I220-J220</f>
        <v>8243</v>
      </c>
      <c r="L220" s="226"/>
      <c r="M220" s="226"/>
      <c r="N220" s="227"/>
    </row>
    <row r="221" spans="1:14" s="151" customFormat="1" ht="11.25">
      <c r="A221" s="229" t="s">
        <v>214</v>
      </c>
      <c r="B221" s="224">
        <v>11911774</v>
      </c>
      <c r="C221" s="225">
        <v>12249119</v>
      </c>
      <c r="D221" s="225">
        <f>+B221-C221</f>
        <v>-337345</v>
      </c>
      <c r="E221" s="226">
        <v>12375305</v>
      </c>
      <c r="F221" s="224">
        <v>12374857</v>
      </c>
      <c r="G221" s="225">
        <v>12102107</v>
      </c>
      <c r="H221" s="227">
        <f>+F221-G221</f>
        <v>272750</v>
      </c>
      <c r="I221" s="224">
        <v>13</v>
      </c>
      <c r="J221" s="225">
        <v>5</v>
      </c>
      <c r="K221" s="227">
        <f>+I221-J221</f>
        <v>8</v>
      </c>
      <c r="L221" s="226"/>
      <c r="M221" s="226"/>
      <c r="N221" s="227"/>
    </row>
    <row r="222" spans="1:14" s="151" customFormat="1" ht="22.5">
      <c r="A222" s="229" t="s">
        <v>215</v>
      </c>
      <c r="B222" s="224"/>
      <c r="C222" s="225"/>
      <c r="D222" s="225"/>
      <c r="E222" s="226"/>
      <c r="F222" s="224"/>
      <c r="G222" s="225"/>
      <c r="H222" s="227"/>
      <c r="I222" s="224"/>
      <c r="J222" s="225"/>
      <c r="K222" s="227"/>
      <c r="L222" s="226"/>
      <c r="M222" s="226"/>
      <c r="N222" s="227"/>
    </row>
    <row r="223" spans="1:14" s="151" customFormat="1" ht="11.25">
      <c r="A223" s="230"/>
      <c r="B223" s="224"/>
      <c r="C223" s="225"/>
      <c r="D223" s="225"/>
      <c r="E223" s="226"/>
      <c r="F223" s="224"/>
      <c r="G223" s="225"/>
      <c r="H223" s="227"/>
      <c r="I223" s="224"/>
      <c r="J223" s="225"/>
      <c r="K223" s="227"/>
      <c r="L223" s="226"/>
      <c r="M223" s="226"/>
      <c r="N223" s="227"/>
    </row>
    <row r="224" spans="1:14" s="151" customFormat="1" ht="11.25">
      <c r="A224" s="231" t="s">
        <v>230</v>
      </c>
      <c r="B224" s="224"/>
      <c r="C224" s="225"/>
      <c r="D224" s="225"/>
      <c r="E224" s="226"/>
      <c r="F224" s="224"/>
      <c r="G224" s="225"/>
      <c r="H224" s="227"/>
      <c r="I224" s="224"/>
      <c r="J224" s="225"/>
      <c r="K224" s="227"/>
      <c r="L224" s="226"/>
      <c r="M224" s="226"/>
      <c r="N224" s="227"/>
    </row>
    <row r="225" spans="1:14" s="151" customFormat="1" ht="11.25">
      <c r="A225" s="229" t="s">
        <v>216</v>
      </c>
      <c r="B225" s="224"/>
      <c r="C225" s="225"/>
      <c r="D225" s="225"/>
      <c r="E225" s="226"/>
      <c r="F225" s="224"/>
      <c r="G225" s="225"/>
      <c r="H225" s="227"/>
      <c r="I225" s="224"/>
      <c r="J225" s="225"/>
      <c r="K225" s="227"/>
      <c r="L225" s="226"/>
      <c r="M225" s="226"/>
      <c r="N225" s="227"/>
    </row>
    <row r="226" spans="1:14" s="151" customFormat="1" ht="11.25">
      <c r="A226" s="229" t="s">
        <v>217</v>
      </c>
      <c r="B226" s="224"/>
      <c r="C226" s="225"/>
      <c r="D226" s="225"/>
      <c r="E226" s="226"/>
      <c r="F226" s="224"/>
      <c r="G226" s="225"/>
      <c r="H226" s="227"/>
      <c r="I226" s="224"/>
      <c r="J226" s="224"/>
      <c r="K226" s="227"/>
      <c r="L226" s="224"/>
      <c r="M226" s="224"/>
      <c r="N226" s="227"/>
    </row>
    <row r="227" spans="1:14" s="151" customFormat="1" ht="11.25">
      <c r="A227" s="229" t="s">
        <v>218</v>
      </c>
      <c r="B227" s="224"/>
      <c r="C227" s="225"/>
      <c r="D227" s="225"/>
      <c r="E227" s="226"/>
      <c r="F227" s="224"/>
      <c r="G227" s="225"/>
      <c r="H227" s="227"/>
      <c r="I227" s="224"/>
      <c r="J227" s="224"/>
      <c r="K227" s="227"/>
      <c r="L227" s="224"/>
      <c r="M227" s="224"/>
      <c r="N227" s="227"/>
    </row>
    <row r="228" spans="1:14" s="151" customFormat="1" ht="11.25">
      <c r="A228" s="229"/>
      <c r="B228" s="224"/>
      <c r="C228" s="225"/>
      <c r="D228" s="225"/>
      <c r="E228" s="226"/>
      <c r="F228" s="224"/>
      <c r="G228" s="225"/>
      <c r="H228" s="227"/>
      <c r="I228" s="224"/>
      <c r="J228" s="224"/>
      <c r="K228" s="227"/>
      <c r="L228" s="224"/>
      <c r="M228" s="224"/>
      <c r="N228" s="227"/>
    </row>
    <row r="229" spans="1:14" s="151" customFormat="1" ht="11.25">
      <c r="A229" s="231" t="s">
        <v>231</v>
      </c>
      <c r="B229" s="224"/>
      <c r="C229" s="225"/>
      <c r="D229" s="225"/>
      <c r="E229" s="226"/>
      <c r="F229" s="224"/>
      <c r="G229" s="225"/>
      <c r="H229" s="227"/>
      <c r="I229" s="224"/>
      <c r="J229" s="224"/>
      <c r="K229" s="227"/>
      <c r="L229" s="224"/>
      <c r="M229" s="224"/>
      <c r="N229" s="227"/>
    </row>
    <row r="230" spans="1:14" s="151" customFormat="1" ht="11.25">
      <c r="A230" s="229" t="s">
        <v>219</v>
      </c>
      <c r="B230" s="224"/>
      <c r="C230" s="225"/>
      <c r="D230" s="225"/>
      <c r="E230" s="226"/>
      <c r="F230" s="224"/>
      <c r="G230" s="225"/>
      <c r="H230" s="227"/>
      <c r="I230" s="224"/>
      <c r="J230" s="224"/>
      <c r="K230" s="227"/>
      <c r="L230" s="224"/>
      <c r="M230" s="224"/>
      <c r="N230" s="227"/>
    </row>
    <row r="231" spans="1:14" s="151" customFormat="1" ht="11.25">
      <c r="A231" s="229" t="s">
        <v>217</v>
      </c>
      <c r="B231" s="224"/>
      <c r="C231" s="225"/>
      <c r="D231" s="225"/>
      <c r="E231" s="226"/>
      <c r="F231" s="224"/>
      <c r="G231" s="225"/>
      <c r="H231" s="227"/>
      <c r="I231" s="224"/>
      <c r="J231" s="224"/>
      <c r="K231" s="227"/>
      <c r="L231" s="224"/>
      <c r="M231" s="224"/>
      <c r="N231" s="227"/>
    </row>
    <row r="232" spans="1:14" s="151" customFormat="1" ht="11.25">
      <c r="A232" s="229"/>
      <c r="B232" s="224"/>
      <c r="C232" s="225"/>
      <c r="D232" s="225"/>
      <c r="E232" s="226"/>
      <c r="F232" s="224"/>
      <c r="G232" s="225"/>
      <c r="H232" s="227"/>
      <c r="I232" s="224"/>
      <c r="J232" s="224"/>
      <c r="K232" s="227"/>
      <c r="L232" s="224"/>
      <c r="M232" s="224"/>
      <c r="N232" s="227"/>
    </row>
    <row r="233" spans="1:14" s="151" customFormat="1" ht="11.25">
      <c r="A233" s="231" t="s">
        <v>232</v>
      </c>
      <c r="B233" s="224"/>
      <c r="C233" s="225"/>
      <c r="D233" s="225"/>
      <c r="E233" s="226"/>
      <c r="F233" s="224"/>
      <c r="G233" s="225"/>
      <c r="H233" s="227"/>
      <c r="I233" s="224"/>
      <c r="J233" s="224"/>
      <c r="K233" s="227"/>
      <c r="L233" s="224"/>
      <c r="M233" s="224"/>
      <c r="N233" s="227"/>
    </row>
    <row r="234" spans="1:14" s="151" customFormat="1" ht="11.25">
      <c r="A234" s="229" t="s">
        <v>220</v>
      </c>
      <c r="B234" s="224"/>
      <c r="C234" s="225"/>
      <c r="D234" s="225"/>
      <c r="E234" s="226"/>
      <c r="F234" s="224"/>
      <c r="G234" s="225"/>
      <c r="H234" s="227"/>
      <c r="I234" s="224"/>
      <c r="J234" s="224"/>
      <c r="K234" s="227"/>
      <c r="L234" s="224"/>
      <c r="M234" s="224"/>
      <c r="N234" s="227"/>
    </row>
    <row r="235" spans="1:14" s="151" customFormat="1" ht="11.25">
      <c r="A235" s="229" t="s">
        <v>218</v>
      </c>
      <c r="B235" s="224"/>
      <c r="C235" s="225"/>
      <c r="D235" s="225"/>
      <c r="E235" s="226"/>
      <c r="F235" s="224"/>
      <c r="G235" s="225"/>
      <c r="H235" s="227"/>
      <c r="I235" s="224"/>
      <c r="J235" s="225"/>
      <c r="K235" s="227"/>
      <c r="L235" s="226"/>
      <c r="M235" s="226"/>
      <c r="N235" s="227"/>
    </row>
    <row r="236" spans="1:14" s="151" customFormat="1" ht="11.25">
      <c r="A236" s="229" t="s">
        <v>221</v>
      </c>
      <c r="B236" s="224"/>
      <c r="C236" s="225"/>
      <c r="D236" s="225"/>
      <c r="E236" s="226"/>
      <c r="F236" s="224"/>
      <c r="G236" s="225"/>
      <c r="H236" s="227"/>
      <c r="I236" s="224"/>
      <c r="J236" s="225"/>
      <c r="K236" s="227"/>
      <c r="L236" s="226"/>
      <c r="M236" s="226"/>
      <c r="N236" s="227"/>
    </row>
    <row r="237" spans="1:14" s="151" customFormat="1" ht="11.25">
      <c r="A237" s="229" t="s">
        <v>222</v>
      </c>
      <c r="B237" s="224"/>
      <c r="C237" s="225"/>
      <c r="D237" s="225"/>
      <c r="E237" s="226"/>
      <c r="F237" s="224"/>
      <c r="G237" s="225"/>
      <c r="H237" s="227"/>
      <c r="I237" s="224"/>
      <c r="J237" s="225"/>
      <c r="K237" s="227"/>
      <c r="L237" s="226"/>
      <c r="M237" s="226"/>
      <c r="N237" s="227"/>
    </row>
    <row r="238" spans="1:14" s="151" customFormat="1" ht="11.25">
      <c r="A238" s="229"/>
      <c r="B238" s="224"/>
      <c r="C238" s="225"/>
      <c r="D238" s="225"/>
      <c r="E238" s="226"/>
      <c r="F238" s="224"/>
      <c r="G238" s="225"/>
      <c r="H238" s="227"/>
      <c r="I238" s="224"/>
      <c r="J238" s="225"/>
      <c r="K238" s="227"/>
      <c r="L238" s="226"/>
      <c r="M238" s="226"/>
      <c r="N238" s="227"/>
    </row>
    <row r="239" spans="1:14" s="151" customFormat="1" ht="11.25">
      <c r="A239" s="231" t="s">
        <v>233</v>
      </c>
      <c r="B239" s="224"/>
      <c r="C239" s="225"/>
      <c r="D239" s="225"/>
      <c r="E239" s="226"/>
      <c r="F239" s="224"/>
      <c r="G239" s="225"/>
      <c r="H239" s="227"/>
      <c r="I239" s="224"/>
      <c r="J239" s="225"/>
      <c r="K239" s="227"/>
      <c r="L239" s="226"/>
      <c r="M239" s="226"/>
      <c r="N239" s="227"/>
    </row>
    <row r="240" spans="1:14" s="151" customFormat="1" ht="11.25">
      <c r="A240" s="229" t="s">
        <v>223</v>
      </c>
      <c r="B240" s="224"/>
      <c r="C240" s="225"/>
      <c r="D240" s="225"/>
      <c r="E240" s="226"/>
      <c r="F240" s="224"/>
      <c r="G240" s="225"/>
      <c r="H240" s="227"/>
      <c r="I240" s="224"/>
      <c r="J240" s="225"/>
      <c r="K240" s="227"/>
      <c r="L240" s="226"/>
      <c r="M240" s="226"/>
      <c r="N240" s="227"/>
    </row>
    <row r="241" spans="1:14" s="151" customFormat="1" ht="11.25">
      <c r="A241" s="229" t="s">
        <v>224</v>
      </c>
      <c r="B241" s="224"/>
      <c r="C241" s="225"/>
      <c r="D241" s="225"/>
      <c r="E241" s="226"/>
      <c r="F241" s="224"/>
      <c r="G241" s="225"/>
      <c r="H241" s="227"/>
      <c r="I241" s="224"/>
      <c r="J241" s="225"/>
      <c r="K241" s="227"/>
      <c r="L241" s="226"/>
      <c r="M241" s="226"/>
      <c r="N241" s="227"/>
    </row>
    <row r="242" spans="1:14" s="151" customFormat="1" ht="22.5">
      <c r="A242" s="229" t="s">
        <v>225</v>
      </c>
      <c r="B242" s="224"/>
      <c r="C242" s="225"/>
      <c r="D242" s="225"/>
      <c r="E242" s="226"/>
      <c r="F242" s="224"/>
      <c r="G242" s="225"/>
      <c r="H242" s="227"/>
      <c r="I242" s="224"/>
      <c r="J242" s="225"/>
      <c r="K242" s="227"/>
      <c r="L242" s="226"/>
      <c r="M242" s="226"/>
      <c r="N242" s="227"/>
    </row>
    <row r="243" spans="1:14" s="151" customFormat="1" ht="22.5">
      <c r="A243" s="229" t="s">
        <v>226</v>
      </c>
      <c r="B243" s="224"/>
      <c r="C243" s="225"/>
      <c r="D243" s="225"/>
      <c r="E243" s="226"/>
      <c r="F243" s="224"/>
      <c r="G243" s="225"/>
      <c r="H243" s="227"/>
      <c r="I243" s="224"/>
      <c r="J243" s="225"/>
      <c r="K243" s="227"/>
      <c r="L243" s="226"/>
      <c r="M243" s="226"/>
      <c r="N243" s="227"/>
    </row>
    <row r="244" spans="1:14" s="151" customFormat="1" ht="11.25">
      <c r="A244" s="229"/>
      <c r="B244" s="224"/>
      <c r="C244" s="225"/>
      <c r="D244" s="225"/>
      <c r="E244" s="226"/>
      <c r="F244" s="224"/>
      <c r="G244" s="225"/>
      <c r="H244" s="227"/>
      <c r="I244" s="224"/>
      <c r="J244" s="225"/>
      <c r="K244" s="227"/>
      <c r="L244" s="226"/>
      <c r="M244" s="226"/>
      <c r="N244" s="227"/>
    </row>
    <row r="245" spans="1:14" s="151" customFormat="1" ht="11.25">
      <c r="A245" s="231" t="s">
        <v>234</v>
      </c>
      <c r="B245" s="224"/>
      <c r="C245" s="225"/>
      <c r="D245" s="225"/>
      <c r="E245" s="226"/>
      <c r="F245" s="224"/>
      <c r="G245" s="225"/>
      <c r="H245" s="227"/>
      <c r="I245" s="224"/>
      <c r="J245" s="225"/>
      <c r="K245" s="227"/>
      <c r="L245" s="226"/>
      <c r="M245" s="226"/>
      <c r="N245" s="227"/>
    </row>
    <row r="246" spans="1:14" s="151" customFormat="1" ht="11.25">
      <c r="A246" s="229" t="s">
        <v>227</v>
      </c>
      <c r="B246" s="224"/>
      <c r="C246" s="225"/>
      <c r="D246" s="225"/>
      <c r="E246" s="226"/>
      <c r="F246" s="224"/>
      <c r="G246" s="225"/>
      <c r="H246" s="227"/>
      <c r="I246" s="224"/>
      <c r="J246" s="225"/>
      <c r="K246" s="227"/>
      <c r="L246" s="226"/>
      <c r="M246" s="226"/>
      <c r="N246" s="227"/>
    </row>
    <row r="247" spans="1:14" s="151" customFormat="1" ht="22.5">
      <c r="A247" s="229" t="s">
        <v>228</v>
      </c>
      <c r="B247" s="224"/>
      <c r="C247" s="225"/>
      <c r="D247" s="225"/>
      <c r="E247" s="226"/>
      <c r="F247" s="224"/>
      <c r="G247" s="225"/>
      <c r="H247" s="227"/>
      <c r="I247" s="224"/>
      <c r="J247" s="225"/>
      <c r="K247" s="227"/>
      <c r="L247" s="226"/>
      <c r="M247" s="226"/>
      <c r="N247" s="227"/>
    </row>
    <row r="248" spans="1:14" s="151" customFormat="1" ht="12" thickBot="1">
      <c r="A248" s="232"/>
      <c r="B248" s="224"/>
      <c r="C248" s="225"/>
      <c r="D248" s="225"/>
      <c r="E248" s="226"/>
      <c r="F248" s="224"/>
      <c r="G248" s="225"/>
      <c r="H248" s="227"/>
      <c r="I248" s="224"/>
      <c r="J248" s="225"/>
      <c r="K248" s="227"/>
      <c r="L248" s="226"/>
      <c r="M248" s="226"/>
      <c r="N248" s="227"/>
    </row>
    <row r="249" spans="1:14" s="151" customFormat="1" ht="12" thickBot="1">
      <c r="A249" s="234" t="s">
        <v>0</v>
      </c>
      <c r="B249" s="1190">
        <f>SUM(B207:B248)</f>
        <v>54903118</v>
      </c>
      <c r="C249" s="1190">
        <f aca="true" t="shared" si="5" ref="C249:N249">SUM(C207:C248)</f>
        <v>56117639</v>
      </c>
      <c r="D249" s="1190">
        <f t="shared" si="5"/>
        <v>-1198521</v>
      </c>
      <c r="E249" s="1190">
        <f t="shared" si="5"/>
        <v>60211343</v>
      </c>
      <c r="F249" s="1190">
        <f t="shared" si="5"/>
        <v>59504241</v>
      </c>
      <c r="G249" s="1190">
        <f t="shared" si="5"/>
        <v>56463807</v>
      </c>
      <c r="H249" s="1190">
        <f t="shared" si="5"/>
        <v>3040434</v>
      </c>
      <c r="I249" s="1190">
        <f t="shared" si="5"/>
        <v>12485</v>
      </c>
      <c r="J249" s="1190">
        <f t="shared" si="5"/>
        <v>4209</v>
      </c>
      <c r="K249" s="1190">
        <f t="shared" si="5"/>
        <v>8276</v>
      </c>
      <c r="L249" s="1190">
        <f t="shared" si="5"/>
        <v>0</v>
      </c>
      <c r="M249" s="1190">
        <f t="shared" si="5"/>
        <v>0</v>
      </c>
      <c r="N249" s="1190">
        <f t="shared" si="5"/>
        <v>0</v>
      </c>
    </row>
    <row r="250" spans="1:14" s="151" customFormat="1" ht="12.75" thickBot="1" thickTop="1">
      <c r="A250" s="239" t="s">
        <v>21</v>
      </c>
      <c r="B250" s="240"/>
      <c r="C250" s="241"/>
      <c r="D250" s="247"/>
      <c r="E250" s="243"/>
      <c r="F250" s="240"/>
      <c r="G250" s="242"/>
      <c r="H250" s="243"/>
      <c r="I250" s="240"/>
      <c r="J250" s="241"/>
      <c r="K250" s="245"/>
      <c r="L250" s="242"/>
      <c r="M250" s="242"/>
      <c r="N250" s="243"/>
    </row>
    <row r="251" spans="1:14" s="151" customFormat="1" ht="11.25">
      <c r="A251" s="67" t="s">
        <v>404</v>
      </c>
      <c r="B251" s="408"/>
      <c r="C251" s="408"/>
      <c r="D251" s="408"/>
      <c r="E251" s="408"/>
      <c r="F251" s="408"/>
      <c r="G251" s="408"/>
      <c r="H251" s="408"/>
      <c r="I251" s="408"/>
      <c r="J251" s="408"/>
      <c r="K251" s="408"/>
      <c r="L251" s="408"/>
      <c r="M251" s="408"/>
      <c r="N251" s="408"/>
    </row>
    <row r="252" spans="1:14" s="151" customFormat="1" ht="11.25">
      <c r="A252" s="67" t="s">
        <v>405</v>
      </c>
      <c r="B252" s="408"/>
      <c r="C252" s="408"/>
      <c r="D252" s="408"/>
      <c r="E252" s="408"/>
      <c r="F252" s="408"/>
      <c r="G252" s="408"/>
      <c r="H252" s="408"/>
      <c r="I252" s="408"/>
      <c r="J252" s="408"/>
      <c r="K252" s="408"/>
      <c r="L252" s="408"/>
      <c r="M252" s="408"/>
      <c r="N252" s="408"/>
    </row>
    <row r="253" spans="1:14" s="151" customFormat="1" ht="11.25">
      <c r="A253" s="407"/>
      <c r="B253" s="408"/>
      <c r="C253" s="408"/>
      <c r="D253" s="408"/>
      <c r="E253" s="408"/>
      <c r="F253" s="408"/>
      <c r="G253" s="408"/>
      <c r="H253" s="408"/>
      <c r="I253" s="408"/>
      <c r="J253" s="408"/>
      <c r="K253" s="408"/>
      <c r="L253" s="408"/>
      <c r="M253" s="408"/>
      <c r="N253" s="408"/>
    </row>
    <row r="255" ht="12" thickBot="1">
      <c r="A255" s="106" t="s">
        <v>553</v>
      </c>
    </row>
    <row r="256" spans="1:14" ht="13.5" customHeight="1" thickBot="1">
      <c r="A256" s="1527" t="s">
        <v>204</v>
      </c>
      <c r="B256" s="1522" t="s">
        <v>237</v>
      </c>
      <c r="C256" s="1523"/>
      <c r="D256" s="1523"/>
      <c r="E256" s="1523"/>
      <c r="F256" s="1524" t="s">
        <v>238</v>
      </c>
      <c r="G256" s="1525"/>
      <c r="H256" s="1526"/>
      <c r="I256" s="1524" t="s">
        <v>236</v>
      </c>
      <c r="J256" s="1525"/>
      <c r="K256" s="1525"/>
      <c r="L256" s="1525"/>
      <c r="M256" s="1525"/>
      <c r="N256" s="1526"/>
    </row>
    <row r="257" spans="1:14" ht="49.5" thickBot="1">
      <c r="A257" s="1527"/>
      <c r="B257" s="209">
        <v>2019</v>
      </c>
      <c r="C257" s="210">
        <v>2020</v>
      </c>
      <c r="D257" s="210" t="s">
        <v>400</v>
      </c>
      <c r="E257" s="212" t="s">
        <v>401</v>
      </c>
      <c r="F257" s="209">
        <v>2019</v>
      </c>
      <c r="G257" s="210">
        <v>2020</v>
      </c>
      <c r="H257" s="210" t="s">
        <v>400</v>
      </c>
      <c r="I257" s="209">
        <v>2019</v>
      </c>
      <c r="J257" s="210" t="s">
        <v>392</v>
      </c>
      <c r="K257" s="210" t="s">
        <v>400</v>
      </c>
      <c r="L257" s="211" t="s">
        <v>402</v>
      </c>
      <c r="M257" s="211" t="s">
        <v>401</v>
      </c>
      <c r="N257" s="212" t="s">
        <v>403</v>
      </c>
    </row>
    <row r="258" spans="1:14" ht="11.25">
      <c r="A258" s="409"/>
      <c r="B258" s="219"/>
      <c r="C258" s="220"/>
      <c r="D258" s="220"/>
      <c r="E258" s="221"/>
      <c r="F258" s="219"/>
      <c r="G258" s="220"/>
      <c r="H258" s="222"/>
      <c r="I258" s="219"/>
      <c r="J258" s="220"/>
      <c r="K258" s="222"/>
      <c r="L258" s="221"/>
      <c r="M258" s="221"/>
      <c r="N258" s="222"/>
    </row>
    <row r="259" spans="1:14" ht="22.5">
      <c r="A259" s="218" t="s">
        <v>235</v>
      </c>
      <c r="B259" s="224"/>
      <c r="C259" s="225"/>
      <c r="D259" s="225"/>
      <c r="E259" s="226"/>
      <c r="F259" s="224"/>
      <c r="G259" s="225"/>
      <c r="H259" s="227"/>
      <c r="I259" s="224"/>
      <c r="J259" s="225"/>
      <c r="K259" s="227"/>
      <c r="L259" s="226"/>
      <c r="M259" s="226"/>
      <c r="N259" s="227"/>
    </row>
    <row r="260" spans="1:14" ht="11.25">
      <c r="A260" s="223" t="s">
        <v>205</v>
      </c>
      <c r="B260" s="224"/>
      <c r="C260" s="225"/>
      <c r="D260" s="225"/>
      <c r="E260" s="226"/>
      <c r="F260" s="224"/>
      <c r="G260" s="225"/>
      <c r="H260" s="227"/>
      <c r="I260" s="224"/>
      <c r="J260" s="225"/>
      <c r="K260" s="227"/>
      <c r="L260" s="226"/>
      <c r="M260" s="226"/>
      <c r="N260" s="227"/>
    </row>
    <row r="261" spans="1:14" ht="12" thickBot="1">
      <c r="A261" s="218" t="s">
        <v>210</v>
      </c>
      <c r="B261" s="224"/>
      <c r="C261" s="225"/>
      <c r="D261" s="225"/>
      <c r="E261" s="226"/>
      <c r="F261" s="224"/>
      <c r="G261" s="225"/>
      <c r="H261" s="227"/>
      <c r="I261" s="224"/>
      <c r="J261" s="225"/>
      <c r="K261" s="227"/>
      <c r="L261" s="226"/>
      <c r="M261" s="226"/>
      <c r="N261" s="227"/>
    </row>
    <row r="262" spans="1:14" ht="12" thickBot="1">
      <c r="A262" s="393" t="s">
        <v>206</v>
      </c>
      <c r="B262" s="394">
        <v>117084</v>
      </c>
      <c r="C262" s="394">
        <v>117082</v>
      </c>
      <c r="D262" s="395">
        <v>-2</v>
      </c>
      <c r="E262" s="396">
        <v>117462</v>
      </c>
      <c r="F262" s="394">
        <v>117084</v>
      </c>
      <c r="G262" s="394">
        <v>117082</v>
      </c>
      <c r="H262" s="397">
        <v>-2</v>
      </c>
      <c r="I262" s="394">
        <v>6842</v>
      </c>
      <c r="J262" s="394">
        <v>10613</v>
      </c>
      <c r="K262" s="396">
        <v>3771</v>
      </c>
      <c r="L262" s="394">
        <v>10613</v>
      </c>
      <c r="M262" s="394">
        <v>11377</v>
      </c>
      <c r="N262" s="397">
        <v>764</v>
      </c>
    </row>
    <row r="263" spans="1:14" ht="12" thickBot="1">
      <c r="A263" s="393" t="s">
        <v>207</v>
      </c>
      <c r="B263" s="394">
        <v>3707261</v>
      </c>
      <c r="C263" s="394">
        <v>3830729</v>
      </c>
      <c r="D263" s="394">
        <v>123468</v>
      </c>
      <c r="E263" s="396">
        <v>4226115</v>
      </c>
      <c r="F263" s="394">
        <v>3920171</v>
      </c>
      <c r="G263" s="394">
        <v>3920485</v>
      </c>
      <c r="H263" s="397">
        <v>314</v>
      </c>
      <c r="I263" s="394">
        <v>5168</v>
      </c>
      <c r="J263" s="394">
        <v>7012</v>
      </c>
      <c r="K263" s="396">
        <v>1844</v>
      </c>
      <c r="L263" s="394">
        <v>7012</v>
      </c>
      <c r="M263" s="394">
        <v>7193</v>
      </c>
      <c r="N263" s="397">
        <v>181</v>
      </c>
    </row>
    <row r="264" spans="1:14" ht="13.5" thickBot="1">
      <c r="A264" s="393" t="s">
        <v>208</v>
      </c>
      <c r="B264" s="398"/>
      <c r="C264" s="398"/>
      <c r="D264" s="398"/>
      <c r="E264" s="399"/>
      <c r="F264" s="398"/>
      <c r="G264" s="398"/>
      <c r="H264" s="399"/>
      <c r="I264" s="398"/>
      <c r="J264" s="398"/>
      <c r="K264" s="399"/>
      <c r="L264" s="398"/>
      <c r="M264" s="398"/>
      <c r="N264" s="399"/>
    </row>
    <row r="265" spans="1:14" ht="13.5" thickBot="1">
      <c r="A265" s="393" t="s">
        <v>209</v>
      </c>
      <c r="B265" s="398"/>
      <c r="C265" s="398"/>
      <c r="D265" s="398"/>
      <c r="E265" s="399"/>
      <c r="F265" s="398"/>
      <c r="G265" s="398"/>
      <c r="H265" s="399"/>
      <c r="I265" s="398"/>
      <c r="J265" s="398"/>
      <c r="K265" s="399"/>
      <c r="L265" s="398"/>
      <c r="M265" s="398"/>
      <c r="N265" s="399"/>
    </row>
    <row r="266" spans="1:14" ht="13.5" thickBot="1">
      <c r="A266" s="393"/>
      <c r="B266" s="398"/>
      <c r="C266" s="398"/>
      <c r="D266" s="398"/>
      <c r="E266" s="399"/>
      <c r="F266" s="398"/>
      <c r="G266" s="398"/>
      <c r="H266" s="399"/>
      <c r="I266" s="398"/>
      <c r="J266" s="398"/>
      <c r="K266" s="399"/>
      <c r="L266" s="398"/>
      <c r="M266" s="398"/>
      <c r="N266" s="399"/>
    </row>
    <row r="267" spans="1:14" ht="13.5" thickBot="1">
      <c r="A267" s="400" t="s">
        <v>554</v>
      </c>
      <c r="B267" s="398"/>
      <c r="C267" s="398"/>
      <c r="D267" s="398"/>
      <c r="E267" s="399"/>
      <c r="F267" s="398"/>
      <c r="G267" s="398"/>
      <c r="H267" s="399"/>
      <c r="I267" s="398"/>
      <c r="J267" s="398"/>
      <c r="K267" s="399"/>
      <c r="L267" s="398"/>
      <c r="M267" s="398"/>
      <c r="N267" s="399"/>
    </row>
    <row r="268" spans="1:14" ht="12" thickBot="1">
      <c r="A268" s="393" t="s">
        <v>211</v>
      </c>
      <c r="B268" s="394">
        <v>872073</v>
      </c>
      <c r="C268" s="394">
        <v>843273</v>
      </c>
      <c r="D268" s="394">
        <v>-28800</v>
      </c>
      <c r="E268" s="396">
        <v>1070802</v>
      </c>
      <c r="F268" s="394">
        <v>984624</v>
      </c>
      <c r="G268" s="394">
        <v>1028943</v>
      </c>
      <c r="H268" s="396">
        <v>44319</v>
      </c>
      <c r="I268" s="394">
        <v>2249</v>
      </c>
      <c r="J268" s="394">
        <v>3291</v>
      </c>
      <c r="K268" s="396">
        <v>1042</v>
      </c>
      <c r="L268" s="394">
        <v>3291</v>
      </c>
      <c r="M268" s="394">
        <v>2530</v>
      </c>
      <c r="N268" s="397">
        <v>-761</v>
      </c>
    </row>
    <row r="269" spans="1:14" ht="11.25">
      <c r="A269" s="229" t="s">
        <v>212</v>
      </c>
      <c r="B269" s="224"/>
      <c r="C269" s="225"/>
      <c r="D269" s="225"/>
      <c r="E269" s="226"/>
      <c r="F269" s="224"/>
      <c r="G269" s="225"/>
      <c r="H269" s="227"/>
      <c r="I269" s="224"/>
      <c r="J269" s="225"/>
      <c r="K269" s="227"/>
      <c r="L269" s="226"/>
      <c r="M269" s="226"/>
      <c r="N269" s="227"/>
    </row>
    <row r="270" spans="1:14" ht="11.25">
      <c r="A270" s="229" t="s">
        <v>213</v>
      </c>
      <c r="B270" s="224"/>
      <c r="C270" s="225"/>
      <c r="D270" s="225"/>
      <c r="E270" s="226"/>
      <c r="F270" s="224"/>
      <c r="G270" s="225"/>
      <c r="H270" s="227"/>
      <c r="I270" s="224"/>
      <c r="J270" s="225"/>
      <c r="K270" s="227"/>
      <c r="L270" s="226"/>
      <c r="M270" s="226"/>
      <c r="N270" s="227"/>
    </row>
    <row r="271" spans="1:14" ht="11.25">
      <c r="A271" s="229" t="s">
        <v>214</v>
      </c>
      <c r="B271" s="224"/>
      <c r="C271" s="225"/>
      <c r="D271" s="225"/>
      <c r="E271" s="226"/>
      <c r="F271" s="224"/>
      <c r="G271" s="225"/>
      <c r="H271" s="227"/>
      <c r="I271" s="224"/>
      <c r="J271" s="225"/>
      <c r="K271" s="227"/>
      <c r="L271" s="226"/>
      <c r="M271" s="226"/>
      <c r="N271" s="227"/>
    </row>
    <row r="272" spans="1:14" ht="22.5">
      <c r="A272" s="229" t="s">
        <v>215</v>
      </c>
      <c r="B272" s="224"/>
      <c r="C272" s="225"/>
      <c r="D272" s="225"/>
      <c r="E272" s="226"/>
      <c r="F272" s="224"/>
      <c r="G272" s="225"/>
      <c r="H272" s="227"/>
      <c r="I272" s="224"/>
      <c r="J272" s="225"/>
      <c r="K272" s="227"/>
      <c r="L272" s="226"/>
      <c r="M272" s="226"/>
      <c r="N272" s="227"/>
    </row>
    <row r="273" spans="1:14" ht="11.25">
      <c r="A273" s="230"/>
      <c r="B273" s="224"/>
      <c r="C273" s="225"/>
      <c r="D273" s="225"/>
      <c r="E273" s="226"/>
      <c r="F273" s="224"/>
      <c r="G273" s="225"/>
      <c r="H273" s="227"/>
      <c r="I273" s="224"/>
      <c r="J273" s="225"/>
      <c r="K273" s="227"/>
      <c r="L273" s="226"/>
      <c r="M273" s="226"/>
      <c r="N273" s="227"/>
    </row>
    <row r="274" spans="1:14" ht="11.25">
      <c r="A274" s="231" t="s">
        <v>230</v>
      </c>
      <c r="B274" s="224"/>
      <c r="C274" s="225"/>
      <c r="D274" s="225"/>
      <c r="E274" s="226"/>
      <c r="F274" s="224"/>
      <c r="G274" s="225"/>
      <c r="H274" s="227"/>
      <c r="I274" s="224"/>
      <c r="J274" s="225"/>
      <c r="K274" s="227"/>
      <c r="L274" s="226"/>
      <c r="M274" s="226"/>
      <c r="N274" s="227"/>
    </row>
    <row r="275" spans="1:14" ht="11.25">
      <c r="A275" s="229" t="s">
        <v>216</v>
      </c>
      <c r="B275" s="224"/>
      <c r="C275" s="225"/>
      <c r="D275" s="225"/>
      <c r="E275" s="226"/>
      <c r="F275" s="224"/>
      <c r="G275" s="225"/>
      <c r="H275" s="227"/>
      <c r="I275" s="224"/>
      <c r="J275" s="225"/>
      <c r="K275" s="227"/>
      <c r="L275" s="226"/>
      <c r="M275" s="226"/>
      <c r="N275" s="227"/>
    </row>
    <row r="276" spans="1:14" ht="11.25">
      <c r="A276" s="229" t="s">
        <v>217</v>
      </c>
      <c r="B276" s="224"/>
      <c r="C276" s="225"/>
      <c r="D276" s="225"/>
      <c r="E276" s="226"/>
      <c r="F276" s="224"/>
      <c r="G276" s="225"/>
      <c r="H276" s="227"/>
      <c r="I276" s="224"/>
      <c r="J276" s="225"/>
      <c r="K276" s="227"/>
      <c r="L276" s="226"/>
      <c r="M276" s="226"/>
      <c r="N276" s="227"/>
    </row>
    <row r="277" spans="1:14" ht="11.25">
      <c r="A277" s="229" t="s">
        <v>218</v>
      </c>
      <c r="B277" s="224"/>
      <c r="C277" s="225"/>
      <c r="D277" s="225"/>
      <c r="E277" s="226"/>
      <c r="F277" s="224"/>
      <c r="G277" s="225"/>
      <c r="H277" s="227"/>
      <c r="I277" s="224"/>
      <c r="J277" s="225"/>
      <c r="K277" s="227"/>
      <c r="L277" s="226"/>
      <c r="M277" s="226"/>
      <c r="N277" s="227"/>
    </row>
    <row r="278" spans="1:14" ht="11.25">
      <c r="A278" s="229"/>
      <c r="B278" s="224"/>
      <c r="C278" s="225"/>
      <c r="D278" s="225"/>
      <c r="E278" s="226"/>
      <c r="F278" s="224"/>
      <c r="G278" s="225"/>
      <c r="H278" s="227"/>
      <c r="I278" s="224"/>
      <c r="J278" s="225"/>
      <c r="K278" s="227"/>
      <c r="L278" s="226"/>
      <c r="M278" s="226"/>
      <c r="N278" s="227"/>
    </row>
    <row r="279" spans="1:14" ht="11.25">
      <c r="A279" s="231" t="s">
        <v>231</v>
      </c>
      <c r="B279" s="224"/>
      <c r="C279" s="225"/>
      <c r="D279" s="225"/>
      <c r="E279" s="226"/>
      <c r="F279" s="224"/>
      <c r="G279" s="225"/>
      <c r="H279" s="227"/>
      <c r="I279" s="224"/>
      <c r="J279" s="225"/>
      <c r="K279" s="227"/>
      <c r="L279" s="226"/>
      <c r="M279" s="226"/>
      <c r="N279" s="227"/>
    </row>
    <row r="280" spans="1:14" ht="11.25">
      <c r="A280" s="229" t="s">
        <v>219</v>
      </c>
      <c r="B280" s="384"/>
      <c r="C280" s="385"/>
      <c r="D280" s="385"/>
      <c r="E280" s="386"/>
      <c r="F280" s="384"/>
      <c r="G280" s="385"/>
      <c r="H280" s="386"/>
      <c r="I280" s="384"/>
      <c r="J280" s="385"/>
      <c r="K280" s="386"/>
      <c r="L280" s="384"/>
      <c r="M280" s="385"/>
      <c r="N280" s="386"/>
    </row>
    <row r="281" spans="1:14" ht="11.25">
      <c r="A281" s="229" t="s">
        <v>217</v>
      </c>
      <c r="B281" s="387"/>
      <c r="C281" s="388"/>
      <c r="D281" s="388"/>
      <c r="E281" s="389"/>
      <c r="F281" s="390"/>
      <c r="G281" s="387"/>
      <c r="H281" s="391"/>
      <c r="I281" s="390"/>
      <c r="J281" s="388"/>
      <c r="K281" s="392"/>
      <c r="L281" s="389"/>
      <c r="M281" s="389"/>
      <c r="N281" s="392"/>
    </row>
    <row r="282" spans="1:14" ht="11.25">
      <c r="A282" s="229"/>
      <c r="B282" s="224"/>
      <c r="C282" s="225"/>
      <c r="D282" s="225"/>
      <c r="E282" s="226"/>
      <c r="F282" s="224"/>
      <c r="G282" s="225"/>
      <c r="H282" s="227"/>
      <c r="I282" s="224"/>
      <c r="J282" s="225"/>
      <c r="K282" s="227"/>
      <c r="L282" s="226"/>
      <c r="M282" s="226"/>
      <c r="N282" s="227"/>
    </row>
    <row r="283" spans="1:14" ht="11.25">
      <c r="A283" s="231" t="s">
        <v>232</v>
      </c>
      <c r="B283" s="224"/>
      <c r="C283" s="225"/>
      <c r="D283" s="225"/>
      <c r="E283" s="226"/>
      <c r="F283" s="224"/>
      <c r="G283" s="225"/>
      <c r="H283" s="227"/>
      <c r="I283" s="224"/>
      <c r="J283" s="225"/>
      <c r="K283" s="227"/>
      <c r="L283" s="226"/>
      <c r="M283" s="226"/>
      <c r="N283" s="227"/>
    </row>
    <row r="284" spans="1:14" ht="11.25">
      <c r="A284" s="229" t="s">
        <v>220</v>
      </c>
      <c r="B284" s="224"/>
      <c r="C284" s="225"/>
      <c r="D284" s="225"/>
      <c r="E284" s="226"/>
      <c r="F284" s="224"/>
      <c r="G284" s="225"/>
      <c r="H284" s="227"/>
      <c r="I284" s="224"/>
      <c r="J284" s="225"/>
      <c r="K284" s="227"/>
      <c r="L284" s="226"/>
      <c r="M284" s="226"/>
      <c r="N284" s="227"/>
    </row>
    <row r="285" spans="1:14" ht="11.25">
      <c r="A285" s="229" t="s">
        <v>218</v>
      </c>
      <c r="B285" s="224"/>
      <c r="C285" s="225"/>
      <c r="D285" s="225"/>
      <c r="E285" s="226"/>
      <c r="F285" s="224"/>
      <c r="G285" s="225"/>
      <c r="H285" s="227"/>
      <c r="I285" s="224"/>
      <c r="J285" s="225"/>
      <c r="K285" s="227"/>
      <c r="L285" s="226"/>
      <c r="M285" s="226"/>
      <c r="N285" s="227"/>
    </row>
    <row r="286" spans="1:14" ht="11.25">
      <c r="A286" s="229" t="s">
        <v>221</v>
      </c>
      <c r="B286" s="224"/>
      <c r="C286" s="225"/>
      <c r="D286" s="225"/>
      <c r="E286" s="226"/>
      <c r="F286" s="224"/>
      <c r="G286" s="225"/>
      <c r="H286" s="227"/>
      <c r="I286" s="224"/>
      <c r="J286" s="225"/>
      <c r="K286" s="227"/>
      <c r="L286" s="226"/>
      <c r="M286" s="226"/>
      <c r="N286" s="227"/>
    </row>
    <row r="287" spans="1:14" ht="11.25">
      <c r="A287" s="229" t="s">
        <v>222</v>
      </c>
      <c r="B287" s="224"/>
      <c r="C287" s="225"/>
      <c r="D287" s="225"/>
      <c r="E287" s="226"/>
      <c r="F287" s="224"/>
      <c r="G287" s="225"/>
      <c r="H287" s="227"/>
      <c r="I287" s="224"/>
      <c r="J287" s="225"/>
      <c r="K287" s="227"/>
      <c r="L287" s="226"/>
      <c r="M287" s="226"/>
      <c r="N287" s="227"/>
    </row>
    <row r="288" spans="1:14" ht="11.25">
      <c r="A288" s="229"/>
      <c r="B288" s="224"/>
      <c r="C288" s="225"/>
      <c r="D288" s="225"/>
      <c r="E288" s="226"/>
      <c r="F288" s="224"/>
      <c r="G288" s="225"/>
      <c r="H288" s="227"/>
      <c r="I288" s="224"/>
      <c r="J288" s="225"/>
      <c r="K288" s="227"/>
      <c r="L288" s="226"/>
      <c r="M288" s="226"/>
      <c r="N288" s="227"/>
    </row>
    <row r="289" spans="1:14" ht="11.25">
      <c r="A289" s="231" t="s">
        <v>233</v>
      </c>
      <c r="B289" s="224"/>
      <c r="C289" s="225"/>
      <c r="D289" s="225"/>
      <c r="E289" s="226"/>
      <c r="F289" s="224"/>
      <c r="G289" s="225"/>
      <c r="H289" s="227"/>
      <c r="I289" s="224"/>
      <c r="J289" s="225"/>
      <c r="K289" s="227"/>
      <c r="L289" s="226"/>
      <c r="M289" s="226"/>
      <c r="N289" s="227"/>
    </row>
    <row r="290" spans="1:14" ht="11.25">
      <c r="A290" s="229" t="s">
        <v>223</v>
      </c>
      <c r="B290" s="224"/>
      <c r="C290" s="225"/>
      <c r="D290" s="225"/>
      <c r="E290" s="226"/>
      <c r="F290" s="224"/>
      <c r="G290" s="225"/>
      <c r="H290" s="227"/>
      <c r="I290" s="224"/>
      <c r="J290" s="225"/>
      <c r="K290" s="227"/>
      <c r="L290" s="226"/>
      <c r="M290" s="226"/>
      <c r="N290" s="227"/>
    </row>
    <row r="291" spans="1:14" ht="11.25">
      <c r="A291" s="229" t="s">
        <v>224</v>
      </c>
      <c r="B291" s="224"/>
      <c r="C291" s="225"/>
      <c r="D291" s="225"/>
      <c r="E291" s="226"/>
      <c r="F291" s="224"/>
      <c r="G291" s="225"/>
      <c r="H291" s="227"/>
      <c r="I291" s="224"/>
      <c r="J291" s="225"/>
      <c r="K291" s="227"/>
      <c r="L291" s="226"/>
      <c r="M291" s="226"/>
      <c r="N291" s="227"/>
    </row>
    <row r="292" spans="1:14" ht="22.5">
      <c r="A292" s="229" t="s">
        <v>225</v>
      </c>
      <c r="B292" s="224"/>
      <c r="C292" s="225"/>
      <c r="D292" s="225"/>
      <c r="E292" s="226"/>
      <c r="F292" s="224"/>
      <c r="G292" s="225"/>
      <c r="H292" s="227"/>
      <c r="I292" s="224"/>
      <c r="J292" s="225"/>
      <c r="K292" s="227"/>
      <c r="L292" s="226"/>
      <c r="M292" s="226"/>
      <c r="N292" s="227"/>
    </row>
    <row r="293" spans="1:14" ht="22.5">
      <c r="A293" s="229" t="s">
        <v>226</v>
      </c>
      <c r="B293" s="224"/>
      <c r="C293" s="225"/>
      <c r="D293" s="225"/>
      <c r="E293" s="226"/>
      <c r="F293" s="224"/>
      <c r="G293" s="225"/>
      <c r="H293" s="227"/>
      <c r="I293" s="224"/>
      <c r="J293" s="225"/>
      <c r="K293" s="227"/>
      <c r="L293" s="226"/>
      <c r="M293" s="226"/>
      <c r="N293" s="227"/>
    </row>
    <row r="294" spans="1:14" ht="11.25">
      <c r="A294" s="229"/>
      <c r="B294" s="224"/>
      <c r="C294" s="225"/>
      <c r="D294" s="225"/>
      <c r="E294" s="226"/>
      <c r="F294" s="224"/>
      <c r="G294" s="225"/>
      <c r="H294" s="227"/>
      <c r="I294" s="224"/>
      <c r="J294" s="225"/>
      <c r="K294" s="227"/>
      <c r="L294" s="226"/>
      <c r="M294" s="226"/>
      <c r="N294" s="227"/>
    </row>
    <row r="295" spans="1:14" ht="11.25">
      <c r="A295" s="231" t="s">
        <v>234</v>
      </c>
      <c r="B295" s="224"/>
      <c r="C295" s="225"/>
      <c r="D295" s="225"/>
      <c r="E295" s="226"/>
      <c r="F295" s="224"/>
      <c r="G295" s="225"/>
      <c r="H295" s="227"/>
      <c r="I295" s="224"/>
      <c r="J295" s="225"/>
      <c r="K295" s="227"/>
      <c r="L295" s="226"/>
      <c r="M295" s="226"/>
      <c r="N295" s="227"/>
    </row>
    <row r="296" spans="1:14" ht="11.25">
      <c r="A296" s="229" t="s">
        <v>227</v>
      </c>
      <c r="B296" s="224"/>
      <c r="C296" s="225"/>
      <c r="D296" s="225"/>
      <c r="E296" s="226"/>
      <c r="F296" s="224"/>
      <c r="G296" s="225"/>
      <c r="H296" s="227"/>
      <c r="I296" s="224"/>
      <c r="J296" s="225"/>
      <c r="K296" s="227"/>
      <c r="L296" s="226"/>
      <c r="M296" s="226"/>
      <c r="N296" s="227"/>
    </row>
    <row r="297" spans="1:14" ht="22.5">
      <c r="A297" s="229" t="s">
        <v>228</v>
      </c>
      <c r="B297" s="224"/>
      <c r="C297" s="225"/>
      <c r="D297" s="225"/>
      <c r="E297" s="226"/>
      <c r="F297" s="224"/>
      <c r="G297" s="225"/>
      <c r="H297" s="227"/>
      <c r="I297" s="224"/>
      <c r="J297" s="225"/>
      <c r="K297" s="227"/>
      <c r="L297" s="226"/>
      <c r="M297" s="226"/>
      <c r="N297" s="227"/>
    </row>
    <row r="298" spans="1:14" ht="12" thickBot="1">
      <c r="A298" s="232"/>
      <c r="B298" s="224"/>
      <c r="C298" s="225"/>
      <c r="D298" s="225"/>
      <c r="E298" s="226"/>
      <c r="F298" s="224"/>
      <c r="G298" s="225"/>
      <c r="H298" s="227"/>
      <c r="I298" s="224"/>
      <c r="J298" s="225"/>
      <c r="K298" s="227"/>
      <c r="L298" s="226"/>
      <c r="M298" s="226"/>
      <c r="N298" s="227"/>
    </row>
    <row r="299" spans="1:14" ht="12" thickBot="1">
      <c r="A299" s="234" t="s">
        <v>0</v>
      </c>
      <c r="B299" s="1190">
        <f>SUM(B258:B298)</f>
        <v>4696418</v>
      </c>
      <c r="C299" s="1190">
        <f aca="true" t="shared" si="6" ref="C299:N299">SUM(C258:C298)</f>
        <v>4791084</v>
      </c>
      <c r="D299" s="1190">
        <f t="shared" si="6"/>
        <v>94666</v>
      </c>
      <c r="E299" s="1190">
        <f t="shared" si="6"/>
        <v>5414379</v>
      </c>
      <c r="F299" s="1190">
        <f t="shared" si="6"/>
        <v>5021879</v>
      </c>
      <c r="G299" s="1190">
        <f t="shared" si="6"/>
        <v>5066510</v>
      </c>
      <c r="H299" s="1190">
        <f t="shared" si="6"/>
        <v>44631</v>
      </c>
      <c r="I299" s="1190">
        <f t="shared" si="6"/>
        <v>14259</v>
      </c>
      <c r="J299" s="1190">
        <f t="shared" si="6"/>
        <v>20916</v>
      </c>
      <c r="K299" s="1190">
        <f t="shared" si="6"/>
        <v>6657</v>
      </c>
      <c r="L299" s="1190">
        <f t="shared" si="6"/>
        <v>20916</v>
      </c>
      <c r="M299" s="1190">
        <f t="shared" si="6"/>
        <v>21100</v>
      </c>
      <c r="N299" s="1190">
        <f t="shared" si="6"/>
        <v>184</v>
      </c>
    </row>
    <row r="300" spans="1:14" ht="12.75" thickBot="1" thickTop="1">
      <c r="A300" s="239" t="s">
        <v>21</v>
      </c>
      <c r="B300" s="240"/>
      <c r="C300" s="241"/>
      <c r="D300" s="247"/>
      <c r="E300" s="243"/>
      <c r="F300" s="240"/>
      <c r="G300" s="242"/>
      <c r="H300" s="243"/>
      <c r="I300" s="240"/>
      <c r="J300" s="241"/>
      <c r="K300" s="245"/>
      <c r="L300" s="242"/>
      <c r="M300" s="242"/>
      <c r="N300" s="243"/>
    </row>
    <row r="301" spans="1:14" ht="11.25">
      <c r="A301" s="67" t="s">
        <v>404</v>
      </c>
      <c r="B301" s="67"/>
      <c r="C301" s="67"/>
      <c r="D301" s="67"/>
      <c r="E301" s="67"/>
      <c r="F301" s="67"/>
      <c r="G301" s="67"/>
      <c r="H301" s="67"/>
      <c r="I301" s="67"/>
      <c r="J301" s="67"/>
      <c r="K301" s="67"/>
      <c r="L301" s="67"/>
      <c r="M301" s="67"/>
      <c r="N301" s="67"/>
    </row>
    <row r="302" spans="1:14" ht="11.25">
      <c r="A302" s="67" t="s">
        <v>405</v>
      </c>
      <c r="B302" s="67"/>
      <c r="C302" s="67"/>
      <c r="D302" s="67"/>
      <c r="E302" s="67"/>
      <c r="F302" s="67"/>
      <c r="G302" s="67"/>
      <c r="H302" s="67"/>
      <c r="I302" s="67"/>
      <c r="J302" s="67"/>
      <c r="K302" s="67"/>
      <c r="L302" s="67"/>
      <c r="M302" s="67"/>
      <c r="N302" s="67"/>
    </row>
    <row r="304" spans="1:14" ht="12" thickBot="1">
      <c r="A304" s="106" t="s">
        <v>555</v>
      </c>
      <c r="B304" s="151"/>
      <c r="C304" s="151"/>
      <c r="F304" s="151"/>
      <c r="G304" s="151"/>
      <c r="H304" s="151"/>
      <c r="I304" s="151"/>
      <c r="J304" s="151"/>
      <c r="K304" s="151"/>
      <c r="L304" s="151"/>
      <c r="M304" s="151"/>
      <c r="N304" s="151"/>
    </row>
    <row r="305" spans="1:14" ht="12" thickBot="1">
      <c r="A305" s="1520" t="s">
        <v>204</v>
      </c>
      <c r="B305" s="1522" t="s">
        <v>237</v>
      </c>
      <c r="C305" s="1523"/>
      <c r="D305" s="1523"/>
      <c r="E305" s="1523"/>
      <c r="F305" s="1524" t="s">
        <v>238</v>
      </c>
      <c r="G305" s="1525"/>
      <c r="H305" s="1526"/>
      <c r="I305" s="1524" t="s">
        <v>236</v>
      </c>
      <c r="J305" s="1525"/>
      <c r="K305" s="1525"/>
      <c r="L305" s="1525"/>
      <c r="M305" s="1525"/>
      <c r="N305" s="1526"/>
    </row>
    <row r="306" spans="1:14" ht="49.5" thickBot="1">
      <c r="A306" s="1521"/>
      <c r="B306" s="209">
        <v>2019</v>
      </c>
      <c r="C306" s="210">
        <v>2020</v>
      </c>
      <c r="D306" s="210" t="s">
        <v>400</v>
      </c>
      <c r="E306" s="212" t="s">
        <v>401</v>
      </c>
      <c r="F306" s="209">
        <v>2019</v>
      </c>
      <c r="G306" s="210">
        <v>2020</v>
      </c>
      <c r="H306" s="210" t="s">
        <v>400</v>
      </c>
      <c r="I306" s="209">
        <v>2019</v>
      </c>
      <c r="J306" s="210" t="s">
        <v>392</v>
      </c>
      <c r="K306" s="210" t="s">
        <v>400</v>
      </c>
      <c r="L306" s="211" t="s">
        <v>402</v>
      </c>
      <c r="M306" s="211" t="s">
        <v>401</v>
      </c>
      <c r="N306" s="212" t="s">
        <v>403</v>
      </c>
    </row>
    <row r="307" spans="1:14" ht="11.25">
      <c r="A307" s="213"/>
      <c r="B307" s="214"/>
      <c r="C307" s="215"/>
      <c r="D307" s="215"/>
      <c r="E307" s="216"/>
      <c r="F307" s="214"/>
      <c r="G307" s="215"/>
      <c r="H307" s="217"/>
      <c r="I307" s="214"/>
      <c r="J307" s="215"/>
      <c r="K307" s="217"/>
      <c r="L307" s="216"/>
      <c r="M307" s="216"/>
      <c r="N307" s="217"/>
    </row>
    <row r="308" spans="1:14" ht="22.5">
      <c r="A308" s="218" t="s">
        <v>235</v>
      </c>
      <c r="B308" s="219"/>
      <c r="C308" s="220"/>
      <c r="D308" s="220"/>
      <c r="E308" s="221"/>
      <c r="F308" s="219"/>
      <c r="G308" s="220"/>
      <c r="H308" s="222"/>
      <c r="I308" s="219"/>
      <c r="J308" s="220"/>
      <c r="K308" s="222"/>
      <c r="L308" s="221"/>
      <c r="M308" s="221"/>
      <c r="N308" s="222"/>
    </row>
    <row r="309" spans="1:14" ht="11.25">
      <c r="A309" s="223" t="s">
        <v>205</v>
      </c>
      <c r="B309" s="224"/>
      <c r="C309" s="225"/>
      <c r="D309" s="225"/>
      <c r="E309" s="226"/>
      <c r="F309" s="224"/>
      <c r="G309" s="225"/>
      <c r="H309" s="227"/>
      <c r="I309" s="224"/>
      <c r="J309" s="225"/>
      <c r="K309" s="227"/>
      <c r="L309" s="226"/>
      <c r="M309" s="226"/>
      <c r="N309" s="227"/>
    </row>
    <row r="310" spans="1:14" ht="11.25">
      <c r="A310" s="228"/>
      <c r="B310" s="224"/>
      <c r="C310" s="225"/>
      <c r="D310" s="225"/>
      <c r="E310" s="226"/>
      <c r="F310" s="224"/>
      <c r="G310" s="225"/>
      <c r="H310" s="227"/>
      <c r="I310" s="224"/>
      <c r="J310" s="225"/>
      <c r="K310" s="227"/>
      <c r="L310" s="226"/>
      <c r="M310" s="226"/>
      <c r="N310" s="227"/>
    </row>
    <row r="311" spans="1:14" ht="11.25">
      <c r="A311" s="218" t="s">
        <v>210</v>
      </c>
      <c r="B311" s="224"/>
      <c r="C311" s="225"/>
      <c r="D311" s="225"/>
      <c r="E311" s="226"/>
      <c r="F311" s="224"/>
      <c r="G311" s="225"/>
      <c r="H311" s="227"/>
      <c r="I311" s="224"/>
      <c r="J311" s="225"/>
      <c r="K311" s="227"/>
      <c r="L311" s="226"/>
      <c r="M311" s="226"/>
      <c r="N311" s="227"/>
    </row>
    <row r="312" spans="1:14" ht="11.25">
      <c r="A312" s="229" t="s">
        <v>206</v>
      </c>
      <c r="B312" s="224"/>
      <c r="C312" s="225"/>
      <c r="D312" s="225"/>
      <c r="E312" s="226"/>
      <c r="F312" s="224"/>
      <c r="G312" s="225"/>
      <c r="H312" s="227"/>
      <c r="I312" s="224"/>
      <c r="J312" s="225"/>
      <c r="K312" s="227"/>
      <c r="L312" s="226"/>
      <c r="M312" s="226"/>
      <c r="N312" s="227"/>
    </row>
    <row r="313" spans="1:14" ht="11.25">
      <c r="A313" s="229" t="s">
        <v>207</v>
      </c>
      <c r="B313" s="224">
        <v>6461749</v>
      </c>
      <c r="C313" s="225">
        <v>6850763</v>
      </c>
      <c r="D313" s="225">
        <f>+B313-C313</f>
        <v>-389014</v>
      </c>
      <c r="E313" s="226"/>
      <c r="F313" s="224">
        <v>9887260</v>
      </c>
      <c r="G313" s="225">
        <v>7417441</v>
      </c>
      <c r="H313" s="227">
        <f>+F313-G313</f>
        <v>2469819</v>
      </c>
      <c r="I313" s="224">
        <v>2216</v>
      </c>
      <c r="J313" s="225">
        <v>854</v>
      </c>
      <c r="K313" s="227">
        <f>+I313-L313</f>
        <v>85</v>
      </c>
      <c r="L313" s="226">
        <v>2131</v>
      </c>
      <c r="M313" s="226">
        <v>1716</v>
      </c>
      <c r="N313" s="227">
        <f>+L313-M313</f>
        <v>415</v>
      </c>
    </row>
    <row r="314" spans="1:14" ht="11.25">
      <c r="A314" s="229" t="s">
        <v>208</v>
      </c>
      <c r="B314" s="224"/>
      <c r="C314" s="225"/>
      <c r="D314" s="225"/>
      <c r="E314" s="226"/>
      <c r="F314" s="224"/>
      <c r="G314" s="225"/>
      <c r="H314" s="227"/>
      <c r="I314" s="224"/>
      <c r="J314" s="225"/>
      <c r="K314" s="227"/>
      <c r="L314" s="226"/>
      <c r="M314" s="226"/>
      <c r="N314" s="227"/>
    </row>
    <row r="315" spans="1:14" ht="11.25">
      <c r="A315" s="229" t="s">
        <v>209</v>
      </c>
      <c r="B315" s="224"/>
      <c r="C315" s="225"/>
      <c r="D315" s="225"/>
      <c r="E315" s="226"/>
      <c r="F315" s="224"/>
      <c r="G315" s="225"/>
      <c r="H315" s="227"/>
      <c r="I315" s="224"/>
      <c r="J315" s="225"/>
      <c r="K315" s="227"/>
      <c r="L315" s="226"/>
      <c r="M315" s="226"/>
      <c r="N315" s="227"/>
    </row>
    <row r="316" spans="1:14" ht="11.25">
      <c r="A316" s="229"/>
      <c r="B316" s="219"/>
      <c r="C316" s="220"/>
      <c r="D316" s="220"/>
      <c r="E316" s="221"/>
      <c r="F316" s="219"/>
      <c r="G316" s="220"/>
      <c r="H316" s="222"/>
      <c r="I316" s="219"/>
      <c r="J316" s="220"/>
      <c r="K316" s="222"/>
      <c r="L316" s="221"/>
      <c r="M316" s="221"/>
      <c r="N316" s="222"/>
    </row>
    <row r="317" spans="1:14" ht="11.25">
      <c r="A317" s="218" t="s">
        <v>229</v>
      </c>
      <c r="B317" s="224"/>
      <c r="C317" s="225"/>
      <c r="D317" s="225"/>
      <c r="E317" s="226"/>
      <c r="F317" s="224"/>
      <c r="G317" s="225"/>
      <c r="H317" s="227"/>
      <c r="I317" s="224"/>
      <c r="J317" s="225"/>
      <c r="K317" s="227"/>
      <c r="L317" s="226"/>
      <c r="M317" s="226"/>
      <c r="N317" s="227"/>
    </row>
    <row r="318" spans="1:14" ht="11.25">
      <c r="A318" s="229" t="s">
        <v>211</v>
      </c>
      <c r="B318" s="224">
        <v>7311065</v>
      </c>
      <c r="C318" s="225">
        <v>7510398</v>
      </c>
      <c r="D318" s="225">
        <f>+B318-C318</f>
        <v>-199333</v>
      </c>
      <c r="E318" s="226"/>
      <c r="F318" s="224">
        <v>12085615</v>
      </c>
      <c r="G318" s="225">
        <v>7510398</v>
      </c>
      <c r="H318" s="227">
        <f>+F318-G318</f>
        <v>4575217</v>
      </c>
      <c r="I318" s="224">
        <v>2356</v>
      </c>
      <c r="J318" s="225">
        <v>666</v>
      </c>
      <c r="K318" s="227">
        <f>+I318-L318</f>
        <v>97</v>
      </c>
      <c r="L318" s="226">
        <v>2259</v>
      </c>
      <c r="M318" s="226">
        <v>1837</v>
      </c>
      <c r="N318" s="227">
        <f>+L318-M318</f>
        <v>422</v>
      </c>
    </row>
    <row r="319" spans="1:14" ht="11.25">
      <c r="A319" s="229" t="s">
        <v>212</v>
      </c>
      <c r="B319" s="224"/>
      <c r="C319" s="225"/>
      <c r="D319" s="225"/>
      <c r="E319" s="226"/>
      <c r="F319" s="224"/>
      <c r="G319" s="225"/>
      <c r="H319" s="227"/>
      <c r="I319" s="224"/>
      <c r="J319" s="225"/>
      <c r="K319" s="227"/>
      <c r="L319" s="226"/>
      <c r="M319" s="226"/>
      <c r="N319" s="227"/>
    </row>
    <row r="320" spans="1:14" ht="11.25">
      <c r="A320" s="229" t="s">
        <v>213</v>
      </c>
      <c r="B320" s="224"/>
      <c r="C320" s="225"/>
      <c r="D320" s="225"/>
      <c r="E320" s="226"/>
      <c r="F320" s="224"/>
      <c r="G320" s="225"/>
      <c r="H320" s="227"/>
      <c r="I320" s="224"/>
      <c r="J320" s="225"/>
      <c r="K320" s="227"/>
      <c r="L320" s="226"/>
      <c r="M320" s="226"/>
      <c r="N320" s="227"/>
    </row>
    <row r="321" spans="1:14" ht="11.25">
      <c r="A321" s="229" t="s">
        <v>214</v>
      </c>
      <c r="B321" s="224"/>
      <c r="C321" s="225"/>
      <c r="D321" s="225"/>
      <c r="E321" s="226"/>
      <c r="F321" s="224"/>
      <c r="G321" s="225"/>
      <c r="H321" s="227"/>
      <c r="I321" s="224"/>
      <c r="J321" s="225"/>
      <c r="K321" s="227"/>
      <c r="L321" s="226"/>
      <c r="M321" s="226"/>
      <c r="N321" s="227"/>
    </row>
    <row r="322" spans="1:14" ht="22.5">
      <c r="A322" s="229" t="s">
        <v>215</v>
      </c>
      <c r="B322" s="224"/>
      <c r="C322" s="225"/>
      <c r="D322" s="225"/>
      <c r="E322" s="226"/>
      <c r="F322" s="224"/>
      <c r="G322" s="225"/>
      <c r="H322" s="227"/>
      <c r="I322" s="224"/>
      <c r="J322" s="225"/>
      <c r="K322" s="227"/>
      <c r="L322" s="226"/>
      <c r="M322" s="226"/>
      <c r="N322" s="227"/>
    </row>
    <row r="323" spans="1:14" ht="11.25">
      <c r="A323" s="230"/>
      <c r="B323" s="224"/>
      <c r="C323" s="225"/>
      <c r="D323" s="225"/>
      <c r="E323" s="226"/>
      <c r="F323" s="224"/>
      <c r="G323" s="225"/>
      <c r="H323" s="227"/>
      <c r="I323" s="224"/>
      <c r="J323" s="225"/>
      <c r="K323" s="227"/>
      <c r="L323" s="226"/>
      <c r="M323" s="226"/>
      <c r="N323" s="227"/>
    </row>
    <row r="324" spans="1:14" ht="11.25">
      <c r="A324" s="231" t="s">
        <v>230</v>
      </c>
      <c r="B324" s="224"/>
      <c r="C324" s="225"/>
      <c r="D324" s="225"/>
      <c r="E324" s="226"/>
      <c r="F324" s="224"/>
      <c r="G324" s="225"/>
      <c r="H324" s="227"/>
      <c r="I324" s="224"/>
      <c r="J324" s="225"/>
      <c r="K324" s="227"/>
      <c r="L324" s="226"/>
      <c r="M324" s="226"/>
      <c r="N324" s="227"/>
    </row>
    <row r="325" spans="1:14" ht="11.25">
      <c r="A325" s="229" t="s">
        <v>216</v>
      </c>
      <c r="B325" s="224"/>
      <c r="C325" s="225"/>
      <c r="D325" s="225"/>
      <c r="E325" s="226"/>
      <c r="F325" s="224"/>
      <c r="G325" s="225"/>
      <c r="H325" s="227"/>
      <c r="I325" s="224"/>
      <c r="J325" s="225"/>
      <c r="K325" s="227"/>
      <c r="L325" s="226"/>
      <c r="M325" s="226"/>
      <c r="N325" s="227"/>
    </row>
    <row r="326" spans="1:14" ht="11.25">
      <c r="A326" s="229" t="s">
        <v>217</v>
      </c>
      <c r="B326" s="224"/>
      <c r="C326" s="225"/>
      <c r="D326" s="225"/>
      <c r="E326" s="226"/>
      <c r="F326" s="224"/>
      <c r="G326" s="225"/>
      <c r="H326" s="227"/>
      <c r="I326" s="224"/>
      <c r="J326" s="225"/>
      <c r="K326" s="227"/>
      <c r="L326" s="226"/>
      <c r="M326" s="226"/>
      <c r="N326" s="227"/>
    </row>
    <row r="327" spans="1:14" ht="11.25">
      <c r="A327" s="229" t="s">
        <v>218</v>
      </c>
      <c r="B327" s="224"/>
      <c r="C327" s="225"/>
      <c r="D327" s="225"/>
      <c r="E327" s="226"/>
      <c r="F327" s="224"/>
      <c r="G327" s="225"/>
      <c r="H327" s="227"/>
      <c r="I327" s="224"/>
      <c r="J327" s="225"/>
      <c r="K327" s="227"/>
      <c r="L327" s="226"/>
      <c r="M327" s="226"/>
      <c r="N327" s="227"/>
    </row>
    <row r="328" spans="1:14" ht="11.25">
      <c r="A328" s="229"/>
      <c r="B328" s="224"/>
      <c r="C328" s="225"/>
      <c r="D328" s="225"/>
      <c r="E328" s="226"/>
      <c r="F328" s="224"/>
      <c r="G328" s="225"/>
      <c r="H328" s="227"/>
      <c r="I328" s="224"/>
      <c r="J328" s="225"/>
      <c r="K328" s="227"/>
      <c r="L328" s="226"/>
      <c r="M328" s="226"/>
      <c r="N328" s="227"/>
    </row>
    <row r="329" spans="1:14" ht="11.25">
      <c r="A329" s="231" t="s">
        <v>231</v>
      </c>
      <c r="B329" s="224"/>
      <c r="C329" s="225"/>
      <c r="D329" s="225"/>
      <c r="E329" s="226"/>
      <c r="F329" s="224"/>
      <c r="G329" s="225"/>
      <c r="H329" s="227"/>
      <c r="I329" s="224"/>
      <c r="J329" s="225"/>
      <c r="K329" s="227"/>
      <c r="L329" s="226"/>
      <c r="M329" s="226"/>
      <c r="N329" s="227"/>
    </row>
    <row r="330" spans="1:14" ht="11.25">
      <c r="A330" s="229" t="s">
        <v>219</v>
      </c>
      <c r="B330" s="384"/>
      <c r="C330" s="385"/>
      <c r="D330" s="385"/>
      <c r="E330" s="386"/>
      <c r="F330" s="384"/>
      <c r="G330" s="385"/>
      <c r="H330" s="386"/>
      <c r="I330" s="384"/>
      <c r="J330" s="385"/>
      <c r="K330" s="386"/>
      <c r="L330" s="384"/>
      <c r="M330" s="385"/>
      <c r="N330" s="386"/>
    </row>
    <row r="331" spans="1:14" ht="11.25">
      <c r="A331" s="229" t="s">
        <v>217</v>
      </c>
      <c r="B331" s="387"/>
      <c r="C331" s="388"/>
      <c r="D331" s="388"/>
      <c r="E331" s="389"/>
      <c r="F331" s="390"/>
      <c r="G331" s="387"/>
      <c r="H331" s="391"/>
      <c r="I331" s="390"/>
      <c r="J331" s="388"/>
      <c r="K331" s="392"/>
      <c r="L331" s="389"/>
      <c r="M331" s="389"/>
      <c r="N331" s="392"/>
    </row>
    <row r="332" spans="1:14" ht="11.25">
      <c r="A332" s="229"/>
      <c r="B332" s="224"/>
      <c r="C332" s="225"/>
      <c r="D332" s="225"/>
      <c r="E332" s="226"/>
      <c r="F332" s="224"/>
      <c r="G332" s="225"/>
      <c r="H332" s="227"/>
      <c r="I332" s="224"/>
      <c r="J332" s="225"/>
      <c r="K332" s="227"/>
      <c r="L332" s="226"/>
      <c r="M332" s="226"/>
      <c r="N332" s="227"/>
    </row>
    <row r="333" spans="1:14" ht="11.25">
      <c r="A333" s="231" t="s">
        <v>232</v>
      </c>
      <c r="B333" s="224"/>
      <c r="C333" s="225"/>
      <c r="D333" s="225"/>
      <c r="E333" s="226"/>
      <c r="F333" s="224"/>
      <c r="G333" s="225"/>
      <c r="H333" s="227"/>
      <c r="I333" s="224"/>
      <c r="J333" s="225"/>
      <c r="K333" s="227"/>
      <c r="L333" s="226"/>
      <c r="M333" s="226"/>
      <c r="N333" s="227"/>
    </row>
    <row r="334" spans="1:14" ht="11.25">
      <c r="A334" s="229" t="s">
        <v>220</v>
      </c>
      <c r="B334" s="224"/>
      <c r="C334" s="225"/>
      <c r="D334" s="225"/>
      <c r="E334" s="226"/>
      <c r="F334" s="224"/>
      <c r="G334" s="225"/>
      <c r="H334" s="227"/>
      <c r="I334" s="224"/>
      <c r="J334" s="225"/>
      <c r="K334" s="227"/>
      <c r="L334" s="226"/>
      <c r="M334" s="226"/>
      <c r="N334" s="227"/>
    </row>
    <row r="335" spans="1:14" ht="11.25">
      <c r="A335" s="229" t="s">
        <v>218</v>
      </c>
      <c r="B335" s="224"/>
      <c r="C335" s="225"/>
      <c r="D335" s="225"/>
      <c r="E335" s="226"/>
      <c r="F335" s="224"/>
      <c r="G335" s="225"/>
      <c r="H335" s="227"/>
      <c r="I335" s="224"/>
      <c r="J335" s="225"/>
      <c r="K335" s="227"/>
      <c r="L335" s="226"/>
      <c r="M335" s="226"/>
      <c r="N335" s="227"/>
    </row>
    <row r="336" spans="1:14" ht="11.25">
      <c r="A336" s="229" t="s">
        <v>221</v>
      </c>
      <c r="B336" s="224"/>
      <c r="C336" s="225"/>
      <c r="D336" s="225"/>
      <c r="E336" s="226"/>
      <c r="F336" s="224"/>
      <c r="G336" s="225"/>
      <c r="H336" s="227"/>
      <c r="I336" s="224"/>
      <c r="J336" s="225"/>
      <c r="K336" s="227"/>
      <c r="L336" s="226"/>
      <c r="M336" s="226"/>
      <c r="N336" s="227"/>
    </row>
    <row r="337" spans="1:14" ht="11.25">
      <c r="A337" s="229" t="s">
        <v>222</v>
      </c>
      <c r="B337" s="224"/>
      <c r="C337" s="225"/>
      <c r="D337" s="225"/>
      <c r="E337" s="226"/>
      <c r="F337" s="224"/>
      <c r="G337" s="225"/>
      <c r="H337" s="227"/>
      <c r="I337" s="224"/>
      <c r="J337" s="225"/>
      <c r="K337" s="227"/>
      <c r="L337" s="226"/>
      <c r="M337" s="226"/>
      <c r="N337" s="227"/>
    </row>
    <row r="338" spans="1:14" ht="11.25">
      <c r="A338" s="229"/>
      <c r="B338" s="224"/>
      <c r="C338" s="225"/>
      <c r="D338" s="225"/>
      <c r="E338" s="226"/>
      <c r="F338" s="224"/>
      <c r="G338" s="225"/>
      <c r="H338" s="227"/>
      <c r="I338" s="224"/>
      <c r="J338" s="225"/>
      <c r="K338" s="227"/>
      <c r="L338" s="226"/>
      <c r="M338" s="226"/>
      <c r="N338" s="227"/>
    </row>
    <row r="339" spans="1:14" ht="11.25">
      <c r="A339" s="231" t="s">
        <v>233</v>
      </c>
      <c r="B339" s="224"/>
      <c r="C339" s="225"/>
      <c r="D339" s="225"/>
      <c r="E339" s="226"/>
      <c r="F339" s="224"/>
      <c r="G339" s="225"/>
      <c r="H339" s="227"/>
      <c r="I339" s="224"/>
      <c r="J339" s="225"/>
      <c r="K339" s="227"/>
      <c r="L339" s="226"/>
      <c r="M339" s="226"/>
      <c r="N339" s="227"/>
    </row>
    <row r="340" spans="1:14" ht="11.25">
      <c r="A340" s="229" t="s">
        <v>223</v>
      </c>
      <c r="B340" s="224"/>
      <c r="C340" s="225"/>
      <c r="D340" s="225"/>
      <c r="E340" s="226"/>
      <c r="F340" s="224"/>
      <c r="G340" s="225"/>
      <c r="H340" s="227"/>
      <c r="I340" s="224"/>
      <c r="J340" s="225"/>
      <c r="K340" s="227"/>
      <c r="L340" s="226"/>
      <c r="M340" s="226"/>
      <c r="N340" s="227"/>
    </row>
    <row r="341" spans="1:14" ht="11.25">
      <c r="A341" s="229" t="s">
        <v>224</v>
      </c>
      <c r="B341" s="224"/>
      <c r="C341" s="225"/>
      <c r="D341" s="225"/>
      <c r="E341" s="226"/>
      <c r="F341" s="224"/>
      <c r="G341" s="225"/>
      <c r="H341" s="227"/>
      <c r="I341" s="224"/>
      <c r="J341" s="225"/>
      <c r="K341" s="227"/>
      <c r="L341" s="226"/>
      <c r="M341" s="226"/>
      <c r="N341" s="227"/>
    </row>
    <row r="342" spans="1:14" ht="22.5">
      <c r="A342" s="229" t="s">
        <v>225</v>
      </c>
      <c r="B342" s="224"/>
      <c r="C342" s="225"/>
      <c r="D342" s="225"/>
      <c r="E342" s="226"/>
      <c r="F342" s="224"/>
      <c r="G342" s="225"/>
      <c r="H342" s="227"/>
      <c r="I342" s="224"/>
      <c r="J342" s="225"/>
      <c r="K342" s="227"/>
      <c r="L342" s="226"/>
      <c r="M342" s="226"/>
      <c r="N342" s="227"/>
    </row>
    <row r="343" spans="1:14" ht="22.5">
      <c r="A343" s="229" t="s">
        <v>226</v>
      </c>
      <c r="B343" s="224"/>
      <c r="C343" s="225"/>
      <c r="D343" s="225"/>
      <c r="E343" s="226"/>
      <c r="F343" s="224"/>
      <c r="G343" s="225"/>
      <c r="H343" s="227"/>
      <c r="I343" s="224"/>
      <c r="J343" s="225"/>
      <c r="K343" s="227"/>
      <c r="L343" s="226"/>
      <c r="M343" s="226"/>
      <c r="N343" s="227"/>
    </row>
    <row r="344" spans="1:14" ht="11.25">
      <c r="A344" s="229"/>
      <c r="B344" s="224"/>
      <c r="C344" s="225"/>
      <c r="D344" s="225"/>
      <c r="E344" s="226"/>
      <c r="F344" s="224"/>
      <c r="G344" s="225"/>
      <c r="H344" s="227"/>
      <c r="I344" s="224"/>
      <c r="J344" s="225"/>
      <c r="K344" s="227"/>
      <c r="L344" s="226"/>
      <c r="M344" s="226"/>
      <c r="N344" s="227"/>
    </row>
    <row r="345" spans="1:14" ht="11.25">
      <c r="A345" s="231" t="s">
        <v>234</v>
      </c>
      <c r="B345" s="224"/>
      <c r="C345" s="225"/>
      <c r="D345" s="225"/>
      <c r="E345" s="226"/>
      <c r="F345" s="224"/>
      <c r="G345" s="225"/>
      <c r="H345" s="227"/>
      <c r="I345" s="224"/>
      <c r="J345" s="225"/>
      <c r="K345" s="227"/>
      <c r="L345" s="226"/>
      <c r="M345" s="226"/>
      <c r="N345" s="227"/>
    </row>
    <row r="346" spans="1:14" ht="11.25">
      <c r="A346" s="229" t="s">
        <v>227</v>
      </c>
      <c r="B346" s="224"/>
      <c r="C346" s="225"/>
      <c r="D346" s="225"/>
      <c r="E346" s="226"/>
      <c r="F346" s="224"/>
      <c r="G346" s="225"/>
      <c r="H346" s="227"/>
      <c r="I346" s="224"/>
      <c r="J346" s="225"/>
      <c r="K346" s="227"/>
      <c r="L346" s="226"/>
      <c r="M346" s="226"/>
      <c r="N346" s="227"/>
    </row>
    <row r="347" spans="1:14" ht="22.5">
      <c r="A347" s="229" t="s">
        <v>228</v>
      </c>
      <c r="B347" s="224"/>
      <c r="C347" s="225"/>
      <c r="D347" s="225"/>
      <c r="E347" s="226"/>
      <c r="F347" s="224"/>
      <c r="G347" s="225"/>
      <c r="H347" s="227"/>
      <c r="I347" s="224"/>
      <c r="J347" s="225"/>
      <c r="K347" s="227"/>
      <c r="L347" s="226"/>
      <c r="M347" s="226"/>
      <c r="N347" s="227"/>
    </row>
    <row r="348" spans="1:14" ht="12" thickBot="1">
      <c r="A348" s="232"/>
      <c r="B348" s="224"/>
      <c r="C348" s="225"/>
      <c r="D348" s="225"/>
      <c r="E348" s="226"/>
      <c r="F348" s="224"/>
      <c r="G348" s="225"/>
      <c r="H348" s="227"/>
      <c r="I348" s="224"/>
      <c r="J348" s="225"/>
      <c r="K348" s="227"/>
      <c r="L348" s="226"/>
      <c r="M348" s="226"/>
      <c r="N348" s="227"/>
    </row>
    <row r="349" spans="1:14" ht="12" thickBot="1">
      <c r="A349" s="234" t="s">
        <v>0</v>
      </c>
      <c r="B349" s="1190">
        <f>SUM(B307:B348)</f>
        <v>13772814</v>
      </c>
      <c r="C349" s="1190">
        <f aca="true" t="shared" si="7" ref="C349:N349">SUM(C307:C348)</f>
        <v>14361161</v>
      </c>
      <c r="D349" s="1190">
        <f t="shared" si="7"/>
        <v>-588347</v>
      </c>
      <c r="E349" s="1190">
        <f t="shared" si="7"/>
        <v>0</v>
      </c>
      <c r="F349" s="1190">
        <f t="shared" si="7"/>
        <v>21972875</v>
      </c>
      <c r="G349" s="1190">
        <f t="shared" si="7"/>
        <v>14927839</v>
      </c>
      <c r="H349" s="1190">
        <f t="shared" si="7"/>
        <v>7045036</v>
      </c>
      <c r="I349" s="1190">
        <f t="shared" si="7"/>
        <v>4572</v>
      </c>
      <c r="J349" s="1190">
        <f t="shared" si="7"/>
        <v>1520</v>
      </c>
      <c r="K349" s="1190">
        <f t="shared" si="7"/>
        <v>182</v>
      </c>
      <c r="L349" s="1190">
        <f t="shared" si="7"/>
        <v>4390</v>
      </c>
      <c r="M349" s="1190">
        <f t="shared" si="7"/>
        <v>3553</v>
      </c>
      <c r="N349" s="1190">
        <f t="shared" si="7"/>
        <v>837</v>
      </c>
    </row>
    <row r="350" spans="1:14" ht="12.75" thickBot="1" thickTop="1">
      <c r="A350" s="239" t="s">
        <v>21</v>
      </c>
      <c r="B350" s="240"/>
      <c r="C350" s="241"/>
      <c r="D350" s="247"/>
      <c r="E350" s="243"/>
      <c r="F350" s="240"/>
      <c r="G350" s="242"/>
      <c r="H350" s="243"/>
      <c r="I350" s="240"/>
      <c r="J350" s="241"/>
      <c r="K350" s="245"/>
      <c r="L350" s="242"/>
      <c r="M350" s="242"/>
      <c r="N350" s="243"/>
    </row>
    <row r="351" spans="1:14" ht="11.25">
      <c r="A351" s="67" t="s">
        <v>404</v>
      </c>
      <c r="B351" s="67"/>
      <c r="C351" s="67"/>
      <c r="D351" s="67"/>
      <c r="E351" s="67"/>
      <c r="F351" s="67"/>
      <c r="G351" s="67"/>
      <c r="H351" s="67"/>
      <c r="I351" s="67"/>
      <c r="J351" s="67"/>
      <c r="K351" s="67"/>
      <c r="L351" s="67"/>
      <c r="M351" s="67"/>
      <c r="N351" s="67"/>
    </row>
    <row r="352" spans="1:14" ht="11.25">
      <c r="A352" s="67" t="s">
        <v>405</v>
      </c>
      <c r="B352" s="67"/>
      <c r="C352" s="67"/>
      <c r="D352" s="67"/>
      <c r="E352" s="67"/>
      <c r="F352" s="67"/>
      <c r="G352" s="67"/>
      <c r="H352" s="67"/>
      <c r="I352" s="67"/>
      <c r="J352" s="67"/>
      <c r="K352" s="67"/>
      <c r="L352" s="67"/>
      <c r="M352" s="67"/>
      <c r="N352" s="67"/>
    </row>
  </sheetData>
  <sheetProtection/>
  <mergeCells count="28">
    <mergeCell ref="I4:N4"/>
    <mergeCell ref="B4:E4"/>
    <mergeCell ref="F4:H4"/>
    <mergeCell ref="A4:A5"/>
    <mergeCell ref="A54:A55"/>
    <mergeCell ref="B54:E54"/>
    <mergeCell ref="F54:H54"/>
    <mergeCell ref="I54:N54"/>
    <mergeCell ref="I256:N256"/>
    <mergeCell ref="A256:A257"/>
    <mergeCell ref="A154:A155"/>
    <mergeCell ref="B154:E154"/>
    <mergeCell ref="F154:H154"/>
    <mergeCell ref="I154:N154"/>
    <mergeCell ref="A205:A206"/>
    <mergeCell ref="B205:E205"/>
    <mergeCell ref="F205:H205"/>
    <mergeCell ref="I205:N205"/>
    <mergeCell ref="A305:A306"/>
    <mergeCell ref="B305:E305"/>
    <mergeCell ref="F305:H305"/>
    <mergeCell ref="I305:N305"/>
    <mergeCell ref="A104:A105"/>
    <mergeCell ref="B104:E104"/>
    <mergeCell ref="F104:H104"/>
    <mergeCell ref="I104:N104"/>
    <mergeCell ref="B256:E256"/>
    <mergeCell ref="F256:H256"/>
  </mergeCells>
  <printOptions/>
  <pageMargins left="0.2362204724409449" right="0.2362204724409449" top="0.7480314960629921" bottom="0.7480314960629921" header="0.31496062992125984" footer="0.31496062992125984"/>
  <pageSetup horizontalDpi="600" verticalDpi="600" orientation="landscape" paperSize="9"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sheetPr>
    <tabColor theme="9" tint="-0.24997000396251678"/>
  </sheetPr>
  <dimension ref="A1:V27"/>
  <sheetViews>
    <sheetView view="pageLayout" zoomScaleSheetLayoutView="90" workbookViewId="0" topLeftCell="A1">
      <selection activeCell="P24" sqref="P24"/>
    </sheetView>
  </sheetViews>
  <sheetFormatPr defaultColWidth="11.28125" defaultRowHeight="12.75"/>
  <cols>
    <col min="1" max="1" width="25.57421875" style="113" customWidth="1"/>
    <col min="2" max="2" width="3.421875" style="113" customWidth="1"/>
    <col min="3" max="3" width="9.57421875" style="113" customWidth="1"/>
    <col min="4" max="4" width="8.57421875" style="113" customWidth="1"/>
    <col min="5" max="5" width="9.7109375" style="113" bestFit="1" customWidth="1"/>
    <col min="6" max="6" width="4.28125" style="113" customWidth="1"/>
    <col min="7" max="7" width="8.8515625" style="113" bestFit="1" customWidth="1"/>
    <col min="8" max="8" width="9.7109375" style="113" customWidth="1"/>
    <col min="9" max="9" width="4.7109375" style="113" customWidth="1"/>
    <col min="10" max="10" width="4.57421875" style="113" customWidth="1"/>
    <col min="11" max="11" width="9.421875" style="113" customWidth="1"/>
    <col min="12" max="12" width="4.140625" style="113" customWidth="1"/>
    <col min="13" max="13" width="9.421875" style="113" customWidth="1"/>
    <col min="14" max="14" width="8.421875" style="113" customWidth="1"/>
    <col min="15" max="15" width="7.8515625" style="113" customWidth="1"/>
    <col min="16" max="16" width="9.7109375" style="113" customWidth="1"/>
    <col min="17" max="17" width="7.00390625" style="113" customWidth="1"/>
    <col min="18" max="16384" width="11.28125" style="113" customWidth="1"/>
  </cols>
  <sheetData>
    <row r="1" spans="1:5" s="112" customFormat="1" ht="11.25">
      <c r="A1" s="110" t="s">
        <v>406</v>
      </c>
      <c r="B1" s="116"/>
      <c r="C1" s="116"/>
      <c r="D1" s="116"/>
      <c r="E1" s="116"/>
    </row>
    <row r="2" spans="1:22" s="112" customFormat="1" ht="12" thickBot="1">
      <c r="A2" s="111" t="s">
        <v>490</v>
      </c>
      <c r="B2" s="111"/>
      <c r="C2" s="111"/>
      <c r="D2" s="111"/>
      <c r="E2" s="111"/>
      <c r="F2" s="111"/>
      <c r="G2" s="111"/>
      <c r="H2" s="111"/>
      <c r="I2" s="111"/>
      <c r="J2" s="111"/>
      <c r="K2" s="111"/>
      <c r="L2" s="111"/>
      <c r="M2" s="111"/>
      <c r="N2" s="111"/>
      <c r="O2" s="111"/>
      <c r="P2" s="111"/>
      <c r="Q2" s="111"/>
      <c r="R2" s="111"/>
      <c r="S2" s="111"/>
      <c r="T2" s="111"/>
      <c r="U2" s="111"/>
      <c r="V2" s="111"/>
    </row>
    <row r="3" spans="1:17" ht="12" thickBot="1">
      <c r="A3" s="1532" t="s">
        <v>1</v>
      </c>
      <c r="B3" s="1530" t="s">
        <v>407</v>
      </c>
      <c r="C3" s="1531"/>
      <c r="D3" s="1531"/>
      <c r="E3" s="1531"/>
      <c r="F3" s="1531"/>
      <c r="G3" s="1531"/>
      <c r="H3" s="1529"/>
      <c r="I3" s="1528" t="s">
        <v>408</v>
      </c>
      <c r="J3" s="1531"/>
      <c r="K3" s="1531"/>
      <c r="L3" s="1531"/>
      <c r="M3" s="1529"/>
      <c r="N3" s="1528" t="s">
        <v>409</v>
      </c>
      <c r="O3" s="1529"/>
      <c r="P3" s="1528" t="s">
        <v>0</v>
      </c>
      <c r="Q3" s="1529"/>
    </row>
    <row r="4" spans="1:17" s="131" customFormat="1" ht="80.25" customHeight="1" thickBot="1">
      <c r="A4" s="1533"/>
      <c r="B4" s="157" t="s">
        <v>278</v>
      </c>
      <c r="C4" s="158" t="s">
        <v>279</v>
      </c>
      <c r="D4" s="157" t="s">
        <v>280</v>
      </c>
      <c r="E4" s="157" t="s">
        <v>281</v>
      </c>
      <c r="F4" s="157" t="s">
        <v>282</v>
      </c>
      <c r="G4" s="156" t="s">
        <v>283</v>
      </c>
      <c r="H4" s="156" t="s">
        <v>284</v>
      </c>
      <c r="I4" s="157" t="s">
        <v>285</v>
      </c>
      <c r="J4" s="156" t="s">
        <v>283</v>
      </c>
      <c r="K4" s="156" t="s">
        <v>286</v>
      </c>
      <c r="L4" s="156" t="s">
        <v>287</v>
      </c>
      <c r="M4" s="156" t="s">
        <v>288</v>
      </c>
      <c r="N4" s="156" t="s">
        <v>289</v>
      </c>
      <c r="O4" s="158" t="s">
        <v>290</v>
      </c>
      <c r="P4" s="157" t="s">
        <v>20</v>
      </c>
      <c r="Q4" s="156" t="s">
        <v>22</v>
      </c>
    </row>
    <row r="5" spans="1:17" ht="11.25">
      <c r="A5" s="132"/>
      <c r="B5" s="123"/>
      <c r="C5" s="124"/>
      <c r="D5" s="123"/>
      <c r="E5" s="125"/>
      <c r="F5" s="125"/>
      <c r="G5" s="125"/>
      <c r="H5" s="297"/>
      <c r="I5" s="125"/>
      <c r="J5" s="125"/>
      <c r="K5" s="125"/>
      <c r="L5" s="125"/>
      <c r="M5" s="125"/>
      <c r="N5" s="125"/>
      <c r="O5" s="125"/>
      <c r="P5" s="124"/>
      <c r="Q5" s="132"/>
    </row>
    <row r="6" spans="1:17" ht="11.25">
      <c r="A6" s="132" t="s">
        <v>33</v>
      </c>
      <c r="B6" s="123"/>
      <c r="C6" s="124">
        <v>326692488</v>
      </c>
      <c r="D6" s="123">
        <v>14319382</v>
      </c>
      <c r="E6" s="125">
        <v>75761717</v>
      </c>
      <c r="F6" s="125"/>
      <c r="G6" s="125">
        <v>1369114</v>
      </c>
      <c r="H6" s="297">
        <f>SUM(B6:G6)</f>
        <v>418142701</v>
      </c>
      <c r="I6" s="125"/>
      <c r="J6" s="125"/>
      <c r="K6" s="125">
        <v>61204816</v>
      </c>
      <c r="L6" s="125"/>
      <c r="M6" s="297">
        <f>SUM(I6:L6)</f>
        <v>61204816</v>
      </c>
      <c r="N6" s="125"/>
      <c r="O6" s="297">
        <f>SUM(N6)</f>
        <v>0</v>
      </c>
      <c r="P6" s="299">
        <f>SUM(H6+M6+O6)</f>
        <v>479347517</v>
      </c>
      <c r="Q6" s="306">
        <f>+(P6/$P$24)*100</f>
        <v>74.35578983458187</v>
      </c>
    </row>
    <row r="7" spans="1:17" ht="11.25">
      <c r="A7" s="132"/>
      <c r="B7" s="123"/>
      <c r="C7" s="124"/>
      <c r="D7" s="123"/>
      <c r="E7" s="125"/>
      <c r="F7" s="125"/>
      <c r="G7" s="125"/>
      <c r="H7" s="297"/>
      <c r="I7" s="125"/>
      <c r="J7" s="125"/>
      <c r="K7" s="125"/>
      <c r="L7" s="125"/>
      <c r="M7" s="297"/>
      <c r="N7" s="125"/>
      <c r="O7" s="297"/>
      <c r="P7" s="299"/>
      <c r="Q7" s="306"/>
    </row>
    <row r="8" spans="1:17" ht="11.25">
      <c r="A8" s="132" t="s">
        <v>34</v>
      </c>
      <c r="B8" s="123"/>
      <c r="C8" s="124"/>
      <c r="D8" s="123"/>
      <c r="E8" s="125">
        <v>3388968</v>
      </c>
      <c r="F8" s="125"/>
      <c r="G8" s="125">
        <v>284878</v>
      </c>
      <c r="H8" s="297">
        <f>SUM(B8:G8)</f>
        <v>3673846</v>
      </c>
      <c r="I8" s="125"/>
      <c r="J8" s="125"/>
      <c r="K8" s="125"/>
      <c r="L8" s="125"/>
      <c r="M8" s="297">
        <f>SUM(I8:L8)</f>
        <v>0</v>
      </c>
      <c r="N8" s="125"/>
      <c r="O8" s="297">
        <f>SUM(N8)</f>
        <v>0</v>
      </c>
      <c r="P8" s="299">
        <f>SUM(H8+M8+O8)</f>
        <v>3673846</v>
      </c>
      <c r="Q8" s="306">
        <f aca="true" t="shared" si="0" ref="Q8:Q15">+(P8/$P$24)*100</f>
        <v>0.5698824159354502</v>
      </c>
    </row>
    <row r="9" spans="1:17" ht="11.25">
      <c r="A9" s="132"/>
      <c r="B9" s="123"/>
      <c r="C9" s="124"/>
      <c r="D9" s="123"/>
      <c r="E9" s="125"/>
      <c r="F9" s="125"/>
      <c r="G9" s="125"/>
      <c r="H9" s="297"/>
      <c r="I9" s="125"/>
      <c r="J9" s="125"/>
      <c r="K9" s="125"/>
      <c r="L9" s="125"/>
      <c r="M9" s="297"/>
      <c r="N9" s="125"/>
      <c r="O9" s="297"/>
      <c r="P9" s="299"/>
      <c r="Q9" s="306"/>
    </row>
    <row r="10" spans="1:17" ht="11.25">
      <c r="A10" s="132" t="s">
        <v>35</v>
      </c>
      <c r="B10" s="123"/>
      <c r="C10" s="124"/>
      <c r="D10" s="123"/>
      <c r="E10" s="125"/>
      <c r="F10" s="125"/>
      <c r="G10" s="125"/>
      <c r="H10" s="297">
        <f>SUM(C10:G10)</f>
        <v>0</v>
      </c>
      <c r="I10" s="125"/>
      <c r="J10" s="125"/>
      <c r="K10" s="125">
        <v>146316320</v>
      </c>
      <c r="L10" s="125"/>
      <c r="M10" s="297">
        <f>SUM(I10:L10)</f>
        <v>146316320</v>
      </c>
      <c r="N10" s="125"/>
      <c r="O10" s="297">
        <f>SUM(N10)</f>
        <v>0</v>
      </c>
      <c r="P10" s="299">
        <f>SUM(H10+M10+O10)</f>
        <v>146316320</v>
      </c>
      <c r="Q10" s="306">
        <f t="shared" si="0"/>
        <v>22.696405329016084</v>
      </c>
    </row>
    <row r="11" spans="1:17" ht="11.25">
      <c r="A11" s="132" t="s">
        <v>91</v>
      </c>
      <c r="B11" s="123"/>
      <c r="C11" s="124"/>
      <c r="D11" s="123"/>
      <c r="E11" s="125"/>
      <c r="F11" s="125"/>
      <c r="G11" s="125"/>
      <c r="H11" s="297"/>
      <c r="I11" s="125"/>
      <c r="J11" s="125"/>
      <c r="K11" s="125"/>
      <c r="L11" s="125"/>
      <c r="M11" s="297"/>
      <c r="N11" s="125"/>
      <c r="O11" s="297"/>
      <c r="P11" s="299"/>
      <c r="Q11" s="306"/>
    </row>
    <row r="12" spans="1:17" ht="11.25">
      <c r="A12" s="130"/>
      <c r="B12" s="123"/>
      <c r="C12" s="126"/>
      <c r="D12" s="127"/>
      <c r="E12" s="133"/>
      <c r="F12" s="133"/>
      <c r="G12" s="125"/>
      <c r="H12" s="297"/>
      <c r="I12" s="125"/>
      <c r="J12" s="125"/>
      <c r="K12" s="125"/>
      <c r="L12" s="125"/>
      <c r="M12" s="297"/>
      <c r="N12" s="125"/>
      <c r="O12" s="297"/>
      <c r="P12" s="299"/>
      <c r="Q12" s="306"/>
    </row>
    <row r="13" spans="1:17" ht="11.25">
      <c r="A13" s="132" t="s">
        <v>36</v>
      </c>
      <c r="B13" s="123"/>
      <c r="C13" s="124"/>
      <c r="D13" s="123"/>
      <c r="E13" s="125">
        <v>472052</v>
      </c>
      <c r="F13" s="125"/>
      <c r="G13" s="125"/>
      <c r="H13" s="297">
        <f>SUM(B13:G13)</f>
        <v>472052</v>
      </c>
      <c r="I13" s="125"/>
      <c r="J13" s="125"/>
      <c r="K13" s="125"/>
      <c r="L13" s="125"/>
      <c r="M13" s="297">
        <f>SUM(I13:L13)</f>
        <v>0</v>
      </c>
      <c r="N13" s="125"/>
      <c r="O13" s="297">
        <f>SUM(N13)</f>
        <v>0</v>
      </c>
      <c r="P13" s="299">
        <f>SUM(H13+M13+O13)</f>
        <v>472052</v>
      </c>
      <c r="Q13" s="306">
        <f t="shared" si="0"/>
        <v>0.07322411832372971</v>
      </c>
    </row>
    <row r="14" spans="1:17" ht="11.25">
      <c r="A14" s="132"/>
      <c r="B14" s="123"/>
      <c r="C14" s="124"/>
      <c r="D14" s="123"/>
      <c r="E14" s="125"/>
      <c r="F14" s="125"/>
      <c r="G14" s="125"/>
      <c r="H14" s="297"/>
      <c r="I14" s="125"/>
      <c r="J14" s="125"/>
      <c r="K14" s="125"/>
      <c r="L14" s="125"/>
      <c r="M14" s="297"/>
      <c r="N14" s="125"/>
      <c r="O14" s="297"/>
      <c r="P14" s="299"/>
      <c r="Q14" s="306"/>
    </row>
    <row r="15" spans="1:17" ht="11.25">
      <c r="A15" s="132" t="s">
        <v>37</v>
      </c>
      <c r="B15" s="123"/>
      <c r="C15" s="124">
        <f>SUM(C17:C22)</f>
        <v>0</v>
      </c>
      <c r="D15" s="123">
        <f>SUM(D17:D22)</f>
        <v>0</v>
      </c>
      <c r="E15" s="125">
        <f>SUM(E17:E22)</f>
        <v>2547538</v>
      </c>
      <c r="F15" s="125">
        <f>SUM(F17:F22)</f>
        <v>0</v>
      </c>
      <c r="G15" s="125">
        <f>SUM(G17:G22)</f>
        <v>0</v>
      </c>
      <c r="H15" s="297">
        <f>SUM(B15:G15)</f>
        <v>2547538</v>
      </c>
      <c r="I15" s="125">
        <f>SUM(I17:I22)</f>
        <v>0</v>
      </c>
      <c r="J15" s="125">
        <f>SUM(J17:J22)</f>
        <v>0</v>
      </c>
      <c r="K15" s="125">
        <f>SUM(K17:K22)</f>
        <v>8248012</v>
      </c>
      <c r="L15" s="125">
        <f>SUM(L17:L22)</f>
        <v>0</v>
      </c>
      <c r="M15" s="297">
        <f>SUM(I15:L15)</f>
        <v>8248012</v>
      </c>
      <c r="N15" s="125">
        <f>SUM(N17)</f>
        <v>4062088</v>
      </c>
      <c r="O15" s="297">
        <f>SUM(N15)</f>
        <v>4062088</v>
      </c>
      <c r="P15" s="299">
        <f>SUM(H15+M15+O15)</f>
        <v>14857638</v>
      </c>
      <c r="Q15" s="306">
        <f t="shared" si="0"/>
        <v>2.3046983021428633</v>
      </c>
    </row>
    <row r="16" spans="1:17" ht="11.25">
      <c r="A16" s="132"/>
      <c r="B16" s="123"/>
      <c r="C16" s="124"/>
      <c r="D16" s="123"/>
      <c r="E16" s="125"/>
      <c r="F16" s="125"/>
      <c r="G16" s="125"/>
      <c r="H16" s="297"/>
      <c r="I16" s="125"/>
      <c r="J16" s="125"/>
      <c r="K16" s="125"/>
      <c r="L16" s="125"/>
      <c r="M16" s="297"/>
      <c r="N16" s="125"/>
      <c r="O16" s="297"/>
      <c r="P16" s="299"/>
      <c r="Q16" s="306"/>
    </row>
    <row r="17" spans="1:17" ht="11.25">
      <c r="A17" s="132" t="s">
        <v>41</v>
      </c>
      <c r="B17" s="123"/>
      <c r="C17" s="124"/>
      <c r="D17" s="123"/>
      <c r="E17" s="125">
        <v>2547538</v>
      </c>
      <c r="F17" s="125"/>
      <c r="G17" s="125"/>
      <c r="H17" s="297">
        <f>SUM(B17:G17)</f>
        <v>2547538</v>
      </c>
      <c r="I17" s="125"/>
      <c r="J17" s="125"/>
      <c r="K17" s="125">
        <v>8248012</v>
      </c>
      <c r="L17" s="125"/>
      <c r="M17" s="297"/>
      <c r="N17" s="125">
        <v>4062088</v>
      </c>
      <c r="O17" s="297"/>
      <c r="P17" s="299"/>
      <c r="Q17" s="306"/>
    </row>
    <row r="18" spans="1:17" ht="11.25">
      <c r="A18" s="132" t="s">
        <v>42</v>
      </c>
      <c r="B18" s="123"/>
      <c r="C18" s="124"/>
      <c r="D18" s="123"/>
      <c r="E18" s="125"/>
      <c r="F18" s="125"/>
      <c r="G18" s="125"/>
      <c r="H18" s="297"/>
      <c r="I18" s="125"/>
      <c r="J18" s="125"/>
      <c r="K18" s="125"/>
      <c r="L18" s="125"/>
      <c r="M18" s="297"/>
      <c r="N18" s="125"/>
      <c r="O18" s="297"/>
      <c r="P18" s="299"/>
      <c r="Q18" s="306"/>
    </row>
    <row r="19" spans="1:17" ht="11.25">
      <c r="A19" s="132" t="s">
        <v>38</v>
      </c>
      <c r="B19" s="123"/>
      <c r="C19" s="124"/>
      <c r="D19" s="123"/>
      <c r="E19" s="125"/>
      <c r="F19" s="125"/>
      <c r="G19" s="125"/>
      <c r="H19" s="297"/>
      <c r="I19" s="125"/>
      <c r="J19" s="125"/>
      <c r="K19" s="125"/>
      <c r="L19" s="125"/>
      <c r="M19" s="297"/>
      <c r="N19" s="125"/>
      <c r="O19" s="297"/>
      <c r="P19" s="299"/>
      <c r="Q19" s="306"/>
    </row>
    <row r="20" spans="1:17" ht="11.25">
      <c r="A20" s="132" t="s">
        <v>39</v>
      </c>
      <c r="B20" s="123"/>
      <c r="C20" s="124"/>
      <c r="D20" s="123"/>
      <c r="E20" s="125"/>
      <c r="F20" s="125"/>
      <c r="G20" s="125"/>
      <c r="H20" s="297"/>
      <c r="I20" s="125"/>
      <c r="J20" s="125"/>
      <c r="K20" s="125"/>
      <c r="L20" s="125"/>
      <c r="M20" s="297"/>
      <c r="N20" s="125"/>
      <c r="O20" s="297"/>
      <c r="P20" s="299"/>
      <c r="Q20" s="306"/>
    </row>
    <row r="21" spans="1:17" ht="11.25">
      <c r="A21" s="132" t="s">
        <v>40</v>
      </c>
      <c r="B21" s="123"/>
      <c r="C21" s="124"/>
      <c r="D21" s="123"/>
      <c r="E21" s="125"/>
      <c r="F21" s="125"/>
      <c r="G21" s="125"/>
      <c r="H21" s="297"/>
      <c r="I21" s="125"/>
      <c r="J21" s="125"/>
      <c r="K21" s="125"/>
      <c r="L21" s="125"/>
      <c r="M21" s="297"/>
      <c r="N21" s="125"/>
      <c r="O21" s="297"/>
      <c r="P21" s="299"/>
      <c r="Q21" s="306"/>
    </row>
    <row r="22" spans="1:17" ht="11.25">
      <c r="A22" s="132" t="s">
        <v>82</v>
      </c>
      <c r="B22" s="123"/>
      <c r="C22" s="124"/>
      <c r="D22" s="123"/>
      <c r="E22" s="125"/>
      <c r="F22" s="125"/>
      <c r="G22" s="125"/>
      <c r="H22" s="297"/>
      <c r="I22" s="125"/>
      <c r="J22" s="125"/>
      <c r="K22" s="125"/>
      <c r="L22" s="125"/>
      <c r="M22" s="297"/>
      <c r="N22" s="125"/>
      <c r="O22" s="297"/>
      <c r="P22" s="299"/>
      <c r="Q22" s="306"/>
    </row>
    <row r="23" spans="1:17" ht="12" thickBot="1">
      <c r="A23" s="128"/>
      <c r="B23" s="128"/>
      <c r="C23" s="134"/>
      <c r="D23" s="132"/>
      <c r="E23" s="135"/>
      <c r="F23" s="135"/>
      <c r="G23" s="135"/>
      <c r="H23" s="298"/>
      <c r="I23" s="135"/>
      <c r="J23" s="135"/>
      <c r="K23" s="135"/>
      <c r="L23" s="135"/>
      <c r="M23" s="298"/>
      <c r="N23" s="135"/>
      <c r="O23" s="298"/>
      <c r="P23" s="300"/>
      <c r="Q23" s="306"/>
    </row>
    <row r="24" spans="1:17" ht="12" thickBot="1">
      <c r="A24" s="136" t="s">
        <v>0</v>
      </c>
      <c r="B24" s="115"/>
      <c r="C24" s="302">
        <f aca="true" t="shared" si="1" ref="C24:Q24">SUM(C6+C8+C10+C13+C15)</f>
        <v>326692488</v>
      </c>
      <c r="D24" s="302">
        <f t="shared" si="1"/>
        <v>14319382</v>
      </c>
      <c r="E24" s="302">
        <f t="shared" si="1"/>
        <v>82170275</v>
      </c>
      <c r="F24" s="302">
        <f t="shared" si="1"/>
        <v>0</v>
      </c>
      <c r="G24" s="302">
        <f t="shared" si="1"/>
        <v>1653992</v>
      </c>
      <c r="H24" s="302">
        <f t="shared" si="1"/>
        <v>424836137</v>
      </c>
      <c r="I24" s="302">
        <f t="shared" si="1"/>
        <v>0</v>
      </c>
      <c r="J24" s="302">
        <f t="shared" si="1"/>
        <v>0</v>
      </c>
      <c r="K24" s="302">
        <f t="shared" si="1"/>
        <v>215769148</v>
      </c>
      <c r="L24" s="302">
        <f t="shared" si="1"/>
        <v>0</v>
      </c>
      <c r="M24" s="302">
        <f t="shared" si="1"/>
        <v>215769148</v>
      </c>
      <c r="N24" s="302">
        <f t="shared" si="1"/>
        <v>4062088</v>
      </c>
      <c r="O24" s="302">
        <f t="shared" si="1"/>
        <v>4062088</v>
      </c>
      <c r="P24" s="302">
        <f t="shared" si="1"/>
        <v>644667373</v>
      </c>
      <c r="Q24" s="307">
        <f t="shared" si="1"/>
        <v>100.00000000000001</v>
      </c>
    </row>
    <row r="25" spans="1:17" ht="11.25">
      <c r="A25" s="119"/>
      <c r="B25" s="134"/>
      <c r="C25" s="134"/>
      <c r="D25" s="134"/>
      <c r="E25" s="134"/>
      <c r="F25" s="134"/>
      <c r="G25" s="134"/>
      <c r="H25" s="134"/>
      <c r="I25" s="134"/>
      <c r="J25" s="134"/>
      <c r="K25" s="134"/>
      <c r="L25" s="134"/>
      <c r="M25" s="134"/>
      <c r="N25" s="134"/>
      <c r="O25" s="134"/>
      <c r="P25" s="134"/>
      <c r="Q25" s="134"/>
    </row>
    <row r="26" spans="2:17" ht="11.25">
      <c r="B26" s="305"/>
      <c r="C26" s="305"/>
      <c r="D26" s="305"/>
      <c r="E26" s="305"/>
      <c r="F26" s="305"/>
      <c r="G26" s="305"/>
      <c r="H26" s="305"/>
      <c r="I26" s="305"/>
      <c r="J26" s="305"/>
      <c r="K26" s="305"/>
      <c r="L26" s="305"/>
      <c r="M26" s="305"/>
      <c r="N26" s="305"/>
      <c r="O26" s="305"/>
      <c r="P26" s="305"/>
      <c r="Q26" s="305"/>
    </row>
    <row r="27" spans="2:17" ht="11.25">
      <c r="B27" s="303"/>
      <c r="C27" s="303"/>
      <c r="D27" s="303"/>
      <c r="E27" s="303"/>
      <c r="F27" s="303"/>
      <c r="G27" s="303"/>
      <c r="H27" s="303"/>
      <c r="I27" s="303"/>
      <c r="J27" s="303"/>
      <c r="K27" s="303"/>
      <c r="L27" s="303"/>
      <c r="M27" s="303"/>
      <c r="N27" s="303"/>
      <c r="O27" s="303"/>
      <c r="P27" s="303"/>
      <c r="Q27" s="303"/>
    </row>
  </sheetData>
  <sheetProtection/>
  <mergeCells count="5">
    <mergeCell ref="P3:Q3"/>
    <mergeCell ref="B3:H3"/>
    <mergeCell ref="I3:M3"/>
    <mergeCell ref="A3:A4"/>
    <mergeCell ref="N3:O3"/>
  </mergeCells>
  <printOptions/>
  <pageMargins left="0.2362204724409449" right="0.2362204724409449" top="0.7480314960629921" bottom="0.7480314960629921" header="0.31496062992125984" footer="0.31496062992125984"/>
  <pageSetup horizontalDpi="600" verticalDpi="600" orientation="landscape" paperSize="9" r:id="rId1"/>
  <headerFooter alignWithMargins="0">
    <oddHeader>&amp;C&amp;"Arial,Negrita"&amp;18PROYECTO DEL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V108"/>
  <sheetViews>
    <sheetView view="pageLayout" zoomScale="90" zoomScaleSheetLayoutView="70" zoomScalePageLayoutView="90" workbookViewId="0" topLeftCell="A1">
      <selection activeCell="Q107" sqref="Q107"/>
    </sheetView>
  </sheetViews>
  <sheetFormatPr defaultColWidth="11.421875" defaultRowHeight="12.75"/>
  <cols>
    <col min="1" max="1" width="20.140625" style="3" customWidth="1"/>
    <col min="2" max="2" width="16.28125" style="3" bestFit="1" customWidth="1"/>
    <col min="3" max="3" width="3.7109375" style="3" customWidth="1"/>
    <col min="4" max="4" width="13.00390625" style="3" customWidth="1"/>
    <col min="5" max="5" width="12.140625" style="3" customWidth="1"/>
    <col min="6" max="6" width="12.00390625" style="3" customWidth="1"/>
    <col min="7" max="8" width="9.7109375" style="3" customWidth="1"/>
    <col min="9" max="9" width="12.7109375" style="15" customWidth="1"/>
    <col min="10" max="10" width="5.28125" style="3" customWidth="1"/>
    <col min="11" max="11" width="3.57421875" style="3" customWidth="1"/>
    <col min="12" max="12" width="12.421875" style="3" customWidth="1"/>
    <col min="13" max="13" width="8.7109375" style="3" customWidth="1"/>
    <col min="14" max="14" width="12.57421875" style="15" customWidth="1"/>
    <col min="15" max="15" width="10.7109375" style="3" customWidth="1"/>
    <col min="16" max="16" width="10.421875" style="15" customWidth="1"/>
    <col min="17" max="17" width="13.421875" style="3" customWidth="1"/>
    <col min="18" max="18" width="3.28125" style="3" customWidth="1"/>
    <col min="19" max="16384" width="11.421875" style="3" customWidth="1"/>
  </cols>
  <sheetData>
    <row r="1" spans="1:18" s="5" customFormat="1" ht="12">
      <c r="A1" s="104" t="s">
        <v>410</v>
      </c>
      <c r="B1" s="6"/>
      <c r="C1" s="6"/>
      <c r="D1" s="6"/>
      <c r="E1" s="6"/>
      <c r="F1" s="6"/>
      <c r="G1" s="6"/>
      <c r="H1" s="6"/>
      <c r="I1" s="6"/>
      <c r="J1" s="6"/>
      <c r="K1" s="6"/>
      <c r="L1" s="6"/>
      <c r="M1" s="6"/>
      <c r="N1" s="6"/>
      <c r="O1" s="6"/>
      <c r="P1" s="6"/>
      <c r="Q1" s="6"/>
      <c r="R1" s="6"/>
    </row>
    <row r="2" spans="1:22" s="5" customFormat="1" ht="12.75" thickBot="1">
      <c r="A2" s="106" t="s">
        <v>490</v>
      </c>
      <c r="B2" s="96"/>
      <c r="C2" s="96"/>
      <c r="D2" s="96"/>
      <c r="E2" s="96"/>
      <c r="F2" s="96"/>
      <c r="G2" s="96"/>
      <c r="H2" s="96"/>
      <c r="I2" s="96"/>
      <c r="J2" s="96"/>
      <c r="K2" s="96"/>
      <c r="L2" s="96"/>
      <c r="M2" s="96"/>
      <c r="N2" s="96"/>
      <c r="O2" s="96"/>
      <c r="P2" s="96"/>
      <c r="Q2" s="96"/>
      <c r="R2" s="96"/>
      <c r="S2" s="96"/>
      <c r="T2" s="96"/>
      <c r="U2" s="96"/>
      <c r="V2" s="96"/>
    </row>
    <row r="3" spans="1:18" ht="27" customHeight="1">
      <c r="A3" s="1536" t="s">
        <v>122</v>
      </c>
      <c r="B3" s="1543" t="s">
        <v>123</v>
      </c>
      <c r="C3" s="1538" t="s">
        <v>23</v>
      </c>
      <c r="D3" s="1539"/>
      <c r="E3" s="1539"/>
      <c r="F3" s="1539"/>
      <c r="G3" s="1539"/>
      <c r="H3" s="1539"/>
      <c r="I3" s="1540"/>
      <c r="J3" s="1541" t="s">
        <v>104</v>
      </c>
      <c r="K3" s="1534"/>
      <c r="L3" s="1534"/>
      <c r="M3" s="1534"/>
      <c r="N3" s="1535"/>
      <c r="O3" s="1542" t="s">
        <v>92</v>
      </c>
      <c r="P3" s="1534"/>
      <c r="Q3" s="1534" t="s">
        <v>0</v>
      </c>
      <c r="R3" s="1535"/>
    </row>
    <row r="4" spans="1:18" ht="112.5" customHeight="1" thickBot="1">
      <c r="A4" s="1537"/>
      <c r="B4" s="1544"/>
      <c r="C4" s="159" t="s">
        <v>240</v>
      </c>
      <c r="D4" s="160" t="s">
        <v>241</v>
      </c>
      <c r="E4" s="160" t="s">
        <v>242</v>
      </c>
      <c r="F4" s="160" t="s">
        <v>243</v>
      </c>
      <c r="G4" s="160" t="s">
        <v>244</v>
      </c>
      <c r="H4" s="160" t="s">
        <v>245</v>
      </c>
      <c r="I4" s="341" t="s">
        <v>101</v>
      </c>
      <c r="J4" s="159" t="s">
        <v>244</v>
      </c>
      <c r="K4" s="160" t="s">
        <v>245</v>
      </c>
      <c r="L4" s="160" t="s">
        <v>246</v>
      </c>
      <c r="M4" s="160" t="s">
        <v>247</v>
      </c>
      <c r="N4" s="341" t="s">
        <v>102</v>
      </c>
      <c r="O4" s="161" t="s">
        <v>248</v>
      </c>
      <c r="P4" s="162" t="s">
        <v>103</v>
      </c>
      <c r="Q4" s="162" t="s">
        <v>31</v>
      </c>
      <c r="R4" s="163" t="s">
        <v>90</v>
      </c>
    </row>
    <row r="5" spans="1:18" ht="12">
      <c r="A5" s="22" t="s">
        <v>124</v>
      </c>
      <c r="B5" s="41">
        <v>2019</v>
      </c>
      <c r="C5" s="308"/>
      <c r="D5" s="309"/>
      <c r="E5" s="309"/>
      <c r="F5" s="309"/>
      <c r="G5" s="309"/>
      <c r="H5" s="309"/>
      <c r="I5" s="324"/>
      <c r="J5" s="308"/>
      <c r="K5" s="309"/>
      <c r="L5" s="309"/>
      <c r="M5" s="309"/>
      <c r="N5" s="324"/>
      <c r="O5" s="310"/>
      <c r="P5" s="329"/>
      <c r="Q5" s="329"/>
      <c r="R5" s="330"/>
    </row>
    <row r="6" spans="1:18" ht="12">
      <c r="A6" s="24"/>
      <c r="B6" s="16">
        <v>2020</v>
      </c>
      <c r="C6" s="311"/>
      <c r="D6" s="312"/>
      <c r="E6" s="312"/>
      <c r="F6" s="312"/>
      <c r="G6" s="312"/>
      <c r="H6" s="312"/>
      <c r="I6" s="325"/>
      <c r="J6" s="311"/>
      <c r="K6" s="312"/>
      <c r="L6" s="312"/>
      <c r="M6" s="312"/>
      <c r="N6" s="325"/>
      <c r="O6" s="313"/>
      <c r="P6" s="331"/>
      <c r="Q6" s="331"/>
      <c r="R6" s="332"/>
    </row>
    <row r="7" spans="1:18" ht="12">
      <c r="A7" s="24"/>
      <c r="B7" s="16">
        <v>2021</v>
      </c>
      <c r="C7" s="314"/>
      <c r="D7" s="315"/>
      <c r="E7" s="315"/>
      <c r="F7" s="315"/>
      <c r="G7" s="315"/>
      <c r="H7" s="315"/>
      <c r="I7" s="326"/>
      <c r="J7" s="314"/>
      <c r="K7" s="315"/>
      <c r="L7" s="315"/>
      <c r="M7" s="315"/>
      <c r="N7" s="326"/>
      <c r="O7" s="316"/>
      <c r="P7" s="333"/>
      <c r="Q7" s="333"/>
      <c r="R7" s="334"/>
    </row>
    <row r="8" spans="1:18" ht="12.75" thickBot="1">
      <c r="A8" s="59"/>
      <c r="B8" s="70" t="s">
        <v>411</v>
      </c>
      <c r="C8" s="317"/>
      <c r="D8" s="318"/>
      <c r="E8" s="318"/>
      <c r="F8" s="318"/>
      <c r="G8" s="318"/>
      <c r="H8" s="318"/>
      <c r="I8" s="327"/>
      <c r="J8" s="317"/>
      <c r="K8" s="318"/>
      <c r="L8" s="318"/>
      <c r="M8" s="318"/>
      <c r="N8" s="327"/>
      <c r="O8" s="319"/>
      <c r="P8" s="335"/>
      <c r="Q8" s="335"/>
      <c r="R8" s="336"/>
    </row>
    <row r="9" spans="1:18" ht="12">
      <c r="A9" s="4" t="s">
        <v>125</v>
      </c>
      <c r="B9" s="41">
        <v>2019</v>
      </c>
      <c r="C9" s="320"/>
      <c r="D9" s="321"/>
      <c r="E9" s="321"/>
      <c r="F9" s="321"/>
      <c r="G9" s="321"/>
      <c r="H9" s="321"/>
      <c r="I9" s="328"/>
      <c r="J9" s="320"/>
      <c r="K9" s="321"/>
      <c r="L9" s="321"/>
      <c r="M9" s="321"/>
      <c r="N9" s="328"/>
      <c r="O9" s="322"/>
      <c r="P9" s="337"/>
      <c r="Q9" s="337"/>
      <c r="R9" s="338"/>
    </row>
    <row r="10" spans="1:18" ht="12">
      <c r="A10" s="24"/>
      <c r="B10" s="16">
        <v>2020</v>
      </c>
      <c r="C10" s="311"/>
      <c r="D10" s="312"/>
      <c r="E10" s="312"/>
      <c r="F10" s="312"/>
      <c r="G10" s="312"/>
      <c r="H10" s="312"/>
      <c r="I10" s="325"/>
      <c r="J10" s="311"/>
      <c r="K10" s="312"/>
      <c r="L10" s="312"/>
      <c r="M10" s="312"/>
      <c r="N10" s="325"/>
      <c r="O10" s="313"/>
      <c r="P10" s="331"/>
      <c r="Q10" s="331"/>
      <c r="R10" s="332"/>
    </row>
    <row r="11" spans="1:18" ht="12">
      <c r="A11" s="24"/>
      <c r="B11" s="16">
        <v>2021</v>
      </c>
      <c r="C11" s="311"/>
      <c r="D11" s="312"/>
      <c r="E11" s="312"/>
      <c r="F11" s="312"/>
      <c r="G11" s="312"/>
      <c r="H11" s="312"/>
      <c r="I11" s="325"/>
      <c r="J11" s="311"/>
      <c r="K11" s="312"/>
      <c r="L11" s="312"/>
      <c r="M11" s="312"/>
      <c r="N11" s="325"/>
      <c r="O11" s="313"/>
      <c r="P11" s="331"/>
      <c r="Q11" s="331"/>
      <c r="R11" s="332"/>
    </row>
    <row r="12" spans="1:18" ht="12.75" thickBot="1">
      <c r="A12" s="26"/>
      <c r="B12" s="70" t="s">
        <v>411</v>
      </c>
      <c r="C12" s="317"/>
      <c r="D12" s="323"/>
      <c r="E12" s="323"/>
      <c r="F12" s="323" t="s">
        <v>94</v>
      </c>
      <c r="G12" s="323"/>
      <c r="H12" s="318"/>
      <c r="I12" s="327"/>
      <c r="J12" s="317"/>
      <c r="K12" s="318"/>
      <c r="L12" s="318"/>
      <c r="M12" s="318"/>
      <c r="N12" s="327"/>
      <c r="O12" s="319"/>
      <c r="P12" s="335"/>
      <c r="Q12" s="335"/>
      <c r="R12" s="336"/>
    </row>
    <row r="13" spans="1:18" ht="12">
      <c r="A13" s="22" t="s">
        <v>126</v>
      </c>
      <c r="B13" s="41">
        <v>2019</v>
      </c>
      <c r="C13" s="308"/>
      <c r="D13" s="309">
        <v>9659052</v>
      </c>
      <c r="E13" s="309">
        <v>2400</v>
      </c>
      <c r="F13" s="309">
        <v>10409506</v>
      </c>
      <c r="G13" s="309">
        <v>0</v>
      </c>
      <c r="H13" s="309">
        <v>1653992</v>
      </c>
      <c r="I13" s="324">
        <f>SUM(C13:H13)</f>
        <v>21724950</v>
      </c>
      <c r="J13" s="308">
        <v>0</v>
      </c>
      <c r="K13" s="309">
        <v>0</v>
      </c>
      <c r="L13" s="309">
        <v>11452286</v>
      </c>
      <c r="M13" s="309"/>
      <c r="N13" s="324">
        <f>SUM(J13:M13)</f>
        <v>11452286</v>
      </c>
      <c r="O13" s="310"/>
      <c r="P13" s="329"/>
      <c r="Q13" s="329">
        <f>SUM(I13+N13+P13)</f>
        <v>33177236</v>
      </c>
      <c r="R13" s="330"/>
    </row>
    <row r="14" spans="1:18" ht="12">
      <c r="A14" s="24"/>
      <c r="B14" s="16">
        <v>2020</v>
      </c>
      <c r="C14" s="311"/>
      <c r="D14" s="312">
        <v>16996256</v>
      </c>
      <c r="E14" s="312">
        <v>2400</v>
      </c>
      <c r="F14" s="312">
        <v>13422368</v>
      </c>
      <c r="G14" s="312">
        <v>0</v>
      </c>
      <c r="H14" s="312">
        <v>1653992</v>
      </c>
      <c r="I14" s="325">
        <f>SUM(D14:H14)</f>
        <v>32075016</v>
      </c>
      <c r="J14" s="311"/>
      <c r="K14" s="312"/>
      <c r="L14" s="312">
        <v>13525945</v>
      </c>
      <c r="M14" s="312"/>
      <c r="N14" s="325">
        <f>SUM(J14:M14)</f>
        <v>13525945</v>
      </c>
      <c r="O14" s="313"/>
      <c r="P14" s="331"/>
      <c r="Q14" s="331">
        <f>SUM(I14+N14+P14)</f>
        <v>45600961</v>
      </c>
      <c r="R14" s="332"/>
    </row>
    <row r="15" spans="1:18" ht="12">
      <c r="A15" s="24"/>
      <c r="B15" s="16">
        <v>2021</v>
      </c>
      <c r="C15" s="311"/>
      <c r="D15" s="312">
        <v>6108144</v>
      </c>
      <c r="E15" s="312">
        <v>2400</v>
      </c>
      <c r="F15" s="312">
        <v>7842518</v>
      </c>
      <c r="G15" s="312">
        <v>0</v>
      </c>
      <c r="H15" s="312">
        <v>1653992</v>
      </c>
      <c r="I15" s="325">
        <f>SUM(C15:H15)</f>
        <v>15607054</v>
      </c>
      <c r="J15" s="311"/>
      <c r="K15" s="312"/>
      <c r="L15" s="312">
        <v>13223220</v>
      </c>
      <c r="M15" s="312"/>
      <c r="N15" s="325">
        <f>SUM(J15:M15)</f>
        <v>13223220</v>
      </c>
      <c r="O15" s="313"/>
      <c r="P15" s="331"/>
      <c r="Q15" s="331">
        <f>SUM(I15+N15+P15)</f>
        <v>28830274</v>
      </c>
      <c r="R15" s="332"/>
    </row>
    <row r="16" spans="1:18" ht="12.75" thickBot="1">
      <c r="A16" s="26"/>
      <c r="B16" s="70" t="s">
        <v>411</v>
      </c>
      <c r="C16" s="317"/>
      <c r="D16" s="318">
        <f>+((D15-D14)/D14)*100</f>
        <v>-64.06182632222061</v>
      </c>
      <c r="E16" s="318">
        <f>+((E15-E14)/E14)*100</f>
        <v>0</v>
      </c>
      <c r="F16" s="318">
        <f>+((F15-F14)/F14)*100</f>
        <v>-41.57127862982151</v>
      </c>
      <c r="G16" s="318"/>
      <c r="H16" s="318">
        <f>+((H15-H14)/H14)*100</f>
        <v>0</v>
      </c>
      <c r="I16" s="318">
        <f>+((I15-I14)/I14)*100</f>
        <v>-51.34202271325445</v>
      </c>
      <c r="J16" s="317"/>
      <c r="K16" s="318"/>
      <c r="L16" s="318">
        <f>+((L15-L14)/L14)*100</f>
        <v>-2.2381060990562953</v>
      </c>
      <c r="M16" s="318"/>
      <c r="N16" s="327">
        <f>+((N15-N14)/N14)*100</f>
        <v>-2.2381060990562953</v>
      </c>
      <c r="O16" s="319"/>
      <c r="P16" s="335"/>
      <c r="Q16" s="335">
        <f>+((Q15-Q14)/Q14)*100</f>
        <v>-36.777047308279315</v>
      </c>
      <c r="R16" s="336"/>
    </row>
    <row r="17" spans="1:18" ht="12">
      <c r="A17" s="22" t="s">
        <v>249</v>
      </c>
      <c r="B17" s="41">
        <v>2019</v>
      </c>
      <c r="C17" s="308"/>
      <c r="D17" s="309"/>
      <c r="E17" s="309"/>
      <c r="F17" s="309"/>
      <c r="G17" s="309"/>
      <c r="H17" s="309"/>
      <c r="I17" s="324"/>
      <c r="J17" s="308"/>
      <c r="K17" s="309"/>
      <c r="L17" s="309"/>
      <c r="M17" s="309"/>
      <c r="N17" s="324"/>
      <c r="O17" s="310"/>
      <c r="P17" s="329"/>
      <c r="Q17" s="329"/>
      <c r="R17" s="330"/>
    </row>
    <row r="18" spans="1:18" ht="12">
      <c r="A18" s="24"/>
      <c r="B18" s="16">
        <v>2020</v>
      </c>
      <c r="C18" s="311"/>
      <c r="D18" s="312"/>
      <c r="E18" s="312"/>
      <c r="F18" s="312"/>
      <c r="G18" s="312"/>
      <c r="H18" s="312"/>
      <c r="I18" s="325"/>
      <c r="J18" s="311"/>
      <c r="K18" s="312"/>
      <c r="L18" s="312"/>
      <c r="M18" s="312"/>
      <c r="N18" s="325"/>
      <c r="O18" s="313"/>
      <c r="P18" s="331"/>
      <c r="Q18" s="331"/>
      <c r="R18" s="332"/>
    </row>
    <row r="19" spans="1:18" ht="12">
      <c r="A19" s="24"/>
      <c r="B19" s="16">
        <v>2021</v>
      </c>
      <c r="C19" s="311"/>
      <c r="D19" s="312"/>
      <c r="E19" s="312"/>
      <c r="F19" s="312"/>
      <c r="G19" s="312"/>
      <c r="H19" s="312"/>
      <c r="I19" s="325"/>
      <c r="J19" s="311"/>
      <c r="K19" s="312"/>
      <c r="L19" s="312"/>
      <c r="M19" s="312"/>
      <c r="N19" s="325"/>
      <c r="O19" s="313"/>
      <c r="P19" s="331"/>
      <c r="Q19" s="331"/>
      <c r="R19" s="332"/>
    </row>
    <row r="20" spans="1:18" ht="12.75" thickBot="1">
      <c r="A20" s="26"/>
      <c r="B20" s="70" t="s">
        <v>411</v>
      </c>
      <c r="C20" s="317"/>
      <c r="D20" s="318"/>
      <c r="E20" s="318"/>
      <c r="F20" s="318"/>
      <c r="G20" s="318"/>
      <c r="H20" s="318"/>
      <c r="I20" s="327"/>
      <c r="J20" s="317"/>
      <c r="K20" s="318"/>
      <c r="L20" s="318"/>
      <c r="M20" s="318"/>
      <c r="N20" s="327"/>
      <c r="O20" s="319"/>
      <c r="P20" s="335"/>
      <c r="Q20" s="335"/>
      <c r="R20" s="336"/>
    </row>
    <row r="21" spans="1:18" ht="12">
      <c r="A21" s="22" t="s">
        <v>250</v>
      </c>
      <c r="B21" s="41">
        <v>2019</v>
      </c>
      <c r="C21" s="308"/>
      <c r="D21" s="309">
        <v>0</v>
      </c>
      <c r="E21" s="309">
        <v>1080000</v>
      </c>
      <c r="F21" s="309">
        <v>1151371</v>
      </c>
      <c r="G21" s="309"/>
      <c r="H21" s="309">
        <v>0</v>
      </c>
      <c r="I21" s="324">
        <f>SUM(C21:H21)</f>
        <v>2231371</v>
      </c>
      <c r="J21" s="308"/>
      <c r="K21" s="309"/>
      <c r="L21" s="309">
        <v>0</v>
      </c>
      <c r="M21" s="309"/>
      <c r="N21" s="324">
        <f>SUM(J21:M21)</f>
        <v>0</v>
      </c>
      <c r="O21" s="310"/>
      <c r="P21" s="329"/>
      <c r="Q21" s="329">
        <f>SUM(I21+N21+P21)</f>
        <v>2231371</v>
      </c>
      <c r="R21" s="330"/>
    </row>
    <row r="22" spans="1:18" ht="12">
      <c r="A22" s="24"/>
      <c r="B22" s="16">
        <v>2020</v>
      </c>
      <c r="C22" s="311"/>
      <c r="D22" s="312">
        <v>95505</v>
      </c>
      <c r="E22" s="312">
        <v>1080000</v>
      </c>
      <c r="F22" s="312">
        <v>697235</v>
      </c>
      <c r="G22" s="312"/>
      <c r="H22" s="312"/>
      <c r="I22" s="325">
        <f>SUM(C22:H22)</f>
        <v>1872740</v>
      </c>
      <c r="J22" s="311"/>
      <c r="K22" s="312"/>
      <c r="L22" s="312">
        <v>2926138</v>
      </c>
      <c r="M22" s="312"/>
      <c r="N22" s="325">
        <f>SUM(J22:M22)</f>
        <v>2926138</v>
      </c>
      <c r="O22" s="313"/>
      <c r="P22" s="331"/>
      <c r="Q22" s="331">
        <f>SUM(I22+N22+P22)</f>
        <v>4798878</v>
      </c>
      <c r="R22" s="332"/>
    </row>
    <row r="23" spans="1:18" ht="12">
      <c r="A23" s="24"/>
      <c r="B23" s="16">
        <v>2021</v>
      </c>
      <c r="C23" s="311"/>
      <c r="D23" s="312">
        <v>95505</v>
      </c>
      <c r="E23" s="312">
        <v>1080000</v>
      </c>
      <c r="F23" s="312">
        <v>756405</v>
      </c>
      <c r="G23" s="312"/>
      <c r="H23" s="312"/>
      <c r="I23" s="325">
        <f>SUM(C23:H23)</f>
        <v>1931910</v>
      </c>
      <c r="J23" s="311"/>
      <c r="K23" s="312"/>
      <c r="L23" s="312">
        <v>558999</v>
      </c>
      <c r="M23" s="312"/>
      <c r="N23" s="325">
        <f>SUM(J23:M23)</f>
        <v>558999</v>
      </c>
      <c r="O23" s="313"/>
      <c r="P23" s="331"/>
      <c r="Q23" s="331">
        <f>SUM(I23+N23+P23)</f>
        <v>2490909</v>
      </c>
      <c r="R23" s="332"/>
    </row>
    <row r="24" spans="1:18" ht="12.75" thickBot="1">
      <c r="A24" s="26"/>
      <c r="B24" s="70" t="s">
        <v>411</v>
      </c>
      <c r="C24" s="317"/>
      <c r="D24" s="318">
        <f>+((D23-D22)/D22)*100</f>
        <v>0</v>
      </c>
      <c r="E24" s="318">
        <f>+((E23-E22)/E22)*100</f>
        <v>0</v>
      </c>
      <c r="F24" s="318">
        <f>+((F23-F22)/F22)*100</f>
        <v>8.486378337289437</v>
      </c>
      <c r="G24" s="318"/>
      <c r="H24" s="318"/>
      <c r="I24" s="318">
        <f>+((I23-I22)/I22)*100</f>
        <v>3.159541634183069</v>
      </c>
      <c r="J24" s="317"/>
      <c r="K24" s="318"/>
      <c r="L24" s="318">
        <f>+((L23-L22)/L22)*100</f>
        <v>-80.89635553757205</v>
      </c>
      <c r="M24" s="318"/>
      <c r="N24" s="318">
        <f>+((N23-N22)/N22)*100</f>
        <v>-80.89635553757205</v>
      </c>
      <c r="O24" s="318"/>
      <c r="P24" s="318"/>
      <c r="Q24" s="318">
        <f>+((Q23-Q22)/Q22)*100</f>
        <v>-48.09392945601034</v>
      </c>
      <c r="R24" s="336"/>
    </row>
    <row r="25" spans="1:18" ht="12">
      <c r="A25" s="22" t="s">
        <v>251</v>
      </c>
      <c r="B25" s="41">
        <v>2019</v>
      </c>
      <c r="C25" s="308"/>
      <c r="D25" s="309"/>
      <c r="E25" s="309"/>
      <c r="F25" s="309"/>
      <c r="G25" s="309"/>
      <c r="H25" s="309"/>
      <c r="I25" s="324"/>
      <c r="J25" s="308"/>
      <c r="K25" s="309"/>
      <c r="L25" s="309">
        <v>0</v>
      </c>
      <c r="M25" s="309"/>
      <c r="N25" s="324">
        <f>SUM(J25:M25)</f>
        <v>0</v>
      </c>
      <c r="O25" s="310"/>
      <c r="P25" s="329"/>
      <c r="Q25" s="329"/>
      <c r="R25" s="330"/>
    </row>
    <row r="26" spans="1:18" ht="12">
      <c r="A26" s="24"/>
      <c r="B26" s="16">
        <v>2020</v>
      </c>
      <c r="C26" s="311"/>
      <c r="D26" s="312"/>
      <c r="E26" s="312"/>
      <c r="F26" s="312"/>
      <c r="G26" s="312"/>
      <c r="H26" s="312"/>
      <c r="I26" s="325"/>
      <c r="J26" s="311"/>
      <c r="K26" s="312"/>
      <c r="L26" s="312"/>
      <c r="M26" s="312"/>
      <c r="N26" s="325"/>
      <c r="O26" s="313"/>
      <c r="P26" s="331"/>
      <c r="Q26" s="331"/>
      <c r="R26" s="332"/>
    </row>
    <row r="27" spans="1:18" ht="12">
      <c r="A27" s="24"/>
      <c r="B27" s="16">
        <v>2021</v>
      </c>
      <c r="C27" s="311"/>
      <c r="D27" s="312"/>
      <c r="E27" s="312"/>
      <c r="F27" s="312"/>
      <c r="G27" s="312"/>
      <c r="H27" s="312"/>
      <c r="I27" s="325"/>
      <c r="J27" s="311"/>
      <c r="K27" s="312"/>
      <c r="L27" s="312"/>
      <c r="M27" s="312"/>
      <c r="N27" s="325"/>
      <c r="O27" s="313"/>
      <c r="P27" s="331"/>
      <c r="Q27" s="331"/>
      <c r="R27" s="332"/>
    </row>
    <row r="28" spans="1:18" ht="12.75" thickBot="1">
      <c r="A28" s="26"/>
      <c r="B28" s="70" t="s">
        <v>411</v>
      </c>
      <c r="C28" s="317"/>
      <c r="D28" s="318"/>
      <c r="E28" s="318"/>
      <c r="F28" s="318"/>
      <c r="G28" s="318"/>
      <c r="H28" s="318"/>
      <c r="I28" s="327"/>
      <c r="J28" s="317"/>
      <c r="K28" s="318"/>
      <c r="L28" s="318"/>
      <c r="M28" s="318"/>
      <c r="N28" s="327"/>
      <c r="O28" s="319"/>
      <c r="P28" s="335"/>
      <c r="Q28" s="335"/>
      <c r="R28" s="336"/>
    </row>
    <row r="29" spans="1:18" ht="12">
      <c r="A29" s="22" t="s">
        <v>252</v>
      </c>
      <c r="B29" s="41">
        <v>2019</v>
      </c>
      <c r="C29" s="308"/>
      <c r="D29" s="309">
        <v>116600</v>
      </c>
      <c r="E29" s="309">
        <v>0</v>
      </c>
      <c r="F29" s="309">
        <v>791994</v>
      </c>
      <c r="G29" s="309"/>
      <c r="H29" s="309">
        <v>0</v>
      </c>
      <c r="I29" s="324">
        <f>SUM(C29:H29)</f>
        <v>908594</v>
      </c>
      <c r="J29" s="308"/>
      <c r="K29" s="309"/>
      <c r="L29" s="309">
        <v>0</v>
      </c>
      <c r="M29" s="309"/>
      <c r="N29" s="324">
        <f>SUM(J29:M29)</f>
        <v>0</v>
      </c>
      <c r="O29" s="310"/>
      <c r="P29" s="329"/>
      <c r="Q29" s="329">
        <f>SUM(I29+N29+P29)</f>
        <v>908594</v>
      </c>
      <c r="R29" s="330"/>
    </row>
    <row r="30" spans="1:18" ht="12">
      <c r="A30" s="24"/>
      <c r="B30" s="16">
        <v>2020</v>
      </c>
      <c r="C30" s="311"/>
      <c r="D30" s="312">
        <v>198490</v>
      </c>
      <c r="E30" s="312">
        <v>326686</v>
      </c>
      <c r="F30" s="312"/>
      <c r="G30" s="312"/>
      <c r="H30" s="312"/>
      <c r="I30" s="325">
        <f>SUM(C30:H30)</f>
        <v>525176</v>
      </c>
      <c r="J30" s="311"/>
      <c r="K30" s="312"/>
      <c r="L30" s="312"/>
      <c r="M30" s="312"/>
      <c r="N30" s="325">
        <f>SUM(J30:M30)</f>
        <v>0</v>
      </c>
      <c r="O30" s="313"/>
      <c r="P30" s="331"/>
      <c r="Q30" s="331">
        <f>SUM(I30+N30+P30)</f>
        <v>525176</v>
      </c>
      <c r="R30" s="332"/>
    </row>
    <row r="31" spans="1:18" ht="12">
      <c r="A31" s="24"/>
      <c r="B31" s="16">
        <v>2021</v>
      </c>
      <c r="C31" s="311"/>
      <c r="D31" s="312">
        <v>198490</v>
      </c>
      <c r="E31" s="312"/>
      <c r="F31" s="312">
        <v>335090</v>
      </c>
      <c r="G31" s="312"/>
      <c r="H31" s="312"/>
      <c r="I31" s="325">
        <f>SUM(C31:H31)</f>
        <v>533580</v>
      </c>
      <c r="J31" s="311"/>
      <c r="K31" s="312"/>
      <c r="L31" s="312"/>
      <c r="M31" s="312"/>
      <c r="N31" s="325">
        <f>SUM(J31:M31)</f>
        <v>0</v>
      </c>
      <c r="O31" s="313"/>
      <c r="P31" s="331"/>
      <c r="Q31" s="331">
        <f>SUM(I31+N31+P31)</f>
        <v>533580</v>
      </c>
      <c r="R31" s="332"/>
    </row>
    <row r="32" spans="1:18" ht="12.75" thickBot="1">
      <c r="A32" s="26"/>
      <c r="B32" s="70" t="s">
        <v>411</v>
      </c>
      <c r="C32" s="317"/>
      <c r="D32" s="318">
        <f>+((D31-D30)/D30)*100</f>
        <v>0</v>
      </c>
      <c r="E32" s="318">
        <f>+((E31-E30)/E30)*100</f>
        <v>-100</v>
      </c>
      <c r="F32" s="318"/>
      <c r="G32" s="318"/>
      <c r="H32" s="318"/>
      <c r="I32" s="318">
        <f>+((I31-I30)/I30)*100</f>
        <v>1.6002254482306881</v>
      </c>
      <c r="J32" s="318"/>
      <c r="K32" s="318"/>
      <c r="L32" s="318"/>
      <c r="M32" s="318"/>
      <c r="N32" s="318"/>
      <c r="O32" s="318"/>
      <c r="P32" s="318"/>
      <c r="Q32" s="318">
        <f>+((Q31-Q30)/Q30)*100</f>
        <v>1.6002254482306881</v>
      </c>
      <c r="R32" s="336"/>
    </row>
    <row r="33" spans="1:18" ht="12">
      <c r="A33" s="22" t="s">
        <v>253</v>
      </c>
      <c r="B33" s="41">
        <v>2019</v>
      </c>
      <c r="C33" s="308"/>
      <c r="D33" s="309"/>
      <c r="E33" s="309"/>
      <c r="F33" s="309"/>
      <c r="G33" s="309"/>
      <c r="H33" s="309"/>
      <c r="I33" s="324">
        <f>SUM(C33:H33)</f>
        <v>0</v>
      </c>
      <c r="J33" s="308"/>
      <c r="K33" s="309"/>
      <c r="L33" s="309"/>
      <c r="M33" s="309"/>
      <c r="N33" s="324">
        <f>SUM(J33:M33)</f>
        <v>0</v>
      </c>
      <c r="O33" s="310"/>
      <c r="P33" s="329"/>
      <c r="Q33" s="329">
        <f>SUM(I33+N33+P33)</f>
        <v>0</v>
      </c>
      <c r="R33" s="330"/>
    </row>
    <row r="34" spans="1:18" ht="12">
      <c r="A34" s="24"/>
      <c r="B34" s="16">
        <v>2020</v>
      </c>
      <c r="C34" s="311"/>
      <c r="D34" s="312"/>
      <c r="E34" s="312"/>
      <c r="F34" s="312"/>
      <c r="G34" s="312"/>
      <c r="H34" s="312"/>
      <c r="I34" s="325">
        <f>SUM(C34:H34)</f>
        <v>0</v>
      </c>
      <c r="J34" s="311"/>
      <c r="K34" s="312"/>
      <c r="L34" s="312">
        <v>0</v>
      </c>
      <c r="M34" s="312"/>
      <c r="N34" s="325">
        <f>SUM(J34:M34)</f>
        <v>0</v>
      </c>
      <c r="O34" s="313"/>
      <c r="P34" s="331"/>
      <c r="Q34" s="331">
        <f>SUM(I34+N34+P34)</f>
        <v>0</v>
      </c>
      <c r="R34" s="332"/>
    </row>
    <row r="35" spans="1:18" ht="12">
      <c r="A35" s="24"/>
      <c r="B35" s="16">
        <v>2021</v>
      </c>
      <c r="C35" s="311"/>
      <c r="D35" s="312"/>
      <c r="E35" s="312"/>
      <c r="F35" s="312"/>
      <c r="G35" s="312"/>
      <c r="H35" s="312"/>
      <c r="I35" s="325">
        <f>SUM(D35:H35)</f>
        <v>0</v>
      </c>
      <c r="J35" s="311"/>
      <c r="K35" s="312"/>
      <c r="L35" s="312"/>
      <c r="M35" s="312"/>
      <c r="N35" s="325">
        <f>SUM(J35:M35)</f>
        <v>0</v>
      </c>
      <c r="O35" s="313"/>
      <c r="P35" s="331"/>
      <c r="Q35" s="331">
        <f>SUM(I35+N35+P35)</f>
        <v>0</v>
      </c>
      <c r="R35" s="332"/>
    </row>
    <row r="36" spans="1:18" ht="12.75" thickBot="1">
      <c r="A36" s="26"/>
      <c r="B36" s="70" t="s">
        <v>411</v>
      </c>
      <c r="C36" s="317"/>
      <c r="D36" s="318"/>
      <c r="E36" s="318"/>
      <c r="F36" s="318"/>
      <c r="G36" s="318"/>
      <c r="H36" s="318"/>
      <c r="I36" s="327"/>
      <c r="J36" s="317"/>
      <c r="K36" s="318"/>
      <c r="L36" s="318"/>
      <c r="M36" s="318"/>
      <c r="N36" s="327"/>
      <c r="O36" s="319"/>
      <c r="P36" s="335"/>
      <c r="Q36" s="335"/>
      <c r="R36" s="336"/>
    </row>
    <row r="37" spans="1:18" ht="12">
      <c r="A37" s="22" t="s">
        <v>254</v>
      </c>
      <c r="B37" s="41">
        <v>2019</v>
      </c>
      <c r="C37" s="308"/>
      <c r="D37" s="309">
        <v>133636</v>
      </c>
      <c r="E37" s="309">
        <v>0</v>
      </c>
      <c r="F37" s="309">
        <v>115572</v>
      </c>
      <c r="G37" s="309"/>
      <c r="H37" s="309">
        <v>0</v>
      </c>
      <c r="I37" s="324">
        <f>SUM(C37:H37)</f>
        <v>249208</v>
      </c>
      <c r="J37" s="308"/>
      <c r="K37" s="309"/>
      <c r="L37" s="309">
        <v>0</v>
      </c>
      <c r="M37" s="309"/>
      <c r="N37" s="324">
        <f>SUM(J37:M37)</f>
        <v>0</v>
      </c>
      <c r="O37" s="310"/>
      <c r="P37" s="329"/>
      <c r="Q37" s="329">
        <f>SUM(I37+N37+P37)</f>
        <v>249208</v>
      </c>
      <c r="R37" s="330"/>
    </row>
    <row r="38" spans="1:18" ht="12">
      <c r="A38" s="24"/>
      <c r="B38" s="16">
        <v>2020</v>
      </c>
      <c r="C38" s="311"/>
      <c r="D38" s="312">
        <v>187561</v>
      </c>
      <c r="E38" s="312"/>
      <c r="F38" s="312">
        <v>102490</v>
      </c>
      <c r="G38" s="312"/>
      <c r="H38" s="312"/>
      <c r="I38" s="325">
        <f>SUM(C38:H38)</f>
        <v>290051</v>
      </c>
      <c r="J38" s="311"/>
      <c r="K38" s="312"/>
      <c r="L38" s="312"/>
      <c r="M38" s="312"/>
      <c r="N38" s="325">
        <f>SUM(J38:M38)</f>
        <v>0</v>
      </c>
      <c r="O38" s="313"/>
      <c r="P38" s="331"/>
      <c r="Q38" s="331">
        <f>SUM(I38+N38+P38)</f>
        <v>290051</v>
      </c>
      <c r="R38" s="332"/>
    </row>
    <row r="39" spans="1:18" ht="12">
      <c r="A39" s="24"/>
      <c r="B39" s="16">
        <v>2021</v>
      </c>
      <c r="C39" s="311"/>
      <c r="D39" s="312">
        <v>187561</v>
      </c>
      <c r="E39" s="312"/>
      <c r="F39" s="312">
        <v>105314</v>
      </c>
      <c r="G39" s="312"/>
      <c r="H39" s="312"/>
      <c r="I39" s="325">
        <f>SUM(C39:H39)</f>
        <v>292875</v>
      </c>
      <c r="J39" s="311"/>
      <c r="K39" s="312"/>
      <c r="L39" s="312"/>
      <c r="M39" s="312"/>
      <c r="N39" s="325">
        <f>SUM(J39:M39)</f>
        <v>0</v>
      </c>
      <c r="O39" s="313"/>
      <c r="P39" s="331"/>
      <c r="Q39" s="331">
        <f>SUM(I39+N39+P39)</f>
        <v>292875</v>
      </c>
      <c r="R39" s="332"/>
    </row>
    <row r="40" spans="1:18" ht="12.75" thickBot="1">
      <c r="A40" s="26"/>
      <c r="B40" s="70" t="s">
        <v>411</v>
      </c>
      <c r="C40" s="317"/>
      <c r="D40" s="318">
        <f>+((D39/D38)/D38)*100</f>
        <v>0.0005331598786528116</v>
      </c>
      <c r="E40" s="318"/>
      <c r="F40" s="318">
        <f>+((F39/F38)/F38)*100</f>
        <v>0.0010025894308696576</v>
      </c>
      <c r="G40" s="318"/>
      <c r="H40" s="318"/>
      <c r="I40" s="318">
        <f>+((I39/I38)/I38)*100</f>
        <v>0.0003481236812846362</v>
      </c>
      <c r="J40" s="318"/>
      <c r="K40" s="318"/>
      <c r="L40" s="318"/>
      <c r="M40" s="318"/>
      <c r="N40" s="318"/>
      <c r="O40" s="318"/>
      <c r="P40" s="318"/>
      <c r="Q40" s="318">
        <f>+((Q39/Q38)/Q38)*100</f>
        <v>0.0003481236812846362</v>
      </c>
      <c r="R40" s="336"/>
    </row>
    <row r="41" spans="1:18" ht="12">
      <c r="A41" s="22" t="s">
        <v>255</v>
      </c>
      <c r="B41" s="41">
        <v>2019</v>
      </c>
      <c r="C41" s="308"/>
      <c r="D41" s="309">
        <v>2387266</v>
      </c>
      <c r="E41" s="309">
        <v>0</v>
      </c>
      <c r="F41" s="309">
        <v>1978653</v>
      </c>
      <c r="G41" s="309">
        <v>0</v>
      </c>
      <c r="H41" s="309">
        <v>0</v>
      </c>
      <c r="I41" s="324">
        <f>SUM(C41:H41)</f>
        <v>4365919</v>
      </c>
      <c r="J41" s="308"/>
      <c r="K41" s="309"/>
      <c r="L41" s="309">
        <v>4186676</v>
      </c>
      <c r="M41" s="309">
        <v>0</v>
      </c>
      <c r="N41" s="324">
        <f>SUM(J41:M41)</f>
        <v>4186676</v>
      </c>
      <c r="O41" s="310"/>
      <c r="P41" s="329"/>
      <c r="Q41" s="329">
        <f>SUM(I41+N41+P41)</f>
        <v>8552595</v>
      </c>
      <c r="R41" s="330"/>
    </row>
    <row r="42" spans="1:18" ht="12">
      <c r="A42" s="24"/>
      <c r="B42" s="16">
        <v>2020</v>
      </c>
      <c r="C42" s="311"/>
      <c r="D42" s="312">
        <v>1519611</v>
      </c>
      <c r="E42" s="312"/>
      <c r="F42" s="312">
        <v>1792275</v>
      </c>
      <c r="G42" s="312"/>
      <c r="H42" s="312"/>
      <c r="I42" s="325">
        <f>SUM(C42:H42)</f>
        <v>3311886</v>
      </c>
      <c r="J42" s="311"/>
      <c r="K42" s="312"/>
      <c r="L42" s="312">
        <v>3830000</v>
      </c>
      <c r="M42" s="312"/>
      <c r="N42" s="325">
        <f>SUM(J42:M42)</f>
        <v>3830000</v>
      </c>
      <c r="O42" s="313"/>
      <c r="P42" s="331"/>
      <c r="Q42" s="331">
        <f>SUM(I42+N42+P42)</f>
        <v>7141886</v>
      </c>
      <c r="R42" s="332"/>
    </row>
    <row r="43" spans="1:18" ht="12">
      <c r="A43" s="24"/>
      <c r="B43" s="16">
        <v>2021</v>
      </c>
      <c r="C43" s="311"/>
      <c r="D43" s="312">
        <v>2446865</v>
      </c>
      <c r="E43" s="312"/>
      <c r="F43" s="312">
        <v>1615973</v>
      </c>
      <c r="G43" s="312"/>
      <c r="H43" s="312"/>
      <c r="I43" s="325">
        <f>SUM(C43:H43)</f>
        <v>4062838</v>
      </c>
      <c r="J43" s="311"/>
      <c r="K43" s="312"/>
      <c r="L43" s="312">
        <v>10834004</v>
      </c>
      <c r="M43" s="312"/>
      <c r="N43" s="325">
        <f>SUM(J43:M43)</f>
        <v>10834004</v>
      </c>
      <c r="O43" s="313"/>
      <c r="P43" s="331"/>
      <c r="Q43" s="331">
        <f>SUM(I43+N43+P43)</f>
        <v>14896842</v>
      </c>
      <c r="R43" s="332"/>
    </row>
    <row r="44" spans="1:18" ht="12.75" thickBot="1">
      <c r="A44" s="26"/>
      <c r="B44" s="70" t="s">
        <v>411</v>
      </c>
      <c r="C44" s="317"/>
      <c r="D44" s="318">
        <f>+((D43-D42)/D42)*100</f>
        <v>61.01916872146885</v>
      </c>
      <c r="E44" s="318"/>
      <c r="F44" s="318">
        <f>+((F43-F42)/F42)*100</f>
        <v>-9.836771700771365</v>
      </c>
      <c r="G44" s="318"/>
      <c r="H44" s="318"/>
      <c r="I44" s="318">
        <f>+((I43-I42)/I42)*100</f>
        <v>22.674451958793266</v>
      </c>
      <c r="J44" s="318"/>
      <c r="K44" s="318"/>
      <c r="L44" s="318">
        <f>+((L43-L42)/L42)*100</f>
        <v>182.87216710182767</v>
      </c>
      <c r="M44" s="318"/>
      <c r="N44" s="318">
        <f>+((N43-N42)/N42)*100</f>
        <v>182.87216710182767</v>
      </c>
      <c r="O44" s="318"/>
      <c r="P44" s="318"/>
      <c r="Q44" s="318">
        <f>+((Q43-Q42)/Q42)*100</f>
        <v>108.5841471006398</v>
      </c>
      <c r="R44" s="336"/>
    </row>
    <row r="45" spans="1:18" ht="12">
      <c r="A45" s="22" t="s">
        <v>256</v>
      </c>
      <c r="B45" s="41">
        <v>2019</v>
      </c>
      <c r="C45" s="308"/>
      <c r="D45" s="309">
        <v>65744</v>
      </c>
      <c r="E45" s="309">
        <v>0</v>
      </c>
      <c r="F45" s="309">
        <v>23780</v>
      </c>
      <c r="G45" s="309"/>
      <c r="H45" s="309">
        <v>0</v>
      </c>
      <c r="I45" s="324">
        <f>SUM(C45:H45)</f>
        <v>89524</v>
      </c>
      <c r="J45" s="308"/>
      <c r="K45" s="309"/>
      <c r="L45" s="309">
        <v>0</v>
      </c>
      <c r="M45" s="309">
        <v>0</v>
      </c>
      <c r="N45" s="324">
        <f>SUM(J45:M45)</f>
        <v>0</v>
      </c>
      <c r="O45" s="310"/>
      <c r="P45" s="329"/>
      <c r="Q45" s="329">
        <f>SUM(I45+N45+P45)</f>
        <v>89524</v>
      </c>
      <c r="R45" s="330"/>
    </row>
    <row r="46" spans="1:18" ht="12">
      <c r="A46" s="24"/>
      <c r="B46" s="16">
        <v>2020</v>
      </c>
      <c r="C46" s="311"/>
      <c r="D46" s="312">
        <v>55752</v>
      </c>
      <c r="E46" s="312"/>
      <c r="F46" s="312">
        <v>47959</v>
      </c>
      <c r="G46" s="312"/>
      <c r="H46" s="312"/>
      <c r="I46" s="325">
        <f>SUM(C46:H46)</f>
        <v>103711</v>
      </c>
      <c r="J46" s="311"/>
      <c r="K46" s="312"/>
      <c r="L46" s="312"/>
      <c r="M46" s="312"/>
      <c r="N46" s="325">
        <f>SUM(J46:M46)</f>
        <v>0</v>
      </c>
      <c r="O46" s="313"/>
      <c r="P46" s="331"/>
      <c r="Q46" s="331">
        <f>SUM(I46+N46+P46)</f>
        <v>103711</v>
      </c>
      <c r="R46" s="332"/>
    </row>
    <row r="47" spans="1:18" ht="12">
      <c r="A47" s="24"/>
      <c r="B47" s="16">
        <v>2021</v>
      </c>
      <c r="C47" s="311"/>
      <c r="D47" s="312">
        <v>55752</v>
      </c>
      <c r="E47" s="312"/>
      <c r="F47" s="312">
        <v>32959</v>
      </c>
      <c r="G47" s="312"/>
      <c r="H47" s="312"/>
      <c r="I47" s="325">
        <f>SUM(C47:H47)</f>
        <v>88711</v>
      </c>
      <c r="J47" s="311"/>
      <c r="K47" s="312"/>
      <c r="L47" s="312"/>
      <c r="M47" s="312"/>
      <c r="N47" s="325">
        <f>SUM(J47:M47)</f>
        <v>0</v>
      </c>
      <c r="O47" s="313"/>
      <c r="P47" s="331"/>
      <c r="Q47" s="331">
        <f>SUM(I47+N47+P47)</f>
        <v>88711</v>
      </c>
      <c r="R47" s="332"/>
    </row>
    <row r="48" spans="1:18" ht="12.75" thickBot="1">
      <c r="A48" s="26"/>
      <c r="B48" s="70" t="s">
        <v>411</v>
      </c>
      <c r="C48" s="317"/>
      <c r="D48" s="318">
        <f>+((D47-D46)/D46)*100</f>
        <v>0</v>
      </c>
      <c r="E48" s="318"/>
      <c r="F48" s="318">
        <f>+((F47-F46)/F46)*100</f>
        <v>-31.276715527846704</v>
      </c>
      <c r="G48" s="318"/>
      <c r="H48" s="318"/>
      <c r="I48" s="318">
        <f>+((I47-I46)/I46)*100</f>
        <v>-14.46326812006441</v>
      </c>
      <c r="J48" s="318"/>
      <c r="K48" s="318"/>
      <c r="L48" s="318"/>
      <c r="M48" s="318"/>
      <c r="N48" s="318"/>
      <c r="O48" s="318"/>
      <c r="P48" s="318"/>
      <c r="Q48" s="318">
        <f>+((Q47-Q46)/Q46)*100</f>
        <v>-14.46326812006441</v>
      </c>
      <c r="R48" s="339"/>
    </row>
    <row r="49" spans="1:18" ht="12">
      <c r="A49" s="22" t="s">
        <v>257</v>
      </c>
      <c r="B49" s="41">
        <v>2019</v>
      </c>
      <c r="C49" s="308"/>
      <c r="D49" s="309"/>
      <c r="E49" s="309"/>
      <c r="F49" s="309"/>
      <c r="G49" s="309"/>
      <c r="H49" s="309"/>
      <c r="I49" s="324">
        <f>SUM(C49:H49)</f>
        <v>0</v>
      </c>
      <c r="J49" s="308"/>
      <c r="K49" s="309"/>
      <c r="L49" s="309"/>
      <c r="M49" s="309"/>
      <c r="N49" s="324">
        <f>SUM(J49:M49)</f>
        <v>0</v>
      </c>
      <c r="O49" s="310"/>
      <c r="P49" s="329"/>
      <c r="Q49" s="329">
        <f>SUM(I49+N49+P49)</f>
        <v>0</v>
      </c>
      <c r="R49" s="330"/>
    </row>
    <row r="50" spans="1:18" ht="12">
      <c r="A50" s="24"/>
      <c r="B50" s="16">
        <v>2020</v>
      </c>
      <c r="C50" s="311"/>
      <c r="D50" s="312"/>
      <c r="E50" s="312"/>
      <c r="F50" s="312"/>
      <c r="G50" s="312"/>
      <c r="H50" s="312"/>
      <c r="I50" s="325">
        <f>SUM(D50:H50)</f>
        <v>0</v>
      </c>
      <c r="J50" s="311"/>
      <c r="K50" s="312"/>
      <c r="L50" s="312">
        <v>1000000</v>
      </c>
      <c r="M50" s="312"/>
      <c r="N50" s="325">
        <f>SUM(J50:M50)</f>
        <v>1000000</v>
      </c>
      <c r="O50" s="313"/>
      <c r="P50" s="331"/>
      <c r="Q50" s="331">
        <f>SUM(I50+N50+P50)</f>
        <v>1000000</v>
      </c>
      <c r="R50" s="332"/>
    </row>
    <row r="51" spans="1:18" ht="12">
      <c r="A51" s="24"/>
      <c r="B51" s="16">
        <v>2021</v>
      </c>
      <c r="C51" s="311"/>
      <c r="D51" s="312"/>
      <c r="E51" s="312"/>
      <c r="F51" s="312"/>
      <c r="G51" s="312"/>
      <c r="H51" s="312"/>
      <c r="I51" s="325">
        <f>SUM(C51:H51)</f>
        <v>0</v>
      </c>
      <c r="J51" s="311"/>
      <c r="K51" s="312"/>
      <c r="L51" s="312">
        <v>9000</v>
      </c>
      <c r="M51" s="312"/>
      <c r="N51" s="325">
        <f>SUM(J51:M51)</f>
        <v>9000</v>
      </c>
      <c r="O51" s="313"/>
      <c r="P51" s="331"/>
      <c r="Q51" s="331">
        <f>SUM(I51+N51+P51)</f>
        <v>9000</v>
      </c>
      <c r="R51" s="332"/>
    </row>
    <row r="52" spans="1:18" ht="12.75" thickBot="1">
      <c r="A52" s="26"/>
      <c r="B52" s="70" t="s">
        <v>411</v>
      </c>
      <c r="C52" s="317"/>
      <c r="D52" s="318"/>
      <c r="E52" s="318"/>
      <c r="F52" s="318"/>
      <c r="G52" s="318"/>
      <c r="H52" s="318"/>
      <c r="I52" s="318"/>
      <c r="J52" s="318"/>
      <c r="K52" s="318"/>
      <c r="L52" s="318">
        <f aca="true" t="shared" si="0" ref="L52:Q52">+((L51-L50)/L50)*100</f>
        <v>-99.1</v>
      </c>
      <c r="M52" s="318"/>
      <c r="N52" s="318">
        <f t="shared" si="0"/>
        <v>-99.1</v>
      </c>
      <c r="O52" s="318"/>
      <c r="P52" s="318"/>
      <c r="Q52" s="318">
        <f t="shared" si="0"/>
        <v>-99.1</v>
      </c>
      <c r="R52" s="336"/>
    </row>
    <row r="53" spans="1:18" ht="12">
      <c r="A53" s="22" t="s">
        <v>258</v>
      </c>
      <c r="B53" s="41">
        <v>2019</v>
      </c>
      <c r="C53" s="308"/>
      <c r="D53" s="309">
        <v>0</v>
      </c>
      <c r="E53" s="309">
        <v>0</v>
      </c>
      <c r="F53" s="309">
        <v>81099</v>
      </c>
      <c r="G53" s="309"/>
      <c r="H53" s="309">
        <v>0</v>
      </c>
      <c r="I53" s="324">
        <f>SUM(C53:H53)</f>
        <v>81099</v>
      </c>
      <c r="J53" s="308"/>
      <c r="K53" s="309"/>
      <c r="L53" s="309">
        <v>225491</v>
      </c>
      <c r="M53" s="309"/>
      <c r="N53" s="324">
        <f>SUM(J53:M53)</f>
        <v>225491</v>
      </c>
      <c r="O53" s="310"/>
      <c r="P53" s="329"/>
      <c r="Q53" s="329">
        <f>SUM(I53+N53+P53)</f>
        <v>306590</v>
      </c>
      <c r="R53" s="330"/>
    </row>
    <row r="54" spans="1:18" ht="12">
      <c r="A54" s="24"/>
      <c r="B54" s="16">
        <v>2020</v>
      </c>
      <c r="C54" s="311"/>
      <c r="D54" s="312">
        <v>105684</v>
      </c>
      <c r="E54" s="312"/>
      <c r="F54" s="312">
        <v>81509</v>
      </c>
      <c r="G54" s="312"/>
      <c r="H54" s="312"/>
      <c r="I54" s="325">
        <f>SUM(C54:H54)</f>
        <v>187193</v>
      </c>
      <c r="J54" s="311"/>
      <c r="K54" s="312"/>
      <c r="L54" s="312"/>
      <c r="M54" s="312"/>
      <c r="N54" s="325">
        <f>SUM(J54:M54)</f>
        <v>0</v>
      </c>
      <c r="O54" s="313"/>
      <c r="P54" s="331"/>
      <c r="Q54" s="331">
        <f>SUM(I54+N54+P54)</f>
        <v>187193</v>
      </c>
      <c r="R54" s="332"/>
    </row>
    <row r="55" spans="1:18" ht="12">
      <c r="A55" s="24"/>
      <c r="B55" s="16">
        <v>2021</v>
      </c>
      <c r="C55" s="311"/>
      <c r="D55" s="312">
        <v>105684</v>
      </c>
      <c r="E55" s="312"/>
      <c r="F55" s="312">
        <v>101740</v>
      </c>
      <c r="G55" s="312"/>
      <c r="H55" s="312"/>
      <c r="I55" s="325">
        <f>SUM(C55:H55)</f>
        <v>207424</v>
      </c>
      <c r="J55" s="311"/>
      <c r="K55" s="312"/>
      <c r="L55" s="312"/>
      <c r="M55" s="312"/>
      <c r="N55" s="325">
        <f>SUM(J55:M55)</f>
        <v>0</v>
      </c>
      <c r="O55" s="313"/>
      <c r="P55" s="331"/>
      <c r="Q55" s="331">
        <f>SUM(I55+N55+P55)</f>
        <v>207424</v>
      </c>
      <c r="R55" s="332"/>
    </row>
    <row r="56" spans="1:18" ht="12.75" thickBot="1">
      <c r="A56" s="26"/>
      <c r="B56" s="70" t="s">
        <v>411</v>
      </c>
      <c r="C56" s="317"/>
      <c r="D56" s="318">
        <f>+((D55-D54)/D54)*100</f>
        <v>0</v>
      </c>
      <c r="E56" s="318"/>
      <c r="F56" s="318">
        <f>+((F55-F54)/F54)*100</f>
        <v>24.820571961378498</v>
      </c>
      <c r="G56" s="318"/>
      <c r="H56" s="318"/>
      <c r="I56" s="318">
        <f>+((I55-I54)/I54)*100</f>
        <v>10.807562248588356</v>
      </c>
      <c r="J56" s="318"/>
      <c r="K56" s="318"/>
      <c r="L56" s="318"/>
      <c r="M56" s="318"/>
      <c r="N56" s="318"/>
      <c r="O56" s="318"/>
      <c r="P56" s="318"/>
      <c r="Q56" s="318">
        <f>+((Q55-Q54)/Q54)*100</f>
        <v>10.807562248588356</v>
      </c>
      <c r="R56" s="336"/>
    </row>
    <row r="57" spans="1:18" ht="12">
      <c r="A57" s="22" t="s">
        <v>259</v>
      </c>
      <c r="B57" s="41">
        <v>2019</v>
      </c>
      <c r="C57" s="308"/>
      <c r="D57" s="309">
        <v>93736</v>
      </c>
      <c r="E57" s="309">
        <v>0</v>
      </c>
      <c r="F57" s="309">
        <v>159266</v>
      </c>
      <c r="G57" s="309"/>
      <c r="H57" s="309">
        <v>0</v>
      </c>
      <c r="I57" s="324">
        <f>SUM(C57:H57)</f>
        <v>253002</v>
      </c>
      <c r="J57" s="308"/>
      <c r="K57" s="309"/>
      <c r="L57" s="309">
        <v>0</v>
      </c>
      <c r="M57" s="309">
        <v>0</v>
      </c>
      <c r="N57" s="324">
        <f>SUM(J57:M57)</f>
        <v>0</v>
      </c>
      <c r="O57" s="310"/>
      <c r="P57" s="329"/>
      <c r="Q57" s="329">
        <f>SUM(I57+N57+P57)</f>
        <v>253002</v>
      </c>
      <c r="R57" s="330"/>
    </row>
    <row r="58" spans="1:18" ht="12">
      <c r="A58" s="24"/>
      <c r="B58" s="16">
        <v>2020</v>
      </c>
      <c r="C58" s="311"/>
      <c r="D58" s="312">
        <v>93736</v>
      </c>
      <c r="E58" s="312"/>
      <c r="F58" s="312">
        <v>119465</v>
      </c>
      <c r="G58" s="312"/>
      <c r="H58" s="312"/>
      <c r="I58" s="325">
        <f>SUM(C58:H58)</f>
        <v>213201</v>
      </c>
      <c r="J58" s="311"/>
      <c r="K58" s="312"/>
      <c r="L58" s="312"/>
      <c r="M58" s="312"/>
      <c r="N58" s="325">
        <f>SUM(J58:M58)</f>
        <v>0</v>
      </c>
      <c r="O58" s="313"/>
      <c r="P58" s="331"/>
      <c r="Q58" s="331">
        <f>SUM(I58+N58+P58)</f>
        <v>213201</v>
      </c>
      <c r="R58" s="332"/>
    </row>
    <row r="59" spans="1:18" ht="12">
      <c r="A59" s="24"/>
      <c r="B59" s="16">
        <v>2021</v>
      </c>
      <c r="C59" s="311"/>
      <c r="D59" s="312">
        <v>93736</v>
      </c>
      <c r="E59" s="312"/>
      <c r="F59" s="312">
        <v>90885</v>
      </c>
      <c r="G59" s="312"/>
      <c r="H59" s="312"/>
      <c r="I59" s="325">
        <f>SUM(C59:H59)</f>
        <v>184621</v>
      </c>
      <c r="J59" s="311"/>
      <c r="K59" s="312"/>
      <c r="L59" s="312"/>
      <c r="M59" s="312"/>
      <c r="N59" s="325">
        <f>SUM(J59:M59)</f>
        <v>0</v>
      </c>
      <c r="O59" s="313"/>
      <c r="P59" s="331"/>
      <c r="Q59" s="331">
        <f>SUM(I59+N59+P59)</f>
        <v>184621</v>
      </c>
      <c r="R59" s="332"/>
    </row>
    <row r="60" spans="1:18" ht="12.75" thickBot="1">
      <c r="A60" s="26"/>
      <c r="B60" s="70" t="s">
        <v>411</v>
      </c>
      <c r="C60" s="317"/>
      <c r="D60" s="318">
        <f>+((D59-D58)/D58)*100</f>
        <v>0</v>
      </c>
      <c r="E60" s="318"/>
      <c r="F60" s="318">
        <f>+((F59-F58)/F58)*100</f>
        <v>-23.923324823169967</v>
      </c>
      <c r="G60" s="318"/>
      <c r="H60" s="318"/>
      <c r="I60" s="318">
        <f>+((I59-I58)/I58)*100</f>
        <v>-13.40519040717445</v>
      </c>
      <c r="J60" s="318"/>
      <c r="K60" s="318"/>
      <c r="L60" s="318"/>
      <c r="M60" s="318"/>
      <c r="N60" s="318"/>
      <c r="O60" s="318"/>
      <c r="P60" s="318"/>
      <c r="Q60" s="318">
        <f>+((Q59-Q58)/Q58)*100</f>
        <v>-13.40519040717445</v>
      </c>
      <c r="R60" s="336"/>
    </row>
    <row r="61" spans="1:18" ht="12">
      <c r="A61" s="22" t="s">
        <v>260</v>
      </c>
      <c r="B61" s="41">
        <v>2019</v>
      </c>
      <c r="C61" s="308"/>
      <c r="D61" s="309">
        <v>997678</v>
      </c>
      <c r="E61" s="309">
        <v>15000</v>
      </c>
      <c r="F61" s="309">
        <v>4501880</v>
      </c>
      <c r="G61" s="309"/>
      <c r="H61" s="309">
        <v>0</v>
      </c>
      <c r="I61" s="324">
        <f>SUM(C61:H61)</f>
        <v>5514558</v>
      </c>
      <c r="J61" s="308">
        <v>0</v>
      </c>
      <c r="K61" s="309"/>
      <c r="L61" s="309">
        <v>65858732</v>
      </c>
      <c r="M61" s="309"/>
      <c r="N61" s="324">
        <f>SUM(J61:M61)</f>
        <v>65858732</v>
      </c>
      <c r="O61" s="310"/>
      <c r="P61" s="329"/>
      <c r="Q61" s="329">
        <f>SUM(I61+N61+P61)</f>
        <v>71373290</v>
      </c>
      <c r="R61" s="330"/>
    </row>
    <row r="62" spans="1:18" ht="12">
      <c r="A62" s="24"/>
      <c r="B62" s="16">
        <v>2020</v>
      </c>
      <c r="C62" s="311"/>
      <c r="D62" s="312">
        <v>1225600</v>
      </c>
      <c r="E62" s="312">
        <v>25001</v>
      </c>
      <c r="F62" s="312">
        <v>12643462</v>
      </c>
      <c r="G62" s="312"/>
      <c r="H62" s="312"/>
      <c r="I62" s="325">
        <f>SUM(C62:H62)</f>
        <v>13894063</v>
      </c>
      <c r="J62" s="311"/>
      <c r="K62" s="312"/>
      <c r="L62" s="312">
        <v>77758522</v>
      </c>
      <c r="M62" s="312"/>
      <c r="N62" s="325">
        <f>SUM(J62:M62)</f>
        <v>77758522</v>
      </c>
      <c r="O62" s="313"/>
      <c r="P62" s="331"/>
      <c r="Q62" s="331">
        <f>SUM(I62+N62+P62)</f>
        <v>91652585</v>
      </c>
      <c r="R62" s="332"/>
    </row>
    <row r="63" spans="1:18" ht="12">
      <c r="A63" s="24"/>
      <c r="B63" s="16">
        <v>2021</v>
      </c>
      <c r="C63" s="311"/>
      <c r="D63" s="312">
        <v>1233965</v>
      </c>
      <c r="E63" s="312">
        <v>25001</v>
      </c>
      <c r="F63" s="312">
        <v>3043186</v>
      </c>
      <c r="G63" s="312"/>
      <c r="H63" s="312"/>
      <c r="I63" s="325">
        <f>SUM(C63:H63)</f>
        <v>4302152</v>
      </c>
      <c r="J63" s="311"/>
      <c r="K63" s="312"/>
      <c r="L63" s="312">
        <v>116542906</v>
      </c>
      <c r="M63" s="312"/>
      <c r="N63" s="325">
        <f>SUM(J63:M63)</f>
        <v>116542906</v>
      </c>
      <c r="O63" s="313"/>
      <c r="P63" s="331"/>
      <c r="Q63" s="331">
        <f>SUM(I63+N63+P63)</f>
        <v>120845058</v>
      </c>
      <c r="R63" s="332"/>
    </row>
    <row r="64" spans="1:18" ht="12.75" thickBot="1">
      <c r="A64" s="26"/>
      <c r="B64" s="70" t="s">
        <v>411</v>
      </c>
      <c r="C64" s="317"/>
      <c r="D64" s="318">
        <f>+((D63-D62)/D62)*100</f>
        <v>0.6825228459530026</v>
      </c>
      <c r="E64" s="318">
        <f aca="true" t="shared" si="1" ref="E64:Q64">+((E63-E62)/E62)*100</f>
        <v>0</v>
      </c>
      <c r="F64" s="318">
        <f t="shared" si="1"/>
        <v>-75.93075377614139</v>
      </c>
      <c r="G64" s="318"/>
      <c r="H64" s="318"/>
      <c r="I64" s="318">
        <f t="shared" si="1"/>
        <v>-69.03604078950843</v>
      </c>
      <c r="J64" s="318"/>
      <c r="K64" s="318"/>
      <c r="L64" s="318">
        <f t="shared" si="1"/>
        <v>49.87798507795711</v>
      </c>
      <c r="M64" s="318"/>
      <c r="N64" s="318">
        <f t="shared" si="1"/>
        <v>49.87798507795711</v>
      </c>
      <c r="O64" s="318"/>
      <c r="P64" s="318"/>
      <c r="Q64" s="318">
        <f t="shared" si="1"/>
        <v>31.851227109415408</v>
      </c>
      <c r="R64" s="336"/>
    </row>
    <row r="65" spans="1:18" ht="12">
      <c r="A65" s="22" t="s">
        <v>261</v>
      </c>
      <c r="B65" s="41">
        <v>2019</v>
      </c>
      <c r="C65" s="308"/>
      <c r="D65" s="309">
        <v>50434</v>
      </c>
      <c r="E65" s="309"/>
      <c r="F65" s="309">
        <v>5000</v>
      </c>
      <c r="G65" s="309"/>
      <c r="H65" s="309">
        <v>0</v>
      </c>
      <c r="I65" s="324">
        <f>SUM(C65:H65)</f>
        <v>55434</v>
      </c>
      <c r="J65" s="308"/>
      <c r="K65" s="309"/>
      <c r="L65" s="309">
        <v>0</v>
      </c>
      <c r="M65" s="309"/>
      <c r="N65" s="324">
        <f>SUM(J65:M65)</f>
        <v>0</v>
      </c>
      <c r="O65" s="310"/>
      <c r="P65" s="329"/>
      <c r="Q65" s="329">
        <f>SUM(I65+N65+P65)</f>
        <v>55434</v>
      </c>
      <c r="R65" s="330"/>
    </row>
    <row r="66" spans="1:18" ht="12">
      <c r="A66" s="24"/>
      <c r="B66" s="16">
        <v>2020</v>
      </c>
      <c r="C66" s="311"/>
      <c r="D66" s="312"/>
      <c r="E66" s="312"/>
      <c r="F66" s="312">
        <v>142000</v>
      </c>
      <c r="G66" s="312"/>
      <c r="H66" s="312"/>
      <c r="I66" s="325">
        <f>SUM(C66:H66)</f>
        <v>142000</v>
      </c>
      <c r="J66" s="311"/>
      <c r="K66" s="312"/>
      <c r="L66" s="312"/>
      <c r="M66" s="312"/>
      <c r="N66" s="325">
        <f>SUM(J66:M66)</f>
        <v>0</v>
      </c>
      <c r="O66" s="313"/>
      <c r="P66" s="331"/>
      <c r="Q66" s="331">
        <f>SUM(I66+N66+P66)</f>
        <v>142000</v>
      </c>
      <c r="R66" s="332"/>
    </row>
    <row r="67" spans="1:18" ht="12">
      <c r="A67" s="24"/>
      <c r="B67" s="16">
        <v>2021</v>
      </c>
      <c r="C67" s="311"/>
      <c r="D67" s="312"/>
      <c r="E67" s="312"/>
      <c r="F67" s="312">
        <v>6000</v>
      </c>
      <c r="G67" s="312"/>
      <c r="H67" s="312"/>
      <c r="I67" s="325">
        <f>SUM(C67:H67)</f>
        <v>6000</v>
      </c>
      <c r="J67" s="311"/>
      <c r="K67" s="312"/>
      <c r="L67" s="312"/>
      <c r="M67" s="312"/>
      <c r="N67" s="325">
        <f>SUM(J67:M67)</f>
        <v>0</v>
      </c>
      <c r="O67" s="313"/>
      <c r="P67" s="331"/>
      <c r="Q67" s="331">
        <f>SUM(I67+N67+P67)</f>
        <v>6000</v>
      </c>
      <c r="R67" s="332"/>
    </row>
    <row r="68" spans="1:18" ht="12.75" thickBot="1">
      <c r="A68" s="26"/>
      <c r="B68" s="70" t="s">
        <v>411</v>
      </c>
      <c r="C68" s="317"/>
      <c r="D68" s="318"/>
      <c r="E68" s="318"/>
      <c r="F68" s="318">
        <f>+((F67-F66)/F66)*100</f>
        <v>-95.77464788732394</v>
      </c>
      <c r="G68" s="318"/>
      <c r="H68" s="318"/>
      <c r="I68" s="318">
        <f>+((I67-I66)/I66)*100</f>
        <v>-95.77464788732394</v>
      </c>
      <c r="J68" s="318"/>
      <c r="K68" s="318"/>
      <c r="L68" s="318"/>
      <c r="M68" s="318"/>
      <c r="N68" s="318"/>
      <c r="O68" s="318"/>
      <c r="P68" s="318"/>
      <c r="Q68" s="318">
        <f>+((Q67-Q66)/Q66)*100</f>
        <v>-95.77464788732394</v>
      </c>
      <c r="R68" s="336"/>
    </row>
    <row r="69" spans="1:18" ht="12">
      <c r="A69" s="22" t="s">
        <v>262</v>
      </c>
      <c r="B69" s="41">
        <v>2019</v>
      </c>
      <c r="C69" s="308"/>
      <c r="D69" s="309"/>
      <c r="E69" s="309"/>
      <c r="F69" s="309"/>
      <c r="G69" s="309"/>
      <c r="H69" s="309"/>
      <c r="I69" s="324">
        <f>SUM(C69:H69)</f>
        <v>0</v>
      </c>
      <c r="J69" s="308"/>
      <c r="K69" s="309"/>
      <c r="L69" s="309">
        <v>0</v>
      </c>
      <c r="M69" s="309"/>
      <c r="N69" s="324">
        <f>SUM(J69:M69)</f>
        <v>0</v>
      </c>
      <c r="O69" s="310"/>
      <c r="P69" s="329"/>
      <c r="Q69" s="329">
        <f>SUM(I69+N69+P69)</f>
        <v>0</v>
      </c>
      <c r="R69" s="330"/>
    </row>
    <row r="70" spans="1:18" ht="12">
      <c r="A70" s="24"/>
      <c r="B70" s="16">
        <v>2020</v>
      </c>
      <c r="C70" s="311"/>
      <c r="D70" s="312"/>
      <c r="E70" s="312"/>
      <c r="F70" s="312"/>
      <c r="G70" s="312"/>
      <c r="H70" s="312"/>
      <c r="I70" s="325">
        <f>SUM(C70:H70)</f>
        <v>0</v>
      </c>
      <c r="J70" s="311"/>
      <c r="K70" s="312"/>
      <c r="L70" s="312"/>
      <c r="M70" s="312"/>
      <c r="N70" s="325">
        <f>SUM(J70:M70)</f>
        <v>0</v>
      </c>
      <c r="O70" s="313"/>
      <c r="P70" s="331"/>
      <c r="Q70" s="331">
        <f>SUM(I70+N70+P70)</f>
        <v>0</v>
      </c>
      <c r="R70" s="332"/>
    </row>
    <row r="71" spans="1:18" ht="12">
      <c r="A71" s="24"/>
      <c r="B71" s="16">
        <v>2021</v>
      </c>
      <c r="C71" s="311"/>
      <c r="D71" s="312"/>
      <c r="E71" s="312"/>
      <c r="F71" s="312"/>
      <c r="G71" s="312"/>
      <c r="H71" s="312"/>
      <c r="I71" s="325">
        <f>SUM(C71:H71)</f>
        <v>0</v>
      </c>
      <c r="J71" s="311"/>
      <c r="K71" s="312"/>
      <c r="L71" s="312">
        <v>1000000</v>
      </c>
      <c r="M71" s="312"/>
      <c r="N71" s="325">
        <f>SUM(J71:M71)</f>
        <v>1000000</v>
      </c>
      <c r="O71" s="313"/>
      <c r="P71" s="331"/>
      <c r="Q71" s="331">
        <f>SUM(I71+N71+P71)</f>
        <v>1000000</v>
      </c>
      <c r="R71" s="332"/>
    </row>
    <row r="72" spans="1:18" ht="12.75" thickBot="1">
      <c r="A72" s="26"/>
      <c r="B72" s="70" t="s">
        <v>411</v>
      </c>
      <c r="C72" s="317"/>
      <c r="D72" s="318"/>
      <c r="E72" s="318"/>
      <c r="F72" s="318"/>
      <c r="G72" s="318"/>
      <c r="H72" s="318"/>
      <c r="I72" s="318"/>
      <c r="J72" s="318"/>
      <c r="K72" s="318"/>
      <c r="L72" s="318"/>
      <c r="M72" s="318"/>
      <c r="N72" s="318"/>
      <c r="O72" s="318"/>
      <c r="P72" s="318"/>
      <c r="Q72" s="318"/>
      <c r="R72" s="336"/>
    </row>
    <row r="73" spans="1:18" ht="12">
      <c r="A73" s="22" t="s">
        <v>491</v>
      </c>
      <c r="B73" s="41">
        <v>2019</v>
      </c>
      <c r="C73" s="308"/>
      <c r="D73" s="309">
        <v>0</v>
      </c>
      <c r="E73" s="309">
        <v>0</v>
      </c>
      <c r="F73" s="309">
        <v>0</v>
      </c>
      <c r="G73" s="309"/>
      <c r="H73" s="309">
        <v>0</v>
      </c>
      <c r="I73" s="324">
        <f>SUM(C73:H73)</f>
        <v>0</v>
      </c>
      <c r="J73" s="308"/>
      <c r="K73" s="309"/>
      <c r="L73" s="309">
        <v>16304496</v>
      </c>
      <c r="M73" s="309"/>
      <c r="N73" s="324">
        <f>SUM(J73:M73)</f>
        <v>16304496</v>
      </c>
      <c r="O73" s="310"/>
      <c r="P73" s="329"/>
      <c r="Q73" s="329">
        <f>SUM(I73+N73+P73)</f>
        <v>16304496</v>
      </c>
      <c r="R73" s="330"/>
    </row>
    <row r="74" spans="1:18" ht="12">
      <c r="A74" s="24"/>
      <c r="B74" s="16">
        <v>2020</v>
      </c>
      <c r="C74" s="311"/>
      <c r="D74" s="312"/>
      <c r="E74" s="312"/>
      <c r="F74" s="312">
        <v>180444</v>
      </c>
      <c r="G74" s="312"/>
      <c r="H74" s="312"/>
      <c r="I74" s="325">
        <f>SUM(C74:H74)</f>
        <v>180444</v>
      </c>
      <c r="J74" s="311"/>
      <c r="K74" s="312"/>
      <c r="L74" s="312">
        <v>14667965</v>
      </c>
      <c r="M74" s="312"/>
      <c r="N74" s="325">
        <f>SUM(J74:M74)</f>
        <v>14667965</v>
      </c>
      <c r="O74" s="313"/>
      <c r="P74" s="331"/>
      <c r="Q74" s="331">
        <f>SUM(I74+N74+P74)</f>
        <v>14848409</v>
      </c>
      <c r="R74" s="332"/>
    </row>
    <row r="75" spans="1:18" ht="12">
      <c r="A75" s="24"/>
      <c r="B75" s="16">
        <v>2021</v>
      </c>
      <c r="C75" s="311"/>
      <c r="D75" s="312"/>
      <c r="E75" s="312"/>
      <c r="F75" s="312">
        <v>172004</v>
      </c>
      <c r="G75" s="312"/>
      <c r="H75" s="312"/>
      <c r="I75" s="325">
        <f>SUM(C75:H75)</f>
        <v>172004</v>
      </c>
      <c r="J75" s="311"/>
      <c r="K75" s="312"/>
      <c r="L75" s="312">
        <v>29694664</v>
      </c>
      <c r="M75" s="312"/>
      <c r="N75" s="325">
        <f>SUM(J75:M75)</f>
        <v>29694664</v>
      </c>
      <c r="O75" s="313"/>
      <c r="P75" s="331"/>
      <c r="Q75" s="331">
        <f>SUM(I75+N75+P75)</f>
        <v>29866668</v>
      </c>
      <c r="R75" s="332"/>
    </row>
    <row r="76" spans="1:18" ht="12.75" thickBot="1">
      <c r="A76" s="26"/>
      <c r="B76" s="70" t="s">
        <v>411</v>
      </c>
      <c r="C76" s="317"/>
      <c r="D76" s="318"/>
      <c r="E76" s="318"/>
      <c r="F76" s="318">
        <f>+((F75-F74)/F74)*100</f>
        <v>-4.677351422047837</v>
      </c>
      <c r="G76" s="318"/>
      <c r="H76" s="318"/>
      <c r="I76" s="318">
        <f>+((I75-I74)/I74)*100</f>
        <v>-4.677351422047837</v>
      </c>
      <c r="J76" s="318"/>
      <c r="K76" s="318"/>
      <c r="L76" s="318">
        <f>+((L75-L74)/L74)*100</f>
        <v>102.44569713658302</v>
      </c>
      <c r="M76" s="318"/>
      <c r="N76" s="318">
        <f>+((N75-N74)/N74)*100</f>
        <v>102.44569713658302</v>
      </c>
      <c r="O76" s="318"/>
      <c r="P76" s="318"/>
      <c r="Q76" s="318">
        <f>+((Q75-Q74)/Q74)*100</f>
        <v>101.1438935982973</v>
      </c>
      <c r="R76" s="336"/>
    </row>
    <row r="77" spans="1:18" ht="12">
      <c r="A77" s="22" t="s">
        <v>263</v>
      </c>
      <c r="B77" s="41">
        <v>2019</v>
      </c>
      <c r="C77" s="308"/>
      <c r="D77" s="309">
        <v>172936</v>
      </c>
      <c r="E77" s="309">
        <v>0</v>
      </c>
      <c r="F77" s="309">
        <v>59091</v>
      </c>
      <c r="G77" s="309"/>
      <c r="H77" s="309">
        <v>0</v>
      </c>
      <c r="I77" s="324">
        <f>SUM(C77:H77)</f>
        <v>232027</v>
      </c>
      <c r="J77" s="308"/>
      <c r="K77" s="309">
        <v>0</v>
      </c>
      <c r="L77" s="309">
        <v>0</v>
      </c>
      <c r="M77" s="309"/>
      <c r="N77" s="324">
        <f>SUM(J77:M77)</f>
        <v>0</v>
      </c>
      <c r="O77" s="310"/>
      <c r="P77" s="329"/>
      <c r="Q77" s="329">
        <f>SUM(I77+N77+P77)</f>
        <v>232027</v>
      </c>
      <c r="R77" s="330"/>
    </row>
    <row r="78" spans="1:18" ht="12">
      <c r="A78" s="24"/>
      <c r="B78" s="16">
        <v>2020</v>
      </c>
      <c r="C78" s="311"/>
      <c r="D78" s="312">
        <v>164742</v>
      </c>
      <c r="E78" s="312"/>
      <c r="F78" s="312">
        <v>69449</v>
      </c>
      <c r="G78" s="312"/>
      <c r="H78" s="312"/>
      <c r="I78" s="325">
        <f>SUM(C78:H78)</f>
        <v>234191</v>
      </c>
      <c r="J78" s="311"/>
      <c r="K78" s="312"/>
      <c r="L78" s="312"/>
      <c r="M78" s="312"/>
      <c r="N78" s="325">
        <f>SUM(J78:M78)</f>
        <v>0</v>
      </c>
      <c r="O78" s="313"/>
      <c r="P78" s="331"/>
      <c r="Q78" s="331">
        <f>SUM(I78+N78+P78)</f>
        <v>234191</v>
      </c>
      <c r="R78" s="332"/>
    </row>
    <row r="79" spans="1:18" ht="12">
      <c r="A79" s="24"/>
      <c r="B79" s="16">
        <v>2021</v>
      </c>
      <c r="C79" s="311"/>
      <c r="D79" s="312">
        <v>173023</v>
      </c>
      <c r="E79" s="312"/>
      <c r="F79" s="312">
        <v>68533</v>
      </c>
      <c r="G79" s="312"/>
      <c r="H79" s="312"/>
      <c r="I79" s="325">
        <f>SUM(C79:H79)</f>
        <v>241556</v>
      </c>
      <c r="J79" s="311"/>
      <c r="K79" s="312"/>
      <c r="L79" s="312"/>
      <c r="M79" s="312"/>
      <c r="N79" s="325">
        <f>SUM(J79:M79)</f>
        <v>0</v>
      </c>
      <c r="O79" s="313"/>
      <c r="P79" s="331"/>
      <c r="Q79" s="331">
        <f>SUM(I79+N79+P79)</f>
        <v>241556</v>
      </c>
      <c r="R79" s="332"/>
    </row>
    <row r="80" spans="1:18" ht="12.75" thickBot="1">
      <c r="A80" s="26"/>
      <c r="B80" s="70" t="s">
        <v>411</v>
      </c>
      <c r="C80" s="317"/>
      <c r="D80" s="318">
        <f>+((D79-D78)/D78)*100</f>
        <v>5.026647727962511</v>
      </c>
      <c r="E80" s="318"/>
      <c r="F80" s="318">
        <f>+((F79-F78)/F78)*100</f>
        <v>-1.3189534766519315</v>
      </c>
      <c r="G80" s="318"/>
      <c r="H80" s="318"/>
      <c r="I80" s="318">
        <f>+((I79-I78)/I78)*100</f>
        <v>3.144868931769368</v>
      </c>
      <c r="J80" s="318"/>
      <c r="K80" s="318"/>
      <c r="L80" s="318"/>
      <c r="M80" s="318"/>
      <c r="N80" s="318"/>
      <c r="O80" s="318"/>
      <c r="P80" s="318"/>
      <c r="Q80" s="318">
        <f>+((Q79-Q78)/Q78)*100</f>
        <v>3.144868931769368</v>
      </c>
      <c r="R80" s="336"/>
    </row>
    <row r="81" spans="1:18" ht="12">
      <c r="A81" s="22" t="s">
        <v>264</v>
      </c>
      <c r="B81" s="41">
        <v>2019</v>
      </c>
      <c r="C81" s="308"/>
      <c r="D81" s="309">
        <v>58447733</v>
      </c>
      <c r="E81" s="309">
        <v>154955</v>
      </c>
      <c r="F81" s="309">
        <v>22188628</v>
      </c>
      <c r="G81" s="309">
        <v>0</v>
      </c>
      <c r="H81" s="309">
        <v>0</v>
      </c>
      <c r="I81" s="324">
        <f>SUM(C81:H81)</f>
        <v>80791316</v>
      </c>
      <c r="J81" s="308"/>
      <c r="K81" s="309">
        <v>0</v>
      </c>
      <c r="L81" s="340">
        <v>75167289</v>
      </c>
      <c r="M81" s="309"/>
      <c r="N81" s="324">
        <f>SUM(J81:M81)</f>
        <v>75167289</v>
      </c>
      <c r="O81" s="310"/>
      <c r="P81" s="329"/>
      <c r="Q81" s="329">
        <f>SUM(I81+N81+P81)</f>
        <v>155958605</v>
      </c>
      <c r="R81" s="330"/>
    </row>
    <row r="82" spans="1:18" ht="12">
      <c r="A82" s="24"/>
      <c r="B82" s="16">
        <v>2020</v>
      </c>
      <c r="C82" s="311"/>
      <c r="D82" s="312">
        <v>64029981</v>
      </c>
      <c r="E82" s="312">
        <v>160956</v>
      </c>
      <c r="F82" s="312">
        <v>22734312</v>
      </c>
      <c r="G82" s="312"/>
      <c r="H82" s="312"/>
      <c r="I82" s="325">
        <f>SUM(C82:H82)</f>
        <v>86925249</v>
      </c>
      <c r="J82" s="311"/>
      <c r="K82" s="312"/>
      <c r="L82" s="312">
        <v>10536386</v>
      </c>
      <c r="M82" s="312"/>
      <c r="N82" s="325">
        <f>SUM(J82:M82)</f>
        <v>10536386</v>
      </c>
      <c r="O82" s="313"/>
      <c r="P82" s="331"/>
      <c r="Q82" s="331">
        <f>SUM(I82+N82+P82)</f>
        <v>97461635</v>
      </c>
      <c r="R82" s="332"/>
    </row>
    <row r="83" spans="1:18" ht="12">
      <c r="A83" s="24"/>
      <c r="B83" s="16">
        <v>2021</v>
      </c>
      <c r="C83" s="311"/>
      <c r="D83" s="312">
        <v>67407806</v>
      </c>
      <c r="E83" s="312">
        <v>156795</v>
      </c>
      <c r="F83" s="312">
        <v>56985767</v>
      </c>
      <c r="G83" s="312"/>
      <c r="H83" s="312"/>
      <c r="I83" s="325">
        <f>SUM(C83:H83)</f>
        <v>124550368</v>
      </c>
      <c r="J83" s="311"/>
      <c r="K83" s="312"/>
      <c r="L83" s="312">
        <v>7548630</v>
      </c>
      <c r="M83" s="312"/>
      <c r="N83" s="325">
        <f>SUM(J83:M83)</f>
        <v>7548630</v>
      </c>
      <c r="O83" s="313"/>
      <c r="P83" s="331"/>
      <c r="Q83" s="331">
        <f>SUM(I83+N83+P83)</f>
        <v>132098998</v>
      </c>
      <c r="R83" s="332"/>
    </row>
    <row r="84" spans="1:18" ht="12.75" thickBot="1">
      <c r="A84" s="26"/>
      <c r="B84" s="70" t="s">
        <v>411</v>
      </c>
      <c r="C84" s="317"/>
      <c r="D84" s="318">
        <f>+((D83-D82)/D82)*100</f>
        <v>5.275380294115658</v>
      </c>
      <c r="E84" s="318">
        <f aca="true" t="shared" si="2" ref="E84:Q84">+((E83-E82)/E82)*100</f>
        <v>-2.5851785581152615</v>
      </c>
      <c r="F84" s="318">
        <f t="shared" si="2"/>
        <v>150.65973846052609</v>
      </c>
      <c r="G84" s="318"/>
      <c r="H84" s="318"/>
      <c r="I84" s="318">
        <f t="shared" si="2"/>
        <v>43.284453519368114</v>
      </c>
      <c r="J84" s="318"/>
      <c r="K84" s="318"/>
      <c r="L84" s="318">
        <f t="shared" si="2"/>
        <v>-28.356554135355328</v>
      </c>
      <c r="M84" s="318"/>
      <c r="N84" s="318">
        <f t="shared" si="2"/>
        <v>-28.356554135355328</v>
      </c>
      <c r="O84" s="318"/>
      <c r="P84" s="318"/>
      <c r="Q84" s="318">
        <f t="shared" si="2"/>
        <v>35.53948484447239</v>
      </c>
      <c r="R84" s="336"/>
    </row>
    <row r="85" spans="1:18" ht="12">
      <c r="A85" s="22" t="s">
        <v>265</v>
      </c>
      <c r="B85" s="41">
        <v>2019</v>
      </c>
      <c r="C85" s="308"/>
      <c r="D85" s="309">
        <v>0</v>
      </c>
      <c r="E85" s="309"/>
      <c r="F85" s="309">
        <v>0</v>
      </c>
      <c r="G85" s="309"/>
      <c r="H85" s="309">
        <v>0</v>
      </c>
      <c r="I85" s="324">
        <f>SUM(C85:H85)</f>
        <v>0</v>
      </c>
      <c r="J85" s="308">
        <v>0</v>
      </c>
      <c r="K85" s="309"/>
      <c r="L85" s="309">
        <v>0</v>
      </c>
      <c r="M85" s="309"/>
      <c r="N85" s="324">
        <f>SUM(J85:M85)</f>
        <v>0</v>
      </c>
      <c r="O85" s="310"/>
      <c r="P85" s="329"/>
      <c r="Q85" s="329">
        <f>SUM(I85+N85+P85)</f>
        <v>0</v>
      </c>
      <c r="R85" s="330"/>
    </row>
    <row r="86" spans="1:18" ht="12">
      <c r="A86" s="24"/>
      <c r="B86" s="16">
        <v>2020</v>
      </c>
      <c r="C86" s="311"/>
      <c r="D86" s="312"/>
      <c r="E86" s="312"/>
      <c r="F86" s="312"/>
      <c r="G86" s="312"/>
      <c r="H86" s="312"/>
      <c r="I86" s="325">
        <f>SUM(C86:H86)</f>
        <v>0</v>
      </c>
      <c r="J86" s="311"/>
      <c r="K86" s="312"/>
      <c r="L86" s="312"/>
      <c r="M86" s="312"/>
      <c r="N86" s="325">
        <f>SUM(J86:M86)</f>
        <v>0</v>
      </c>
      <c r="O86" s="313"/>
      <c r="P86" s="331"/>
      <c r="Q86" s="331">
        <f>SUM(I86+N86+P86)</f>
        <v>0</v>
      </c>
      <c r="R86" s="332"/>
    </row>
    <row r="87" spans="1:18" ht="12">
      <c r="A87" s="24"/>
      <c r="B87" s="16">
        <v>2021</v>
      </c>
      <c r="C87" s="311"/>
      <c r="D87" s="312"/>
      <c r="E87" s="312"/>
      <c r="F87" s="312"/>
      <c r="G87" s="312"/>
      <c r="H87" s="312"/>
      <c r="I87" s="325">
        <f>SUM(C87:H87)</f>
        <v>0</v>
      </c>
      <c r="J87" s="311"/>
      <c r="K87" s="312"/>
      <c r="L87" s="312"/>
      <c r="M87" s="312"/>
      <c r="N87" s="325">
        <f>SUM(J87:M87)</f>
        <v>0</v>
      </c>
      <c r="O87" s="313"/>
      <c r="P87" s="331"/>
      <c r="Q87" s="331">
        <f>SUM(I87+N87+P87)</f>
        <v>0</v>
      </c>
      <c r="R87" s="332"/>
    </row>
    <row r="88" spans="1:18" ht="12.75" thickBot="1">
      <c r="A88" s="26"/>
      <c r="B88" s="70" t="s">
        <v>411</v>
      </c>
      <c r="C88" s="317"/>
      <c r="D88" s="318"/>
      <c r="E88" s="318"/>
      <c r="F88" s="318"/>
      <c r="G88" s="318"/>
      <c r="H88" s="318"/>
      <c r="I88" s="327"/>
      <c r="J88" s="317"/>
      <c r="K88" s="318"/>
      <c r="L88" s="318"/>
      <c r="M88" s="318"/>
      <c r="N88" s="327"/>
      <c r="O88" s="319"/>
      <c r="P88" s="335"/>
      <c r="Q88" s="335"/>
      <c r="R88" s="336"/>
    </row>
    <row r="89" spans="1:18" ht="12">
      <c r="A89" s="22" t="s">
        <v>266</v>
      </c>
      <c r="B89" s="41">
        <v>2019</v>
      </c>
      <c r="C89" s="308"/>
      <c r="D89" s="309">
        <v>205615765</v>
      </c>
      <c r="E89" s="309">
        <v>119000</v>
      </c>
      <c r="F89" s="309">
        <v>24276595</v>
      </c>
      <c r="G89" s="309">
        <v>0</v>
      </c>
      <c r="H89" s="309">
        <v>0</v>
      </c>
      <c r="I89" s="324">
        <f>SUM(C89:H89)</f>
        <v>230011360</v>
      </c>
      <c r="J89" s="308"/>
      <c r="K89" s="309"/>
      <c r="L89" s="309">
        <v>20645512</v>
      </c>
      <c r="M89" s="309"/>
      <c r="N89" s="324">
        <f>SUM(J89:M89)</f>
        <v>20645512</v>
      </c>
      <c r="O89" s="310"/>
      <c r="P89" s="329"/>
      <c r="Q89" s="329">
        <f>SUM(I89+N89+P89)</f>
        <v>250656872</v>
      </c>
      <c r="R89" s="330"/>
    </row>
    <row r="90" spans="1:18" ht="12">
      <c r="A90" s="24"/>
      <c r="B90" s="16">
        <v>2020</v>
      </c>
      <c r="C90" s="311"/>
      <c r="D90" s="312">
        <v>220360587</v>
      </c>
      <c r="E90" s="312">
        <v>119000</v>
      </c>
      <c r="F90" s="312">
        <v>20407798</v>
      </c>
      <c r="G90" s="312"/>
      <c r="H90" s="312"/>
      <c r="I90" s="325">
        <f>SUM(C90:H90)</f>
        <v>240887385</v>
      </c>
      <c r="J90" s="311"/>
      <c r="K90" s="312"/>
      <c r="L90" s="312">
        <v>31785878</v>
      </c>
      <c r="M90" s="312"/>
      <c r="N90" s="325">
        <f>SUM(J90:M90)</f>
        <v>31785878</v>
      </c>
      <c r="O90" s="313"/>
      <c r="P90" s="331"/>
      <c r="Q90" s="331">
        <f>SUM(I90+N90+P90)</f>
        <v>272673263</v>
      </c>
      <c r="R90" s="332"/>
    </row>
    <row r="91" spans="1:18" ht="12">
      <c r="A91" s="24"/>
      <c r="B91" s="16">
        <v>2021</v>
      </c>
      <c r="C91" s="311"/>
      <c r="D91" s="312">
        <v>248336000</v>
      </c>
      <c r="E91" s="312">
        <v>420000</v>
      </c>
      <c r="F91" s="312">
        <v>10349088</v>
      </c>
      <c r="G91" s="312"/>
      <c r="H91" s="312"/>
      <c r="I91" s="325">
        <f>SUM(C91:H91)</f>
        <v>259105088</v>
      </c>
      <c r="J91" s="311"/>
      <c r="K91" s="312"/>
      <c r="L91" s="312">
        <v>36357725</v>
      </c>
      <c r="M91" s="312"/>
      <c r="N91" s="325">
        <f>SUM(J91:M91)</f>
        <v>36357725</v>
      </c>
      <c r="O91" s="313"/>
      <c r="P91" s="331"/>
      <c r="Q91" s="331">
        <f>SUM(I91+N91+P91)</f>
        <v>295462813</v>
      </c>
      <c r="R91" s="332"/>
    </row>
    <row r="92" spans="1:18" ht="12.75" thickBot="1">
      <c r="A92" s="26"/>
      <c r="B92" s="70" t="s">
        <v>411</v>
      </c>
      <c r="C92" s="317"/>
      <c r="D92" s="318">
        <f>+((D91-D90)/D90)*100</f>
        <v>12.69528883583887</v>
      </c>
      <c r="E92" s="318">
        <f aca="true" t="shared" si="3" ref="E92:Q92">+((E91-E90)/E90)*100</f>
        <v>252.94117647058823</v>
      </c>
      <c r="F92" s="318">
        <f t="shared" si="3"/>
        <v>-49.28856116666776</v>
      </c>
      <c r="G92" s="318"/>
      <c r="H92" s="318"/>
      <c r="I92" s="318">
        <f t="shared" si="3"/>
        <v>7.562746799713069</v>
      </c>
      <c r="J92" s="318"/>
      <c r="K92" s="318"/>
      <c r="L92" s="318">
        <f t="shared" si="3"/>
        <v>14.383264794510318</v>
      </c>
      <c r="M92" s="318"/>
      <c r="N92" s="318">
        <f t="shared" si="3"/>
        <v>14.383264794510318</v>
      </c>
      <c r="O92" s="318"/>
      <c r="P92" s="318"/>
      <c r="Q92" s="318">
        <f t="shared" si="3"/>
        <v>8.35782348047817</v>
      </c>
      <c r="R92" s="336"/>
    </row>
    <row r="93" spans="1:18" ht="12">
      <c r="A93" s="22" t="s">
        <v>267</v>
      </c>
      <c r="B93" s="41">
        <v>2019</v>
      </c>
      <c r="C93" s="308"/>
      <c r="D93" s="309">
        <v>179908</v>
      </c>
      <c r="E93" s="309">
        <v>0</v>
      </c>
      <c r="F93" s="309">
        <v>849194</v>
      </c>
      <c r="G93" s="309"/>
      <c r="H93" s="309">
        <v>0</v>
      </c>
      <c r="I93" s="324">
        <f>SUM(C93:H93)</f>
        <v>1029102</v>
      </c>
      <c r="J93" s="308"/>
      <c r="K93" s="309"/>
      <c r="L93" s="309">
        <v>0</v>
      </c>
      <c r="M93" s="309"/>
      <c r="N93" s="324">
        <f>SUM(J93:M93)</f>
        <v>0</v>
      </c>
      <c r="O93" s="310"/>
      <c r="P93" s="329"/>
      <c r="Q93" s="329">
        <f>SUM(I93+N93+P93)</f>
        <v>1029102</v>
      </c>
      <c r="R93" s="330"/>
    </row>
    <row r="94" spans="1:18" ht="12">
      <c r="A94" s="24"/>
      <c r="B94" s="16">
        <v>2020</v>
      </c>
      <c r="C94" s="311"/>
      <c r="D94" s="312">
        <v>249957</v>
      </c>
      <c r="E94" s="312"/>
      <c r="F94" s="312">
        <v>573187</v>
      </c>
      <c r="G94" s="312"/>
      <c r="H94" s="312"/>
      <c r="I94" s="325">
        <f>SUM(C94:H94)</f>
        <v>823144</v>
      </c>
      <c r="J94" s="311"/>
      <c r="K94" s="312"/>
      <c r="L94" s="312"/>
      <c r="M94" s="312"/>
      <c r="N94" s="325">
        <f>SUM(J94:M94)</f>
        <v>0</v>
      </c>
      <c r="O94" s="313"/>
      <c r="P94" s="331"/>
      <c r="Q94" s="331">
        <f>SUM(I94+N94+P94)</f>
        <v>823144</v>
      </c>
      <c r="R94" s="332"/>
    </row>
    <row r="95" spans="1:18" ht="12">
      <c r="A95" s="24"/>
      <c r="B95" s="16">
        <v>2021</v>
      </c>
      <c r="C95" s="311"/>
      <c r="D95" s="312">
        <v>249957</v>
      </c>
      <c r="E95" s="312"/>
      <c r="F95" s="312">
        <v>664813</v>
      </c>
      <c r="G95" s="312"/>
      <c r="H95" s="312"/>
      <c r="I95" s="325">
        <f>SUM(C95:H95)</f>
        <v>914770</v>
      </c>
      <c r="J95" s="311"/>
      <c r="K95" s="312"/>
      <c r="L95" s="312"/>
      <c r="M95" s="312"/>
      <c r="N95" s="325">
        <f>SUM(J95:M95)</f>
        <v>0</v>
      </c>
      <c r="O95" s="313"/>
      <c r="P95" s="331"/>
      <c r="Q95" s="331">
        <f>SUM(I95+N95+P95)</f>
        <v>914770</v>
      </c>
      <c r="R95" s="332"/>
    </row>
    <row r="96" spans="1:18" ht="12.75" thickBot="1">
      <c r="A96" s="26"/>
      <c r="B96" s="70" t="s">
        <v>411</v>
      </c>
      <c r="C96" s="317"/>
      <c r="D96" s="318">
        <f>+((D95-D94)/D94)*100</f>
        <v>0</v>
      </c>
      <c r="E96" s="318"/>
      <c r="F96" s="318">
        <f>+((F95-F94)/F94)*100</f>
        <v>15.985359053851536</v>
      </c>
      <c r="G96" s="318"/>
      <c r="H96" s="318"/>
      <c r="I96" s="318">
        <f>+((I95-I94)/I94)*100</f>
        <v>11.131223698405138</v>
      </c>
      <c r="J96" s="318"/>
      <c r="K96" s="318"/>
      <c r="L96" s="318"/>
      <c r="M96" s="318"/>
      <c r="N96" s="318"/>
      <c r="O96" s="318"/>
      <c r="P96" s="318"/>
      <c r="Q96" s="318">
        <f>+((Q95-Q94)/Q94)*100</f>
        <v>11.131223698405138</v>
      </c>
      <c r="R96" s="339"/>
    </row>
    <row r="97" spans="1:18" ht="12">
      <c r="A97" s="22" t="s">
        <v>268</v>
      </c>
      <c r="B97" s="41">
        <v>2019</v>
      </c>
      <c r="C97" s="308"/>
      <c r="D97" s="309">
        <v>0</v>
      </c>
      <c r="E97" s="309">
        <v>14113409</v>
      </c>
      <c r="F97" s="309">
        <v>0</v>
      </c>
      <c r="G97" s="309"/>
      <c r="H97" s="309">
        <v>0</v>
      </c>
      <c r="I97" s="324">
        <f>SUM(C97:H97)</f>
        <v>14113409</v>
      </c>
      <c r="J97" s="308"/>
      <c r="K97" s="309"/>
      <c r="L97" s="309">
        <v>0</v>
      </c>
      <c r="M97" s="309"/>
      <c r="N97" s="324">
        <f>SUM(J97:M97)</f>
        <v>0</v>
      </c>
      <c r="O97" s="310"/>
      <c r="P97" s="329"/>
      <c r="Q97" s="329">
        <f>SUM(I97+N97+P97)</f>
        <v>14113409</v>
      </c>
      <c r="R97" s="330"/>
    </row>
    <row r="98" spans="1:18" ht="12">
      <c r="A98" s="24"/>
      <c r="B98" s="16">
        <v>2020</v>
      </c>
      <c r="C98" s="311"/>
      <c r="D98" s="312"/>
      <c r="E98" s="312">
        <v>14493690</v>
      </c>
      <c r="F98" s="312"/>
      <c r="G98" s="312"/>
      <c r="H98" s="312"/>
      <c r="I98" s="325">
        <f>SUM(C98:H98)</f>
        <v>14493690</v>
      </c>
      <c r="J98" s="311"/>
      <c r="K98" s="312"/>
      <c r="L98" s="312"/>
      <c r="M98" s="312"/>
      <c r="N98" s="325">
        <f>SUM(J98:M98)</f>
        <v>0</v>
      </c>
      <c r="O98" s="313"/>
      <c r="P98" s="331"/>
      <c r="Q98" s="331">
        <f>SUM(I98+N98+P98)</f>
        <v>14493690</v>
      </c>
      <c r="R98" s="332"/>
    </row>
    <row r="99" spans="1:18" ht="12">
      <c r="A99" s="24"/>
      <c r="B99" s="16">
        <v>2021</v>
      </c>
      <c r="C99" s="311"/>
      <c r="D99" s="312"/>
      <c r="E99" s="312">
        <v>12635186</v>
      </c>
      <c r="F99" s="312"/>
      <c r="G99" s="312"/>
      <c r="H99" s="312"/>
      <c r="I99" s="325">
        <f>SUM(C99:H99)</f>
        <v>12635186</v>
      </c>
      <c r="J99" s="311"/>
      <c r="K99" s="312"/>
      <c r="L99" s="312"/>
      <c r="M99" s="312"/>
      <c r="N99" s="325">
        <f>SUM(J99:M99)</f>
        <v>0</v>
      </c>
      <c r="O99" s="313"/>
      <c r="P99" s="331"/>
      <c r="Q99" s="331">
        <f>SUM(I99+N99+P99)</f>
        <v>12635186</v>
      </c>
      <c r="R99" s="332"/>
    </row>
    <row r="100" spans="1:18" ht="12.75" thickBot="1">
      <c r="A100" s="26"/>
      <c r="B100" s="70" t="s">
        <v>411</v>
      </c>
      <c r="C100" s="317"/>
      <c r="D100" s="318"/>
      <c r="E100" s="318">
        <f>+((E99-E98)/E98)*100</f>
        <v>-12.822849115718634</v>
      </c>
      <c r="F100" s="318"/>
      <c r="G100" s="318"/>
      <c r="H100" s="318"/>
      <c r="I100" s="318">
        <f>+((I99-I98)/I98)*100</f>
        <v>-12.822849115718634</v>
      </c>
      <c r="J100" s="318"/>
      <c r="K100" s="318"/>
      <c r="L100" s="318"/>
      <c r="M100" s="318"/>
      <c r="N100" s="318"/>
      <c r="O100" s="318"/>
      <c r="P100" s="318"/>
      <c r="Q100" s="318">
        <f>+((Q99-Q98)/Q98)*100</f>
        <v>-12.822849115718634</v>
      </c>
      <c r="R100" s="336"/>
    </row>
    <row r="101" spans="1:18" ht="12">
      <c r="A101" s="22" t="s">
        <v>269</v>
      </c>
      <c r="B101" s="41">
        <v>2019</v>
      </c>
      <c r="C101" s="308"/>
      <c r="D101" s="309"/>
      <c r="E101" s="309"/>
      <c r="F101" s="309"/>
      <c r="G101" s="309"/>
      <c r="H101" s="309"/>
      <c r="I101" s="324"/>
      <c r="J101" s="308"/>
      <c r="K101" s="309"/>
      <c r="L101" s="309"/>
      <c r="M101" s="309"/>
      <c r="N101" s="324"/>
      <c r="O101" s="322">
        <v>610495</v>
      </c>
      <c r="P101" s="329">
        <f>SUM(O101)</f>
        <v>610495</v>
      </c>
      <c r="Q101" s="329">
        <f>SUM(I101+N101+P101)</f>
        <v>610495</v>
      </c>
      <c r="R101" s="330"/>
    </row>
    <row r="102" spans="1:18" ht="12">
      <c r="A102" s="24"/>
      <c r="B102" s="16">
        <v>2020</v>
      </c>
      <c r="C102" s="311"/>
      <c r="D102" s="312"/>
      <c r="E102" s="312"/>
      <c r="F102" s="312"/>
      <c r="G102" s="312"/>
      <c r="H102" s="312"/>
      <c r="I102" s="325"/>
      <c r="J102" s="311"/>
      <c r="K102" s="312"/>
      <c r="L102" s="312"/>
      <c r="M102" s="312"/>
      <c r="N102" s="325"/>
      <c r="O102" s="313">
        <v>4062088</v>
      </c>
      <c r="P102" s="331">
        <f>SUM(O102)</f>
        <v>4062088</v>
      </c>
      <c r="Q102" s="331">
        <f>SUM(I102+N102+P102)</f>
        <v>4062088</v>
      </c>
      <c r="R102" s="332"/>
    </row>
    <row r="103" spans="1:18" ht="12">
      <c r="A103" s="24"/>
      <c r="B103" s="16">
        <v>2021</v>
      </c>
      <c r="C103" s="311"/>
      <c r="D103" s="312"/>
      <c r="E103" s="312"/>
      <c r="F103" s="312"/>
      <c r="G103" s="312"/>
      <c r="H103" s="312"/>
      <c r="I103" s="325"/>
      <c r="J103" s="311"/>
      <c r="K103" s="312"/>
      <c r="L103" s="312"/>
      <c r="M103" s="312"/>
      <c r="N103" s="325"/>
      <c r="O103" s="313">
        <v>4062088</v>
      </c>
      <c r="P103" s="331">
        <f>SUM(O103)</f>
        <v>4062088</v>
      </c>
      <c r="Q103" s="331">
        <f>SUM(I103+N103+P103)</f>
        <v>4062088</v>
      </c>
      <c r="R103" s="332"/>
    </row>
    <row r="104" spans="1:18" ht="12.75" thickBot="1">
      <c r="A104" s="26"/>
      <c r="B104" s="70" t="s">
        <v>411</v>
      </c>
      <c r="C104" s="317"/>
      <c r="D104" s="318"/>
      <c r="E104" s="318"/>
      <c r="F104" s="318"/>
      <c r="G104" s="318"/>
      <c r="H104" s="318"/>
      <c r="I104" s="327"/>
      <c r="J104" s="317"/>
      <c r="K104" s="318"/>
      <c r="L104" s="318"/>
      <c r="M104" s="318"/>
      <c r="N104" s="327"/>
      <c r="O104" s="319">
        <f>+((O103-O102)/O102)*100</f>
        <v>0</v>
      </c>
      <c r="P104" s="319">
        <f>+((P103-P102)/P102)*100</f>
        <v>0</v>
      </c>
      <c r="Q104" s="319">
        <f>+((Q103-Q102)/Q102)*100</f>
        <v>0</v>
      </c>
      <c r="R104" s="336"/>
    </row>
    <row r="105" spans="1:18" ht="12">
      <c r="A105" s="60" t="s">
        <v>0</v>
      </c>
      <c r="B105" s="41">
        <v>2019</v>
      </c>
      <c r="C105" s="308"/>
      <c r="D105" s="309">
        <f>SUM(D5+D9+D13+D17+D21+D25+D29+D33+D37+D41+D45+D5+D49+D53+D57+D61+D65+D69+D73+D77+D81+D85+D89+D93+D97+D101)</f>
        <v>277920488</v>
      </c>
      <c r="E105" s="309">
        <f aca="true" t="shared" si="4" ref="E105:P105">SUM(E5+E9+E13+E17+E21+E25+E29+E33+E37+E41+E45+E5+E49+E53+E57+E61+E65+E69+E73+E77+E81+E85+E89+E93+E97+E101)</f>
        <v>15484764</v>
      </c>
      <c r="F105" s="309">
        <f t="shared" si="4"/>
        <v>66591629</v>
      </c>
      <c r="G105" s="309">
        <f t="shared" si="4"/>
        <v>0</v>
      </c>
      <c r="H105" s="309">
        <f t="shared" si="4"/>
        <v>1653992</v>
      </c>
      <c r="I105" s="324">
        <f t="shared" si="4"/>
        <v>361650873</v>
      </c>
      <c r="J105" s="308">
        <f t="shared" si="4"/>
        <v>0</v>
      </c>
      <c r="K105" s="309">
        <f t="shared" si="4"/>
        <v>0</v>
      </c>
      <c r="L105" s="309">
        <f t="shared" si="4"/>
        <v>193840482</v>
      </c>
      <c r="M105" s="309">
        <f t="shared" si="4"/>
        <v>0</v>
      </c>
      <c r="N105" s="324">
        <f t="shared" si="4"/>
        <v>193840482</v>
      </c>
      <c r="O105" s="322">
        <f t="shared" si="4"/>
        <v>610495</v>
      </c>
      <c r="P105" s="337">
        <f t="shared" si="4"/>
        <v>610495</v>
      </c>
      <c r="Q105" s="337">
        <f>SUM(I105+N105+P105)</f>
        <v>556101850</v>
      </c>
      <c r="R105" s="338"/>
    </row>
    <row r="106" spans="1:18" ht="12">
      <c r="A106" s="27"/>
      <c r="B106" s="16">
        <v>2020</v>
      </c>
      <c r="C106" s="311"/>
      <c r="D106" s="312">
        <f>SUM(D6+D10+D14+D18+D22+D26+D30+D34+D38+D42+D46+D50+D54+D58+D62+D66+D70+D74+D78+D82+D86+D90+D94+D98+D102)</f>
        <v>305283462</v>
      </c>
      <c r="E106" s="312">
        <f aca="true" t="shared" si="5" ref="E106:P107">SUM(E6+E10+E14+E18+E22+E26+E30+E34+E38+E42+E46+E50+E54+E58+E62+E66+E70+E74+E78+E82+E86+E90+E94+E98+E102)</f>
        <v>16207733</v>
      </c>
      <c r="F106" s="312">
        <f t="shared" si="5"/>
        <v>73013953</v>
      </c>
      <c r="G106" s="312">
        <f t="shared" si="5"/>
        <v>0</v>
      </c>
      <c r="H106" s="312">
        <f t="shared" si="5"/>
        <v>1653992</v>
      </c>
      <c r="I106" s="325">
        <f t="shared" si="5"/>
        <v>396159140</v>
      </c>
      <c r="J106" s="311">
        <f t="shared" si="5"/>
        <v>0</v>
      </c>
      <c r="K106" s="312">
        <f t="shared" si="5"/>
        <v>0</v>
      </c>
      <c r="L106" s="312">
        <f t="shared" si="5"/>
        <v>156030834</v>
      </c>
      <c r="M106" s="312">
        <f t="shared" si="5"/>
        <v>0</v>
      </c>
      <c r="N106" s="325">
        <f t="shared" si="5"/>
        <v>156030834</v>
      </c>
      <c r="O106" s="313">
        <f t="shared" si="5"/>
        <v>4062088</v>
      </c>
      <c r="P106" s="331">
        <f>SUM(P6+P10+P14+P18+P22+P26+P30+P34+P38+P42+P46+P50+P54+P58+P62+P66+P70+P74+P78+P82+P86+P90+P94+P98+P102)</f>
        <v>4062088</v>
      </c>
      <c r="Q106" s="331">
        <f>SUM(I106+N106+P106)</f>
        <v>556252062</v>
      </c>
      <c r="R106" s="332"/>
    </row>
    <row r="107" spans="1:18" ht="12">
      <c r="A107" s="27"/>
      <c r="B107" s="16">
        <v>2021</v>
      </c>
      <c r="C107" s="311"/>
      <c r="D107" s="312">
        <f>SUM(D7+D11+D15+D19+D23+D27+D31+D35+D39+D43+D47+D51+D55+D59+D63+D67+D71+D75+D79+D83+D87+D91+D95+D99+D103)</f>
        <v>326692488</v>
      </c>
      <c r="E107" s="312">
        <f t="shared" si="5"/>
        <v>14319382</v>
      </c>
      <c r="F107" s="312">
        <f t="shared" si="5"/>
        <v>82170275</v>
      </c>
      <c r="G107" s="312">
        <f t="shared" si="5"/>
        <v>0</v>
      </c>
      <c r="H107" s="312">
        <f t="shared" si="5"/>
        <v>1653992</v>
      </c>
      <c r="I107" s="325">
        <f t="shared" si="5"/>
        <v>424836137</v>
      </c>
      <c r="J107" s="311">
        <f t="shared" si="5"/>
        <v>0</v>
      </c>
      <c r="K107" s="312">
        <f t="shared" si="5"/>
        <v>0</v>
      </c>
      <c r="L107" s="312">
        <f t="shared" si="5"/>
        <v>215769148</v>
      </c>
      <c r="M107" s="312">
        <f t="shared" si="5"/>
        <v>0</v>
      </c>
      <c r="N107" s="325">
        <f t="shared" si="5"/>
        <v>215769148</v>
      </c>
      <c r="O107" s="313">
        <f t="shared" si="5"/>
        <v>4062088</v>
      </c>
      <c r="P107" s="331">
        <f t="shared" si="5"/>
        <v>4062088</v>
      </c>
      <c r="Q107" s="331">
        <f>SUM(I107+N107+P107)</f>
        <v>644667373</v>
      </c>
      <c r="R107" s="332"/>
    </row>
    <row r="108" spans="1:18" ht="12.75" thickBot="1">
      <c r="A108" s="26"/>
      <c r="B108" s="70" t="s">
        <v>411</v>
      </c>
      <c r="C108" s="317"/>
      <c r="D108" s="318">
        <f>+((D107-D106)/D106)*100</f>
        <v>7.012835172840119</v>
      </c>
      <c r="E108" s="318">
        <f aca="true" t="shared" si="6" ref="E108:Q108">+((E107-E106)/E106)*100</f>
        <v>-11.650926135073918</v>
      </c>
      <c r="F108" s="318">
        <f t="shared" si="6"/>
        <v>12.540509894047238</v>
      </c>
      <c r="G108" s="318"/>
      <c r="H108" s="318">
        <f t="shared" si="6"/>
        <v>0</v>
      </c>
      <c r="I108" s="318">
        <f t="shared" si="6"/>
        <v>7.238756879369235</v>
      </c>
      <c r="J108" s="318"/>
      <c r="K108" s="318"/>
      <c r="L108" s="318">
        <f t="shared" si="6"/>
        <v>38.286223606290534</v>
      </c>
      <c r="M108" s="318"/>
      <c r="N108" s="318">
        <f t="shared" si="6"/>
        <v>38.286223606290534</v>
      </c>
      <c r="O108" s="318">
        <f t="shared" si="6"/>
        <v>0</v>
      </c>
      <c r="P108" s="318">
        <f t="shared" si="6"/>
        <v>0</v>
      </c>
      <c r="Q108" s="318">
        <f t="shared" si="6"/>
        <v>15.894828449193236</v>
      </c>
      <c r="R108" s="336"/>
    </row>
  </sheetData>
  <sheetProtection/>
  <mergeCells count="6">
    <mergeCell ref="Q3:R3"/>
    <mergeCell ref="A3:A4"/>
    <mergeCell ref="C3:I3"/>
    <mergeCell ref="J3:N3"/>
    <mergeCell ref="O3:P3"/>
    <mergeCell ref="B3:B4"/>
  </mergeCells>
  <printOptions horizontalCentered="1"/>
  <pageMargins left="0.18055555555555555" right="0.25" top="0.75" bottom="0.75" header="0.3" footer="0.3"/>
  <pageSetup fitToHeight="1" fitToWidth="1" horizontalDpi="600" verticalDpi="600" orientation="portrait" paperSize="9" scale="52" r:id="rId1"/>
  <headerFooter alignWithMargins="0">
    <oddHeader>&amp;C&amp;"Arial,Negrita"&amp;18PROYECTO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Congreso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subject/>
  <dc:creator>Asesoria de Presupuesto</dc:creator>
  <cp:keywords/>
  <dc:description/>
  <cp:lastModifiedBy>pined</cp:lastModifiedBy>
  <cp:lastPrinted>2020-10-07T14:59:27Z</cp:lastPrinted>
  <dcterms:created xsi:type="dcterms:W3CDTF">1998-08-20T20:27:58Z</dcterms:created>
  <dcterms:modified xsi:type="dcterms:W3CDTF">2020-10-08T16:56:32Z</dcterms:modified>
  <cp:category/>
  <cp:version/>
  <cp:contentType/>
  <cp:contentStatus/>
</cp:coreProperties>
</file>