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pined\Documents\HUMBERTO ACUÑA\LEY DE PRESUPUESTO DEL AÑO 2021\Formatos y Directivas de las entidades\GORES\Loreto\"/>
    </mc:Choice>
  </mc:AlternateContent>
  <xr:revisionPtr revIDLastSave="0" documentId="8_{9B7DC1FA-A749-4654-A5BE-358B24A69F6D}" xr6:coauthVersionLast="45" xr6:coauthVersionMax="45" xr10:uidLastSave="{00000000-0000-0000-0000-000000000000}"/>
  <bookViews>
    <workbookView xWindow="-120" yWindow="-120" windowWidth="20730" windowHeight="11160" firstSheet="15" activeTab="22" xr2:uid="{00000000-000D-0000-FFFF-FFFF00000000}"/>
  </bookViews>
  <sheets>
    <sheet name="Ejec. Inversiones " sheetId="2" r:id="rId1"/>
    <sheet name="Formato 1" sheetId="9" r:id="rId2"/>
    <sheet name="Formato 2" sheetId="3" r:id="rId3"/>
    <sheet name="Formato 3" sheetId="4" r:id="rId4"/>
    <sheet name="Formato 4" sheetId="5" r:id="rId5"/>
    <sheet name="Formato 5" sheetId="6" r:id="rId6"/>
    <sheet name="Formato 6 Educacion Loreto" sheetId="7" r:id="rId7"/>
    <sheet name="Form. 6 Hosp. Apoyo Iquitos" sheetId="8" r:id="rId8"/>
    <sheet name="Form. 6 Hosp. Santa Gema " sheetId="10" r:id="rId9"/>
    <sheet name="Form. 6 Salud Ucayali" sheetId="11" r:id="rId10"/>
    <sheet name="Form. 6 salud Loreto" sheetId="12" r:id="rId11"/>
    <sheet name="Formato 7" sheetId="13" r:id="rId12"/>
    <sheet name="Formato 8" sheetId="14" r:id="rId13"/>
    <sheet name="Form. 9 " sheetId="15" r:id="rId14"/>
    <sheet name="formato 10 " sheetId="21" r:id="rId15"/>
    <sheet name="Formato 11" sheetId="22" r:id="rId16"/>
    <sheet name="Formato 12" sheetId="20" r:id="rId17"/>
    <sheet name="Formato 13" sheetId="24" r:id="rId18"/>
    <sheet name="Formato 14" sheetId="28" r:id="rId19"/>
    <sheet name="Formato 15" sheetId="29" r:id="rId20"/>
    <sheet name="Formato 16" sheetId="30" r:id="rId21"/>
    <sheet name="Formato 17" sheetId="31" r:id="rId22"/>
    <sheet name="Hoja18" sheetId="32" r:id="rId23"/>
  </sheets>
  <definedNames>
    <definedName name="_xlnm._FilterDatabase" localSheetId="0" hidden="1">'Ejec. Inversiones '!$A$8:$H$174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9" i="32" l="1"/>
  <c r="M89" i="32"/>
  <c r="K89" i="32"/>
  <c r="H349" i="30" l="1"/>
  <c r="G349" i="30"/>
  <c r="H280" i="30" l="1"/>
  <c r="G280" i="30"/>
  <c r="H275" i="30"/>
  <c r="G275" i="30"/>
  <c r="H268" i="30"/>
  <c r="G268" i="30"/>
  <c r="H260" i="30"/>
  <c r="H290" i="30" s="1"/>
  <c r="G260" i="30"/>
  <c r="G290" i="30" s="1"/>
  <c r="H156" i="30" l="1"/>
  <c r="G156" i="30"/>
  <c r="E156" i="30"/>
  <c r="H56" i="30" l="1"/>
  <c r="G56" i="30"/>
  <c r="G25" i="30" l="1"/>
  <c r="G23" i="30" s="1"/>
  <c r="H23" i="30"/>
  <c r="H18" i="30"/>
  <c r="G18" i="30"/>
  <c r="H13" i="30"/>
  <c r="G13" i="30"/>
  <c r="H9" i="30"/>
  <c r="G9" i="30"/>
  <c r="H7" i="30"/>
  <c r="E135" i="28" l="1"/>
  <c r="F24" i="24" l="1"/>
  <c r="D9" i="24" l="1"/>
  <c r="C9" i="24"/>
  <c r="J7" i="24"/>
  <c r="J8" i="24" s="1"/>
  <c r="L6" i="24"/>
  <c r="T122" i="20" l="1"/>
  <c r="K122" i="20"/>
  <c r="E122" i="20"/>
  <c r="C122" i="20"/>
  <c r="W121" i="20"/>
  <c r="U121" i="20"/>
  <c r="X120" i="20"/>
  <c r="W120" i="20"/>
  <c r="V120" i="20"/>
  <c r="U120" i="20"/>
  <c r="X119" i="20"/>
  <c r="W119" i="20"/>
  <c r="V119" i="20"/>
  <c r="U119" i="20"/>
  <c r="S119" i="20"/>
  <c r="X118" i="20"/>
  <c r="W118" i="20"/>
  <c r="V118" i="20"/>
  <c r="U118" i="20"/>
  <c r="S118" i="20"/>
  <c r="X117" i="20"/>
  <c r="W117" i="20"/>
  <c r="V117" i="20"/>
  <c r="U117" i="20"/>
  <c r="S117" i="20"/>
  <c r="X116" i="20"/>
  <c r="W116" i="20"/>
  <c r="V116" i="20"/>
  <c r="U116" i="20"/>
  <c r="S116" i="20"/>
  <c r="X115" i="20"/>
  <c r="W115" i="20"/>
  <c r="V115" i="20"/>
  <c r="U115" i="20"/>
  <c r="S115" i="20"/>
  <c r="X114" i="20"/>
  <c r="W114" i="20"/>
  <c r="V114" i="20"/>
  <c r="U114" i="20"/>
  <c r="S114" i="20"/>
  <c r="X113" i="20"/>
  <c r="W113" i="20"/>
  <c r="V113" i="20"/>
  <c r="U113" i="20"/>
  <c r="S113" i="20"/>
  <c r="X112" i="20"/>
  <c r="W112" i="20"/>
  <c r="V112" i="20"/>
  <c r="U112" i="20"/>
  <c r="S112" i="20"/>
  <c r="W111" i="20"/>
  <c r="U111" i="20"/>
  <c r="X110" i="20"/>
  <c r="W110" i="20"/>
  <c r="V110" i="20"/>
  <c r="U110" i="20"/>
  <c r="X109" i="20"/>
  <c r="W109" i="20"/>
  <c r="V109" i="20"/>
  <c r="U109" i="20"/>
  <c r="X108" i="20"/>
  <c r="W108" i="20"/>
  <c r="V108" i="20"/>
  <c r="U108" i="20"/>
  <c r="S108" i="20"/>
  <c r="X107" i="20"/>
  <c r="W107" i="20"/>
  <c r="V107" i="20"/>
  <c r="U107" i="20"/>
  <c r="S107" i="20"/>
  <c r="X106" i="20"/>
  <c r="W106" i="20"/>
  <c r="V106" i="20"/>
  <c r="U106" i="20"/>
  <c r="W105" i="20"/>
  <c r="V105" i="20"/>
  <c r="U105" i="20"/>
  <c r="X104" i="20"/>
  <c r="W104" i="20"/>
  <c r="V104" i="20"/>
  <c r="U104" i="20"/>
  <c r="S104" i="20"/>
  <c r="X103" i="20"/>
  <c r="W103" i="20"/>
  <c r="V103" i="20"/>
  <c r="U103" i="20"/>
  <c r="S102" i="20"/>
  <c r="W101" i="20"/>
  <c r="V101" i="20"/>
  <c r="U101" i="20"/>
  <c r="X100" i="20"/>
  <c r="W100" i="20"/>
  <c r="V100" i="20"/>
  <c r="U100" i="20"/>
  <c r="S100" i="20"/>
  <c r="X99" i="20"/>
  <c r="W99" i="20"/>
  <c r="V99" i="20"/>
  <c r="U99" i="20"/>
  <c r="S99" i="20"/>
  <c r="X98" i="20"/>
  <c r="W98" i="20"/>
  <c r="U98" i="20"/>
  <c r="S98" i="20"/>
  <c r="X97" i="20"/>
  <c r="W97" i="20"/>
  <c r="V97" i="20"/>
  <c r="U97" i="20"/>
  <c r="S97" i="20"/>
  <c r="X96" i="20"/>
  <c r="W96" i="20"/>
  <c r="V96" i="20"/>
  <c r="U96" i="20"/>
  <c r="S96" i="20"/>
  <c r="X95" i="20"/>
  <c r="W95" i="20"/>
  <c r="V95" i="20"/>
  <c r="U95" i="20"/>
  <c r="S95" i="20"/>
  <c r="X94" i="20"/>
  <c r="W94" i="20"/>
  <c r="V94" i="20"/>
  <c r="U94" i="20"/>
  <c r="X93" i="20"/>
  <c r="W93" i="20"/>
  <c r="V93" i="20"/>
  <c r="U93" i="20"/>
  <c r="S93" i="20"/>
  <c r="W92" i="20"/>
  <c r="V92" i="20"/>
  <c r="U92" i="20"/>
  <c r="V91" i="20"/>
  <c r="S91" i="20"/>
  <c r="X90" i="20"/>
  <c r="W90" i="20"/>
  <c r="U90" i="20"/>
  <c r="W89" i="20"/>
  <c r="V89" i="20"/>
  <c r="U89" i="20"/>
  <c r="X88" i="20"/>
  <c r="W88" i="20"/>
  <c r="U88" i="20"/>
  <c r="X87" i="20"/>
  <c r="W87" i="20"/>
  <c r="V87" i="20"/>
  <c r="U87" i="20"/>
  <c r="S87" i="20"/>
  <c r="X86" i="20"/>
  <c r="W86" i="20"/>
  <c r="V86" i="20"/>
  <c r="U86" i="20"/>
  <c r="S86" i="20"/>
  <c r="X85" i="20"/>
  <c r="W85" i="20"/>
  <c r="V85" i="20"/>
  <c r="U85" i="20"/>
  <c r="S85" i="20"/>
  <c r="X84" i="20"/>
  <c r="W84" i="20"/>
  <c r="U84" i="20"/>
  <c r="X83" i="20"/>
  <c r="W83" i="20"/>
  <c r="U83" i="20"/>
  <c r="X82" i="20"/>
  <c r="W82" i="20"/>
  <c r="V82" i="20"/>
  <c r="U82" i="20"/>
  <c r="S82" i="20"/>
  <c r="V81" i="20"/>
  <c r="S81" i="20"/>
  <c r="V80" i="20"/>
  <c r="S80" i="20"/>
  <c r="X79" i="20"/>
  <c r="W79" i="20"/>
  <c r="V79" i="20"/>
  <c r="U79" i="20"/>
  <c r="S79" i="20"/>
  <c r="W78" i="20"/>
  <c r="U78" i="20"/>
  <c r="X77" i="20"/>
  <c r="W77" i="20"/>
  <c r="V77" i="20"/>
  <c r="U77" i="20"/>
  <c r="S77" i="20"/>
  <c r="X76" i="20"/>
  <c r="W76" i="20"/>
  <c r="V76" i="20"/>
  <c r="U76" i="20"/>
  <c r="S76" i="20"/>
  <c r="X75" i="20"/>
  <c r="W75" i="20"/>
  <c r="V75" i="20"/>
  <c r="U75" i="20"/>
  <c r="S75" i="20"/>
  <c r="X74" i="20"/>
  <c r="W74" i="20"/>
  <c r="V74" i="20"/>
  <c r="U74" i="20"/>
  <c r="X73" i="20"/>
  <c r="W73" i="20"/>
  <c r="V73" i="20"/>
  <c r="U73" i="20"/>
  <c r="S73" i="20"/>
  <c r="X72" i="20"/>
  <c r="W72" i="20"/>
  <c r="V72" i="20"/>
  <c r="U72" i="20"/>
  <c r="S72" i="20"/>
  <c r="X71" i="20"/>
  <c r="W71" i="20"/>
  <c r="V71" i="20"/>
  <c r="U71" i="20"/>
  <c r="S71" i="20"/>
  <c r="W70" i="20"/>
  <c r="V70" i="20"/>
  <c r="U70" i="20"/>
  <c r="X69" i="20"/>
  <c r="W69" i="20"/>
  <c r="U69" i="20"/>
  <c r="S69" i="20"/>
  <c r="X68" i="20"/>
  <c r="W68" i="20"/>
  <c r="V68" i="20"/>
  <c r="U68" i="20"/>
  <c r="S68" i="20"/>
  <c r="S67" i="20"/>
  <c r="X66" i="20"/>
  <c r="W66" i="20"/>
  <c r="V66" i="20"/>
  <c r="U66" i="20"/>
  <c r="S66" i="20"/>
  <c r="X65" i="20"/>
  <c r="W65" i="20"/>
  <c r="V65" i="20"/>
  <c r="U65" i="20"/>
  <c r="S65" i="20"/>
  <c r="X64" i="20"/>
  <c r="W64" i="20"/>
  <c r="V64" i="20"/>
  <c r="U64" i="20"/>
  <c r="S64" i="20"/>
  <c r="X63" i="20"/>
  <c r="W63" i="20"/>
  <c r="V63" i="20"/>
  <c r="U63" i="20"/>
  <c r="S63" i="20"/>
  <c r="X62" i="20"/>
  <c r="W62" i="20"/>
  <c r="V62" i="20"/>
  <c r="U62" i="20"/>
  <c r="S62" i="20"/>
  <c r="X61" i="20"/>
  <c r="W61" i="20"/>
  <c r="V61" i="20"/>
  <c r="U61" i="20"/>
  <c r="S61" i="20"/>
  <c r="X60" i="20"/>
  <c r="W60" i="20"/>
  <c r="V60" i="20"/>
  <c r="U60" i="20"/>
  <c r="S60" i="20"/>
  <c r="W59" i="20"/>
  <c r="V59" i="20"/>
  <c r="U59" i="20"/>
  <c r="X58" i="20"/>
  <c r="W58" i="20"/>
  <c r="V58" i="20"/>
  <c r="U58" i="20"/>
  <c r="S58" i="20"/>
  <c r="X57" i="20"/>
  <c r="W57" i="20"/>
  <c r="V57" i="20"/>
  <c r="U57" i="20"/>
  <c r="S57" i="20"/>
  <c r="X56" i="20"/>
  <c r="W56" i="20"/>
  <c r="V56" i="20"/>
  <c r="U56" i="20"/>
  <c r="S56" i="20"/>
  <c r="X55" i="20"/>
  <c r="W55" i="20"/>
  <c r="V55" i="20"/>
  <c r="U55" i="20"/>
  <c r="S55" i="20"/>
  <c r="X54" i="20"/>
  <c r="W54" i="20"/>
  <c r="V54" i="20"/>
  <c r="U54" i="20"/>
  <c r="S54" i="20"/>
  <c r="X53" i="20"/>
  <c r="W53" i="20"/>
  <c r="V53" i="20"/>
  <c r="U53" i="20"/>
  <c r="S53" i="20"/>
  <c r="X51" i="20"/>
  <c r="W51" i="20"/>
  <c r="V51" i="20"/>
  <c r="U51" i="20"/>
  <c r="S51" i="20"/>
  <c r="X50" i="20"/>
  <c r="W50" i="20"/>
  <c r="V50" i="20"/>
  <c r="U50" i="20"/>
  <c r="S50" i="20"/>
  <c r="X49" i="20"/>
  <c r="W49" i="20"/>
  <c r="V49" i="20"/>
  <c r="U49" i="20"/>
  <c r="S49" i="20"/>
  <c r="X48" i="20"/>
  <c r="W48" i="20"/>
  <c r="V48" i="20"/>
  <c r="U48" i="20"/>
  <c r="S48" i="20"/>
  <c r="X47" i="20"/>
  <c r="W47" i="20"/>
  <c r="V47" i="20"/>
  <c r="U47" i="20"/>
  <c r="S47" i="20"/>
  <c r="V46" i="20"/>
  <c r="S46" i="20"/>
  <c r="X45" i="20"/>
  <c r="W45" i="20"/>
  <c r="V45" i="20"/>
  <c r="U45" i="20"/>
  <c r="S45" i="20"/>
  <c r="X44" i="20"/>
  <c r="W44" i="20"/>
  <c r="V44" i="20"/>
  <c r="U44" i="20"/>
  <c r="S44" i="20"/>
  <c r="X43" i="20"/>
  <c r="W43" i="20"/>
  <c r="V43" i="20"/>
  <c r="U43" i="20"/>
  <c r="W42" i="20"/>
  <c r="U42" i="20"/>
  <c r="X41" i="20"/>
  <c r="W41" i="20"/>
  <c r="V41" i="20"/>
  <c r="U41" i="20"/>
  <c r="S41" i="20"/>
  <c r="X39" i="20"/>
  <c r="W39" i="20"/>
  <c r="V39" i="20"/>
  <c r="U39" i="20"/>
  <c r="S39" i="20"/>
  <c r="X38" i="20"/>
  <c r="W38" i="20"/>
  <c r="V38" i="20"/>
  <c r="U38" i="20"/>
  <c r="S38" i="20"/>
  <c r="X37" i="20"/>
  <c r="W37" i="20"/>
  <c r="V37" i="20"/>
  <c r="U37" i="20"/>
  <c r="S37" i="20"/>
  <c r="X36" i="20"/>
  <c r="W36" i="20"/>
  <c r="V36" i="20"/>
  <c r="U36" i="20"/>
  <c r="S36" i="20"/>
  <c r="X35" i="20"/>
  <c r="W35" i="20"/>
  <c r="V35" i="20"/>
  <c r="U35" i="20"/>
  <c r="S35" i="20"/>
  <c r="X34" i="20"/>
  <c r="W34" i="20"/>
  <c r="V34" i="20"/>
  <c r="U34" i="20"/>
  <c r="S34" i="20"/>
  <c r="X33" i="20"/>
  <c r="W33" i="20"/>
  <c r="V33" i="20"/>
  <c r="U33" i="20"/>
  <c r="S33" i="20"/>
  <c r="X32" i="20"/>
  <c r="W32" i="20"/>
  <c r="V32" i="20"/>
  <c r="U32" i="20"/>
  <c r="S32" i="20"/>
  <c r="W31" i="20"/>
  <c r="V31" i="20"/>
  <c r="U31" i="20"/>
  <c r="X30" i="20"/>
  <c r="W30" i="20"/>
  <c r="V30" i="20"/>
  <c r="U30" i="20"/>
  <c r="S30" i="20"/>
  <c r="X29" i="20"/>
  <c r="W29" i="20"/>
  <c r="V29" i="20"/>
  <c r="U29" i="20"/>
  <c r="S29" i="20"/>
  <c r="X28" i="20"/>
  <c r="W28" i="20"/>
  <c r="V28" i="20"/>
  <c r="U28" i="20"/>
  <c r="S28" i="20"/>
  <c r="X27" i="20"/>
  <c r="W27" i="20"/>
  <c r="V27" i="20"/>
  <c r="U27" i="20"/>
  <c r="S27" i="20"/>
  <c r="X26" i="20"/>
  <c r="W26" i="20"/>
  <c r="V26" i="20"/>
  <c r="U26" i="20"/>
  <c r="S26" i="20"/>
  <c r="X25" i="20"/>
  <c r="W25" i="20"/>
  <c r="V25" i="20"/>
  <c r="U25" i="20"/>
  <c r="S25" i="20"/>
  <c r="X24" i="20"/>
  <c r="W24" i="20"/>
  <c r="V24" i="20"/>
  <c r="U24" i="20"/>
  <c r="S24" i="20"/>
  <c r="X23" i="20"/>
  <c r="W23" i="20"/>
  <c r="V23" i="20"/>
  <c r="U23" i="20"/>
  <c r="S23" i="20"/>
  <c r="X22" i="20"/>
  <c r="W22" i="20"/>
  <c r="V22" i="20"/>
  <c r="U22" i="20"/>
  <c r="S22" i="20"/>
  <c r="X21" i="20"/>
  <c r="W21" i="20"/>
  <c r="V21" i="20"/>
  <c r="U21" i="20"/>
  <c r="S21" i="20"/>
  <c r="S20" i="20"/>
  <c r="X19" i="20"/>
  <c r="W19" i="20"/>
  <c r="V19" i="20"/>
  <c r="U19" i="20"/>
  <c r="S19" i="20"/>
  <c r="X18" i="20"/>
  <c r="W18" i="20"/>
  <c r="V18" i="20"/>
  <c r="U18" i="20"/>
  <c r="S18" i="20"/>
  <c r="W17" i="20"/>
  <c r="U17" i="20"/>
  <c r="X16" i="20"/>
  <c r="W16" i="20"/>
  <c r="V16" i="20"/>
  <c r="U16" i="20"/>
  <c r="S16" i="20"/>
  <c r="X15" i="20"/>
  <c r="W15" i="20"/>
  <c r="V15" i="20"/>
  <c r="U15" i="20"/>
  <c r="S15" i="20"/>
  <c r="X14" i="20"/>
  <c r="W14" i="20"/>
  <c r="V14" i="20"/>
  <c r="U14" i="20"/>
  <c r="S14" i="20"/>
  <c r="X13" i="20"/>
  <c r="W13" i="20"/>
  <c r="V13" i="20"/>
  <c r="U13" i="20"/>
  <c r="S13" i="20"/>
  <c r="X12" i="20"/>
  <c r="W12" i="20"/>
  <c r="V12" i="20"/>
  <c r="U12" i="20"/>
  <c r="S12" i="20"/>
  <c r="X11" i="20"/>
  <c r="W11" i="20"/>
  <c r="V11" i="20"/>
  <c r="U11" i="20"/>
  <c r="S11" i="20"/>
  <c r="S10" i="20"/>
  <c r="X9" i="20"/>
  <c r="W9" i="20"/>
  <c r="V9" i="20"/>
  <c r="U9" i="20"/>
  <c r="S9" i="20"/>
  <c r="U122" i="20" l="1"/>
  <c r="S122" i="20"/>
  <c r="X122" i="20"/>
  <c r="V122" i="20"/>
  <c r="W122" i="20"/>
  <c r="AI218" i="22"/>
  <c r="P218" i="22"/>
  <c r="AI217" i="22"/>
  <c r="P217" i="22"/>
  <c r="AI216" i="22"/>
  <c r="P216" i="22"/>
  <c r="AI215" i="22"/>
  <c r="P215" i="22"/>
  <c r="AI214" i="22"/>
  <c r="P214" i="22"/>
  <c r="AI213" i="22"/>
  <c r="AI222" i="22" s="1"/>
  <c r="P213" i="22"/>
  <c r="AI212" i="22"/>
  <c r="P212" i="22"/>
  <c r="AI211" i="22"/>
  <c r="P211" i="22"/>
  <c r="AI210" i="22"/>
  <c r="P210" i="22"/>
  <c r="P222" i="22" l="1"/>
  <c r="AH199" i="22"/>
  <c r="AA199" i="22"/>
  <c r="S199" i="22"/>
  <c r="R199" i="22"/>
  <c r="Q199" i="22"/>
  <c r="L199" i="22"/>
  <c r="D199" i="22"/>
  <c r="C199" i="22"/>
  <c r="B199" i="22"/>
  <c r="AI195" i="22"/>
  <c r="AD195" i="22"/>
  <c r="Z195" i="22"/>
  <c r="AC195" i="22" s="1"/>
  <c r="AE195" i="22" s="1"/>
  <c r="O195" i="22"/>
  <c r="K195" i="22"/>
  <c r="N195" i="22" s="1"/>
  <c r="P195" i="22" s="1"/>
  <c r="AC194" i="22"/>
  <c r="Z194" i="22"/>
  <c r="K194" i="22"/>
  <c r="AI193" i="22"/>
  <c r="AD193" i="22"/>
  <c r="AC193" i="22"/>
  <c r="AE193" i="22" s="1"/>
  <c r="Z193" i="22"/>
  <c r="O193" i="22"/>
  <c r="N193" i="22"/>
  <c r="P193" i="22" s="1"/>
  <c r="K193" i="22"/>
  <c r="Z192" i="22"/>
  <c r="AC192" i="22" s="1"/>
  <c r="N192" i="22"/>
  <c r="O192" i="22" s="1"/>
  <c r="P192" i="22" s="1"/>
  <c r="K192" i="22"/>
  <c r="Z191" i="22"/>
  <c r="K191" i="22"/>
  <c r="Z190" i="22"/>
  <c r="AC190" i="22" s="1"/>
  <c r="AD190" i="22" s="1"/>
  <c r="AE190" i="22" s="1"/>
  <c r="K190" i="22"/>
  <c r="AI189" i="22"/>
  <c r="AI199" i="22" s="1"/>
  <c r="AD189" i="22"/>
  <c r="AC189" i="22"/>
  <c r="AE189" i="22" s="1"/>
  <c r="Z189" i="22"/>
  <c r="O189" i="22"/>
  <c r="K189" i="22"/>
  <c r="N189" i="22" s="1"/>
  <c r="P189" i="22" s="1"/>
  <c r="Z188" i="22"/>
  <c r="N188" i="22"/>
  <c r="O188" i="22" s="1"/>
  <c r="P188" i="22" s="1"/>
  <c r="K188" i="22"/>
  <c r="Z187" i="22"/>
  <c r="AC187" i="22" s="1"/>
  <c r="AD187" i="22" s="1"/>
  <c r="AE187" i="22" s="1"/>
  <c r="K187" i="22"/>
  <c r="Z186" i="22"/>
  <c r="AC186" i="22" s="1"/>
  <c r="AD186" i="22" s="1"/>
  <c r="AE186" i="22" s="1"/>
  <c r="K186" i="22"/>
  <c r="N186" i="22" s="1"/>
  <c r="O186" i="22" s="1"/>
  <c r="P186" i="22" s="1"/>
  <c r="Z184" i="22"/>
  <c r="AC184" i="22" s="1"/>
  <c r="AD184" i="22" s="1"/>
  <c r="AE184" i="22" s="1"/>
  <c r="N184" i="22"/>
  <c r="O184" i="22" s="1"/>
  <c r="P184" i="22" s="1"/>
  <c r="K184" i="22"/>
  <c r="Z183" i="22"/>
  <c r="AC183" i="22" s="1"/>
  <c r="AD183" i="22" s="1"/>
  <c r="AE183" i="22" s="1"/>
  <c r="K183" i="22"/>
  <c r="N183" i="22" s="1"/>
  <c r="O183" i="22" s="1"/>
  <c r="P183" i="22" s="1"/>
  <c r="Z182" i="22"/>
  <c r="AC182" i="22" s="1"/>
  <c r="AD182" i="22" s="1"/>
  <c r="AE182" i="22" s="1"/>
  <c r="K182" i="22"/>
  <c r="N182" i="22" s="1"/>
  <c r="O182" i="22" s="1"/>
  <c r="P182" i="22" s="1"/>
  <c r="Z181" i="22"/>
  <c r="AC181" i="22" s="1"/>
  <c r="AD181" i="22" s="1"/>
  <c r="AE181" i="22" s="1"/>
  <c r="N181" i="22"/>
  <c r="O181" i="22" s="1"/>
  <c r="P181" i="22" s="1"/>
  <c r="K181" i="22"/>
  <c r="Z180" i="22"/>
  <c r="AC180" i="22" s="1"/>
  <c r="AD180" i="22" s="1"/>
  <c r="AE180" i="22" s="1"/>
  <c r="K180" i="22"/>
  <c r="N180" i="22" s="1"/>
  <c r="O180" i="22" s="1"/>
  <c r="P180" i="22" s="1"/>
  <c r="Z179" i="22"/>
  <c r="AC179" i="22" s="1"/>
  <c r="AD179" i="22" s="1"/>
  <c r="AE179" i="22" s="1"/>
  <c r="K179" i="22"/>
  <c r="N179" i="22" s="1"/>
  <c r="O179" i="22" s="1"/>
  <c r="P179" i="22" s="1"/>
  <c r="Z178" i="22"/>
  <c r="AC178" i="22" s="1"/>
  <c r="AD178" i="22" s="1"/>
  <c r="AE178" i="22" s="1"/>
  <c r="N178" i="22"/>
  <c r="O178" i="22" s="1"/>
  <c r="P178" i="22" s="1"/>
  <c r="K178" i="22"/>
  <c r="Z177" i="22"/>
  <c r="AC177" i="22" s="1"/>
  <c r="K177" i="22"/>
  <c r="AC191" i="22" l="1"/>
  <c r="AD191" i="22" s="1"/>
  <c r="AE191" i="22" s="1"/>
  <c r="N190" i="22"/>
  <c r="O190" i="22" s="1"/>
  <c r="P190" i="22" s="1"/>
  <c r="AD194" i="22"/>
  <c r="AE194" i="22" s="1"/>
  <c r="AD188" i="22"/>
  <c r="AE188" i="22" s="1"/>
  <c r="AD177" i="22"/>
  <c r="N191" i="22"/>
  <c r="O191" i="22" s="1"/>
  <c r="P191" i="22" s="1"/>
  <c r="AD192" i="22"/>
  <c r="AE192" i="22" s="1"/>
  <c r="N194" i="22"/>
  <c r="O194" i="22" s="1"/>
  <c r="P194" i="22" s="1"/>
  <c r="N177" i="22"/>
  <c r="O177" i="22" s="1"/>
  <c r="N187" i="22"/>
  <c r="O187" i="22" s="1"/>
  <c r="P187" i="22" s="1"/>
  <c r="AC188" i="22"/>
  <c r="Z199" i="22"/>
  <c r="K199" i="22"/>
  <c r="AC199" i="22" l="1"/>
  <c r="AE177" i="22"/>
  <c r="AE199" i="22" s="1"/>
  <c r="AD199" i="22"/>
  <c r="P177" i="22"/>
  <c r="P199" i="22" s="1"/>
  <c r="O199" i="22"/>
  <c r="N199" i="22"/>
  <c r="AI165" i="22" l="1"/>
  <c r="AH165" i="22"/>
  <c r="AG165" i="22"/>
  <c r="AF165" i="22"/>
  <c r="AE165" i="22"/>
  <c r="AC165" i="22"/>
  <c r="AB165" i="22"/>
  <c r="Z165" i="22"/>
  <c r="Y165" i="22"/>
  <c r="X165" i="22"/>
  <c r="W165" i="22"/>
  <c r="V165" i="22"/>
  <c r="U165" i="22"/>
  <c r="T165" i="22"/>
  <c r="S165" i="22"/>
  <c r="R165" i="22"/>
  <c r="Q165" i="22"/>
  <c r="P165" i="22"/>
  <c r="O165" i="22"/>
  <c r="N165" i="22"/>
  <c r="M165" i="22"/>
  <c r="K165" i="22"/>
  <c r="J165" i="22"/>
  <c r="I165" i="22"/>
  <c r="H165" i="22"/>
  <c r="G165" i="22"/>
  <c r="F165" i="22"/>
  <c r="E165" i="22"/>
  <c r="D165" i="22"/>
  <c r="C165" i="22"/>
  <c r="B165" i="22"/>
  <c r="AD164" i="22"/>
  <c r="AD163" i="22"/>
  <c r="AD162" i="22"/>
  <c r="AA161" i="22"/>
  <c r="AD161" i="22" s="1"/>
  <c r="L161" i="22"/>
  <c r="AA160" i="22"/>
  <c r="AD160" i="22" s="1"/>
  <c r="L160" i="22"/>
  <c r="AD159" i="22"/>
  <c r="AD158" i="22"/>
  <c r="AD157" i="22"/>
  <c r="AD156" i="22"/>
  <c r="AD155" i="22"/>
  <c r="AD154" i="22"/>
  <c r="AD153" i="22"/>
  <c r="AD152" i="22"/>
  <c r="AD151" i="22"/>
  <c r="AD150" i="22"/>
  <c r="AD165" i="22" l="1"/>
  <c r="L165" i="22"/>
  <c r="AA165" i="22"/>
  <c r="AD138" i="22" l="1"/>
  <c r="Z138" i="22"/>
  <c r="K138" i="22"/>
  <c r="O138" i="22" s="1"/>
  <c r="Z137" i="22"/>
  <c r="AD137" i="22" s="1"/>
  <c r="O137" i="22"/>
  <c r="K137" i="22"/>
  <c r="Z136" i="22"/>
  <c r="AD136" i="22" s="1"/>
  <c r="O136" i="22"/>
  <c r="AF136" i="22" s="1"/>
  <c r="K136" i="22"/>
  <c r="AD135" i="22"/>
  <c r="Z135" i="22"/>
  <c r="K135" i="22"/>
  <c r="O135" i="22" s="1"/>
  <c r="AF135" i="22" s="1"/>
  <c r="Z134" i="22"/>
  <c r="AD134" i="22" s="1"/>
  <c r="K134" i="22"/>
  <c r="O134" i="22" s="1"/>
  <c r="AF134" i="22" s="1"/>
  <c r="Z133" i="22"/>
  <c r="AD133" i="22" s="1"/>
  <c r="K133" i="22"/>
  <c r="O133" i="22" s="1"/>
  <c r="Z132" i="22"/>
  <c r="AD132" i="22" s="1"/>
  <c r="K132" i="22"/>
  <c r="O132" i="22" s="1"/>
  <c r="AF132" i="22" s="1"/>
  <c r="Z131" i="22"/>
  <c r="AD131" i="22" s="1"/>
  <c r="K131" i="22"/>
  <c r="O131" i="22" s="1"/>
  <c r="AF131" i="22" s="1"/>
  <c r="Z130" i="22"/>
  <c r="AD130" i="22" s="1"/>
  <c r="K130" i="22"/>
  <c r="O130" i="22" s="1"/>
  <c r="AF130" i="22" s="1"/>
  <c r="Z129" i="22"/>
  <c r="AD129" i="22" s="1"/>
  <c r="K129" i="22"/>
  <c r="O129" i="22" s="1"/>
  <c r="AF129" i="22" s="1"/>
  <c r="Z128" i="22"/>
  <c r="AD128" i="22" s="1"/>
  <c r="K128" i="22"/>
  <c r="O128" i="22" s="1"/>
  <c r="AF128" i="22" s="1"/>
  <c r="Z127" i="22"/>
  <c r="AD127" i="22" s="1"/>
  <c r="K127" i="22"/>
  <c r="O127" i="22" s="1"/>
  <c r="AD126" i="22"/>
  <c r="Z126" i="22"/>
  <c r="K126" i="22"/>
  <c r="O126" i="22" s="1"/>
  <c r="AF126" i="22" s="1"/>
  <c r="Z125" i="22"/>
  <c r="AD125" i="22" s="1"/>
  <c r="K125" i="22"/>
  <c r="O125" i="22" s="1"/>
  <c r="AF125" i="22" s="1"/>
  <c r="Z124" i="22"/>
  <c r="AD124" i="22" s="1"/>
  <c r="K124" i="22"/>
  <c r="O124" i="22" s="1"/>
  <c r="AF124" i="22" s="1"/>
  <c r="Z123" i="22"/>
  <c r="AD123" i="22" s="1"/>
  <c r="K123" i="22"/>
  <c r="O123" i="22" s="1"/>
  <c r="Z122" i="22"/>
  <c r="AD122" i="22" s="1"/>
  <c r="K122" i="22"/>
  <c r="O122" i="22" s="1"/>
  <c r="AF122" i="22" s="1"/>
  <c r="Z121" i="22"/>
  <c r="AD121" i="22" s="1"/>
  <c r="K121" i="22"/>
  <c r="O121" i="22" s="1"/>
  <c r="Z120" i="22"/>
  <c r="AD120" i="22" s="1"/>
  <c r="K120" i="22"/>
  <c r="O120" i="22" s="1"/>
  <c r="AF127" i="22" l="1"/>
  <c r="AF133" i="22"/>
  <c r="AF121" i="22"/>
  <c r="AF137" i="22"/>
  <c r="AF123" i="22"/>
  <c r="AF138" i="22"/>
  <c r="O139" i="22"/>
  <c r="AF120" i="22"/>
  <c r="AF139" i="22" s="1"/>
  <c r="AD139" i="22"/>
  <c r="AI109" i="22" l="1"/>
  <c r="AH109" i="22"/>
  <c r="AB109" i="22"/>
  <c r="AA109" i="22"/>
  <c r="Y109" i="22"/>
  <c r="X109" i="22"/>
  <c r="W109" i="22"/>
  <c r="V109" i="22"/>
  <c r="U109" i="22"/>
  <c r="T109" i="22"/>
  <c r="S109" i="22"/>
  <c r="R109" i="22"/>
  <c r="Q109" i="22"/>
  <c r="M109" i="22"/>
  <c r="L109" i="22"/>
  <c r="J109" i="22"/>
  <c r="I109" i="22"/>
  <c r="H109" i="22"/>
  <c r="G109" i="22"/>
  <c r="F109" i="22"/>
  <c r="E109" i="22"/>
  <c r="D109" i="22"/>
  <c r="C109" i="22"/>
  <c r="B109" i="22"/>
  <c r="AC108" i="22"/>
  <c r="AD108" i="22" s="1"/>
  <c r="AE108" i="22" s="1"/>
  <c r="N108" i="22"/>
  <c r="O108" i="22" s="1"/>
  <c r="P108" i="22" s="1"/>
  <c r="AC107" i="22"/>
  <c r="AD107" i="22" s="1"/>
  <c r="AE107" i="22" s="1"/>
  <c r="N107" i="22"/>
  <c r="O107" i="22" s="1"/>
  <c r="P107" i="22" s="1"/>
  <c r="AG105" i="22"/>
  <c r="AC105" i="22"/>
  <c r="Z105" i="22"/>
  <c r="AD105" i="22" s="1"/>
  <c r="AE105" i="22" s="1"/>
  <c r="N105" i="22"/>
  <c r="K105" i="22"/>
  <c r="O105" i="22" s="1"/>
  <c r="P105" i="22" s="1"/>
  <c r="AG104" i="22"/>
  <c r="AC104" i="22"/>
  <c r="Z104" i="22"/>
  <c r="AD104" i="22" s="1"/>
  <c r="AE104" i="22" s="1"/>
  <c r="N104" i="22"/>
  <c r="K104" i="22"/>
  <c r="O104" i="22" s="1"/>
  <c r="P104" i="22" s="1"/>
  <c r="AF104" i="22" s="1"/>
  <c r="AG103" i="22"/>
  <c r="AC103" i="22"/>
  <c r="Z103" i="22"/>
  <c r="AD103" i="22" s="1"/>
  <c r="AE103" i="22" s="1"/>
  <c r="N103" i="22"/>
  <c r="K103" i="22"/>
  <c r="AG101" i="22"/>
  <c r="AC101" i="22"/>
  <c r="Z101" i="22"/>
  <c r="N101" i="22"/>
  <c r="K101" i="22"/>
  <c r="AG99" i="22"/>
  <c r="AC99" i="22"/>
  <c r="Z99" i="22"/>
  <c r="N99" i="22"/>
  <c r="O99" i="22" s="1"/>
  <c r="P99" i="22" s="1"/>
  <c r="K99" i="22"/>
  <c r="AG98" i="22"/>
  <c r="AC98" i="22"/>
  <c r="Z98" i="22"/>
  <c r="AD98" i="22" s="1"/>
  <c r="AE98" i="22" s="1"/>
  <c r="N98" i="22"/>
  <c r="K98" i="22"/>
  <c r="O98" i="22" s="1"/>
  <c r="P98" i="22" s="1"/>
  <c r="AG96" i="22"/>
  <c r="AC96" i="22"/>
  <c r="Z96" i="22"/>
  <c r="AD96" i="22" s="1"/>
  <c r="AE96" i="22" s="1"/>
  <c r="N96" i="22"/>
  <c r="K96" i="22"/>
  <c r="O96" i="22" s="1"/>
  <c r="P96" i="22" s="1"/>
  <c r="AF96" i="22" s="1"/>
  <c r="AG95" i="22"/>
  <c r="AC95" i="22"/>
  <c r="Z95" i="22"/>
  <c r="AD95" i="22" s="1"/>
  <c r="AE95" i="22" s="1"/>
  <c r="O95" i="22"/>
  <c r="P95" i="22" s="1"/>
  <c r="AF95" i="22" s="1"/>
  <c r="N95" i="22"/>
  <c r="K95" i="22"/>
  <c r="AG94" i="22"/>
  <c r="AD94" i="22"/>
  <c r="AE94" i="22" s="1"/>
  <c r="AC94" i="22"/>
  <c r="Z94" i="22"/>
  <c r="N94" i="22"/>
  <c r="K94" i="22"/>
  <c r="O94" i="22" s="1"/>
  <c r="P94" i="22" s="1"/>
  <c r="AG93" i="22"/>
  <c r="AC93" i="22"/>
  <c r="Z93" i="22"/>
  <c r="N93" i="22"/>
  <c r="K93" i="22"/>
  <c r="AG92" i="22"/>
  <c r="AC92" i="22"/>
  <c r="Z92" i="22"/>
  <c r="N92" i="22"/>
  <c r="K92" i="22"/>
  <c r="O92" i="22" s="1"/>
  <c r="P92" i="22" s="1"/>
  <c r="AG91" i="22"/>
  <c r="AC91" i="22"/>
  <c r="Z91" i="22"/>
  <c r="AD91" i="22" s="1"/>
  <c r="AE91" i="22" s="1"/>
  <c r="N91" i="22"/>
  <c r="K91" i="22"/>
  <c r="AG90" i="22"/>
  <c r="AC90" i="22"/>
  <c r="Z90" i="22"/>
  <c r="AD90" i="22" s="1"/>
  <c r="AE90" i="22" s="1"/>
  <c r="N90" i="22"/>
  <c r="O90" i="22" s="1"/>
  <c r="P90" i="22" s="1"/>
  <c r="K90" i="22"/>
  <c r="AG89" i="22"/>
  <c r="AC89" i="22"/>
  <c r="Z89" i="22"/>
  <c r="N89" i="22"/>
  <c r="K89" i="22"/>
  <c r="O89" i="22" s="1"/>
  <c r="P89" i="22" s="1"/>
  <c r="AG88" i="22"/>
  <c r="AC88" i="22"/>
  <c r="Z88" i="22"/>
  <c r="AD88" i="22" s="1"/>
  <c r="AE88" i="22" s="1"/>
  <c r="N88" i="22"/>
  <c r="K88" i="22"/>
  <c r="O88" i="22" s="1"/>
  <c r="P88" i="22" s="1"/>
  <c r="AG87" i="22"/>
  <c r="AC87" i="22"/>
  <c r="Z87" i="22"/>
  <c r="N87" i="22"/>
  <c r="K87" i="22"/>
  <c r="O87" i="22" s="1"/>
  <c r="P87" i="22" s="1"/>
  <c r="AG86" i="22"/>
  <c r="AC86" i="22"/>
  <c r="Z86" i="22"/>
  <c r="AD86" i="22" s="1"/>
  <c r="AE86" i="22" s="1"/>
  <c r="N86" i="22"/>
  <c r="K86" i="22"/>
  <c r="O86" i="22" s="1"/>
  <c r="P86" i="22" s="1"/>
  <c r="AF86" i="22" s="1"/>
  <c r="AG85" i="22"/>
  <c r="AC85" i="22"/>
  <c r="AD85" i="22" s="1"/>
  <c r="AE85" i="22" s="1"/>
  <c r="Z85" i="22"/>
  <c r="N85" i="22"/>
  <c r="K85" i="22"/>
  <c r="AG84" i="22"/>
  <c r="AC84" i="22"/>
  <c r="Z84" i="22"/>
  <c r="N84" i="22"/>
  <c r="K84" i="22"/>
  <c r="AG83" i="22"/>
  <c r="AC83" i="22"/>
  <c r="Z83" i="22"/>
  <c r="O83" i="22"/>
  <c r="P83" i="22" s="1"/>
  <c r="N83" i="22"/>
  <c r="K83" i="22"/>
  <c r="AG82" i="22"/>
  <c r="AD82" i="22"/>
  <c r="AE82" i="22" s="1"/>
  <c r="AC82" i="22"/>
  <c r="Z82" i="22"/>
  <c r="N82" i="22"/>
  <c r="K82" i="22"/>
  <c r="O82" i="22" s="1"/>
  <c r="P82" i="22" s="1"/>
  <c r="AG81" i="22"/>
  <c r="AC81" i="22"/>
  <c r="Z81" i="22"/>
  <c r="AD81" i="22" s="1"/>
  <c r="AE81" i="22" s="1"/>
  <c r="N81" i="22"/>
  <c r="K81" i="22"/>
  <c r="AG80" i="22"/>
  <c r="AC80" i="22"/>
  <c r="Z80" i="22"/>
  <c r="N80" i="22"/>
  <c r="K80" i="22"/>
  <c r="O80" i="22" s="1"/>
  <c r="P80" i="22" s="1"/>
  <c r="AG79" i="22"/>
  <c r="AC79" i="22"/>
  <c r="Z79" i="22"/>
  <c r="AD79" i="22" s="1"/>
  <c r="AE79" i="22" s="1"/>
  <c r="N79" i="22"/>
  <c r="K79" i="22"/>
  <c r="AG78" i="22"/>
  <c r="AC78" i="22"/>
  <c r="Z78" i="22"/>
  <c r="AD78" i="22" s="1"/>
  <c r="AE78" i="22" s="1"/>
  <c r="N78" i="22"/>
  <c r="K78" i="22"/>
  <c r="AG76" i="22"/>
  <c r="AC76" i="22"/>
  <c r="Z76" i="22"/>
  <c r="N76" i="22"/>
  <c r="K76" i="22"/>
  <c r="O76" i="22" s="1"/>
  <c r="P76" i="22" s="1"/>
  <c r="AG74" i="22"/>
  <c r="AC74" i="22"/>
  <c r="Z74" i="22"/>
  <c r="AD74" i="22" s="1"/>
  <c r="AE74" i="22" s="1"/>
  <c r="N74" i="22"/>
  <c r="K74" i="22"/>
  <c r="AG67" i="22"/>
  <c r="AC67" i="22"/>
  <c r="Z67" i="22"/>
  <c r="N67" i="22"/>
  <c r="K67" i="22"/>
  <c r="AG65" i="22"/>
  <c r="AC65" i="22"/>
  <c r="AD65" i="22" s="1"/>
  <c r="AE65" i="22" s="1"/>
  <c r="Z65" i="22"/>
  <c r="N65" i="22"/>
  <c r="O65" i="22" s="1"/>
  <c r="P65" i="22" s="1"/>
  <c r="K65" i="22"/>
  <c r="AG63" i="22"/>
  <c r="AC63" i="22"/>
  <c r="Z63" i="22"/>
  <c r="AD63" i="22" s="1"/>
  <c r="AE63" i="22" s="1"/>
  <c r="N63" i="22"/>
  <c r="K63" i="22"/>
  <c r="O63" i="22" s="1"/>
  <c r="P63" i="22" s="1"/>
  <c r="AG61" i="22"/>
  <c r="AC61" i="22"/>
  <c r="Z61" i="22"/>
  <c r="AD61" i="22" s="1"/>
  <c r="AE61" i="22" s="1"/>
  <c r="N61" i="22"/>
  <c r="K61" i="22"/>
  <c r="AG60" i="22"/>
  <c r="AC60" i="22"/>
  <c r="Z60" i="22"/>
  <c r="AD60" i="22" s="1"/>
  <c r="AE60" i="22" s="1"/>
  <c r="O60" i="22"/>
  <c r="P60" i="22" s="1"/>
  <c r="AF60" i="22" s="1"/>
  <c r="N60" i="22"/>
  <c r="K60" i="22"/>
  <c r="AG59" i="22"/>
  <c r="AD59" i="22"/>
  <c r="AE59" i="22" s="1"/>
  <c r="AC59" i="22"/>
  <c r="Z59" i="22"/>
  <c r="N59" i="22"/>
  <c r="K59" i="22"/>
  <c r="O59" i="22" s="1"/>
  <c r="P59" i="22" s="1"/>
  <c r="AF59" i="22" s="1"/>
  <c r="AG58" i="22"/>
  <c r="AC58" i="22"/>
  <c r="Z58" i="22"/>
  <c r="N58" i="22"/>
  <c r="K58" i="22"/>
  <c r="AG56" i="22"/>
  <c r="AC56" i="22"/>
  <c r="Z56" i="22"/>
  <c r="N56" i="22"/>
  <c r="K56" i="22"/>
  <c r="O56" i="22" s="1"/>
  <c r="P56" i="22" s="1"/>
  <c r="AG55" i="22"/>
  <c r="AC55" i="22"/>
  <c r="Z55" i="22"/>
  <c r="AD55" i="22" s="1"/>
  <c r="AE55" i="22" s="1"/>
  <c r="N55" i="22"/>
  <c r="K55" i="22"/>
  <c r="AG54" i="22"/>
  <c r="AC54" i="22"/>
  <c r="Z54" i="22"/>
  <c r="AD54" i="22" s="1"/>
  <c r="AE54" i="22" s="1"/>
  <c r="N54" i="22"/>
  <c r="O54" i="22" s="1"/>
  <c r="P54" i="22" s="1"/>
  <c r="K54" i="22"/>
  <c r="AG53" i="22"/>
  <c r="AC53" i="22"/>
  <c r="Z53" i="22"/>
  <c r="N53" i="22"/>
  <c r="K53" i="22"/>
  <c r="O53" i="22" s="1"/>
  <c r="P53" i="22" s="1"/>
  <c r="AG52" i="22"/>
  <c r="AC52" i="22"/>
  <c r="Z52" i="22"/>
  <c r="AD52" i="22" s="1"/>
  <c r="AE52" i="22" s="1"/>
  <c r="N52" i="22"/>
  <c r="K52" i="22"/>
  <c r="O52" i="22" s="1"/>
  <c r="P52" i="22" s="1"/>
  <c r="AG51" i="22"/>
  <c r="AC51" i="22"/>
  <c r="Z51" i="22"/>
  <c r="N51" i="22"/>
  <c r="K51" i="22"/>
  <c r="O51" i="22" s="1"/>
  <c r="P51" i="22" s="1"/>
  <c r="AG49" i="22"/>
  <c r="AC49" i="22"/>
  <c r="Z49" i="22"/>
  <c r="N49" i="22"/>
  <c r="K49" i="22"/>
  <c r="O49" i="22" s="1"/>
  <c r="P49" i="22" s="1"/>
  <c r="AG48" i="22"/>
  <c r="AC48" i="22"/>
  <c r="AD48" i="22" s="1"/>
  <c r="AE48" i="22" s="1"/>
  <c r="Z48" i="22"/>
  <c r="N48" i="22"/>
  <c r="K48" i="22"/>
  <c r="AG46" i="22"/>
  <c r="AC46" i="22"/>
  <c r="Z46" i="22"/>
  <c r="N46" i="22"/>
  <c r="K46" i="22"/>
  <c r="AG45" i="22"/>
  <c r="AC45" i="22"/>
  <c r="Z45" i="22"/>
  <c r="O45" i="22"/>
  <c r="P45" i="22" s="1"/>
  <c r="N45" i="22"/>
  <c r="K45" i="22"/>
  <c r="AG44" i="22"/>
  <c r="AD44" i="22"/>
  <c r="AE44" i="22" s="1"/>
  <c r="AC44" i="22"/>
  <c r="Z44" i="22"/>
  <c r="N44" i="22"/>
  <c r="K44" i="22"/>
  <c r="O44" i="22" s="1"/>
  <c r="P44" i="22" s="1"/>
  <c r="AG43" i="22"/>
  <c r="AC43" i="22"/>
  <c r="Z43" i="22"/>
  <c r="AD43" i="22" s="1"/>
  <c r="AE43" i="22" s="1"/>
  <c r="N43" i="22"/>
  <c r="K43" i="22"/>
  <c r="AG42" i="22"/>
  <c r="AC42" i="22"/>
  <c r="Z42" i="22"/>
  <c r="O42" i="22"/>
  <c r="N42" i="22"/>
  <c r="K42" i="22"/>
  <c r="AF56" i="22" l="1"/>
  <c r="AD56" i="22"/>
  <c r="AE56" i="22" s="1"/>
  <c r="O84" i="22"/>
  <c r="P84" i="22" s="1"/>
  <c r="AF84" i="22" s="1"/>
  <c r="AD92" i="22"/>
  <c r="AE92" i="22" s="1"/>
  <c r="AF92" i="22" s="1"/>
  <c r="AF98" i="22"/>
  <c r="K109" i="22"/>
  <c r="O46" i="22"/>
  <c r="P46" i="22" s="1"/>
  <c r="AD46" i="22"/>
  <c r="AE46" i="22" s="1"/>
  <c r="O74" i="22"/>
  <c r="P74" i="22" s="1"/>
  <c r="AF74" i="22" s="1"/>
  <c r="AD84" i="22"/>
  <c r="AE84" i="22" s="1"/>
  <c r="AD99" i="22"/>
  <c r="AE99" i="22" s="1"/>
  <c r="AF99" i="22" s="1"/>
  <c r="O103" i="22"/>
  <c r="P103" i="22" s="1"/>
  <c r="AF103" i="22" s="1"/>
  <c r="AD51" i="22"/>
  <c r="AE51" i="22" s="1"/>
  <c r="AF51" i="22" s="1"/>
  <c r="AF54" i="22"/>
  <c r="O58" i="22"/>
  <c r="P58" i="22" s="1"/>
  <c r="AD76" i="22"/>
  <c r="AE76" i="22" s="1"/>
  <c r="O79" i="22"/>
  <c r="P79" i="22" s="1"/>
  <c r="AF79" i="22" s="1"/>
  <c r="AD87" i="22"/>
  <c r="AE87" i="22" s="1"/>
  <c r="AF90" i="22"/>
  <c r="O93" i="22"/>
  <c r="P93" i="22" s="1"/>
  <c r="AF82" i="22"/>
  <c r="AD42" i="22"/>
  <c r="N109" i="22"/>
  <c r="AD45" i="22"/>
  <c r="AE45" i="22" s="1"/>
  <c r="O48" i="22"/>
  <c r="P48" i="22" s="1"/>
  <c r="AF48" i="22" s="1"/>
  <c r="AD58" i="22"/>
  <c r="AE58" i="22" s="1"/>
  <c r="O61" i="22"/>
  <c r="P61" i="22" s="1"/>
  <c r="AF61" i="22" s="1"/>
  <c r="O67" i="22"/>
  <c r="P67" i="22" s="1"/>
  <c r="AD80" i="22"/>
  <c r="AE80" i="22" s="1"/>
  <c r="AF80" i="22" s="1"/>
  <c r="AD83" i="22"/>
  <c r="AE83" i="22" s="1"/>
  <c r="O85" i="22"/>
  <c r="P85" i="22" s="1"/>
  <c r="AD93" i="22"/>
  <c r="AE93" i="22" s="1"/>
  <c r="O101" i="22"/>
  <c r="P101" i="22" s="1"/>
  <c r="AF101" i="22" s="1"/>
  <c r="AF45" i="22"/>
  <c r="AF52" i="22"/>
  <c r="AF105" i="22"/>
  <c r="AG109" i="22"/>
  <c r="O43" i="22"/>
  <c r="P43" i="22" s="1"/>
  <c r="AF43" i="22" s="1"/>
  <c r="AD49" i="22"/>
  <c r="AE49" i="22" s="1"/>
  <c r="AD53" i="22"/>
  <c r="AE53" i="22" s="1"/>
  <c r="AF53" i="22" s="1"/>
  <c r="O55" i="22"/>
  <c r="P55" i="22" s="1"/>
  <c r="AF55" i="22" s="1"/>
  <c r="AD67" i="22"/>
  <c r="AE67" i="22" s="1"/>
  <c r="AF67" i="22" s="1"/>
  <c r="O78" i="22"/>
  <c r="P78" i="22" s="1"/>
  <c r="AF78" i="22" s="1"/>
  <c r="O81" i="22"/>
  <c r="P81" i="22" s="1"/>
  <c r="AF81" i="22" s="1"/>
  <c r="AD89" i="22"/>
  <c r="AE89" i="22" s="1"/>
  <c r="AF89" i="22" s="1"/>
  <c r="O91" i="22"/>
  <c r="P91" i="22" s="1"/>
  <c r="AF91" i="22" s="1"/>
  <c r="AD101" i="22"/>
  <c r="AE101" i="22" s="1"/>
  <c r="AF65" i="22"/>
  <c r="AF85" i="22"/>
  <c r="AF87" i="22"/>
  <c r="AF44" i="22"/>
  <c r="AF83" i="22"/>
  <c r="AF94" i="22"/>
  <c r="AE42" i="22"/>
  <c r="AF49" i="22"/>
  <c r="AF63" i="22"/>
  <c r="AF76" i="22"/>
  <c r="AF88" i="22"/>
  <c r="Z109" i="22"/>
  <c r="P42" i="22"/>
  <c r="AC109" i="22"/>
  <c r="AE109" i="22" l="1"/>
  <c r="AF58" i="22"/>
  <c r="AF46" i="22"/>
  <c r="AD109" i="22"/>
  <c r="AF93" i="22"/>
  <c r="O109" i="22"/>
  <c r="P109" i="22"/>
  <c r="AF42" i="22"/>
  <c r="AF109" i="22" s="1"/>
  <c r="AH29" i="22" l="1"/>
  <c r="AA29" i="22"/>
  <c r="V29" i="22"/>
  <c r="U29" i="22"/>
  <c r="S29" i="22"/>
  <c r="R29" i="22"/>
  <c r="Q29" i="22"/>
  <c r="L29" i="22"/>
  <c r="F29" i="22"/>
  <c r="C29" i="22"/>
  <c r="B29" i="22"/>
  <c r="AI28" i="22"/>
  <c r="AC27" i="22"/>
  <c r="Z27" i="22"/>
  <c r="AD27" i="22" s="1"/>
  <c r="AE27" i="22" s="1"/>
  <c r="AI27" i="22" s="1"/>
  <c r="N27" i="22"/>
  <c r="K27" i="22"/>
  <c r="O27" i="22" s="1"/>
  <c r="AC26" i="22"/>
  <c r="Z26" i="22"/>
  <c r="AD26" i="22" s="1"/>
  <c r="AE26" i="22" s="1"/>
  <c r="AI26" i="22" s="1"/>
  <c r="N26" i="22"/>
  <c r="K26" i="22"/>
  <c r="O26" i="22" s="1"/>
  <c r="AB25" i="22"/>
  <c r="AC25" i="22" s="1"/>
  <c r="Z25" i="22"/>
  <c r="M25" i="22"/>
  <c r="M29" i="22" s="1"/>
  <c r="K25" i="22"/>
  <c r="AC24" i="22"/>
  <c r="Z24" i="22"/>
  <c r="AD24" i="22" s="1"/>
  <c r="AE24" i="22" s="1"/>
  <c r="AI24" i="22" s="1"/>
  <c r="N24" i="22"/>
  <c r="K24" i="22"/>
  <c r="O24" i="22" s="1"/>
  <c r="AC23" i="22"/>
  <c r="AC29" i="22" s="1"/>
  <c r="Z23" i="22"/>
  <c r="Z29" i="22" s="1"/>
  <c r="N23" i="22"/>
  <c r="K23" i="22"/>
  <c r="O23" i="22" s="1"/>
  <c r="Z22" i="22"/>
  <c r="AD25" i="22" l="1"/>
  <c r="AE25" i="22" s="1"/>
  <c r="AI25" i="22" s="1"/>
  <c r="AD23" i="22"/>
  <c r="AE23" i="22" s="1"/>
  <c r="AB29" i="22"/>
  <c r="AF23" i="22"/>
  <c r="P23" i="22"/>
  <c r="AF26" i="22"/>
  <c r="P26" i="22"/>
  <c r="AG26" i="22" s="1"/>
  <c r="AI23" i="22"/>
  <c r="AF24" i="22"/>
  <c r="P24" i="22"/>
  <c r="AG24" i="22" s="1"/>
  <c r="AF27" i="22"/>
  <c r="P27" i="22"/>
  <c r="AG27" i="22" s="1"/>
  <c r="N25" i="22"/>
  <c r="O25" i="22" s="1"/>
  <c r="K29" i="22"/>
  <c r="AD29" i="22"/>
  <c r="N29" i="22" l="1"/>
  <c r="AE29" i="22"/>
  <c r="AI29" i="22"/>
  <c r="AF25" i="22"/>
  <c r="AF29" i="22" s="1"/>
  <c r="P25" i="22"/>
  <c r="AG25" i="22" s="1"/>
  <c r="O29" i="22"/>
  <c r="AG23" i="22"/>
  <c r="P29" i="22"/>
  <c r="AG29" i="22" l="1"/>
  <c r="AC9" i="22" l="1"/>
  <c r="Z9" i="22"/>
  <c r="AD9" i="22" s="1"/>
  <c r="AE9" i="22" s="1"/>
  <c r="N9" i="22"/>
  <c r="K9" i="22"/>
  <c r="O9" i="22" s="1"/>
  <c r="P9" i="22" l="1"/>
  <c r="AG9" i="22" s="1"/>
  <c r="AF9" i="22"/>
  <c r="G302" i="21" l="1"/>
  <c r="E302" i="21"/>
  <c r="C302" i="21"/>
  <c r="I276" i="21" l="1"/>
  <c r="G276" i="21"/>
  <c r="E276" i="21"/>
  <c r="C276" i="21"/>
  <c r="I269" i="21"/>
  <c r="I265" i="21"/>
  <c r="I260" i="21"/>
  <c r="G250" i="21" l="1"/>
  <c r="E250" i="21"/>
  <c r="C250" i="21"/>
  <c r="I223" i="21" l="1"/>
  <c r="H223" i="21"/>
  <c r="G223" i="21"/>
  <c r="F223" i="21"/>
  <c r="E223" i="21"/>
  <c r="D223" i="21"/>
  <c r="C223" i="21"/>
  <c r="B223" i="21"/>
  <c r="G196" i="21" l="1"/>
  <c r="E196" i="21"/>
  <c r="I195" i="21"/>
  <c r="H195" i="21"/>
  <c r="I194" i="21"/>
  <c r="H194" i="21"/>
  <c r="I193" i="21"/>
  <c r="H193" i="21"/>
  <c r="I192" i="21"/>
  <c r="H192" i="21"/>
  <c r="H191" i="21"/>
  <c r="C191" i="21"/>
  <c r="I191" i="21" s="1"/>
  <c r="I196" i="21" l="1"/>
  <c r="C196" i="21"/>
  <c r="F181" i="21"/>
  <c r="E181" i="21"/>
  <c r="D181" i="21"/>
  <c r="C181" i="21"/>
  <c r="B181" i="21"/>
  <c r="I180" i="21"/>
  <c r="H180" i="21"/>
  <c r="I179" i="21"/>
  <c r="H179" i="21"/>
  <c r="I178" i="21"/>
  <c r="H178" i="21"/>
  <c r="I177" i="21"/>
  <c r="H177" i="21"/>
  <c r="I176" i="21"/>
  <c r="H176" i="21"/>
  <c r="I175" i="21"/>
  <c r="H175" i="21"/>
  <c r="I174" i="21"/>
  <c r="H174" i="21"/>
  <c r="I173" i="21"/>
  <c r="H173" i="21"/>
  <c r="I172" i="21"/>
  <c r="H172" i="21"/>
  <c r="I171" i="21"/>
  <c r="H171" i="21"/>
  <c r="I170" i="21"/>
  <c r="H170" i="21"/>
  <c r="G170" i="21"/>
  <c r="G181" i="21" s="1"/>
  <c r="I169" i="21"/>
  <c r="H169" i="21"/>
  <c r="I168" i="21"/>
  <c r="H168" i="21"/>
  <c r="I167" i="21"/>
  <c r="H167" i="21"/>
  <c r="I166" i="21"/>
  <c r="H166" i="21"/>
  <c r="I165" i="21"/>
  <c r="H165" i="21"/>
  <c r="H181" i="21" s="1"/>
  <c r="I181" i="21" l="1"/>
  <c r="G155" i="21"/>
  <c r="E155" i="21"/>
  <c r="C155" i="21"/>
  <c r="I154" i="21"/>
  <c r="I150" i="21"/>
  <c r="I146" i="21"/>
  <c r="I142" i="21"/>
  <c r="I137" i="21"/>
  <c r="I155" i="21" s="1"/>
  <c r="G127" i="21" l="1"/>
  <c r="E127" i="21"/>
  <c r="C127" i="21"/>
  <c r="I126" i="21"/>
  <c r="H126" i="21"/>
  <c r="I125" i="21"/>
  <c r="H125" i="21"/>
  <c r="I124" i="21"/>
  <c r="H124" i="21"/>
  <c r="I123" i="21"/>
  <c r="H123" i="21"/>
  <c r="I122" i="21"/>
  <c r="H122" i="21"/>
  <c r="I121" i="21"/>
  <c r="H121" i="21"/>
  <c r="I120" i="21"/>
  <c r="H120" i="21"/>
  <c r="I119" i="21"/>
  <c r="H119" i="21"/>
  <c r="I118" i="21"/>
  <c r="H118" i="21"/>
  <c r="I117" i="21"/>
  <c r="H117" i="21"/>
  <c r="I116" i="21"/>
  <c r="H116" i="21"/>
  <c r="I115" i="21"/>
  <c r="H115" i="21"/>
  <c r="I114" i="21"/>
  <c r="H114" i="21"/>
  <c r="I113" i="21"/>
  <c r="H113" i="21"/>
  <c r="I112" i="21"/>
  <c r="H112" i="21"/>
  <c r="I111" i="21"/>
  <c r="H111" i="21"/>
  <c r="I127" i="21" l="1"/>
  <c r="I98" i="21"/>
  <c r="E94" i="21"/>
  <c r="C94" i="21"/>
  <c r="E92" i="21"/>
  <c r="I92" i="21" s="1"/>
  <c r="C92" i="21"/>
  <c r="E90" i="21"/>
  <c r="C90" i="21"/>
  <c r="E85" i="21"/>
  <c r="C85" i="21"/>
  <c r="I90" i="21" l="1"/>
  <c r="I94" i="21"/>
  <c r="I85" i="21"/>
  <c r="E75" i="21"/>
  <c r="C75" i="21"/>
  <c r="I74" i="21"/>
  <c r="H74" i="21"/>
  <c r="I73" i="21"/>
  <c r="H73" i="21"/>
  <c r="G73" i="21"/>
  <c r="I72" i="21"/>
  <c r="H72" i="21"/>
  <c r="G72" i="21"/>
  <c r="I71" i="21"/>
  <c r="H71" i="21"/>
  <c r="G71" i="21"/>
  <c r="I70" i="21"/>
  <c r="H70" i="21"/>
  <c r="G70" i="21"/>
  <c r="I69" i="21"/>
  <c r="H69" i="21"/>
  <c r="G69" i="21"/>
  <c r="H68" i="21"/>
  <c r="G68" i="21"/>
  <c r="I67" i="21"/>
  <c r="H67" i="21"/>
  <c r="G67" i="21"/>
  <c r="G66" i="21"/>
  <c r="I65" i="21"/>
  <c r="H65" i="21"/>
  <c r="G65" i="21"/>
  <c r="H64" i="21"/>
  <c r="G64" i="21"/>
  <c r="I63" i="21"/>
  <c r="H63" i="21"/>
  <c r="G63" i="21"/>
  <c r="I62" i="21"/>
  <c r="H62" i="21"/>
  <c r="G62" i="21"/>
  <c r="I61" i="21"/>
  <c r="H61" i="21"/>
  <c r="G61" i="21"/>
  <c r="I60" i="21"/>
  <c r="H60" i="21"/>
  <c r="G60" i="21"/>
  <c r="H59" i="21"/>
  <c r="G59" i="21"/>
  <c r="G75" i="21" s="1"/>
  <c r="E48" i="21" l="1"/>
  <c r="C48" i="21"/>
  <c r="I46" i="21"/>
  <c r="G46" i="21"/>
  <c r="I41" i="21"/>
  <c r="G41" i="21"/>
  <c r="I39" i="21"/>
  <c r="G39" i="21"/>
  <c r="I37" i="21"/>
  <c r="G37" i="21"/>
  <c r="I32" i="21"/>
  <c r="G32" i="21"/>
  <c r="G48" i="21" l="1"/>
  <c r="I48" i="21"/>
  <c r="I21" i="21"/>
  <c r="H21" i="21"/>
  <c r="I20" i="21"/>
  <c r="H20" i="21"/>
  <c r="I19" i="21"/>
  <c r="H19" i="21"/>
  <c r="I15" i="21"/>
  <c r="H15" i="21"/>
  <c r="I13" i="21"/>
  <c r="H13" i="21"/>
  <c r="I11" i="21"/>
  <c r="H11" i="21"/>
  <c r="I6" i="21"/>
  <c r="H6" i="21"/>
  <c r="V523" i="15" l="1"/>
  <c r="K523" i="15"/>
  <c r="W519" i="15"/>
  <c r="L519" i="15"/>
  <c r="W516" i="15"/>
  <c r="L516" i="15"/>
  <c r="W514" i="15"/>
  <c r="L514" i="15"/>
  <c r="W511" i="15"/>
  <c r="L511" i="15"/>
  <c r="W509" i="15"/>
  <c r="L509" i="15"/>
  <c r="W506" i="15"/>
  <c r="L506" i="15"/>
  <c r="W504" i="15"/>
  <c r="W523" i="15" s="1"/>
  <c r="L504" i="15"/>
  <c r="L523" i="15" s="1"/>
  <c r="W479" i="15" l="1"/>
  <c r="L479" i="15"/>
  <c r="W474" i="15"/>
  <c r="L474" i="15"/>
  <c r="W466" i="15"/>
  <c r="L466" i="15"/>
  <c r="L489" i="15" s="1"/>
  <c r="W489" i="15" l="1"/>
  <c r="M452" i="15"/>
  <c r="B452" i="15"/>
  <c r="L450" i="15"/>
  <c r="V444" i="15"/>
  <c r="W444" i="15" s="1"/>
  <c r="K444" i="15"/>
  <c r="L444" i="15" s="1"/>
  <c r="W440" i="15"/>
  <c r="V440" i="15"/>
  <c r="K440" i="15"/>
  <c r="L440" i="15" s="1"/>
  <c r="V439" i="15"/>
  <c r="W439" i="15" s="1"/>
  <c r="K439" i="15"/>
  <c r="L439" i="15" s="1"/>
  <c r="V438" i="15"/>
  <c r="W438" i="15" s="1"/>
  <c r="K438" i="15"/>
  <c r="L438" i="15" s="1"/>
  <c r="W434" i="15"/>
  <c r="V434" i="15"/>
  <c r="K434" i="15"/>
  <c r="L434" i="15" s="1"/>
  <c r="V433" i="15"/>
  <c r="W433" i="15" s="1"/>
  <c r="K433" i="15"/>
  <c r="L433" i="15" s="1"/>
  <c r="V432" i="15"/>
  <c r="W432" i="15" s="1"/>
  <c r="K432" i="15"/>
  <c r="L432" i="15" s="1"/>
  <c r="W429" i="15"/>
  <c r="V429" i="15"/>
  <c r="K429" i="15"/>
  <c r="L429" i="15" s="1"/>
  <c r="V428" i="15"/>
  <c r="W428" i="15" s="1"/>
  <c r="K428" i="15"/>
  <c r="L428" i="15" s="1"/>
  <c r="V427" i="15"/>
  <c r="W427" i="15" s="1"/>
  <c r="K427" i="15"/>
  <c r="L427" i="15" s="1"/>
  <c r="W426" i="15"/>
  <c r="V426" i="15"/>
  <c r="K426" i="15"/>
  <c r="L426" i="15" s="1"/>
  <c r="V425" i="15"/>
  <c r="L425" i="15"/>
  <c r="K425" i="15"/>
  <c r="K452" i="15" s="1"/>
  <c r="W424" i="15"/>
  <c r="L424" i="15"/>
  <c r="W423" i="15"/>
  <c r="L423" i="15"/>
  <c r="W422" i="15"/>
  <c r="L422" i="15"/>
  <c r="V452" i="15" l="1"/>
  <c r="L452" i="15"/>
  <c r="W425" i="15"/>
  <c r="W452" i="15" s="1"/>
  <c r="O409" i="15" l="1"/>
  <c r="N409" i="15"/>
  <c r="M409" i="15"/>
  <c r="D409" i="15"/>
  <c r="B409" i="15"/>
  <c r="K408" i="15"/>
  <c r="V408" i="15" s="1"/>
  <c r="W408" i="15" s="1"/>
  <c r="K407" i="15"/>
  <c r="L407" i="15" s="1"/>
  <c r="K406" i="15"/>
  <c r="V406" i="15" s="1"/>
  <c r="W406" i="15" s="1"/>
  <c r="N405" i="15"/>
  <c r="K405" i="15"/>
  <c r="V405" i="15" s="1"/>
  <c r="W405" i="15" s="1"/>
  <c r="C405" i="15"/>
  <c r="K403" i="15"/>
  <c r="V403" i="15" s="1"/>
  <c r="W403" i="15" s="1"/>
  <c r="K402" i="15"/>
  <c r="L402" i="15" s="1"/>
  <c r="K401" i="15"/>
  <c r="V401" i="15" s="1"/>
  <c r="W401" i="15" s="1"/>
  <c r="N400" i="15"/>
  <c r="K400" i="15"/>
  <c r="V400" i="15" s="1"/>
  <c r="W400" i="15" s="1"/>
  <c r="C400" i="15"/>
  <c r="C409" i="15" s="1"/>
  <c r="K398" i="15"/>
  <c r="V398" i="15" s="1"/>
  <c r="W398" i="15" s="1"/>
  <c r="K397" i="15"/>
  <c r="L397" i="15" s="1"/>
  <c r="K396" i="15"/>
  <c r="V396" i="15" s="1"/>
  <c r="W396" i="15" s="1"/>
  <c r="K395" i="15"/>
  <c r="V395" i="15" s="1"/>
  <c r="W395" i="15" s="1"/>
  <c r="V394" i="15"/>
  <c r="W394" i="15" s="1"/>
  <c r="L394" i="15"/>
  <c r="K394" i="15"/>
  <c r="K393" i="15"/>
  <c r="V393" i="15" s="1"/>
  <c r="W393" i="15" s="1"/>
  <c r="K391" i="15"/>
  <c r="V391" i="15" s="1"/>
  <c r="W391" i="15" s="1"/>
  <c r="V390" i="15"/>
  <c r="W390" i="15" s="1"/>
  <c r="L390" i="15"/>
  <c r="K390" i="15"/>
  <c r="K389" i="15"/>
  <c r="V389" i="15" s="1"/>
  <c r="W389" i="15" s="1"/>
  <c r="K388" i="15"/>
  <c r="V388" i="15" s="1"/>
  <c r="W388" i="15" s="1"/>
  <c r="K387" i="15"/>
  <c r="V387" i="15" s="1"/>
  <c r="W387" i="15" s="1"/>
  <c r="K385" i="15"/>
  <c r="V385" i="15" s="1"/>
  <c r="W385" i="15" s="1"/>
  <c r="K384" i="15"/>
  <c r="V384" i="15" s="1"/>
  <c r="W384" i="15" s="1"/>
  <c r="K383" i="15"/>
  <c r="V383" i="15" s="1"/>
  <c r="W383" i="15" s="1"/>
  <c r="K382" i="15"/>
  <c r="V382" i="15" s="1"/>
  <c r="W382" i="15" s="1"/>
  <c r="K381" i="15"/>
  <c r="V381" i="15" s="1"/>
  <c r="W381" i="15" s="1"/>
  <c r="L378" i="15"/>
  <c r="K378" i="15"/>
  <c r="V378" i="15" s="1"/>
  <c r="W378" i="15" s="1"/>
  <c r="K377" i="15"/>
  <c r="V377" i="15" s="1"/>
  <c r="W377" i="15" s="1"/>
  <c r="K376" i="15"/>
  <c r="V376" i="15" s="1"/>
  <c r="W376" i="15" s="1"/>
  <c r="V374" i="15"/>
  <c r="W374" i="15" s="1"/>
  <c r="K374" i="15"/>
  <c r="L374" i="15" s="1"/>
  <c r="V373" i="15"/>
  <c r="W373" i="15" s="1"/>
  <c r="L373" i="15"/>
  <c r="K372" i="15"/>
  <c r="V372" i="15" s="1"/>
  <c r="W372" i="15" s="1"/>
  <c r="K371" i="15"/>
  <c r="V371" i="15" s="1"/>
  <c r="W371" i="15" s="1"/>
  <c r="V370" i="15"/>
  <c r="W370" i="15" s="1"/>
  <c r="K370" i="15"/>
  <c r="L370" i="15" s="1"/>
  <c r="K368" i="15"/>
  <c r="V368" i="15" s="1"/>
  <c r="W368" i="15" s="1"/>
  <c r="K367" i="15"/>
  <c r="V367" i="15" s="1"/>
  <c r="W367" i="15" s="1"/>
  <c r="V366" i="15"/>
  <c r="W366" i="15" s="1"/>
  <c r="K366" i="15"/>
  <c r="L366" i="15" s="1"/>
  <c r="K365" i="15"/>
  <c r="V365" i="15" s="1"/>
  <c r="W365" i="15" s="1"/>
  <c r="K364" i="15"/>
  <c r="L364" i="15" s="1"/>
  <c r="V361" i="15"/>
  <c r="W361" i="15" s="1"/>
  <c r="K361" i="15"/>
  <c r="L361" i="15" s="1"/>
  <c r="K360" i="15"/>
  <c r="V360" i="15" s="1"/>
  <c r="W360" i="15" s="1"/>
  <c r="K359" i="15"/>
  <c r="V359" i="15" s="1"/>
  <c r="W359" i="15" s="1"/>
  <c r="V358" i="15"/>
  <c r="W358" i="15" s="1"/>
  <c r="K358" i="15"/>
  <c r="L358" i="15" s="1"/>
  <c r="K357" i="15"/>
  <c r="V357" i="15" s="1"/>
  <c r="W357" i="15" s="1"/>
  <c r="K356" i="15"/>
  <c r="V356" i="15" s="1"/>
  <c r="W356" i="15" s="1"/>
  <c r="V353" i="15"/>
  <c r="K353" i="15"/>
  <c r="L353" i="15" s="1"/>
  <c r="W353" i="15" s="1"/>
  <c r="K352" i="15"/>
  <c r="V352" i="15" s="1"/>
  <c r="K351" i="15"/>
  <c r="L351" i="15" s="1"/>
  <c r="W351" i="15" s="1"/>
  <c r="V350" i="15"/>
  <c r="K350" i="15"/>
  <c r="L350" i="15" s="1"/>
  <c r="W350" i="15" s="1"/>
  <c r="V349" i="15"/>
  <c r="W349" i="15" s="1"/>
  <c r="K349" i="15"/>
  <c r="K409" i="15" s="1"/>
  <c r="V402" i="15" l="1"/>
  <c r="W402" i="15" s="1"/>
  <c r="L387" i="15"/>
  <c r="V397" i="15"/>
  <c r="W397" i="15" s="1"/>
  <c r="V407" i="15"/>
  <c r="W407" i="15" s="1"/>
  <c r="L403" i="15"/>
  <c r="L383" i="15"/>
  <c r="L359" i="15"/>
  <c r="V351" i="15"/>
  <c r="V409" i="15" s="1"/>
  <c r="L405" i="15"/>
  <c r="L376" i="15"/>
  <c r="L381" i="15"/>
  <c r="L384" i="15"/>
  <c r="L388" i="15"/>
  <c r="L391" i="15"/>
  <c r="L395" i="15"/>
  <c r="L398" i="15"/>
  <c r="L408" i="15"/>
  <c r="L349" i="15"/>
  <c r="L352" i="15"/>
  <c r="W352" i="15" s="1"/>
  <c r="L357" i="15"/>
  <c r="L360" i="15"/>
  <c r="L365" i="15"/>
  <c r="L368" i="15"/>
  <c r="L372" i="15"/>
  <c r="L356" i="15"/>
  <c r="L371" i="15"/>
  <c r="V364" i="15"/>
  <c r="W364" i="15" s="1"/>
  <c r="L401" i="15"/>
  <c r="L377" i="15"/>
  <c r="L382" i="15"/>
  <c r="L385" i="15"/>
  <c r="L389" i="15"/>
  <c r="L393" i="15"/>
  <c r="L396" i="15"/>
  <c r="L406" i="15"/>
  <c r="L400" i="15"/>
  <c r="L367" i="15"/>
  <c r="W409" i="15" l="1"/>
  <c r="L409" i="15"/>
  <c r="V334" i="15" l="1"/>
  <c r="U334" i="15"/>
  <c r="T334" i="15"/>
  <c r="S334" i="15"/>
  <c r="R334" i="15"/>
  <c r="Q334" i="15"/>
  <c r="P334" i="15"/>
  <c r="O334" i="15"/>
  <c r="N334" i="15"/>
  <c r="M334" i="15"/>
  <c r="K334" i="15"/>
  <c r="J334" i="15"/>
  <c r="I334" i="15"/>
  <c r="H334" i="15"/>
  <c r="G334" i="15"/>
  <c r="F334" i="15"/>
  <c r="E334" i="15"/>
  <c r="D334" i="15"/>
  <c r="C334" i="15"/>
  <c r="B334" i="15"/>
  <c r="W331" i="15"/>
  <c r="L331" i="15"/>
  <c r="W330" i="15"/>
  <c r="L330" i="15"/>
  <c r="W326" i="15"/>
  <c r="L326" i="15"/>
  <c r="W321" i="15"/>
  <c r="L321" i="15"/>
  <c r="W334" i="15" l="1"/>
  <c r="L334" i="15"/>
  <c r="W299" i="15"/>
  <c r="V299" i="15"/>
  <c r="L299" i="15"/>
  <c r="K299" i="15"/>
  <c r="W294" i="15"/>
  <c r="V294" i="15"/>
  <c r="L294" i="15"/>
  <c r="K294" i="15"/>
  <c r="W284" i="15"/>
  <c r="V284" i="15"/>
  <c r="L284" i="15"/>
  <c r="K284" i="15"/>
  <c r="W270" i="15"/>
  <c r="V270" i="15"/>
  <c r="L270" i="15"/>
  <c r="K270" i="15"/>
  <c r="O250" i="15"/>
  <c r="O244" i="15" s="1"/>
  <c r="M250" i="15"/>
  <c r="B250" i="15"/>
  <c r="K250" i="15" s="1"/>
  <c r="L250" i="15" s="1"/>
  <c r="V249" i="15"/>
  <c r="W249" i="15" s="1"/>
  <c r="K249" i="15"/>
  <c r="L249" i="15" s="1"/>
  <c r="V248" i="15"/>
  <c r="W248" i="15" s="1"/>
  <c r="K248" i="15"/>
  <c r="L248" i="15" s="1"/>
  <c r="M247" i="15"/>
  <c r="V247" i="15" s="1"/>
  <c r="W247" i="15" s="1"/>
  <c r="B247" i="15"/>
  <c r="K247" i="15" s="1"/>
  <c r="L247" i="15" s="1"/>
  <c r="M246" i="15"/>
  <c r="V246" i="15" s="1"/>
  <c r="W246" i="15" s="1"/>
  <c r="B246" i="15"/>
  <c r="K246" i="15" s="1"/>
  <c r="L246" i="15" s="1"/>
  <c r="M245" i="15"/>
  <c r="V245" i="15" s="1"/>
  <c r="B245" i="15"/>
  <c r="B244" i="15" s="1"/>
  <c r="D244" i="15"/>
  <c r="O243" i="15"/>
  <c r="M243" i="15"/>
  <c r="B243" i="15"/>
  <c r="K243" i="15" s="1"/>
  <c r="L243" i="15" s="1"/>
  <c r="M242" i="15"/>
  <c r="V242" i="15" s="1"/>
  <c r="W242" i="15" s="1"/>
  <c r="B242" i="15"/>
  <c r="K242" i="15" s="1"/>
  <c r="L242" i="15" s="1"/>
  <c r="V241" i="15"/>
  <c r="W241" i="15" s="1"/>
  <c r="M241" i="15"/>
  <c r="B241" i="15"/>
  <c r="K241" i="15" s="1"/>
  <c r="L241" i="15" s="1"/>
  <c r="M240" i="15"/>
  <c r="V240" i="15" s="1"/>
  <c r="W240" i="15" s="1"/>
  <c r="B240" i="15"/>
  <c r="K240" i="15" s="1"/>
  <c r="L240" i="15" s="1"/>
  <c r="M239" i="15"/>
  <c r="V239" i="15" s="1"/>
  <c r="W239" i="15" s="1"/>
  <c r="B239" i="15"/>
  <c r="K239" i="15" s="1"/>
  <c r="M238" i="15"/>
  <c r="M237" i="15" s="1"/>
  <c r="B238" i="15"/>
  <c r="K238" i="15" s="1"/>
  <c r="L238" i="15" s="1"/>
  <c r="O237" i="15"/>
  <c r="D237" i="15"/>
  <c r="W236" i="15"/>
  <c r="V236" i="15"/>
  <c r="K236" i="15"/>
  <c r="L236" i="15" s="1"/>
  <c r="M235" i="15"/>
  <c r="V235" i="15" s="1"/>
  <c r="W235" i="15" s="1"/>
  <c r="B235" i="15"/>
  <c r="K235" i="15" s="1"/>
  <c r="L235" i="15" s="1"/>
  <c r="M234" i="15"/>
  <c r="V234" i="15" s="1"/>
  <c r="W234" i="15" s="1"/>
  <c r="B234" i="15"/>
  <c r="K234" i="15" s="1"/>
  <c r="L234" i="15" s="1"/>
  <c r="V233" i="15"/>
  <c r="W233" i="15" s="1"/>
  <c r="K233" i="15"/>
  <c r="L233" i="15" s="1"/>
  <c r="V232" i="15"/>
  <c r="W232" i="15" s="1"/>
  <c r="K232" i="15"/>
  <c r="L232" i="15" s="1"/>
  <c r="V231" i="15"/>
  <c r="W231" i="15" s="1"/>
  <c r="K231" i="15"/>
  <c r="L231" i="15" s="1"/>
  <c r="V230" i="15"/>
  <c r="W230" i="15" s="1"/>
  <c r="K230" i="15"/>
  <c r="L230" i="15" s="1"/>
  <c r="V229" i="15"/>
  <c r="W229" i="15" s="1"/>
  <c r="K229" i="15"/>
  <c r="L229" i="15" s="1"/>
  <c r="V228" i="15"/>
  <c r="W228" i="15" s="1"/>
  <c r="K228" i="15"/>
  <c r="L228" i="15" s="1"/>
  <c r="O227" i="15"/>
  <c r="M227" i="15"/>
  <c r="V227" i="15" s="1"/>
  <c r="W227" i="15" s="1"/>
  <c r="K227" i="15"/>
  <c r="L227" i="15" s="1"/>
  <c r="V226" i="15"/>
  <c r="W226" i="15" s="1"/>
  <c r="K226" i="15"/>
  <c r="L226" i="15" s="1"/>
  <c r="V225" i="15"/>
  <c r="W225" i="15" s="1"/>
  <c r="K225" i="15"/>
  <c r="L225" i="15" s="1"/>
  <c r="V224" i="15"/>
  <c r="W224" i="15" s="1"/>
  <c r="K224" i="15"/>
  <c r="L224" i="15" s="1"/>
  <c r="V223" i="15"/>
  <c r="W223" i="15" s="1"/>
  <c r="K223" i="15"/>
  <c r="L223" i="15" s="1"/>
  <c r="V222" i="15"/>
  <c r="W222" i="15" s="1"/>
  <c r="K222" i="15"/>
  <c r="L222" i="15" s="1"/>
  <c r="V221" i="15"/>
  <c r="W221" i="15" s="1"/>
  <c r="K221" i="15"/>
  <c r="L221" i="15" s="1"/>
  <c r="V220" i="15"/>
  <c r="W220" i="15" s="1"/>
  <c r="K220" i="15"/>
  <c r="L220" i="15" s="1"/>
  <c r="V219" i="15"/>
  <c r="W219" i="15" s="1"/>
  <c r="K219" i="15"/>
  <c r="L219" i="15" s="1"/>
  <c r="O218" i="15"/>
  <c r="M218" i="15"/>
  <c r="V218" i="15" s="1"/>
  <c r="W218" i="15" s="1"/>
  <c r="K218" i="15"/>
  <c r="L218" i="15" s="1"/>
  <c r="V217" i="15"/>
  <c r="W217" i="15" s="1"/>
  <c r="K217" i="15"/>
  <c r="L217" i="15" s="1"/>
  <c r="V216" i="15"/>
  <c r="W216" i="15" s="1"/>
  <c r="L216" i="15"/>
  <c r="K216" i="15"/>
  <c r="V215" i="15"/>
  <c r="W215" i="15" s="1"/>
  <c r="K215" i="15"/>
  <c r="L215" i="15" s="1"/>
  <c r="V214" i="15"/>
  <c r="W214" i="15" s="1"/>
  <c r="K214" i="15"/>
  <c r="L214" i="15" s="1"/>
  <c r="O213" i="15"/>
  <c r="V213" i="15" s="1"/>
  <c r="W213" i="15" s="1"/>
  <c r="M213" i="15"/>
  <c r="K213" i="15"/>
  <c r="L213" i="15" s="1"/>
  <c r="V212" i="15"/>
  <c r="W212" i="15" s="1"/>
  <c r="K212" i="15"/>
  <c r="L212" i="15" s="1"/>
  <c r="V211" i="15"/>
  <c r="W211" i="15" s="1"/>
  <c r="K211" i="15"/>
  <c r="L211" i="15" s="1"/>
  <c r="W210" i="15"/>
  <c r="V210" i="15"/>
  <c r="K210" i="15"/>
  <c r="L210" i="15" s="1"/>
  <c r="V209" i="15"/>
  <c r="W209" i="15" s="1"/>
  <c r="K209" i="15"/>
  <c r="L209" i="15" s="1"/>
  <c r="O208" i="15"/>
  <c r="O204" i="15" s="1"/>
  <c r="M208" i="15"/>
  <c r="V208" i="15" s="1"/>
  <c r="W208" i="15" s="1"/>
  <c r="L208" i="15"/>
  <c r="K208" i="15"/>
  <c r="V207" i="15"/>
  <c r="W207" i="15" s="1"/>
  <c r="K207" i="15"/>
  <c r="L207" i="15" s="1"/>
  <c r="V206" i="15"/>
  <c r="W206" i="15" s="1"/>
  <c r="K206" i="15"/>
  <c r="L206" i="15" s="1"/>
  <c r="V205" i="15"/>
  <c r="W205" i="15" s="1"/>
  <c r="L205" i="15"/>
  <c r="K205" i="15"/>
  <c r="D204" i="15"/>
  <c r="D251" i="15" s="1"/>
  <c r="B204" i="15"/>
  <c r="M203" i="15"/>
  <c r="V203" i="15" s="1"/>
  <c r="W203" i="15" s="1"/>
  <c r="B203" i="15"/>
  <c r="K203" i="15" s="1"/>
  <c r="L203" i="15" s="1"/>
  <c r="M202" i="15"/>
  <c r="V202" i="15" s="1"/>
  <c r="W202" i="15" s="1"/>
  <c r="B202" i="15"/>
  <c r="K202" i="15" s="1"/>
  <c r="L202" i="15" s="1"/>
  <c r="M201" i="15"/>
  <c r="V201" i="15" s="1"/>
  <c r="W201" i="15" s="1"/>
  <c r="B201" i="15"/>
  <c r="K201" i="15" s="1"/>
  <c r="L201" i="15" s="1"/>
  <c r="M200" i="15"/>
  <c r="B200" i="15"/>
  <c r="V187" i="15"/>
  <c r="W187" i="15" s="1"/>
  <c r="U187" i="15"/>
  <c r="T187" i="15"/>
  <c r="S187" i="15"/>
  <c r="R187" i="15"/>
  <c r="Q187" i="15"/>
  <c r="P187" i="15"/>
  <c r="N187" i="15"/>
  <c r="K187" i="15"/>
  <c r="L187" i="15" s="1"/>
  <c r="J187" i="15"/>
  <c r="I187" i="15"/>
  <c r="H187" i="15"/>
  <c r="G187" i="15"/>
  <c r="F187" i="15"/>
  <c r="E187" i="15"/>
  <c r="W186" i="15"/>
  <c r="L186" i="15"/>
  <c r="W185" i="15"/>
  <c r="N185" i="15"/>
  <c r="M185" i="15"/>
  <c r="L185" i="15"/>
  <c r="C185" i="15"/>
  <c r="C187" i="15" s="1"/>
  <c r="B185" i="15"/>
  <c r="W184" i="15"/>
  <c r="L184" i="15"/>
  <c r="W183" i="15"/>
  <c r="L183" i="15"/>
  <c r="W182" i="15"/>
  <c r="L182" i="15"/>
  <c r="W181" i="15"/>
  <c r="L181" i="15"/>
  <c r="W180" i="15"/>
  <c r="L180" i="15"/>
  <c r="W179" i="15"/>
  <c r="L179" i="15"/>
  <c r="W178" i="15"/>
  <c r="L178" i="15"/>
  <c r="W177" i="15"/>
  <c r="L177" i="15"/>
  <c r="W176" i="15"/>
  <c r="L176" i="15"/>
  <c r="W175" i="15"/>
  <c r="L175" i="15"/>
  <c r="W174" i="15"/>
  <c r="L174" i="15"/>
  <c r="W173" i="15"/>
  <c r="L173" i="15"/>
  <c r="W172" i="15"/>
  <c r="L172" i="15"/>
  <c r="W171" i="15"/>
  <c r="L171" i="15"/>
  <c r="W170" i="15"/>
  <c r="L170" i="15"/>
  <c r="W169" i="15"/>
  <c r="L169" i="15"/>
  <c r="W168" i="15"/>
  <c r="L168" i="15"/>
  <c r="W167" i="15"/>
  <c r="L167" i="15"/>
  <c r="W166" i="15"/>
  <c r="M166" i="15"/>
  <c r="L166" i="15"/>
  <c r="B166" i="15"/>
  <c r="W165" i="15"/>
  <c r="L165" i="15"/>
  <c r="W164" i="15"/>
  <c r="L164" i="15"/>
  <c r="W163" i="15"/>
  <c r="L163" i="15"/>
  <c r="W162" i="15"/>
  <c r="L162" i="15"/>
  <c r="W161" i="15"/>
  <c r="L161" i="15"/>
  <c r="W160" i="15"/>
  <c r="L160" i="15"/>
  <c r="W159" i="15"/>
  <c r="M159" i="15"/>
  <c r="L159" i="15"/>
  <c r="B159" i="15"/>
  <c r="W158" i="15"/>
  <c r="L158" i="15"/>
  <c r="W157" i="15"/>
  <c r="L157" i="15"/>
  <c r="W156" i="15"/>
  <c r="L156" i="15"/>
  <c r="W155" i="15"/>
  <c r="L155" i="15"/>
  <c r="W154" i="15"/>
  <c r="L154" i="15"/>
  <c r="W153" i="15"/>
  <c r="L153" i="15"/>
  <c r="W152" i="15"/>
  <c r="M152" i="15"/>
  <c r="L152" i="15"/>
  <c r="B152" i="15"/>
  <c r="W151" i="15"/>
  <c r="L151" i="15"/>
  <c r="W150" i="15"/>
  <c r="L150" i="15"/>
  <c r="W149" i="15"/>
  <c r="L149" i="15"/>
  <c r="W148" i="15"/>
  <c r="M148" i="15"/>
  <c r="L148" i="15"/>
  <c r="B148" i="15"/>
  <c r="W147" i="15"/>
  <c r="L147" i="15"/>
  <c r="W146" i="15"/>
  <c r="L146" i="15"/>
  <c r="W145" i="15"/>
  <c r="L145" i="15"/>
  <c r="W144" i="15"/>
  <c r="O144" i="15"/>
  <c r="O187" i="15" s="1"/>
  <c r="M144" i="15"/>
  <c r="L144" i="15"/>
  <c r="D144" i="15"/>
  <c r="D187" i="15" s="1"/>
  <c r="B144" i="15"/>
  <c r="B187" i="15" s="1"/>
  <c r="O131" i="15"/>
  <c r="M131" i="15"/>
  <c r="L131" i="15"/>
  <c r="D131" i="15"/>
  <c r="B131" i="15"/>
  <c r="W130" i="15"/>
  <c r="V130" i="15"/>
  <c r="K130" i="15"/>
  <c r="W129" i="15"/>
  <c r="V129" i="15"/>
  <c r="K129" i="15"/>
  <c r="W128" i="15"/>
  <c r="V128" i="15"/>
  <c r="K128" i="15"/>
  <c r="W126" i="15"/>
  <c r="V126" i="15"/>
  <c r="K126" i="15"/>
  <c r="W125" i="15"/>
  <c r="V125" i="15"/>
  <c r="K125" i="15"/>
  <c r="W124" i="15"/>
  <c r="V124" i="15"/>
  <c r="K124" i="15"/>
  <c r="W122" i="15"/>
  <c r="V122" i="15"/>
  <c r="K122" i="15"/>
  <c r="W120" i="15"/>
  <c r="V120" i="15"/>
  <c r="K120" i="15"/>
  <c r="W119" i="15"/>
  <c r="V119" i="15"/>
  <c r="K119" i="15"/>
  <c r="W117" i="15"/>
  <c r="V117" i="15"/>
  <c r="K117" i="15"/>
  <c r="W116" i="15"/>
  <c r="V116" i="15"/>
  <c r="K116" i="15"/>
  <c r="W115" i="15"/>
  <c r="V115" i="15"/>
  <c r="K115" i="15"/>
  <c r="W114" i="15"/>
  <c r="V114" i="15"/>
  <c r="K114" i="15"/>
  <c r="W113" i="15"/>
  <c r="V113" i="15"/>
  <c r="K113" i="15"/>
  <c r="W112" i="15"/>
  <c r="V112" i="15"/>
  <c r="K112" i="15"/>
  <c r="W111" i="15"/>
  <c r="V111" i="15"/>
  <c r="K111" i="15"/>
  <c r="W110" i="15"/>
  <c r="V110" i="15"/>
  <c r="K110" i="15"/>
  <c r="W109" i="15"/>
  <c r="V109" i="15"/>
  <c r="K109" i="15"/>
  <c r="W108" i="15"/>
  <c r="V108" i="15"/>
  <c r="K108" i="15"/>
  <c r="W107" i="15"/>
  <c r="V107" i="15"/>
  <c r="K107" i="15"/>
  <c r="W106" i="15"/>
  <c r="V106" i="15"/>
  <c r="K106" i="15"/>
  <c r="W105" i="15"/>
  <c r="V105" i="15"/>
  <c r="K105" i="15"/>
  <c r="W104" i="15"/>
  <c r="V104" i="15"/>
  <c r="K104" i="15"/>
  <c r="W103" i="15"/>
  <c r="V103" i="15"/>
  <c r="K103" i="15"/>
  <c r="W102" i="15"/>
  <c r="V102" i="15"/>
  <c r="K102" i="15"/>
  <c r="W101" i="15"/>
  <c r="V101" i="15"/>
  <c r="K101" i="15"/>
  <c r="W100" i="15"/>
  <c r="V100" i="15"/>
  <c r="K100" i="15"/>
  <c r="W99" i="15"/>
  <c r="V99" i="15"/>
  <c r="K99" i="15"/>
  <c r="W97" i="15"/>
  <c r="V97" i="15"/>
  <c r="K97" i="15"/>
  <c r="W95" i="15"/>
  <c r="V95" i="15"/>
  <c r="K95" i="15"/>
  <c r="W93" i="15"/>
  <c r="V93" i="15"/>
  <c r="K93" i="15"/>
  <c r="W91" i="15"/>
  <c r="V91" i="15"/>
  <c r="K91" i="15"/>
  <c r="W89" i="15"/>
  <c r="V89" i="15"/>
  <c r="K89" i="15"/>
  <c r="W87" i="15"/>
  <c r="V87" i="15"/>
  <c r="K87" i="15"/>
  <c r="W86" i="15"/>
  <c r="V86" i="15"/>
  <c r="K86" i="15"/>
  <c r="W85" i="15"/>
  <c r="V85" i="15"/>
  <c r="K85" i="15"/>
  <c r="W84" i="15"/>
  <c r="V84" i="15"/>
  <c r="K84" i="15"/>
  <c r="W82" i="15"/>
  <c r="V82" i="15"/>
  <c r="K82" i="15"/>
  <c r="W81" i="15"/>
  <c r="V81" i="15"/>
  <c r="K81" i="15"/>
  <c r="W80" i="15"/>
  <c r="V80" i="15"/>
  <c r="K80" i="15"/>
  <c r="W79" i="15"/>
  <c r="V79" i="15"/>
  <c r="K79" i="15"/>
  <c r="W78" i="15"/>
  <c r="V78" i="15"/>
  <c r="K78" i="15"/>
  <c r="W77" i="15"/>
  <c r="V77" i="15"/>
  <c r="K77" i="15"/>
  <c r="W75" i="15"/>
  <c r="V75" i="15"/>
  <c r="K75" i="15"/>
  <c r="W74" i="15"/>
  <c r="V74" i="15"/>
  <c r="K74" i="15"/>
  <c r="W72" i="15"/>
  <c r="W71" i="15"/>
  <c r="W70" i="15"/>
  <c r="W69" i="15"/>
  <c r="W68" i="15"/>
  <c r="O55" i="15"/>
  <c r="M55" i="15"/>
  <c r="D55" i="15"/>
  <c r="B55" i="15"/>
  <c r="V54" i="15"/>
  <c r="L54" i="15"/>
  <c r="W54" i="15" s="1"/>
  <c r="K54" i="15"/>
  <c r="V52" i="15"/>
  <c r="L52" i="15"/>
  <c r="W52" i="15" s="1"/>
  <c r="K52" i="15"/>
  <c r="V50" i="15"/>
  <c r="L50" i="15"/>
  <c r="K50" i="15"/>
  <c r="W48" i="15"/>
  <c r="V48" i="15"/>
  <c r="K48" i="15"/>
  <c r="W47" i="15"/>
  <c r="V47" i="15"/>
  <c r="K47" i="15"/>
  <c r="W46" i="15"/>
  <c r="V46" i="15"/>
  <c r="K46" i="15"/>
  <c r="K55" i="15" s="1"/>
  <c r="V55" i="15" l="1"/>
  <c r="K204" i="15"/>
  <c r="L55" i="15"/>
  <c r="K131" i="15"/>
  <c r="B237" i="15"/>
  <c r="V243" i="15"/>
  <c r="W243" i="15" s="1"/>
  <c r="V131" i="15"/>
  <c r="B199" i="15"/>
  <c r="B251" i="15" s="1"/>
  <c r="M199" i="15"/>
  <c r="W131" i="15"/>
  <c r="M187" i="15"/>
  <c r="M244" i="15"/>
  <c r="L239" i="15"/>
  <c r="L237" i="15" s="1"/>
  <c r="K237" i="15"/>
  <c r="L204" i="15"/>
  <c r="V199" i="15"/>
  <c r="W245" i="15"/>
  <c r="O251" i="15"/>
  <c r="K200" i="15"/>
  <c r="L200" i="15" s="1"/>
  <c r="L199" i="15" s="1"/>
  <c r="M204" i="15"/>
  <c r="M251" i="15" s="1"/>
  <c r="V238" i="15"/>
  <c r="V250" i="15"/>
  <c r="W250" i="15" s="1"/>
  <c r="V200" i="15"/>
  <c r="W200" i="15" s="1"/>
  <c r="V204" i="15"/>
  <c r="W204" i="15" s="1"/>
  <c r="K245" i="15"/>
  <c r="W55" i="15"/>
  <c r="W50" i="15"/>
  <c r="K199" i="15" l="1"/>
  <c r="V237" i="15"/>
  <c r="W237" i="15" s="1"/>
  <c r="W238" i="15"/>
  <c r="V244" i="15"/>
  <c r="W244" i="15" s="1"/>
  <c r="L245" i="15"/>
  <c r="L244" i="15" s="1"/>
  <c r="L251" i="15" s="1"/>
  <c r="K244" i="15"/>
  <c r="K251" i="15" s="1"/>
  <c r="W199" i="15"/>
  <c r="W251" i="15" l="1"/>
  <c r="V251" i="15"/>
  <c r="V29" i="15" l="1"/>
  <c r="K29" i="15"/>
  <c r="V28" i="15"/>
  <c r="K28" i="15"/>
  <c r="V27" i="15"/>
  <c r="K27" i="15"/>
  <c r="V24" i="15"/>
  <c r="K24" i="15"/>
  <c r="V23" i="15"/>
  <c r="K23" i="15"/>
  <c r="V22" i="15"/>
  <c r="K22" i="15"/>
  <c r="V19" i="15"/>
  <c r="K19" i="15"/>
  <c r="V18" i="15"/>
  <c r="K18" i="15"/>
  <c r="V17" i="15"/>
  <c r="K17" i="15"/>
  <c r="V14" i="15"/>
  <c r="K14" i="15"/>
  <c r="V13" i="15"/>
  <c r="K13" i="15"/>
  <c r="V12" i="15"/>
  <c r="K12" i="15"/>
  <c r="V11" i="15"/>
  <c r="K11" i="15"/>
  <c r="V10" i="15"/>
  <c r="K10" i="15"/>
  <c r="K9" i="15"/>
  <c r="M107" i="14" l="1"/>
  <c r="C107" i="14"/>
  <c r="P106" i="14"/>
  <c r="O106" i="14"/>
  <c r="M106" i="14"/>
  <c r="L106" i="14"/>
  <c r="H106" i="14"/>
  <c r="F106" i="14"/>
  <c r="E106" i="14"/>
  <c r="D106" i="14"/>
  <c r="P105" i="14"/>
  <c r="O105" i="14"/>
  <c r="M105" i="14"/>
  <c r="L105" i="14"/>
  <c r="H105" i="14"/>
  <c r="F105" i="14"/>
  <c r="E105" i="14"/>
  <c r="D105" i="14"/>
  <c r="O104" i="14"/>
  <c r="O107" i="14" s="1"/>
  <c r="M104" i="14"/>
  <c r="L104" i="14"/>
  <c r="L107" i="14" s="1"/>
  <c r="H104" i="14"/>
  <c r="F104" i="14"/>
  <c r="F107" i="14" s="1"/>
  <c r="E104" i="14"/>
  <c r="D104" i="14"/>
  <c r="D107" i="14" s="1"/>
  <c r="R103" i="14"/>
  <c r="P103" i="14"/>
  <c r="O103" i="14"/>
  <c r="Q102" i="14"/>
  <c r="P101" i="14"/>
  <c r="Q101" i="14" s="1"/>
  <c r="P100" i="14"/>
  <c r="P104" i="14" s="1"/>
  <c r="R99" i="14"/>
  <c r="I99" i="14"/>
  <c r="H99" i="14"/>
  <c r="E99" i="14"/>
  <c r="I98" i="14"/>
  <c r="Q98" i="14" s="1"/>
  <c r="Q97" i="14"/>
  <c r="I97" i="14"/>
  <c r="I96" i="14"/>
  <c r="Q96" i="14" s="1"/>
  <c r="R95" i="14"/>
  <c r="H95" i="14"/>
  <c r="F95" i="14"/>
  <c r="D95" i="14"/>
  <c r="N94" i="14"/>
  <c r="I94" i="14"/>
  <c r="I93" i="14"/>
  <c r="Q93" i="14" s="1"/>
  <c r="I92" i="14"/>
  <c r="Q92" i="14" s="1"/>
  <c r="R91" i="14"/>
  <c r="L91" i="14"/>
  <c r="H91" i="14"/>
  <c r="F91" i="14"/>
  <c r="E91" i="14"/>
  <c r="D91" i="14"/>
  <c r="N90" i="14"/>
  <c r="I90" i="14"/>
  <c r="N89" i="14"/>
  <c r="I89" i="14"/>
  <c r="Q88" i="14"/>
  <c r="N88" i="14"/>
  <c r="I88" i="14"/>
  <c r="R87" i="14"/>
  <c r="L87" i="14"/>
  <c r="N85" i="14"/>
  <c r="N87" i="14" s="1"/>
  <c r="N84" i="14"/>
  <c r="Q84" i="14" s="1"/>
  <c r="R83" i="14"/>
  <c r="L83" i="14"/>
  <c r="H83" i="14"/>
  <c r="F83" i="14"/>
  <c r="E83" i="14"/>
  <c r="D83" i="14"/>
  <c r="N82" i="14"/>
  <c r="I82" i="14"/>
  <c r="I83" i="14" s="1"/>
  <c r="N81" i="14"/>
  <c r="Q81" i="14" s="1"/>
  <c r="I81" i="14"/>
  <c r="N80" i="14"/>
  <c r="I80" i="14"/>
  <c r="R79" i="14"/>
  <c r="F79" i="14"/>
  <c r="D79" i="14"/>
  <c r="I78" i="14"/>
  <c r="I79" i="14" s="1"/>
  <c r="I77" i="14"/>
  <c r="Q77" i="14" s="1"/>
  <c r="N76" i="14"/>
  <c r="I76" i="14"/>
  <c r="Q76" i="14" s="1"/>
  <c r="R75" i="14"/>
  <c r="L75" i="14"/>
  <c r="F75" i="14"/>
  <c r="N74" i="14"/>
  <c r="I74" i="14"/>
  <c r="I75" i="14" s="1"/>
  <c r="N73" i="14"/>
  <c r="I73" i="14"/>
  <c r="N72" i="14"/>
  <c r="I72" i="14"/>
  <c r="R71" i="14"/>
  <c r="H71" i="14"/>
  <c r="F71" i="14"/>
  <c r="N70" i="14"/>
  <c r="I70" i="14"/>
  <c r="I71" i="14" s="1"/>
  <c r="Q69" i="14"/>
  <c r="I69" i="14"/>
  <c r="I68" i="14"/>
  <c r="Q68" i="14" s="1"/>
  <c r="R67" i="14"/>
  <c r="I67" i="14"/>
  <c r="F67" i="14"/>
  <c r="Q66" i="14"/>
  <c r="I66" i="14"/>
  <c r="I65" i="14"/>
  <c r="Q65" i="14" s="1"/>
  <c r="N64" i="14"/>
  <c r="Q64" i="14" s="1"/>
  <c r="I64" i="14"/>
  <c r="R63" i="14"/>
  <c r="L63" i="14"/>
  <c r="F63" i="14"/>
  <c r="E63" i="14"/>
  <c r="D63" i="14"/>
  <c r="N62" i="14"/>
  <c r="N63" i="14" s="1"/>
  <c r="I62" i="14"/>
  <c r="I63" i="14" s="1"/>
  <c r="N61" i="14"/>
  <c r="I61" i="14"/>
  <c r="N60" i="14"/>
  <c r="I60" i="14"/>
  <c r="R55" i="14"/>
  <c r="F55" i="14"/>
  <c r="D55" i="14"/>
  <c r="N54" i="14"/>
  <c r="I54" i="14"/>
  <c r="I55" i="14" s="1"/>
  <c r="I53" i="14"/>
  <c r="Q53" i="14" s="1"/>
  <c r="Q52" i="14"/>
  <c r="I52" i="14"/>
  <c r="R51" i="14"/>
  <c r="L51" i="14"/>
  <c r="Q50" i="14"/>
  <c r="N50" i="14"/>
  <c r="N49" i="14"/>
  <c r="N51" i="14" s="1"/>
  <c r="N48" i="14"/>
  <c r="Q48" i="14" s="1"/>
  <c r="R47" i="14"/>
  <c r="L47" i="14"/>
  <c r="H47" i="14"/>
  <c r="F47" i="14"/>
  <c r="D47" i="14"/>
  <c r="N46" i="14"/>
  <c r="I46" i="14"/>
  <c r="I47" i="14" s="1"/>
  <c r="N45" i="14"/>
  <c r="I45" i="14"/>
  <c r="Q45" i="14" s="1"/>
  <c r="N44" i="14"/>
  <c r="Q44" i="14" s="1"/>
  <c r="I44" i="14"/>
  <c r="R43" i="14"/>
  <c r="L43" i="14"/>
  <c r="F43" i="14"/>
  <c r="E43" i="14"/>
  <c r="D43" i="14"/>
  <c r="N42" i="14"/>
  <c r="I42" i="14"/>
  <c r="N41" i="14"/>
  <c r="I41" i="14"/>
  <c r="N40" i="14"/>
  <c r="I40" i="14"/>
  <c r="R39" i="14"/>
  <c r="F39" i="14"/>
  <c r="N38" i="14"/>
  <c r="I38" i="14"/>
  <c r="I39" i="14" s="1"/>
  <c r="I37" i="14"/>
  <c r="Q37" i="14" s="1"/>
  <c r="N36" i="14"/>
  <c r="I36" i="14"/>
  <c r="Q36" i="14" s="1"/>
  <c r="R35" i="14"/>
  <c r="Q35" i="14"/>
  <c r="I35" i="14"/>
  <c r="F35" i="14"/>
  <c r="D35" i="14"/>
  <c r="Q34" i="14"/>
  <c r="I34" i="14"/>
  <c r="Q33" i="14"/>
  <c r="I33" i="14"/>
  <c r="N32" i="14"/>
  <c r="I32" i="14"/>
  <c r="R31" i="14"/>
  <c r="F31" i="14"/>
  <c r="D31" i="14"/>
  <c r="I30" i="14"/>
  <c r="I31" i="14" s="1"/>
  <c r="I29" i="14"/>
  <c r="Q29" i="14" s="1"/>
  <c r="I28" i="14"/>
  <c r="Q28" i="14" s="1"/>
  <c r="R23" i="14"/>
  <c r="F23" i="14"/>
  <c r="E23" i="14"/>
  <c r="Q22" i="14"/>
  <c r="I22" i="14"/>
  <c r="I23" i="14" s="1"/>
  <c r="I21" i="14"/>
  <c r="Q21" i="14" s="1"/>
  <c r="Q23" i="14" s="1"/>
  <c r="I20" i="14"/>
  <c r="Q20" i="14" s="1"/>
  <c r="R15" i="14"/>
  <c r="L15" i="14"/>
  <c r="H15" i="14"/>
  <c r="F15" i="14"/>
  <c r="D15" i="14"/>
  <c r="N14" i="14"/>
  <c r="I14" i="14"/>
  <c r="Q14" i="14" s="1"/>
  <c r="N13" i="14"/>
  <c r="I13" i="14"/>
  <c r="Q13" i="14" s="1"/>
  <c r="N12" i="14"/>
  <c r="I12" i="14"/>
  <c r="Q12" i="14" s="1"/>
  <c r="Q32" i="14" l="1"/>
  <c r="Q41" i="14"/>
  <c r="Q80" i="14"/>
  <c r="Q94" i="14"/>
  <c r="Q103" i="14"/>
  <c r="H107" i="14"/>
  <c r="Q38" i="14"/>
  <c r="Q39" i="14" s="1"/>
  <c r="N75" i="14"/>
  <c r="N104" i="14"/>
  <c r="I15" i="14"/>
  <c r="Q30" i="14"/>
  <c r="Q31" i="14" s="1"/>
  <c r="I43" i="14"/>
  <c r="Q62" i="14"/>
  <c r="Q74" i="14"/>
  <c r="Q99" i="14"/>
  <c r="N43" i="14"/>
  <c r="N105" i="14"/>
  <c r="Q42" i="14"/>
  <c r="Q60" i="14"/>
  <c r="Q72" i="14"/>
  <c r="Q78" i="14"/>
  <c r="Q79" i="14" s="1"/>
  <c r="Q89" i="14"/>
  <c r="Q67" i="14"/>
  <c r="N91" i="14"/>
  <c r="I95" i="14"/>
  <c r="P107" i="14"/>
  <c r="N106" i="14"/>
  <c r="Q40" i="14"/>
  <c r="N47" i="14"/>
  <c r="Q61" i="14"/>
  <c r="Q63" i="14" s="1"/>
  <c r="Q70" i="14"/>
  <c r="Q71" i="14" s="1"/>
  <c r="Q73" i="14"/>
  <c r="Q75" i="14" s="1"/>
  <c r="N83" i="14"/>
  <c r="I91" i="14"/>
  <c r="E107" i="14"/>
  <c r="Q15" i="14"/>
  <c r="Q95" i="14"/>
  <c r="Q43" i="14"/>
  <c r="N107" i="14"/>
  <c r="Q82" i="14"/>
  <c r="Q83" i="14" s="1"/>
  <c r="Q85" i="14"/>
  <c r="Q87" i="14" s="1"/>
  <c r="Q100" i="14"/>
  <c r="Q104" i="14" s="1"/>
  <c r="I104" i="14"/>
  <c r="I105" i="14"/>
  <c r="I106" i="14"/>
  <c r="Q46" i="14"/>
  <c r="Q47" i="14" s="1"/>
  <c r="Q49" i="14"/>
  <c r="Q51" i="14" s="1"/>
  <c r="Q90" i="14"/>
  <c r="Q91" i="14" s="1"/>
  <c r="N15" i="14"/>
  <c r="Q54" i="14"/>
  <c r="Q55" i="14" s="1"/>
  <c r="Q105" i="14" l="1"/>
  <c r="I107" i="14"/>
  <c r="Q106" i="14"/>
  <c r="Q107" i="14" l="1"/>
  <c r="R104" i="14" s="1"/>
  <c r="R106" i="14" l="1"/>
  <c r="R105" i="14"/>
  <c r="R107" i="14"/>
  <c r="N24" i="13" l="1"/>
  <c r="L24" i="13"/>
  <c r="K24" i="13"/>
  <c r="J24" i="13"/>
  <c r="I24" i="13"/>
  <c r="G24" i="13"/>
  <c r="F24" i="13"/>
  <c r="E24" i="13"/>
  <c r="D24" i="13"/>
  <c r="C24" i="13"/>
  <c r="B24" i="13"/>
  <c r="O17" i="13"/>
  <c r="P17" i="13" s="1"/>
  <c r="M17" i="13"/>
  <c r="H17" i="13"/>
  <c r="O13" i="13"/>
  <c r="M13" i="13"/>
  <c r="P13" i="13" s="1"/>
  <c r="H13" i="13"/>
  <c r="O10" i="13"/>
  <c r="M10" i="13"/>
  <c r="H10" i="13"/>
  <c r="P10" i="13" s="1"/>
  <c r="O8" i="13"/>
  <c r="M8" i="13"/>
  <c r="H8" i="13"/>
  <c r="P8" i="13" s="1"/>
  <c r="O6" i="13"/>
  <c r="M6" i="13"/>
  <c r="H6" i="13"/>
  <c r="H24" i="13" s="1"/>
  <c r="M24" i="13" l="1"/>
  <c r="P6" i="13"/>
  <c r="P24" i="13" s="1"/>
  <c r="O24" i="13"/>
  <c r="Q8" i="13"/>
  <c r="Q13" i="13"/>
  <c r="Q17" i="13"/>
  <c r="Q6" i="13"/>
  <c r="Q24" i="13" l="1"/>
  <c r="G49" i="12" l="1"/>
  <c r="F49" i="12"/>
  <c r="E49" i="12"/>
  <c r="C49" i="12"/>
  <c r="B49" i="12"/>
  <c r="H21" i="12"/>
  <c r="D21" i="12"/>
  <c r="N20" i="12"/>
  <c r="K20" i="12"/>
  <c r="H20" i="12"/>
  <c r="D20" i="12"/>
  <c r="N19" i="12"/>
  <c r="K19" i="12"/>
  <c r="H19" i="12"/>
  <c r="D19" i="12"/>
  <c r="H18" i="12"/>
  <c r="D18" i="12"/>
  <c r="N17" i="12"/>
  <c r="H17" i="12"/>
  <c r="D17" i="12"/>
  <c r="N14" i="12"/>
  <c r="K14" i="12"/>
  <c r="H14" i="12"/>
  <c r="D14" i="12"/>
  <c r="N13" i="12"/>
  <c r="K13" i="12"/>
  <c r="H13" i="12"/>
  <c r="D13" i="12"/>
  <c r="N12" i="12"/>
  <c r="K12" i="12"/>
  <c r="H12" i="12"/>
  <c r="D12" i="12"/>
  <c r="N11" i="12"/>
  <c r="K11" i="12"/>
  <c r="H11" i="12"/>
  <c r="D11" i="12"/>
  <c r="D49" i="12" l="1"/>
  <c r="H49" i="12"/>
  <c r="N21" i="11"/>
  <c r="K21" i="11"/>
  <c r="H21" i="11"/>
  <c r="D21" i="11"/>
  <c r="N20" i="11"/>
  <c r="K20" i="11"/>
  <c r="D20" i="11"/>
  <c r="N19" i="11"/>
  <c r="K19" i="11"/>
  <c r="H19" i="11"/>
  <c r="D19" i="11"/>
  <c r="N17" i="11"/>
  <c r="K17" i="11"/>
  <c r="H17" i="11"/>
  <c r="D17" i="11"/>
  <c r="H14" i="11"/>
  <c r="D14" i="11"/>
  <c r="H13" i="11"/>
  <c r="D13" i="11"/>
  <c r="K12" i="11"/>
  <c r="H12" i="11"/>
  <c r="D12" i="11"/>
  <c r="N16" i="10" l="1"/>
  <c r="K16" i="10"/>
  <c r="H16" i="10"/>
  <c r="D16" i="10"/>
  <c r="N11" i="10"/>
  <c r="K11" i="10"/>
  <c r="H11" i="10"/>
  <c r="D11" i="10"/>
  <c r="N17" i="8" l="1"/>
  <c r="K17" i="8"/>
  <c r="H17" i="8"/>
  <c r="D17" i="8"/>
  <c r="N12" i="8"/>
  <c r="K12" i="8"/>
  <c r="H12" i="8"/>
  <c r="D12" i="8"/>
  <c r="N11" i="8"/>
  <c r="K11" i="8"/>
  <c r="H11" i="8"/>
  <c r="D11" i="8"/>
  <c r="H32" i="7" l="1"/>
  <c r="D32" i="7"/>
  <c r="G31" i="7"/>
  <c r="F31" i="7"/>
  <c r="C31" i="7"/>
  <c r="B31" i="7"/>
  <c r="D31" i="7" s="1"/>
  <c r="H29" i="7"/>
  <c r="D29" i="7"/>
  <c r="G28" i="7"/>
  <c r="F28" i="7"/>
  <c r="H28" i="7" s="1"/>
  <c r="C28" i="7"/>
  <c r="B28" i="7"/>
  <c r="D28" i="7" s="1"/>
  <c r="H24" i="7"/>
  <c r="D24" i="7"/>
  <c r="G23" i="7"/>
  <c r="F23" i="7"/>
  <c r="H23" i="7" s="1"/>
  <c r="C23" i="7"/>
  <c r="B23" i="7"/>
  <c r="D23" i="7" s="1"/>
  <c r="H31" i="7" l="1"/>
  <c r="E37" i="6"/>
  <c r="D37" i="6"/>
  <c r="C37" i="6"/>
  <c r="O121" i="5" l="1"/>
  <c r="M121" i="5"/>
  <c r="L121" i="5"/>
  <c r="K121" i="5"/>
  <c r="J121" i="5"/>
  <c r="H121" i="5"/>
  <c r="G121" i="5"/>
  <c r="F121" i="5"/>
  <c r="E121" i="5"/>
  <c r="D121" i="5"/>
  <c r="C121" i="5"/>
  <c r="I120" i="5"/>
  <c r="Q120" i="5" s="1"/>
  <c r="I119" i="5"/>
  <c r="Q119" i="5" s="1"/>
  <c r="I118" i="5"/>
  <c r="Q118" i="5" s="1"/>
  <c r="I117" i="5"/>
  <c r="Q117" i="5" s="1"/>
  <c r="I116" i="5"/>
  <c r="Q116" i="5" s="1"/>
  <c r="I115" i="5"/>
  <c r="Q115" i="5" s="1"/>
  <c r="I114" i="5"/>
  <c r="Q114" i="5" s="1"/>
  <c r="I113" i="5"/>
  <c r="Q113" i="5" s="1"/>
  <c r="Q112" i="5"/>
  <c r="I112" i="5"/>
  <c r="I111" i="5"/>
  <c r="Q111" i="5" s="1"/>
  <c r="I110" i="5"/>
  <c r="Q110" i="5" s="1"/>
  <c r="I109" i="5"/>
  <c r="Q109" i="5" s="1"/>
  <c r="I108" i="5"/>
  <c r="Q108" i="5" s="1"/>
  <c r="I107" i="5"/>
  <c r="Q107" i="5" s="1"/>
  <c r="I106" i="5"/>
  <c r="Q106" i="5" s="1"/>
  <c r="I105" i="5"/>
  <c r="Q105" i="5" s="1"/>
  <c r="Q104" i="5"/>
  <c r="I104" i="5"/>
  <c r="I103" i="5"/>
  <c r="Q103" i="5" s="1"/>
  <c r="P102" i="5"/>
  <c r="N102" i="5"/>
  <c r="I102" i="5"/>
  <c r="Q101" i="5"/>
  <c r="I101" i="5"/>
  <c r="I100" i="5"/>
  <c r="Q100" i="5" s="1"/>
  <c r="P99" i="5"/>
  <c r="P121" i="5" s="1"/>
  <c r="N99" i="5"/>
  <c r="N121" i="5" s="1"/>
  <c r="I99" i="5"/>
  <c r="O90" i="5"/>
  <c r="M90" i="5"/>
  <c r="L90" i="5"/>
  <c r="K90" i="5"/>
  <c r="J90" i="5"/>
  <c r="I90" i="5"/>
  <c r="H90" i="5"/>
  <c r="G90" i="5"/>
  <c r="F90" i="5"/>
  <c r="E90" i="5"/>
  <c r="D90" i="5"/>
  <c r="C90" i="5"/>
  <c r="P68" i="5"/>
  <c r="P90" i="5" s="1"/>
  <c r="N68" i="5"/>
  <c r="N90" i="5" s="1"/>
  <c r="I68" i="5"/>
  <c r="O58" i="5"/>
  <c r="M58" i="5"/>
  <c r="L58" i="5"/>
  <c r="K58" i="5"/>
  <c r="J58" i="5"/>
  <c r="H58" i="5"/>
  <c r="G58" i="5"/>
  <c r="F58" i="5"/>
  <c r="E58" i="5"/>
  <c r="D58" i="5"/>
  <c r="C58" i="5"/>
  <c r="P57" i="5"/>
  <c r="N57" i="5"/>
  <c r="I57" i="5"/>
  <c r="Q57" i="5" s="1"/>
  <c r="P56" i="5"/>
  <c r="N56" i="5"/>
  <c r="I56" i="5"/>
  <c r="P55" i="5"/>
  <c r="N55" i="5"/>
  <c r="I55" i="5"/>
  <c r="P54" i="5"/>
  <c r="N54" i="5"/>
  <c r="I54" i="5"/>
  <c r="Q54" i="5" s="1"/>
  <c r="P53" i="5"/>
  <c r="N53" i="5"/>
  <c r="I53" i="5"/>
  <c r="P52" i="5"/>
  <c r="N52" i="5"/>
  <c r="I52" i="5"/>
  <c r="P51" i="5"/>
  <c r="N51" i="5"/>
  <c r="I51" i="5"/>
  <c r="P50" i="5"/>
  <c r="N50" i="5"/>
  <c r="I50" i="5"/>
  <c r="P49" i="5"/>
  <c r="N49" i="5"/>
  <c r="I49" i="5"/>
  <c r="P48" i="5"/>
  <c r="N48" i="5"/>
  <c r="I48" i="5"/>
  <c r="Q48" i="5" s="1"/>
  <c r="P47" i="5"/>
  <c r="N47" i="5"/>
  <c r="I47" i="5"/>
  <c r="P46" i="5"/>
  <c r="N46" i="5"/>
  <c r="I46" i="5"/>
  <c r="P45" i="5"/>
  <c r="N45" i="5"/>
  <c r="I45" i="5"/>
  <c r="P44" i="5"/>
  <c r="N44" i="5"/>
  <c r="I44" i="5"/>
  <c r="Q44" i="5" s="1"/>
  <c r="P43" i="5"/>
  <c r="N43" i="5"/>
  <c r="I43" i="5"/>
  <c r="Q42" i="5"/>
  <c r="P42" i="5"/>
  <c r="N42" i="5"/>
  <c r="I42" i="5"/>
  <c r="P41" i="5"/>
  <c r="N41" i="5"/>
  <c r="I41" i="5"/>
  <c r="P40" i="5"/>
  <c r="N40" i="5"/>
  <c r="Q40" i="5" s="1"/>
  <c r="I40" i="5"/>
  <c r="P39" i="5"/>
  <c r="N39" i="5"/>
  <c r="I39" i="5"/>
  <c r="Q39" i="5" s="1"/>
  <c r="P38" i="5"/>
  <c r="N38" i="5"/>
  <c r="I38" i="5"/>
  <c r="P37" i="5"/>
  <c r="N37" i="5"/>
  <c r="I37" i="5"/>
  <c r="P36" i="5"/>
  <c r="N36" i="5"/>
  <c r="I36" i="5"/>
  <c r="P28" i="5"/>
  <c r="O28" i="5"/>
  <c r="N28" i="5"/>
  <c r="M28" i="5"/>
  <c r="L28" i="5"/>
  <c r="K28" i="5"/>
  <c r="J28" i="5"/>
  <c r="H28" i="5"/>
  <c r="G28" i="5"/>
  <c r="F28" i="5"/>
  <c r="E28" i="5"/>
  <c r="D28" i="5"/>
  <c r="C28" i="5"/>
  <c r="I27" i="5"/>
  <c r="Q27" i="5" s="1"/>
  <c r="I26" i="5"/>
  <c r="Q26" i="5" s="1"/>
  <c r="I25" i="5"/>
  <c r="Q25" i="5" s="1"/>
  <c r="I24" i="5"/>
  <c r="Q24" i="5" s="1"/>
  <c r="I23" i="5"/>
  <c r="Q23" i="5" s="1"/>
  <c r="I22" i="5"/>
  <c r="Q22" i="5" s="1"/>
  <c r="I21" i="5"/>
  <c r="Q21" i="5" s="1"/>
  <c r="I20" i="5"/>
  <c r="Q20" i="5" s="1"/>
  <c r="I19" i="5"/>
  <c r="Q19" i="5" s="1"/>
  <c r="I18" i="5"/>
  <c r="Q18" i="5" s="1"/>
  <c r="I17" i="5"/>
  <c r="Q17" i="5" s="1"/>
  <c r="I16" i="5"/>
  <c r="Q16" i="5" s="1"/>
  <c r="I15" i="5"/>
  <c r="Q15" i="5" s="1"/>
  <c r="I14" i="5"/>
  <c r="Q14" i="5" s="1"/>
  <c r="I13" i="5"/>
  <c r="Q13" i="5" s="1"/>
  <c r="I12" i="5"/>
  <c r="Q12" i="5" s="1"/>
  <c r="I11" i="5"/>
  <c r="Q11" i="5" s="1"/>
  <c r="I10" i="5"/>
  <c r="Q10" i="5" s="1"/>
  <c r="N9" i="5"/>
  <c r="I9" i="5"/>
  <c r="Q9" i="5" s="1"/>
  <c r="I8" i="5"/>
  <c r="Q8" i="5" s="1"/>
  <c r="I7" i="5"/>
  <c r="Q7" i="5" s="1"/>
  <c r="N6" i="5"/>
  <c r="I6" i="5"/>
  <c r="Q41" i="5" l="1"/>
  <c r="Q46" i="5"/>
  <c r="I58" i="5"/>
  <c r="Q49" i="5"/>
  <c r="Q68" i="5"/>
  <c r="R68" i="5" s="1"/>
  <c r="R90" i="5" s="1"/>
  <c r="Q102" i="5"/>
  <c r="N58" i="5"/>
  <c r="I121" i="5"/>
  <c r="P58" i="5"/>
  <c r="Q52" i="5"/>
  <c r="Q37" i="5"/>
  <c r="Q50" i="5"/>
  <c r="Q55" i="5"/>
  <c r="I28" i="5"/>
  <c r="Q45" i="5"/>
  <c r="Q47" i="5"/>
  <c r="Q53" i="5"/>
  <c r="Q99" i="5"/>
  <c r="Q38" i="5"/>
  <c r="Q43" i="5"/>
  <c r="Q51" i="5"/>
  <c r="Q56" i="5"/>
  <c r="Q121" i="5"/>
  <c r="R103" i="5" s="1"/>
  <c r="Q90" i="5"/>
  <c r="Q36" i="5"/>
  <c r="Q6" i="5"/>
  <c r="R111" i="5" l="1"/>
  <c r="R117" i="5"/>
  <c r="R109" i="5"/>
  <c r="R107" i="5"/>
  <c r="R119" i="5"/>
  <c r="R105" i="5"/>
  <c r="R100" i="5"/>
  <c r="R113" i="5"/>
  <c r="R106" i="5"/>
  <c r="R118" i="5"/>
  <c r="R114" i="5"/>
  <c r="R99" i="5"/>
  <c r="R101" i="5"/>
  <c r="R115" i="5"/>
  <c r="R110" i="5"/>
  <c r="R112" i="5"/>
  <c r="R104" i="5"/>
  <c r="R120" i="5"/>
  <c r="R116" i="5"/>
  <c r="R108" i="5"/>
  <c r="R102" i="5"/>
  <c r="Q58" i="5"/>
  <c r="Q28" i="5"/>
  <c r="R121" i="5" l="1"/>
  <c r="R53" i="5"/>
  <c r="R48" i="5"/>
  <c r="R37" i="5"/>
  <c r="R57" i="5"/>
  <c r="R43" i="5"/>
  <c r="R49" i="5"/>
  <c r="R40" i="5"/>
  <c r="R51" i="5"/>
  <c r="R38" i="5"/>
  <c r="R47" i="5"/>
  <c r="R50" i="5"/>
  <c r="R55" i="5"/>
  <c r="R45" i="5"/>
  <c r="R46" i="5"/>
  <c r="R54" i="5"/>
  <c r="R44" i="5"/>
  <c r="R52" i="5"/>
  <c r="R56" i="5"/>
  <c r="R42" i="5"/>
  <c r="R39" i="5"/>
  <c r="R41" i="5"/>
  <c r="R36" i="5"/>
  <c r="R24" i="5"/>
  <c r="R9" i="5"/>
  <c r="R18" i="5"/>
  <c r="R11" i="5"/>
  <c r="R23" i="5"/>
  <c r="R20" i="5"/>
  <c r="R14" i="5"/>
  <c r="R16" i="5"/>
  <c r="R26" i="5"/>
  <c r="R21" i="5"/>
  <c r="R19" i="5"/>
  <c r="R10" i="5"/>
  <c r="R25" i="5"/>
  <c r="R15" i="5"/>
  <c r="R7" i="5"/>
  <c r="R8" i="5"/>
  <c r="R22" i="5"/>
  <c r="R13" i="5"/>
  <c r="R12" i="5"/>
  <c r="R27" i="5"/>
  <c r="R17" i="5"/>
  <c r="R6" i="5"/>
  <c r="R58" i="5" l="1"/>
  <c r="R28" i="5"/>
  <c r="C51" i="4" l="1"/>
  <c r="B51" i="4"/>
  <c r="C46" i="4"/>
  <c r="B46" i="4"/>
  <c r="C39" i="4"/>
  <c r="B39" i="4"/>
  <c r="B53" i="4" s="1"/>
  <c r="C34" i="4"/>
  <c r="C36" i="4" s="1"/>
  <c r="B34" i="4"/>
  <c r="B36" i="4" s="1"/>
  <c r="C29" i="4"/>
  <c r="B29" i="4"/>
  <c r="C22" i="4"/>
  <c r="B22" i="4"/>
  <c r="D17" i="4"/>
  <c r="C17" i="4"/>
  <c r="B17" i="4"/>
  <c r="D12" i="4"/>
  <c r="D19" i="4" s="1"/>
  <c r="C12" i="4"/>
  <c r="B12" i="4"/>
  <c r="D5" i="4"/>
  <c r="C5" i="4"/>
  <c r="B5" i="4"/>
  <c r="B19" i="4" l="1"/>
  <c r="C19" i="4"/>
  <c r="C53" i="4"/>
  <c r="D19" i="3"/>
  <c r="C19" i="3"/>
  <c r="B19" i="3"/>
  <c r="D13" i="3"/>
  <c r="C13" i="3"/>
  <c r="B13" i="3"/>
  <c r="D7" i="3"/>
  <c r="C7" i="3"/>
  <c r="B7" i="3"/>
  <c r="E11" i="2" l="1"/>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0" i="2"/>
  <c r="G11" i="2"/>
  <c r="H11" i="2"/>
  <c r="G12" i="2"/>
  <c r="H12" i="2"/>
  <c r="G13" i="2"/>
  <c r="H13" i="2"/>
  <c r="G14" i="2"/>
  <c r="H14" i="2"/>
  <c r="G15" i="2"/>
  <c r="H15" i="2"/>
  <c r="G16" i="2"/>
  <c r="H16" i="2"/>
  <c r="G17" i="2"/>
  <c r="H17" i="2"/>
  <c r="G18" i="2"/>
  <c r="H18" i="2"/>
  <c r="G19" i="2"/>
  <c r="H19" i="2"/>
  <c r="G20" i="2"/>
  <c r="H20" i="2"/>
  <c r="G21" i="2"/>
  <c r="H21" i="2"/>
  <c r="G22" i="2"/>
  <c r="H22" i="2"/>
  <c r="G23" i="2"/>
  <c r="H23" i="2"/>
  <c r="G24" i="2"/>
  <c r="H24" i="2"/>
  <c r="G25" i="2"/>
  <c r="H25" i="2"/>
  <c r="G26" i="2"/>
  <c r="H26" i="2"/>
  <c r="G27" i="2"/>
  <c r="H27" i="2"/>
  <c r="G28" i="2"/>
  <c r="H28" i="2"/>
  <c r="G29" i="2"/>
  <c r="H29" i="2"/>
  <c r="G30" i="2"/>
  <c r="H30" i="2"/>
  <c r="G31" i="2"/>
  <c r="H31" i="2"/>
  <c r="G32" i="2"/>
  <c r="H32" i="2"/>
  <c r="G33" i="2"/>
  <c r="H33" i="2"/>
  <c r="G34" i="2"/>
  <c r="H34" i="2"/>
  <c r="G35" i="2"/>
  <c r="H35" i="2"/>
  <c r="G36" i="2"/>
  <c r="H36" i="2"/>
  <c r="G37" i="2"/>
  <c r="H37" i="2"/>
  <c r="G38" i="2"/>
  <c r="H38" i="2"/>
  <c r="G39" i="2"/>
  <c r="H39" i="2"/>
  <c r="G40" i="2"/>
  <c r="H40" i="2"/>
  <c r="G41" i="2"/>
  <c r="H41" i="2"/>
  <c r="G42" i="2"/>
  <c r="H42" i="2"/>
  <c r="G43" i="2"/>
  <c r="H43" i="2"/>
  <c r="G44" i="2"/>
  <c r="H44" i="2"/>
  <c r="G45" i="2"/>
  <c r="H45" i="2"/>
  <c r="G47" i="2"/>
  <c r="H47" i="2"/>
  <c r="G48" i="2"/>
  <c r="H48" i="2"/>
  <c r="G49" i="2"/>
  <c r="H49" i="2"/>
  <c r="G50" i="2"/>
  <c r="H50" i="2"/>
  <c r="G51" i="2"/>
  <c r="H51" i="2"/>
  <c r="G52" i="2"/>
  <c r="H52" i="2"/>
  <c r="G53" i="2"/>
  <c r="H53" i="2"/>
  <c r="G54" i="2"/>
  <c r="H54" i="2"/>
  <c r="G55" i="2"/>
  <c r="H55" i="2"/>
  <c r="G56" i="2"/>
  <c r="H56" i="2"/>
  <c r="G57" i="2"/>
  <c r="H57" i="2"/>
  <c r="G58" i="2"/>
  <c r="H58" i="2"/>
  <c r="G59" i="2"/>
  <c r="H59" i="2"/>
  <c r="G60" i="2"/>
  <c r="H60" i="2"/>
  <c r="G61" i="2"/>
  <c r="H61" i="2"/>
  <c r="G62" i="2"/>
  <c r="H62" i="2"/>
  <c r="G63" i="2"/>
  <c r="H63" i="2"/>
  <c r="G64" i="2"/>
  <c r="H64" i="2"/>
  <c r="G65" i="2"/>
  <c r="H65" i="2"/>
  <c r="G66" i="2"/>
  <c r="H66" i="2"/>
  <c r="G67" i="2"/>
  <c r="H67" i="2"/>
  <c r="G68" i="2"/>
  <c r="H68" i="2"/>
  <c r="G69" i="2"/>
  <c r="H69" i="2"/>
  <c r="G70" i="2"/>
  <c r="H70" i="2"/>
  <c r="G71" i="2"/>
  <c r="H71" i="2"/>
  <c r="G72" i="2"/>
  <c r="H72" i="2"/>
  <c r="G73" i="2"/>
  <c r="H73" i="2"/>
  <c r="G74" i="2"/>
  <c r="H74" i="2"/>
  <c r="G75" i="2"/>
  <c r="H75" i="2"/>
  <c r="G76" i="2"/>
  <c r="H76" i="2"/>
  <c r="G77" i="2"/>
  <c r="H77" i="2"/>
  <c r="G78" i="2"/>
  <c r="H78" i="2"/>
  <c r="G79" i="2"/>
  <c r="H79" i="2"/>
  <c r="G80" i="2"/>
  <c r="H80" i="2"/>
  <c r="G81" i="2"/>
  <c r="H81" i="2"/>
  <c r="G82" i="2"/>
  <c r="H82" i="2"/>
  <c r="G83" i="2"/>
  <c r="H83" i="2"/>
  <c r="G84" i="2"/>
  <c r="H84" i="2"/>
  <c r="G85" i="2"/>
  <c r="H85" i="2"/>
  <c r="G86" i="2"/>
  <c r="H86" i="2"/>
  <c r="G87" i="2"/>
  <c r="H87" i="2"/>
  <c r="G88" i="2"/>
  <c r="H88" i="2"/>
  <c r="G89" i="2"/>
  <c r="H89" i="2"/>
  <c r="G90" i="2"/>
  <c r="H90" i="2"/>
  <c r="G91" i="2"/>
  <c r="H91" i="2"/>
  <c r="G92" i="2"/>
  <c r="H92" i="2"/>
  <c r="G93" i="2"/>
  <c r="H93" i="2"/>
  <c r="G94" i="2"/>
  <c r="H94" i="2"/>
  <c r="G95" i="2"/>
  <c r="H95" i="2"/>
  <c r="G96" i="2"/>
  <c r="H96" i="2"/>
  <c r="G97" i="2"/>
  <c r="H97" i="2"/>
  <c r="G98" i="2"/>
  <c r="H98" i="2"/>
  <c r="G99" i="2"/>
  <c r="H99" i="2"/>
  <c r="G100" i="2"/>
  <c r="H100" i="2"/>
  <c r="G101" i="2"/>
  <c r="H101" i="2"/>
  <c r="G102" i="2"/>
  <c r="H102" i="2"/>
  <c r="G103" i="2"/>
  <c r="H103" i="2"/>
  <c r="G104" i="2"/>
  <c r="H104" i="2"/>
  <c r="G105" i="2"/>
  <c r="H105" i="2"/>
  <c r="G106" i="2"/>
  <c r="H106" i="2"/>
  <c r="G107" i="2"/>
  <c r="H107" i="2"/>
  <c r="G108" i="2"/>
  <c r="H108" i="2"/>
  <c r="G109" i="2"/>
  <c r="H109" i="2"/>
  <c r="G110" i="2"/>
  <c r="H110" i="2"/>
  <c r="G111" i="2"/>
  <c r="H111" i="2"/>
  <c r="G112" i="2"/>
  <c r="H112" i="2"/>
  <c r="G113" i="2"/>
  <c r="H113" i="2"/>
  <c r="G114" i="2"/>
  <c r="H114" i="2"/>
  <c r="G115" i="2"/>
  <c r="H115" i="2"/>
  <c r="G116" i="2"/>
  <c r="H116" i="2"/>
  <c r="G117" i="2"/>
  <c r="H117" i="2"/>
  <c r="G118" i="2"/>
  <c r="H118" i="2"/>
  <c r="G119" i="2"/>
  <c r="H119" i="2"/>
  <c r="G120" i="2"/>
  <c r="H120" i="2"/>
  <c r="G121" i="2"/>
  <c r="H121" i="2"/>
  <c r="G122" i="2"/>
  <c r="H122" i="2"/>
  <c r="G123" i="2"/>
  <c r="H123" i="2"/>
  <c r="G124" i="2"/>
  <c r="H124" i="2"/>
  <c r="G125" i="2"/>
  <c r="H125" i="2"/>
  <c r="G126" i="2"/>
  <c r="H126" i="2"/>
  <c r="G127" i="2"/>
  <c r="H127" i="2"/>
  <c r="G128" i="2"/>
  <c r="H128" i="2"/>
  <c r="G129" i="2"/>
  <c r="H129" i="2"/>
  <c r="G130" i="2"/>
  <c r="H130" i="2"/>
  <c r="G131" i="2"/>
  <c r="H131" i="2"/>
  <c r="G132" i="2"/>
  <c r="H132" i="2"/>
  <c r="G133" i="2"/>
  <c r="H133" i="2"/>
  <c r="G134" i="2"/>
  <c r="H134" i="2"/>
  <c r="G135" i="2"/>
  <c r="H135" i="2"/>
  <c r="G136" i="2"/>
  <c r="H136" i="2"/>
  <c r="G137" i="2"/>
  <c r="H137" i="2"/>
  <c r="G138" i="2"/>
  <c r="H138" i="2"/>
  <c r="G139" i="2"/>
  <c r="H139" i="2"/>
  <c r="G140" i="2"/>
  <c r="H140" i="2"/>
  <c r="G141" i="2"/>
  <c r="H141" i="2"/>
  <c r="G142" i="2"/>
  <c r="H142" i="2"/>
  <c r="G143" i="2"/>
  <c r="H143" i="2"/>
  <c r="G144" i="2"/>
  <c r="H144" i="2"/>
  <c r="G145" i="2"/>
  <c r="H145" i="2"/>
  <c r="G146" i="2"/>
  <c r="H146" i="2"/>
  <c r="G147" i="2"/>
  <c r="H147" i="2"/>
  <c r="G148" i="2"/>
  <c r="H148" i="2"/>
  <c r="G149" i="2"/>
  <c r="H149" i="2"/>
  <c r="G150" i="2"/>
  <c r="H150" i="2"/>
  <c r="G151" i="2"/>
  <c r="H151" i="2"/>
  <c r="G152" i="2"/>
  <c r="H152" i="2"/>
  <c r="G153" i="2"/>
  <c r="H153" i="2"/>
  <c r="G154" i="2"/>
  <c r="H154" i="2"/>
  <c r="G155" i="2"/>
  <c r="H155" i="2"/>
  <c r="G156" i="2"/>
  <c r="H156" i="2"/>
  <c r="G157" i="2"/>
  <c r="H157" i="2"/>
  <c r="G158" i="2"/>
  <c r="H158" i="2"/>
  <c r="G159" i="2"/>
  <c r="H159" i="2"/>
  <c r="G160" i="2"/>
  <c r="H160" i="2"/>
  <c r="G161" i="2"/>
  <c r="H161" i="2"/>
  <c r="G162" i="2"/>
  <c r="H162" i="2"/>
  <c r="G163" i="2"/>
  <c r="H163" i="2"/>
  <c r="G164" i="2"/>
  <c r="H164" i="2"/>
  <c r="G165" i="2"/>
  <c r="H165" i="2"/>
  <c r="G166" i="2"/>
  <c r="H166" i="2"/>
  <c r="G167" i="2"/>
  <c r="H167" i="2"/>
  <c r="G168" i="2"/>
  <c r="H168" i="2"/>
  <c r="G169" i="2"/>
  <c r="H169" i="2"/>
  <c r="G170" i="2"/>
  <c r="H170" i="2"/>
  <c r="G171" i="2"/>
  <c r="H171" i="2"/>
  <c r="G172" i="2"/>
  <c r="H172" i="2"/>
  <c r="G173" i="2"/>
  <c r="H173" i="2"/>
  <c r="H10" i="2"/>
  <c r="G10" i="2"/>
  <c r="C174" i="2"/>
  <c r="D174" i="2"/>
  <c r="F174" i="2"/>
  <c r="G174" i="2" s="1"/>
  <c r="B174" i="2"/>
  <c r="H174" i="2" l="1"/>
  <c r="E174" i="2"/>
</calcChain>
</file>

<file path=xl/sharedStrings.xml><?xml version="1.0" encoding="utf-8"?>
<sst xmlns="http://schemas.openxmlformats.org/spreadsheetml/2006/main" count="5175" uniqueCount="1782">
  <si>
    <t>TOTAL</t>
  </si>
  <si>
    <t>Proyecto</t>
  </si>
  <si>
    <t>PIA</t>
  </si>
  <si>
    <t>PIM</t>
  </si>
  <si>
    <t>Certificación</t>
  </si>
  <si>
    <t>Devengado </t>
  </si>
  <si>
    <t>2001621: ESTUDIOS DE PRE-INVERSION</t>
  </si>
  <si>
    <t>2016766: INICIATIVA A LA COMPETITIVIDAD</t>
  </si>
  <si>
    <t>2056395: CONSTRUCCION Y EQUIPAMIENTO DEL HOSPITAL SANTA GEMA - YURIMAGUAS</t>
  </si>
  <si>
    <t>2078436: MEJORAMIENTO DEL CAMINO VECINAL PAMPA HERMOSA-INAHUAYA-PROVINCIA DE UCAYALI</t>
  </si>
  <si>
    <t>2078665: SISTEMA ELECTRICO RURAL CABALLOCOCHA II ETAPA</t>
  </si>
  <si>
    <t>2078666: SISTEMA ELECTRICO RURAL DE REQUENA</t>
  </si>
  <si>
    <t>2078669: SISTEMA ELECTRICO RURAL NAUTA</t>
  </si>
  <si>
    <t>2078670: SISTEMA ELECTRICO RURAL PEBAS</t>
  </si>
  <si>
    <t>2089754: EXPEDIENTES TECNICOS, ESTUDIOS DE PRE-INVERSION Y OTROS ESTUDIOS - PLAN INTEGRAL PARA LA RECONSTRUCCION CON CAMBIOS</t>
  </si>
  <si>
    <t>2140926: MEJORAMIENTO DE LA CALLE TRUJILLO C1-C2-C3, CALLE 2 DE MAYO (ENTRE CALLE TRUJILLO Y CALLE SAN JUAN C3, ORELLANA DEL DISTRITO DE VARGAS GUERRA - PROVINCIA DE UCAYALI - DEPARTAMENTO DE LORETO</t>
  </si>
  <si>
    <t>2145664: CONSTRUCCION DE LA MARINA TURISTICA PARA EL ACCESO AL CIRCUITO TURISTICO NORTE DE IQUITOS, EN LA LOCALIDAD DE BELLAVISTA NANAY, DISTRITO DE PUNCHANA, PROVINCIA DE MAYNAS - REGION LORETO</t>
  </si>
  <si>
    <t>2159661: MEJORAMIENTO Y AMPLIACION DEL INTERNADO EDUCACIONAL NUESTRA SEÑORA DE LA MERCED, CABALLO COCHA, DISTRITO DE RAMON CASTILLA, PROVINCIA DE MARISCAL RAMON CASTILLA - LORETO</t>
  </si>
  <si>
    <t>2177525: MEJORAMIENTO DE LOS SERVICIOS DE EDUCACION PRIMARIA DE LA INSTITUCION EDUCATIVA N 62505 EN LA COMUNIDAD DE NUEVO PARAGUA POZA, DISTRITO DE MORONA - DATEM DEL MARAÑON - LORETO</t>
  </si>
  <si>
    <t>2178895: MEJORAMIENTO DEL CAMINO VECINAL; RUTA LO-545, EMP. PE-5N B (YURIMAGUAS) - TUPAC AMARU - ROCA FUERTE - EMP. PE-5NB (GRAU) DISTRITO DE YURIMAGUAS - PROVINCIA DE ALTO AMAZONAS - DEPARTAMENTO DE LORETO</t>
  </si>
  <si>
    <t>2178909: MEJORAMIENTO DE LOS SERVICIOS DE EDUCACION PRIMARIA DE LA INSTITUCION EDUCATIVA Nº 62440 EN LA COMUNIDAD DE KUSUIMI, DISTRITO DE MORONA - DATEM DEL MARANON - LORETO</t>
  </si>
  <si>
    <t>2182103: MEJORAMIENTO DEL JR. ITAYA (AV. PARTICIPACION CA. AMAZONAS) Y LA CALLE UNION (JR. ITAYACA. HUASCAR) DEL AA.HH. MANCO INCA, DISTRITO DE BELEN - MAYNAS - LORETO</t>
  </si>
  <si>
    <t>2189228: MEJORAMIENTO DE LAS VEREDAS PEATONALES DE LA COMUNIDAD INTUTO - ALFONSO UGARTE - PROVIDENCIA - 28 DE JULIO - RIO TIGRE, DISTRITO DE TIGRE - LORETO - LORETO</t>
  </si>
  <si>
    <t>2195450: MEJORAMIENTO Y AMPLIACION DEL SERVICIO EDUCATIVO DEL NIVEL INICIAL PRIMARIA Y SECUNDARIA DEL LICEO NAVAL DE CAPITAN DE NAVIO FRANCISCO CARRASCO DEL DISTRITO DE PUNCHANA, PROVINCIA DE MAYNAS, REGION LORETO</t>
  </si>
  <si>
    <t>2211940: MEJORAMIENTO DE LA TROCHA CARROZABLE DE PARAISO - LAS PALMAS - ALTO CONTAMANA - NUEVO LORETO - NUEVO PICOTA, DISTRITO DE PAMPA HERMOSA - UCAYALI - LORETO</t>
  </si>
  <si>
    <t>2234836: MEJORAMIENTO Y AMPLIACION DE LOS SERVICIOS DEPORTIVOS DEL ESTADIO MUNICIPAL RICARDO CRUZALEGUI ROJAS DISTRITO DE YURIMAGUAS - PROVINCIA DE ALTO AMAZONAS - REGION LORETO</t>
  </si>
  <si>
    <t>2246331: MEJORAMIENTO DEL SISTEMA DE ELECTRIFICACION CON POSTES DE CONCRETO EN EL CASERIO SARAYACU DEL DISTRITO DE SARAYACU - PROVINCIA DE UCAYALI - DEPARTAMENTO DE LORETO</t>
  </si>
  <si>
    <t>2250782: MEJORAMIENTO DE LOS SERVICIOS DE CONSERVACION FORESTAL EN EL AREA DE INFLUENCIA DE LA VIA DE ACCESO SAN JOSE-MOENA CAÑO-CANTA GALLO-DISTRITO DE BELEN-REGION LORETO</t>
  </si>
  <si>
    <t>2255793: CONSTRUCCION Y EQUIPAMIENTO DEL NUEVO HOSPITAL DE IQUITOS CESAR GARAYAR GARCIAS / PROVINCIA DE MAYNAS</t>
  </si>
  <si>
    <t>2274506: MEJORAMIENTO DE LOS SERVICIOS DE EDUCACION INICIAL, PRIMARIA Y SECUNDARIA DE LA I.E.P.E.B.R. VIRGEN DE LOS DOLORES, EN LA CIUDAD Y DISTRITO DE YURIMAGUAS - PROVINCIA DE ALTO AMAZONAS - DEPARTAMENTO DE LORETO.</t>
  </si>
  <si>
    <t>2288601: MEJORAMIENTO DE CAPACIDADES PARA LA PRESTACION DE SERVICIOS DE APOYO A LA CADENA PRODUCTIVA DEL CULTIVO DE CACAO (THEBROMA) EN LOS DISTRITOS DE CONTAMANA, PAMPA HERMOSA, INAHUAYA Y VARGAS GUERRA EN LA PROVINCIA DE UCAYALI -REGION LORETO</t>
  </si>
  <si>
    <t>2290046: MEJORAMIENTO DE LA CADENA PRODUCTIVA DE CACAO EN POBLACIONES SHAWI DE LAS CUENCAS DEL BAJO PARANAPURA Y DEL RIO ARMANAYACU, DISTRITO DE BALSAPUERTO - ALTO AMAZONAS - LORETO</t>
  </si>
  <si>
    <t>2290189: MEJORAMIENTO DE LOS SERVICIOS DE EDUCACION EN LA INSTITUCION EDUCATIVA PRIMARIA, SECUNDARIA ELZEARIO MAC DONALD DE PEBAS, DISTRITO DE PEBAS - MARISCAL RAMON CASTILLA - LORETO</t>
  </si>
  <si>
    <t>2296903: MEJORAMIENTO Y AMPLIACION DEL SERVICIO EDUCATIVO DE LA I.E.I. N 797 EN LA COMUNIDAD NATIVA DE SAN MIGUEL RIO MARAÑON DISTRITO DE PARINARI PROVINCIA DE LORETO REGION LORETO</t>
  </si>
  <si>
    <t>2300707: MEJORAMIENTO DE LA PRESTACION DE SERVICIOS EDUCATIVOS DE LA INSTITUCION EDUCATIVA PRIMARIO, SECUNDARIO ROSA AGUSTINA DONAYRE DE MOREY, DISTRITO DE IQUITOS, MAYNAS, LORETO</t>
  </si>
  <si>
    <t>2300780: MEJORAMIENTO DE LA VIA CARROZABLE SAN JOAQUIN DE OMAGUAS - CARRETERA IQUITOS NAUTA KM. 58, DISTRITO DE NAUTA, PROVINCIA DE LORETO - LORETO</t>
  </si>
  <si>
    <t>2302163: MEJORAMIENTO DE LA CALLE LIBERTAD (TRAMO JR. CASTILLA/CA. GARCILAZO), CA. SAN ROMAN, CA. ATLANTIDA, PSJE. INDEPENDENCIA, PSJE. SESQUICENTENARIO, CALLE PALMERAS Y PSJE. 22 DE SETIEMBRE, DISTRITO DE IQUITOS, PROVINCIA DE MAYNAS - LORETO</t>
  </si>
  <si>
    <t>2303935: MEJORAMIENTO DE LOS SERVICIOS DE EDUCACION INIC.Y PRIM. IEI-P64222-B,IEI6224-B,IEP64747-B,IEI6138-B,IEP64223-B,EN CASERIOS IEI-P6010145,IEP6010144,IEP61154,IEP64750, MICROCUENCA RIO PISQUI,DIST. CONTAMANA,PROV. UCAYALI,DPTO LORETO</t>
  </si>
  <si>
    <t>2306313: MEJORAMIENTO DE LA PRESTACION DE SERVICIOS EDUCATIVOS DE LA IEB SECUNDARIA 60762, 60347 Y LAS IEB PRIMARIA 60762, 601018, 60360, 60347, 601337, 60361 DEL DISTRITO DE YAGUAS, PROVINCIA DE PUTUMAYO, REGION LORETO</t>
  </si>
  <si>
    <t>2307992: MEJORAMIENTO DE LOS SERVICIOS DE EDUCACION PRIMARIA EN LAS INSTITUCIONES EDUCATIVAS, IEPMB N. 601661 C.N. LAS MALVINAS, IEPMB N. 6010246 C.N. FRAY PEDRO, EN LA CUENCA DEL RIO YAVARI, DISTRITO DE YAQUERANA, PROVINCIA DE REQUENA, DEPARTAMENTO DE LORETO</t>
  </si>
  <si>
    <t>2307998: MEJORAMIENTO DE LOS SERVICIOS DE EDUCACION PRIMARIA Y SECUNDARIA EN LAS INSTITUCIONES EDUCATIVAS, IEPSMB N. 601667, DE LA COMUNIDAD NATIVA DE PUERTO ALEGRE, IEPMB N. 6010192 C.N. NUEVO CASHISHPI, EN LA CUENCUA DEL RIO YAQUERANA, DISTRITO DE YAQUERANA, PROVINCIA DE REQUENA, DEPARTAMENTO DE LORETO</t>
  </si>
  <si>
    <t>2309658: MEJORAMIENTO DE LOS SERVICIOS EDUCATIVOS DE LA INSTITUCION EDUCATIVA PUBLICA DE E.B.R. ESCUELA ARBOL DE LA CIUDAD DE YURIMAGUAS - DISTRITO DE YURIMAGUAS - PROVINCIA DE ALTO AMAZONAS - LORETO</t>
  </si>
  <si>
    <t>2310306: MEJORAMIENTO DEL SERVICIO EDUCATIVO DE LA INSTITUCION EDUCATIVA PUBLICA DE MENORES MAYNAS DISTRITO DE IQUITOS - MAYNAS - LORETO</t>
  </si>
  <si>
    <t>2310311: MEJORAMIENTO DE LA PRESTACION DE SERVICIOS EDUCATIVOS EN EL INSTITUTO DE EDUCACION SUPERIOR TECNOLOGICO PEDRO A. DEL AGUILA HIDALGO, DISTRITO DE IQUITOS, MAYNAS, LORETO</t>
  </si>
  <si>
    <t>2311196: MEJORAMIENTO DEL SERVICIO DE APOYO A LA CADENA PRODUCTIVA GANADERA DE DOBLE PROPOSITO EN 4 DISTRITOS DE LA PROVINCIA DE ALTO AMAZONAS - DEPARTAMENTO DE LORETO</t>
  </si>
  <si>
    <t>2318050: MEJORAMIENTO DE LAS CALLES DEL AA.HH CASTAÑAL - PAMPA CHICA, DISTRITO DE SAN JUAN BAUTISTA - MAYNAS - LORETO</t>
  </si>
  <si>
    <t>2319788: MEJORAMIENTO DE LOS SERVICIOS EDUCATIVOS DE LA IEP. N64602-B DE LA CC. NN. PUERTO ADELINA Y LA IEP N64232 DE SAN PEDRO, DISTRITO DE PAMPA HERMOSA, PROVINCIA DE UCAYALI- LORETO</t>
  </si>
  <si>
    <t>2320041: MEJORAMIENTO DE LA PRESTACION DEL SERVICIO EDUCATIVO EN LOS NIVELES DE INICIAL EN LA I.E.I. N 488 Y PRIMARIA Y SECUNDARIA EN LA I.E.P.S. N 60142 EN LA COMUNIDAD DE PANGUANA II ZONA, DISTRITO DE FERNANDO LORES, PROVINCIA DE MAYNAS, REGION LORETO</t>
  </si>
  <si>
    <t>2320298: AMPLIACION Y MEJORAMIENTO DE LA INSTITUCION EDUCATIVA SECUNDARIA DE MENORES SAN JOSE DE INDIANA, LOCALIDAD DE INDIANA, DISTRITO DE INDIANA - MAYNAS - LORETO</t>
  </si>
  <si>
    <t>2321529: MEJORAMIENTO Y AMPLIACION DE LOS SERVICIOS DE SALUD DEL C.S. ISLANDIA DEL YAVARI, DISTRITO DE YAVARI, PROVINCIA DE MARISCAL RAMON CASTILLA - LORETO</t>
  </si>
  <si>
    <t>2323637: MEJORAMIENTO DE LOS SERVICIOS DE APOYO A LA CADENA PRODUCTIVA DEL PAICHE EN EL EJE CARRETERO IQUTOS - NAUTA MAYNAS-LORETO-LORETO</t>
  </si>
  <si>
    <t>2325446: MEJORAMIENTO Y AMPLIACION DE LA CAPACIDAD RESOLUTIVA DE LOS SERVICIOS DE SALUD DEL ESTABLECIMIENTO DE SALUD SAN LORENZO - RED DE SALUD DATEM, DISTRITO DE BARRANCA, PROVINCIA DE DATEM DEL MARAÑON, DEPARTAMENTO DE LORETO</t>
  </si>
  <si>
    <t>2333220: MEJORAMIENTO DE LA PRESTACION DE LOS SERVICIOS DE EDUCACION INICIAL DE LA IEI N 537 MI CHOZITA DEL CASERIO SAN FRANCISCO - RIO ITAYA, DISTRITO DE BELEN, PROVINCIA DE MAYNAS, DEPARTAMENTO DE LORETO</t>
  </si>
  <si>
    <t>2334278: MEJORAMIENTO DE LOS SERVICIOS EDUCATIVOS DE LA IEI 277-INAHUAYA, IEI 6134- JOSE OLAYA, IEI 6140-IPUANO,IEI 6237- EL SALVADOR, DISTRTITO DE INAHUAYA, PROVINCIA DE UCAYALI - DEPARTAMENTO DE LORETO</t>
  </si>
  <si>
    <t>2334555: CREACION DE CAMINOS VECINALES PARA EL APROVECHAMIENTO DE LA PRODUCCION AGRICOLA EN LA LOCALIDAD DE SANTA MARIA, PISCO, NUEVO LORETO Y DIAMANTE AZUL, DISTRITO DE ALTO NANAY - MAYNAS - LORETO</t>
  </si>
  <si>
    <t>2335199: MEJORAMIENTO Y EQUIPAMIENTO DEL SERVICIO DE EDUCACION INICIAL Y PRIMARIA EN LA INSTITUCION EDUCATIVA N 62200, DEL BARRIO CARABANCHEL, EN LA CIUDAD DE SAN LORENZO, DISTRITO DE BARRANCA, PROVINCIA DE DATEM DEL MARANON - LORETO</t>
  </si>
  <si>
    <t>2339002: MEJORAMIENTO DE LA VIA DE ACCESO (CALLE AYACUCHO) SOBRE LA QUEBRADA ZARAGOZA PARA LA INTERCONEXION DE LA JUNTA VECINAL NUEVO PARAISO CON LA CIUDAD DE NAUTA CENTRO POBLADO DE NAUTA - DISTRITO DE NAUTA - PROVINCIA DE LORETO - REGION LORETO</t>
  </si>
  <si>
    <t>2340216: MEJORAMIENTO Y AMPLIACION DE LA IEPSM N 60625 DE LA LOCALIDAD DE JENARO HERRERA, DISTRITO DE JENARO HERRERA - REQUENA - LORETO</t>
  </si>
  <si>
    <t>2341270: MEJORAMIENTO DE LOS SERVICIOS DE EDUCACION SUPERIOR EN EL INSTITUTO PEDAGOGICO MONSEÑOR ELIAS OLAZAR EN YURIMAGUAS, DISTRITO DE YURIMAGUAS, PROVINCIA DE ALTO AMAZONAS, REGION LORETO</t>
  </si>
  <si>
    <t>2352929: MEJORAMIENTO DEL SERVICIO EDUCATIVO EN LA I.E.I. N 452 - I.E.P.S. N 60234 - C.P. MANCO CAPAC INDIANA - MAYNAS - LORETO</t>
  </si>
  <si>
    <t>2354287: MEJORAMIENTO DE VEREDAS PEATONALES EN LAS LOCALIDADES DE HUACRACHIRO, BELLAVISTA, SAN CARLOS Y ANCASH DEL DISTRITO DE PUINAHUA - PROVINCIA DE REQUENA - DEPARTAMENTO DE LORETO</t>
  </si>
  <si>
    <t>2379902: MEJORAMIENTO DE LA PRESTACION DEL SERVICIO EDUCATIVO EN LOS NIVELES DE INICIAL, PRIMARIA Y SECUNDARIA EN LA I.E. MARIA INMACULADA, LOCALIDAD, DISTRITO Y PROVINCIA DE REQUENA, REGION LORETO</t>
  </si>
  <si>
    <t>2380564: MEJORAMIENTO DEL SERVICIO EDUCATIVO PRIMARIA DE LA I.E.P.P.M. N 601411 MELVIN JONES PAMPACHICA, DISTRITO DE SAN JUAN BAUTISTA, PROVINCIA MAYNAS, REGION LORETO</t>
  </si>
  <si>
    <t>2380575: MEJORAMIENTO DE LOS SERVICIOS DE PROMOCION DEL USO SOSTENIBLE DEL AGUAJE (MAURITIA FLEXUOSA L.) EN LOS BOSQUES DE LA CUENCA MEDIA DEL RIO PASTAZA, DISTRITO DE PASTAZA, PROVINCIA DE DATEM DEL MARAÑON, DEPARTAMENTO DE LORETO</t>
  </si>
  <si>
    <t>2382816: MEJORAMIENTO DE LA PRESTACION DE LOS SERVICIOS DE EDUCACION SUPERIOR EN EL INSTITUTO DE EDUCACION SUPERIOR PEDAGOGICO REVERENDO PADRE CAYETANO ARDANZA DE SAN LORENZO, DISTRITO DE BARRANCA, PROVINCIA DE DATEM DEL MARAÑON, DEPARTAMENTO DE LORETO</t>
  </si>
  <si>
    <t>2399771: MEJORAMIENTO Y AMPLIACION DE LOS SERVICIOS EDUCATIVOS DE LA IEPSM.RVDO PADRE VALENTIN DE URIARTE CENTRO POBLADO DE CONTAMANA - DISTRITO DE CONTAMANA - PROVINCIA DE UCAYALI - REGION LORETO</t>
  </si>
  <si>
    <t>2399783: MEJORAMIENTO DE LAS CAPACIDADES PRODUCTIVAS Y TECNOLOGICAS EN EL CULTIVO DE ARROZ BAJO RIEGO EN LOS SECTORES DE NUEVO JAEN, SAN JUAN DE PUMAYACU, Y MIGUEL GRAU EN EL VALLE DEL SHANUSI, DISTRTITO DE YURIMAGUAS, PROVINCIA DE ALTO AMAZONAS, DEPARTEMENTO DE LORETO CENTRO POBLADO DE NUEVO JAEN - DISTRITO DE YURIMAGUAS - PROVINCIA DE ALTO AMAZONAS - REGION LORETO</t>
  </si>
  <si>
    <t>2410620: MEJORAMIENTO DE LA INFRAESTRUCTURA URBANA DE LA CALLE MANUEL E. ROJAS CUADRAS 1,2 Y 3 DE LA CIUDAD DE CONTAMANA DEL DISTRITO DE CONTAMANA - PROVINCIA DE UCAYALI - DEPARTAMENTO DE LORETO</t>
  </si>
  <si>
    <t>2415468: MEJORAMIENTO DE CAPACIDADES PRODUCTIVAS DEL CULTIVO DE CACAO ( THEOBROMA CACAO) EN 25 COMUNIDADES DEL EJE CARRETERO IQUITOS - NAUTA, DISTRITO DE SAN JUAN Y NAUTA, CAHUIDE - DISTRITO DE SAN JUAN - PROVINCIA DE MAYNAS - DEPARTAMENTO DE LORETO</t>
  </si>
  <si>
    <t>2422010: CONSTRUCCION DE SISTEMAS DE LEVANTAMIENTO; EN EL(LA) VIAS DE ACCESOS EN EL ASENTAMIENTO HUMANO 15 DE MARZO EN LA LOCALIDAD PUNCHANA, DISTRITO DE PUNCHANA, PROVINCIA MAYNAS, DEPARTAMENTO LORETO</t>
  </si>
  <si>
    <t>2422016: CONSTRUCCION DE SISTEMAS DE LEVANTAMIENTO; EN EL(LA) VIAS DE ACCESO DEL ASENTAMIENTO HUMANO PILAR NORES DE GARCIA EN LA LOCALIDAD PUNCHANA, DISTRITO DE PUNCHANA, PROVINCIA MAYNAS, DEPARTAMENTO LORETO</t>
  </si>
  <si>
    <t>2422017: CONSTRUCCION DE SISTEMAS DE LEVANTAMIENTO; EN EL(LA) VIAS DE ACCESO DEL AA.HH. GLENDA FREYTAS EN LA LOCALIDAD PUNCHANA, DISTRITO DE PUNCHANA, PROVINCIA MAYNAS, DEPARTAMENTO LORETO</t>
  </si>
  <si>
    <t>2422019: CONSTRUCCION DE SISTEMAS DE LEVANTAMIENTO; EN EL(LA) VIAS DE ACCESO DEL ASENTAMIENTO HUMANO NUESTRA SEÑORA DE LA SALUD EN LA LOCALIDAD PUNCHANA, DISTRITO DE PUNCHANA, PROVINCIA MAYNAS, DEPARTAMENTO LORETO</t>
  </si>
  <si>
    <t>2422020: CONSTRUCCION DE SISTEMAS DE LEVANTAMIENTO; EN EL(LA) VIAS DE ACCESO DEL AA.HH. SIMON BOLIVAR EN LA LOCALIDAD PUNCHANA, DISTRITO DE PUNCHANA, PROVINCIA MAYNAS, DEPARTAMENTO LORETO</t>
  </si>
  <si>
    <t>2432161: CONSTRUCCION DE CERCO DE LADRILLOCONCRETO; EN EL(LA) INSTITUTO DE EDUCACION SUPERIOR TECNOLOGICO PUBLICO EN LA LOCALIDAD SAN LORENZO, DISTRITO DE BARRANCA, PROVINCIA DATEM DEL MARAÑON, DEPARTAMENTO LORETO</t>
  </si>
  <si>
    <t>2432432: MEJORAMIENTO DEL SERVICIO EDUCATIVO EN LOS NIVELES DE INICIAL Y PRIMARIA DE LA I.E.I.P. N° 60640 - BARRIO REQUENILLO, CIUDAD DE REQUENA DEL DISTRITO DE REQUENA - PROVINCIA DE REQUENA - DEPARTAMENTO DE LORETO</t>
  </si>
  <si>
    <t>2432502: MEJORAMIENTO DEL SERVICIO EDUCATIVO EN LOS NIVELES INICIAL Y PRIMARIA DE LA I.E.I.P. N° 601568, BARRIO TUMBITO, CIUDAD DE REQUENA DEL DISTRITO DE REQUENA - PROVINCIA DE REQUENA - DEPARTAMENTO DE LORETO</t>
  </si>
  <si>
    <t>2433252: REMODELACION DE SALA DE OPERACIONES O QUIROFANO Y AMBIENTE DE UNIDADES OPERATIVAS; RENOVACION DE MAQUINAS LAVADORAS TIPO LAVANDERIA; REPARACION DE ACCESORIOS PARA ESTERILIZADOR O AUTOCLAVE DE VAPOR; EN EL(LA) EESS HOSPITAL REGIONAL DE LORETO FELIPE SANTIAGO ARRIOLA IGLESIAS - PUNCHANA EN LA LOCALIDAD PUNCHANA, DISTRITO DE PUNCHANA, PROVINCIA MAYNAS, DEPARTAMENTO LORETO</t>
  </si>
  <si>
    <t>2433427: REMODELACION DE AMBIENTE DE UNIDADES OPERATIVAS; EN EL(LA) MATADERO MUNICIPAL EN LA LOCALIDAD PUNCHANA, DISTRITO DE PUNCHANA, PROVINCIA MAYNAS, DEPARTAMENTO LORETO</t>
  </si>
  <si>
    <t>2434036: MEJORAMIENTO DE LOS SERVICIOS EDUCATIVOS EN LA I.E.I E I.EP.M N° 60781 DE LAS COMUNIDADES DE NUEVA ESPERANZA Y PROGRESO DEL DISTRITO DE SOPLIN - PROVINCIA DE REQUENA - DEPARTAMENTO DE LORETO</t>
  </si>
  <si>
    <t>2437031: CREACION DE LOS SERVICIOS EDUCATIVOS DE LA I.E. NIVEL SECUNDARIA DEL CENTRO POBLADO JUANCITO DEL DISTRITO DE SARAYACU - PROVINCIA DE UCAYALI - DEPARTAMENTO DE LORETO</t>
  </si>
  <si>
    <t>2437059: MEJORAMIENTO DEL SERVICIO DE TRANSITABILIDAD VIAL EN LOS CENTROS POBLADOS DE SANTA CLOTILDE, SAN ANTONIO, FERNANDO LORES Y HUIRIRIMA - DISTRITO DE NAPO - PROVINCIA DE MAYNAS - DEPARTAMENTO DE LORETO</t>
  </si>
  <si>
    <t>2437099: MEJORAMIENTO DEL SERVICIO DE EDUCACION DEL NIVEL SECUNDARIA DE LA I.E.P.E.B.R. BALSAPUERTO, DE LA LOCALIDAD DE BALSAPUERTO DEL DISTRITO DE BALSAPUERTO - PROVINCIA DE ALTO AMAZONAS - DEPARTAMENTO DE LORETO</t>
  </si>
  <si>
    <t>2437217: MEJORAMIENTO DE LA OFERTA EDUCATIVA EN LA INSTITUCION EDUCATIVA BASICA REGULAR N° 62015, VILLA LAGUNAS LAGUNAS DEL DISTRITO DE LAGUNAS - PROVINCIA DE ALTO AMAZONAS - DEPARTAMENTO DE LORETO</t>
  </si>
  <si>
    <t>2437223: MEJORAMIENTO DE LA OFERTA EDUCATIVA NIVEL PRIMARIA EN LA INSTITUCION EDUCATIVA DE EDUCACION BASICA REGULAR 62056 DE VILLA LAGUNAS LAGUNAS DEL DISTRITO DE LAGUNAS - PROVINCIA DE ALTO AMAZONAS - DEPARTAMENTO DE LORETO</t>
  </si>
  <si>
    <t>2437230: MEJORAMIENTO DE LA INFRAESTRUCTURA VIAL URBANA DE LA CALLE 28 DE JULIO DE LAS CUADRAS 02 - 08, YURIMAGUAS DEL DISTRITO DE YURIMAGUAS - PROVINCIA DE ALTO AMAZONAS - DEPARTAMENTO DE LORETO</t>
  </si>
  <si>
    <t>2437231: MEJORAMIENTO DE LA INFRAESTRUCTURA VIAL URBANA DE LAS CALLES CONDAMINE CUADRA 03, AVENIDA MONSEÑOR ATANASIO JAUREGUI CUADRA 11, CALLE TARATA CUADRAS 06 Y 07, CALLE MARAÑON CUADRA 04, 6 DE FEBRERO CUADRA 01 Y CALLE RAYMONDI CUADRA 01; LOCALIDAD DE YURIMAGUAS DEL DISTRITO DE YURIMAGUAS - PROVINCIA DE ALTO AMAZONAS - DEPARTAMENTO DE LORETO</t>
  </si>
  <si>
    <t>2437286: CREACION DE SERVICIO DEL CENTRO CULTURAL Y RECREATIVO DEL BARRIO ALBERTO ANGULO-SEUL DE LA CIUDAD DE CONTAMANA DEL DISTRITO DE CONTAMANA - PROVINCIA DE UCAYALI - DEPARTAMENTO DE LORETO</t>
  </si>
  <si>
    <t>2437344: MEJORAMIENTO DE LOS SERVICIOS EDUCATIVOS DE LOS NIVELES DE INICIAL Y PRIMARIA DE LA IEP N° 62357 DE PUNCHANA DEL DISTRITO DE JEBEROS - PROVINCIA DE ALTO AMAZONAS - DEPARTAMENTO DE LORETO</t>
  </si>
  <si>
    <t>2438564: RECUPERACION DE ECOSISTEMAS DEGRADADOS EN EL AREA DE INFLUENCIA DE LA CARRETERA IQUITOS - NAUTA, DISTRITOS DE SAN JUAN BAUTISTA Y NAUTA, LAS PROVINCIAS DE MAYNAS Y LORETO DEL DEPARTAMENTO DE LORETO</t>
  </si>
  <si>
    <t>2439167: MEJORAMIENTO DE LA CALLE 30 DE AGOSTO ENTRE EL BOULEVAR HASTA LA CALLE 23 DE OCTUBRE, LOCALIDAD DE MAZAN DEL DISTRITO DE MAZAN - PROVINCIA DE MAYNAS - DEPARTAMENTO DE LORETO</t>
  </si>
  <si>
    <t>2439642: MEJORAMIENTO DE LAS CALLES VARGAS GUERRA, IBERIA, TRUJILLO, Y RAMON CASTILLA EN LA LOCALIDAD DE IBERIA DEL DISTRITO DE TAPICHE - PROVINCIA DE REQUENA - DEPARTAMENTO DE LORETO</t>
  </si>
  <si>
    <t>2442767: RENOVACION DE VIAS DE ACCESO; EN EL(LA) AVENIDA PARTICIPACION DISTRITO DE BELEN, PROVINCIA MAYNAS, DEPARTAMENTO LORETO</t>
  </si>
  <si>
    <t>2442962: RENOVACION DE VIAS VECINALES; EN EL(LA) JIRON PUTUMAYO C. 6 A 8, JIRON CALVO DE ARAUJO C. 4 A 6, JIRON SARGENTO LORES C. 1 A 5, JIRON MORONA C. 1 A 3, JIRON BRASIL C. 4 A 5, JIRON RICARDO PALMA C.3, JIRON LIBERTAD C.4, JIRON CONDAMINE C. 1 A 7, JIRON TACNA C.3 A 6, DISTRITO DE IQUITOS, PROVINCIA MAYNAS, DEPARTAMENTO LORETO</t>
  </si>
  <si>
    <t>2443144: CONSTRUCCION DE TANQUES DE ALMACENAMIENTO DE AGUA; EN EL(LA) TANQUE EN LA LOCALIDAD PORVENIR, DISTRITO DE PADRE MARQUEZ, PROVINCIA UCAYALI, DEPARTAMENTO LORETO</t>
  </si>
  <si>
    <t>2443828: MEJORAMIENTO DE LOS SERVICIOS EDUCATIVOS DEL NIVEL PRIMARIA DE LA POBLACION ESTUDIANTIL DE LAS COMUNIDADES DE LIMON, ACAPULCO, ALFONSO UGARTE, 28 DE JULIO Y GASOLINA EN 5 LOCALIDADES DEL DISTRITO DE MANSERICHE - PROVINCIA DE DATEM DEL MARAÑON - DEPARTAMENTO DE LORETO</t>
  </si>
  <si>
    <t>2443933: MEJORAMIENTO DE LA SEGURIDAD ALIMENTARIA Y CALIDAD NUTRICIONAL, MEDIANTE EL FORTALECIMIENTO DE CAPACIDADES PRODUCTIVAS AGRICOLAS Y PECUARIAS DE CORTO Y MEDIANO PLAZO EN LAS PROVINCIAS DE MAYNAS Y PUTUMAYO DEL DEPARTAMENTO DE LORETO</t>
  </si>
  <si>
    <t>2444247: MEJORAMIENTO DE LOS SERVICIOS DE VALORACION CULTURAL DE LA LAGUNA SAPI SAPI PARA LA CONSERVACION DEL SABER ANCESTRAL DE LA CIUDAD DE NAUTA LAGUNA SAPI SAPI DEL DISTRITO DE NAUTA - PROVINCIA DE LORETO - DEPARTAMENTO DE LORETO</t>
  </si>
  <si>
    <t>2447636: RENOVACION DE MOBILIARIO DE AULA; PROVINCIA DE MAYNAS, PUTUMAYO, REQUENA Y DISTRITO DE NAUTA, PROVINCIA LORETO, DEPARTAMENTO LORETO</t>
  </si>
  <si>
    <t>2448021: RENOVACION DE AULA DE INNOVACION PEDAGOGICA; EN EL(LA) IE 601018 - YAGUAS EN LA LOCALIDAD SANTA ROSA DE CAUCHILLO, DISTRITO DE YAGUAS, PROVINCIA PUTUMAYO, DEPARTAMENTO LORETO</t>
  </si>
  <si>
    <t>2448088: MEJORAMIENTO DE LAS ACTIVIDADES PRODUCTIVAS Y COMERCIALIZACION DE PRODUCTOS AGROPECUARIOS, PISCICOLAS, GASTRONOMICOS Y TURISMO, EN EL DISTRITO DE IQUITOS - PROVINCIA DE MAYNAS - DEPARTAMENTO DE LORETO</t>
  </si>
  <si>
    <t>2450020: RENOVACION DE VIAS VECINALES; EN EL(LA) DESDE SAN ROQUE HASTA ISLA PIURI, DISTRITO DE MAQUIA, PROVINCIA REQUENA, DEPARTAMENTO LORETO</t>
  </si>
  <si>
    <t>2450062: RECUPERACION 200 HECTAREAS DE BOSQUES DEGRADADOS SERAN RECUPERADAS EN LA ISLA IQUITOS 4 LOCALIDADES DEL DISTRITO DE BELEN - PROVINCIA DE MAYNAS - DEPARTAMENTO DE LORETO</t>
  </si>
  <si>
    <t>2453262: MEJORAMIENTO DE LA CADENA PRODUCTIVA PISCICOLA EN LOS DISTRITOS DE YURIMAGUAS, BALSAPUERTO Y TENIENTE CESAR LOPEZ ROJAS DE LA PROVINCIA DE ALTO AMAZONAS - DEPARTAMENTO DE LORETO</t>
  </si>
  <si>
    <t>2454499: REPARACION DE CARGADOR FRONTAL; EN EL(LA) MAQUINARIA PESADA (TRACTOR ORUGA, CAMION VOLQUETE, CARGADOR FRONTAL) EN LA LOCALIDAD CONTAMANA, DISTRITO DE CONTAMANA, PROVINCIA UCAYALI, DEPARTAMENTO LORETO</t>
  </si>
  <si>
    <t>2454979: MEJORAMIENTO DE CAPACIDADES HUMANAS, PRODUCTIVAS Y DE PERMANENCIA EN LOS ESTUDIOS SUPERIORES DE JOVENES ESTUDIANTES INDIGENAS 6 PROVINCIAS DEL DEPARTAMENTO DE LORETO</t>
  </si>
  <si>
    <t>2455281: RENOVACION DE AMBIENTE PARA COMEDOR; EN EL(LA) IE 62032 - BARRANCA EN LA LOCALIDAD SAN LORENZO, DISTRITO DE BARRANCA, PROVINCIA DATEM DEL MARAÑON, DEPARTAMENTO LORETO</t>
  </si>
  <si>
    <t>2455965: REPARACION DE EXCAVADORA HIDRAULICA, MINICARGADOR, MINICARGADOR, MOTONIVELADORA, RODILLO LISO VIBRATORIO Y VOLQUETE; EN EL(LA) GERENCIA SUB REGIONAL DE ALTO AMAZONAS DISTRITO DE YURIMAGUAS, PROVINCIA ALTO AMAZONAS, DEPARTAMENTO LORETO</t>
  </si>
  <si>
    <t>2456025: CREACION DE LOS SERVICIOS DE APROVECHAMIENTO SOSTENIBLE DE RECURSOS FORESTALES PARA LA PRODUCCION DE BIOENERGIA EN CONTAMANA, CONTAMANA, UCAYALI, LORETO. DISTRITO DE CONTAMANA - PROVINCIA DE UCAYALI - DEPARTAMENTO DE LORETO</t>
  </si>
  <si>
    <t>2456646: CONSTRUCCION DE PANELES DE MADERA Y; EN EL(LA) I.E. 64231 EN LA LOCALIDAD SHANAILLO, DISTRITO DE CONTAMANA, PROVINCIA UCAYALI, DEPARTAMENTO LORETO</t>
  </si>
  <si>
    <t>2456654: CONSTRUCCION DE ; EN EL(LA) IE 64231 - CONTAMANA EN LA LOCALIDAD SHANAILLO, DISTRITO DE CONTAMANA, PROVINCIA UCAYALI, DEPARTAMENTO LORETO</t>
  </si>
  <si>
    <t>2456657: CONSTRUCCION DE PANELES DE MADERA; EN EL(LA) IE 6197 - CONTAMANA EN LA LOCALIDAD SHANAILLO, DISTRITO DE CONTAMANA, PROVINCIA UCAYALI, DEPARTAMENTO LORETO</t>
  </si>
  <si>
    <t>2456733: CONSTRUCCION DE PANELES DE MADERA; EN EL(LA) IE 6180 - SARAYACU EN LA LOCALIDAD LA PEDRERA, DISTRITO DE SARAYACU, PROVINCIA UCAYALI, DEPARTAMENTO LORETO</t>
  </si>
  <si>
    <t>2456825: CONSTRUCCION DE PANELES DE MADERA; EN EL(LA) IE 246 - HUATA EN LA LOCALIDAD LA PEDRERA, DISTRITO DE SARAYACU, PROVINCIA UCAYALI, DEPARTAMENTO LORETO</t>
  </si>
  <si>
    <t>2456832: CONSTRUCCION DE PANELES DE MADERA; EN EL(LA) IE 64309 - SARAYACU EN LA LOCALIDAD LA PEDRERA, DISTRITO DE SARAYACU, PROVINCIA UCAYALI, DEPARTAMENTO LORETO</t>
  </si>
  <si>
    <t>2456841: CONSTRUCCION DE PANELES DE MADERA Y ; EN EL(LA) IE 64309 - SARAYACU EN LA LOCALIDAD LA PEDRERA, DISTRITO DE SARAYACU, PROVINCIA UCAYALI, DEPARTAMENTO LORETO</t>
  </si>
  <si>
    <t>2456869: CONSTRUCCION DE PANELES DE MADERA; EN EL(LA) IE 64585-B SANTOS ROJAS HUAYTA - CONTAMANA EN LA LOCALIDAD NUEVO OLAYA, DISTRITO DE CONTAMANA, PROVINCIA UCAYALI, DEPARTAMENTO LORETO</t>
  </si>
  <si>
    <t>2456873: CONSTRUCCION DE PANELES DE MADERA; EN EL(LA) IE 6201 - CONTAMANA EN LA LOCALIDAD CONTAMANA, DISTRITO DE CONTAMANA, PROVINCIA UCAYALI, DEPARTAMENTO LORETO</t>
  </si>
  <si>
    <t>2456875: CONSTRUCCION DE PANELES DE MADERA; EN EL(LA) IE 347 - MIRGAS EN LA LOCALIDAD CONTAMANA, DISTRITO DE CONTAMANA, PROVINCIA UCAYALI, DEPARTAMENTO LORETO</t>
  </si>
  <si>
    <t>2456879: CONSTRUCCION DE PANELES DE MADERA; EN EL(LA) IE 64246 - PAMPA HERMOSA EN LA LOCALIDAD SETURIA, DISTRITO DE PAMPA HERMOSA, PROVINCIA UCAYALI, DEPARTAMENTO LORETO</t>
  </si>
  <si>
    <t>2456890: CONSTRUCCION DE PANELES DE MADERA; EN EL(LA) IE 64585-B - CONTAMANA EN LA LOCALIDAD CONTAMANA, DISTRITO DE CONTAMANA, PROVINCIA UCAYALI, DEPARTAMENTO LORETO</t>
  </si>
  <si>
    <t>2456985: CONSTRUCCION DE PANELES DE MADERA; EN LA LOCALIDAD SETURIA, DISTRITO DE PAMPA HERMOSA, PROVINCIA UCAYALI, DEPARTAMENTO LORETO</t>
  </si>
  <si>
    <t>2457251: CONSTRUCCION DE VIAS DE ACCESO; EN EL(LA) CALLE ALFONSO UGARTE Y CALLE BUENAVENTURA MARQUEZ L1,090.15 M-1.09 KM DISTRITO DE CONTAMANA, PROVINCIA UCAYALI, DEPARTAMENTO LORETO</t>
  </si>
  <si>
    <t>2457256: CONSTRUCCION DE VIAS DE ACCESO; EN EL(LA) CALLE CIRCUNVALACION, CALLE JUAN PABLO II,CALLE LUIS RENGIFO GUEVARA Y CALLE ROLDAN TUESTA RUIZ -BARRIO SHIRINGAL L1,307.57 M -1.31 KM, DISTRITO DE CONTAMANA, PROVINCIA UCAYALI, DEPARTAMENTO LORETO</t>
  </si>
  <si>
    <t>2457292: CONSTRUCCION DE VIAS DE ACCESO; EN EL(LA) CALLE PALESTINA,CALLE BELLAVISTA,CALLE MARACAN Y CALLE BELEN -AA.HH PADRE ZAPICO RAMOS L1,691.40 M -1.69 KM, DISTRITO DE CONTAMANA, PROVINCIA UCAYALI, DEPARTAMENTO LORETO</t>
  </si>
  <si>
    <t>2458822: MEJORAMIENTO DE LOS SERVICIOS DE PROMOCION Y FORTALECIMIENTO DE CAPACIDADES A EMPRENDEDORES LOCALES EN AGROINDUSTRIA AMAZONICA PARA MEJORAR LOS INGRESOS FAMILIARES EN LOS DISTRITOS DE SAN JUAN BAUTISTA, BELEN, PUNCHANA Y DISTRITO DE IQUITOS - PROVINCIA DE MAYNAS - DEPARTAMENTO DE LORETO</t>
  </si>
  <si>
    <t>2459001: CREACION DEL CIRCUITO TURISTICO PUBLICO ECO-AMBIENTAL, ISLA IQUITOS - PROGRESO - GABRIELA NUÑEZ - SAN JUAN DE PADRE COCHA, EN EL DISTRITO DE BELEN - PROVINCIA DE MAYNAS - DEPARTAMENTO DE LORETO</t>
  </si>
  <si>
    <t>2459715: MEJORAMIENTO SERVICIO DE APOYO AL DESARROLLO DE LA CADENA PRODUCTIVA DE LA PALMA DE ACEITE, CON VALOR AGREGADO, EN EL EJE CARRETERO IQUITOS-NAUTA, DISTRITOS DE NAUTA Y SAN JUAN BAUTISTA, PROVINCIAS DE LORETO Y MAYNAS, DEPARTAMENTO DE LORETO</t>
  </si>
  <si>
    <t>2459816: MEJORAMIENTO SERVICIO DE APOYO AL USO SOSTENIBLE, CON VALOR AGREGADO DEL AGUAJE (MAURITA FLEXUOSA L.) EN LA COMUNIDAD 13 DE FEBRERO, DEL DISTRITO DE SAN JUAN BAUTISTA - PROVINCIA DE MAYNAS - DEPARTAMENTO DE LORETO</t>
  </si>
  <si>
    <t>2459929: MEJORAMIENTO DE LA PLANTA PROCESADORA PRIMARIA DE PRODUCTOS PESQUEROS DE LA DIREPRO - LORETO, DISTRITO DE IQUITOS - PROVINCIA DE MAYNAS - DEPARTAMENTO DE LORETO</t>
  </si>
  <si>
    <t>2460093: MEJORAMIENTO DE LOS SERVICIOS DE PROMOCION Y FORTALECIMIENTO DE CAPACIDADES A EMPRENDEDORES LOCALES EN PRODUCCION DE DERIVADOS HIDROBIOLOGICOS FORTIFICADOS PARA MEJORAR LA NUTRICION FAMILIAR EN LOS DISTRITOS DE SAN JUAN BAUTISTA, PUNCHANA, BELEN E IQUITOS DEL DISTRITO DE IQUITOS - PROVINCIA DE MAYNAS - DEPARTAMENTO DE LORETO</t>
  </si>
  <si>
    <t>2460924: MEJORAMIENTO DE LA TRANSITABILIDAD PEATONAL Y VEHICULAR EN LA COMUNIDAD DE NUEVA ALEJANDRIA (CURINGA) DEL DISTRITO DE SOPLIN - PROVINCIA DE REQUENA - DEPARTAMENTO DE LORETO</t>
  </si>
  <si>
    <t>2461546: REPARACION DE VIAS VECINALES; EN EL(LA) ZONA URBANA EN LA LOCALIDAD SHUCUSHUYACU, DISTRITO DE TENIENTE CESAR LOPEZ ROJAS, PROVINCIA ALTO AMAZONAS, DEPARTAMENTO LORETO</t>
  </si>
  <si>
    <t>2461671: RENOVACION DE CABLE DE EXTENSION ELECTRICA; EN EL(LA) ZONA URBANA EN LA LOCALIDAD SHUCUSHUYACU, DISTRITO DE TENIENTE CESAR LOPEZ ROJAS, PROVINCIA ALTO AMAZONAS, DEPARTAMENTO LORETO</t>
  </si>
  <si>
    <t>2464511: MEJORAMIENTO DE LA PRODUCCION, PRODUCTIVIDAD, CANALES DE COMERCIALIZACION Y ACCESO AL MERCADO DE LOS AGRICULTORES FAMILIARES DEL CULTIVO DE ARROZ Y MAIZ DE LAS 7 PROVINCIAS DEL DEPARTAMENTO DE LORETO</t>
  </si>
  <si>
    <t>2464731: AMPLIACION DEL SERVICIO DE SUMINISTRO ELECTRICO DOMICILIARIO EN LA COMUNIDAD NATIVA RURAL MANACAMIRI, DEL DISTRITO DE IQUITOS - PROVINCIA DE MAYNAS - DEPARTAMENTO DE LORETO</t>
  </si>
  <si>
    <t>2467587: RENOVACION DE VEREDA; EN EL(LA) PLAZA DE ARMAS EN LA LOCALIDAD SANTA ROSA, DISTRITO DE YAVARI, PROVINCIA MARISCAL RAMON CASTILLA, DEPARTAMENTO LORETO</t>
  </si>
  <si>
    <t>2467704: MEJORAMIENTO DE LAS CAPACIDADES DE GESTION DE LA GERENCIA REGIONAL DE DESARROLLO SOCIAL, EN EL AMBITO REGIONAL DEL DISTRITO DE IQUITOS - PROVINCIA DE MAYNAS - DEPARTAMENTO DE LORETO</t>
  </si>
  <si>
    <t>2468305: MEJORAMIENTO DE LOS SERVICIOS DE TRANSITABILIDAD VEHICULAR Y PEATONAL DE LAS CALLE LUZ MARINA, CALLE 23 DE MARZO, CALLE 17 DE JUNIO Y PASAJE LOS ROSALES, DISTRITO DE PUNCHANA - PROVINCIA DE MAYNAS - DEPARTAMENTO DE LORETO</t>
  </si>
  <si>
    <t>2468715: MEJORAMIENTO DE LA SEGURIDAD ALIMENTARIA, NUTRICIONAL Y DE LAS CONDICIONES DE HABITABILIDAD DE LAS FAMILIAS DEL AMBITO RURAL EN DISTRITOS PRIORIZADOS CON MAYOR INDICE DE ANEMIA DE TODAS LAS PROVINCIAS DE LA REGION LORETO DEL DISTRITO DE IQUITOS - PROVINCIA DE MAYNAS - DEPARTAMENTO DE LORETO</t>
  </si>
  <si>
    <t>2468813: MEJORAMIENTO Y DESARROLLO DE LA CAPACIDAD EMPRENDEDORA Y COMPETENCIAS LABORALES EN MUJERES EN SITUACION DE VULNERABILIDAD EN EL AMBITO REGIONAL DEL DISTRITO DE IQUITOS - PROVINCIA DE MAYNAS - DEPARTAMENTO DE LORETO</t>
  </si>
  <si>
    <t>2468819: MEJORAMIENTO DE LOS SERVICIOS QUE BRINDA EL CENTROS DE ATENCION RESIDENCIAL - MIMP - INABIF SANTA LORENA CON ENFOQUE INTEGRAL CENTRO DE ACOGIDA RESIDENCIAL INABIF DEL DISTRITO DE PUNCHANA - PROVINCIA DE MAYNAS - DEPARTAMENTO DE LORETO</t>
  </si>
  <si>
    <t>2469567: RECUPERACION BOSQUES DEGRADADOS DE 29 COMUNIDADES DE LA CUENCA BAJA DEL RIO AMAZONAS EN LOS DISTRITOS DE SAN PABLO Y PEBAS DE LA PROVINCIA DE MARISCAL RAMON CASTILLA - DEPARTAMENTO DE LORETO</t>
  </si>
  <si>
    <t>2469793: RECUPERACION DE BOSQUES DEGRADADOS DE LAS COMUNIDADES NATIVAS DE LA CUENCA DEL RIO PISQUI DEL DISTRITO DE CONTAMANA - PROVINCIA DE UCAYALI - DEPARTAMENTO DE LORETO</t>
  </si>
  <si>
    <t>2470411: CREACION DE LOS SERVICIOS CULTURALES Y PROMOCIONES ARTISTICAS EN LA CIUDAD DE IQUITOS, DISTRITO DE IQUITOS - PROVINCIA DE MAYNAS - DEPARTAMENTO DE LORETO</t>
  </si>
  <si>
    <t>2470552: RECUPERACION DE BOSQUES DEGRADADOS Y SERVICIOS AMBIENTALES EN EL AREA DE INFLUENCIA DE LA CARRETERA YURIMAGUAS -BALSAPUERTO, DISTRITO DE YURIMAGUAS Y EN LOS DISTRITOS DE BALSAPUERTO Y YURIMAGUAS DE LA PROVINCIA DE ALTO AMAZONAS - DEPARTAMENTO DE LORETO</t>
  </si>
  <si>
    <t>2470687: MEJORAMIENTO DE CAPACIDADES HUMANAS PARA LA INCLUSION SOCIAL Y ECONOMICA DE LAS PERSONAS CON DISCAPACIDAD DISTRITO DE IQUITOS - PROVINCIA DE MAYNAS - DEPARTAMENTO DE LORETO</t>
  </si>
  <si>
    <t>2470723: RECUPERACION DE BOSQUES DEGRADADOS EN EL AREA DE INFLUENCIA DE LA CARRETERA LAGUNAS -ARAHUANTE, DISTRITO DE LAGUNAS - PROVINCIA DE ALTO AMAZONAS - DEPARTAMENTO DE LORETO</t>
  </si>
  <si>
    <t>2471082: CREACION DEL CENTRO DE ABASTECIMIENTO Y COMERCIALIZACION DE PRODUCTOS AGROPECUARIOS DE LA CIUDAD DE IQUITOS, DISTRITO DE IQUITOS - PROVINCIA DE MAYNAS - DEPARTAMENTO DE LORETO</t>
  </si>
  <si>
    <t>2471330: MEJORAMIENTO DE LOS SERVICIOS DE INFORMACION Y REGULACION DE ACONDICIONAMIENTO TERRITORIAL EN LA ZONA FRONTERIZA DEL DEPARTAMENTO DE LORETO BELEN DEL DISTRITO DE BELEN - PROVINCIA DE MAYNAS - DEPARTAMENTO DE LORETO</t>
  </si>
  <si>
    <t>2471371: REPARACION DE PUENTE; EN EL(LA) QUEBRADA GUARNICION EN LA LOCALIDAD REQUENA, DISTRITO DE REQUENA, PROVINCIA REQUENA, DEPARTAMENTO LORETO</t>
  </si>
  <si>
    <t>2471618: MEJORAMIENTO DE LA RUTA TURISTICA DEL KUKAMA EN EL AMBITO DE LA PLAZA TROCHERO DE LA CIUDAD DE NAUTA DEL DISTRITO DE NAUTA - PROVINCIA DE LORETO - DEPARTAMENTO DE LORETO</t>
  </si>
  <si>
    <t>2473652: MEJORAMIENTO DE CAPACIDADES EMPRESARIALES PARA LA INSTALACION Y MANEJO DE GRANJAS AVICOLAS, EN LAS PERSONAS CON DISCAPACIDAD DISTRITO DE IQUITOS - PROVINCIA DE MAYNAS - DEPARTAMENTO DE LORETO</t>
  </si>
  <si>
    <t>2474425: REPARACION DE CALZADA; EN EL(LA) LA TROCHA CARROZABLE REQUENA - JENARO HERRERA, KM 13 + 70 - DISTRITO DE REQUENA, PROVINCIA REQUENA, DEPARTAMENTO LORETO</t>
  </si>
  <si>
    <t>2477128: MEJORAMIENTO DE LA PROMOCION DE LA LITERATURA AMAZONICA Y FOMENTO DE LA LECTURA EN LA POBLACION ESCOLAR DEPARTAMENTAL DEL DISTRITO DE IQUITOS - PROVINCIA DE MAYNAS - DEPARTAMENTO DE LORETO</t>
  </si>
  <si>
    <t>2480524: MEJORAMIENTO Y EQUIPAMIENTO DEL SERVICIO DE EDUCACION DEL CENTRO EDUCATIVO TECNICO PRODUCTIVO (CETPRO) - SAN ANTONIO DEL ESTRECHO DEL DISTRITO DE PUTUMAYO - PROVINCIA DE PUTUMAYO - DEPARTAMENTO DE LORETO</t>
  </si>
  <si>
    <t>2485145: ADQUISICION DE AMBULANCIA URBANA, AMBULANCIA FLUVIAL, EQUIPO Y EQUIPO DE LABORATORIO; EN EL(LA) HOSPITAL REGIONAL DE LORETO FELIPE ARRIOLA IGLESIAS, HOSPITAL APOYO IQUITOS CESAR GARAYAR GARCIA, HOSPITAL DE YURIMAGUAS Y REDES, DISTRITO DE PUNCHANA, PROVINCIA MAYNAS, DEPARTAMENTO LORETO</t>
  </si>
  <si>
    <t>2485149: ADQUISICION DE EQUIPO, EQUIPO DE LABORATORIO, MOBILIARIO Y EQUIPO DE OTROS ACTIVOS COMPLEMENTARIOS; EN EL(LA) HOSPITAL REGIONAL DE LORETO FELIPE ARRIOLA IGLESIAS, HOSPITAL APOYO IQUITOS CESAR GARAYAR, HOSPITAL YURIMAGUAS Y REDES, DISTRITO DE PUNCHANA, PROVINCIA MAYNAS, DEPARTAMENTO LORETO</t>
  </si>
  <si>
    <t>2486953: ADQUISICION DE GENERADOR DE OXIGENO MEDICINAL Y INFRAESTRUCTURA DE ALMACENAMIENTO; EN EL(LA) HOSPITAL REGIONAL DE LORETO FELIPE SANTIAGO ARRIOLA IGLESIAS DISTRITO DE PUNCHANA, PROVINCIA MAYNAS, DEPARTAMENTO LORETO</t>
  </si>
  <si>
    <t>2487093: ADQUISICION DE GENERADOR DE OXIGENO MEDICINAL Y INFRAESTRUCTURA DE ALMACENAMIENTO; EN EL(LA) HOSPITAL SANTA GEMA DE YURIMAGUAS, DISTRITO DE YURIMAGUAS, PROVINCIA ALTO AMAZONAS, DEPARTAMENTO LORETO</t>
  </si>
  <si>
    <t>2487506: ADQUISICION DE GENERADOR DE OXIGENO MEDICINAL, INFRAESTRUCTURA DE ALMACENAMIENTO, GENERADOR ELECTRICO Y EQUIPO DE OTROS ACTIVOS COMPLEMENTARIOS; EN EL(LA) C.S. SAN LORENZO - NUCLEO BASE DISTRITO DE BARRANCA, PROVINCIA DATEM DEL MARAÑON, DEPARTAMENTO LORETO</t>
  </si>
  <si>
    <t>2487508: ADQUISICION DE GENERADOR DE OXIGENO MEDICINAL, INFRAESTRUCTURA DE ALMACENAMIENTO, GENERADOR ELECTRICO Y EQUIPO DE OTROS ACTIVOS COMPLEMENTARIOS; EN EL(LA) C.S REQUENA, DISTRITO DE REQUENA, PROVINCIA REQUENA, DEPARTAMENTO LORETO</t>
  </si>
  <si>
    <t>2487512: ADQUISICION DE GENERADOR DE OXIGENO MEDICINAL, INFRAESTRUCTURA DE ALMACENAMIENTO, GENERADOR ELECTRICO Y EQUIPO DE OTROS ACTIVOS COMPLEMENTARIOS; EN EL(LA) C.S CONTAMANA DISTRITO DE CONTAMANA, PROVINCIA UCAYALI, DEPARTAMENTO LORETO</t>
  </si>
  <si>
    <t>2487523: ADQUISICION DE GENERADOR DE OXIGENO MEDICINAL, INFRAESTRUCTURA DE ALMACENAMIENTO, GENERADOR ELECTRICO Y EQUIPO DE OTROS ACTIVOS COMPLEMENTARIOS; EN EL(LA) C.S. CABALLOCOCHA, DISTRITO DE RAMON CASTILLA, PROVINCIA MARISCAL RAMON CASTILLA, DEPARTAMENTO LORETO</t>
  </si>
  <si>
    <t>2487570: ADQUISICION DE GENERADOR DE OXIGENO MEDICINAL, INFRAESTRUCTURA DE ALMACENAMIENTO, GENERADOR ELECTRICO Y EQUIPO DE OTROS ACTIVOS COMPLEMENTARIOS; EN EL(LA) C.S. I-3 EL ESTRECHO, DISTRITO DE PUTUMAYO, PROVINCIA PUTUMAYO, DEPARTAMENTO LORETO</t>
  </si>
  <si>
    <t>2489182: CONSTRUCCION DE CASETA; ADQUISICION DE GENERADOR DE OXIGENO MEDICINAL, GENERADOR ELECTRICO Y EQUIPO DE OTROS ACTIVOS COMPLEMENTARIOS; EN EL(LA) HOSPITAL II-I CONTAMANA DISTRITO DE CONTAMANA, PROVINCIA UCAYALI, DEPARTAMENTO LORETO</t>
  </si>
  <si>
    <t>2489186: CONSTRUCCION DE CASETA; ADQUISICION DE GENERADOR DE OXIGENO MEDICINAL, GENERADOR ELECTRICO Y EQUIPO DE OTROS ACTIVOS COMPLEMENTARIOS; EN EL(LA) C.S. I-3 EL ESTRECHO, DISTRITO DE PUTUMAYO, PROVINCIA PUTUMAYO, DEPARTAMENTO LORETO</t>
  </si>
  <si>
    <t>2489192: CONSTRUCCION DE CASETA; ADQUISICION DE GENERADOR DE OXIGENO MEDICINAL, GENERADOR ELECTRICO Y EQUIPO DE OTROS ACTIVOS COMPLEMENTARIOS; EN EL(LA) C.S. REQUENA DISTRITO DE REQUENA, PROVINCIA REQUENA, DEPARTAMENTO LORETO</t>
  </si>
  <si>
    <t>2489195: CONSTRUCCION DE CASETA; ADQUISICION DE GENERADOR DE OXIGENO MEDICINAL, GENERADOR ELECTRICO Y EQUIPO DE OTROS ACTIVOS COMPLEMENTARIOS; EN EL(LA) C.S. SAN LORENZO - NUCLEO BASE DISTRITO DE BARRANCA, PROVINCIA DATEM DEL MARAÑON, DEPARTAMENTO LORETO</t>
  </si>
  <si>
    <t>2489198: CONSTRUCCION DE CASETA; ADQUISICION DE GENERADOR DE OXIGENO MEDICINAL, GENERADOR ELECTRICO Y EQUIPO DE OTROS ACTIVOS COMPLEMENTARIOS; EN EL(LA) C.S. CABALLOCOCHA, DISTRITO DE RAMON CASTILLA, PROVINCIA MARISCAL RAMON CASTILLA, DEPARTAMENTO LORETO</t>
  </si>
  <si>
    <t>Avance DEV/PIM</t>
  </si>
  <si>
    <t>EJECUCION PRESUPUESTAL INVERSIONES</t>
  </si>
  <si>
    <t>Pliego 453: Gobierno Regional del Departamento de Loreto</t>
  </si>
  <si>
    <t>Fuente de Financiamiento: Toda Fuente</t>
  </si>
  <si>
    <t>SALDO PRESUPESTAL PIM-CERT</t>
  </si>
  <si>
    <t>Avance CERT/PIM</t>
  </si>
  <si>
    <t>(Al 30 de junio 2020)</t>
  </si>
  <si>
    <t>FORMATO 01: INDICADORES DE GESTIÓN SEGÚN OBJETIVOS ESTRATÉGICOS INSTITUCIONALES AL 2021</t>
  </si>
  <si>
    <t>SECTOR O GOBIERNO REGIONAL: GOBIERNO REGIONAL DE LORETO</t>
  </si>
  <si>
    <t>PLIEGO O ENTIDAD DEL SECTOR</t>
  </si>
  <si>
    <t>OBJETIVO ESTRATÉGICO SECTORIAL</t>
  </si>
  <si>
    <t>OBJETIVO ESTRATÉGICO INSTITUCIONAL</t>
  </si>
  <si>
    <t>NOMBRE DEL INDICADOR</t>
  </si>
  <si>
    <t>LINEA BASE</t>
  </si>
  <si>
    <t>META AL 2021</t>
  </si>
  <si>
    <t>FUENTE DE INFORMACIÓN</t>
  </si>
  <si>
    <t>RESPONSABLE</t>
  </si>
  <si>
    <t xml:space="preserve">VALOR </t>
  </si>
  <si>
    <t>AÑO</t>
  </si>
  <si>
    <t>META</t>
  </si>
  <si>
    <t>RESULTADO</t>
  </si>
  <si>
    <t>PROYECTADO</t>
  </si>
  <si>
    <t>453: GOBIERNO REGIONAL DE LORETO</t>
  </si>
  <si>
    <t>Garantizar los derechos de las mujeres y poblaciones vulnerables /Reducir la desigualdad de género, la discrimnación, la violencia y otras desigualdades que afectan a las mujeres y poblaciones vulnerables</t>
  </si>
  <si>
    <t>Contribuir al acceso de los servicios de protección para niñas, niños y adolescentes</t>
  </si>
  <si>
    <t>Número de niños, niñas y adolescentes atendidos por el Programa Nacional Contra la Violencia Familiar y Sexual</t>
  </si>
  <si>
    <t>0-5: 82                  6-11: 192           12-17: 280</t>
  </si>
  <si>
    <t>0-5: 80                6-11: 200         12-17: 280</t>
  </si>
  <si>
    <t>MIMP - PNCVFS</t>
  </si>
  <si>
    <t>GERENCIA REGIONAL DE DESARROLLO SOCIAL</t>
  </si>
  <si>
    <t>0-5: 100              6-11: 220          12-17: 300</t>
  </si>
  <si>
    <t>0-5: 100             6-11: 220         12-17: 300</t>
  </si>
  <si>
    <t>0-5: 90                   6-11: 210            12-17: 290</t>
  </si>
  <si>
    <t>0-5: 80                 6-11: 200          12-17: 280</t>
  </si>
  <si>
    <t>Mejorar la salud de la población/Ampliar la cobertura de asegurmiento para la protección en salud</t>
  </si>
  <si>
    <t>Mejorar el acceso a los servicios de salud para la población</t>
  </si>
  <si>
    <t>Extensión de uso de la población asignada a las IPRESS</t>
  </si>
  <si>
    <t>DIRESA LORETO</t>
  </si>
  <si>
    <t>DIRESA - GORE LORETO</t>
  </si>
  <si>
    <t>Incrementar la equidad y la calidad de los aprendizajes y del talento de los niños y adolescentes</t>
  </si>
  <si>
    <t>Mejorar  el  acceso  a  los  servicios  de educación de la población</t>
  </si>
  <si>
    <t>Tasa neta de asistencia en el nivel inicial, primaria y secundaria</t>
  </si>
  <si>
    <t>Inicial: 86.4          Primaria: 92.5      Secundaria: 73.1</t>
  </si>
  <si>
    <t>Inicial: 93          Primaria: 99      Secundaria: 80</t>
  </si>
  <si>
    <t>MINEDU - ESCALE</t>
  </si>
  <si>
    <t>DREL - GORE LORETO</t>
  </si>
  <si>
    <t>Inicial: 88          Primaria: 94.5      Secundaria: 75</t>
  </si>
  <si>
    <t>Inicial: 90          Primaria: 97      Secundaria: 78</t>
  </si>
  <si>
    <t>Contribuir en el desarrollo humano y en las relaciones armoniosas de los actores del Sector Minero-Energetico</t>
  </si>
  <si>
    <t>Mejorar el servicio eléctrico para la población</t>
  </si>
  <si>
    <t>Porcentaje de viviendas particulares que tienen acceso a la energía eléctrica mediante red pública</t>
  </si>
  <si>
    <t>INEI - ENAPRES</t>
  </si>
  <si>
    <t>DIRECCIÓN REGIONAL DE ENERGÍA Y MINAS</t>
  </si>
  <si>
    <t>Promover la sostenibilidad en el uso de la diversidad biologica y de servicios ecosistémicos como activos de desarrollo del país</t>
  </si>
  <si>
    <t>Mejorar la gestión de la diversidad biológica en el departamento</t>
  </si>
  <si>
    <t>Superficie de conservación regional (hectáreas)</t>
  </si>
  <si>
    <t>SERNANP</t>
  </si>
  <si>
    <t>AUTORIDAD REGIONAL AMBIENTAL</t>
  </si>
  <si>
    <t>Mejorar el acceso a servicios sociales para personas en situación de vulnerabilidad</t>
  </si>
  <si>
    <t>Número de personas beneficiadas con programas sociales</t>
  </si>
  <si>
    <t>MIDIS</t>
  </si>
  <si>
    <t>Mejorar la implementación de la gestión pública para resultados en todas las entidades públicas</t>
  </si>
  <si>
    <t>Modernizar la gestión pública regional</t>
  </si>
  <si>
    <t>Porcentaje de la percepción de los usuarios sobre la articulación y coordinación interna</t>
  </si>
  <si>
    <t>Insuficiente</t>
  </si>
  <si>
    <t>Suficiente</t>
  </si>
  <si>
    <t>GORE LORETO -Informe de diagnóstico del sistema de control interno</t>
  </si>
  <si>
    <t>GORE LORETO</t>
  </si>
  <si>
    <t>Adecuado</t>
  </si>
  <si>
    <t>Incrementar la productividad agraria y la inserción competitiva a los mercados nacionales e internacionales</t>
  </si>
  <si>
    <t>Incrementar la competitividad productiva en el departamento</t>
  </si>
  <si>
    <t>Puesto según el índice de competitividad regional</t>
  </si>
  <si>
    <t>IPE - Índice de Competitividad Regional 2018</t>
  </si>
  <si>
    <t>GERENCIA REGIONAL DE DESARROLLO ECONÓMICO</t>
  </si>
  <si>
    <t>Impulsar el desarrollo de las comunicaciones a nivel nacional</t>
  </si>
  <si>
    <t>Incrementar los servicios de conectividad en el departamento</t>
  </si>
  <si>
    <t>Porcentaje de hogares que acceden al servicio de internet</t>
  </si>
  <si>
    <t>INEI - ENAHO</t>
  </si>
  <si>
    <t>DIRECCIÓN REGIONAL DE TRANSPORTES Y COMUNICACIONES</t>
  </si>
  <si>
    <t>Fortalecer la capacidadde adaptación y respuesta de la población, agentes economicos y el Estado ante los efectos adversos del cambio climático, eventos geologicos y gaciologicos</t>
  </si>
  <si>
    <t>Mejorar la gestión del riesgo de desastres en el departamento</t>
  </si>
  <si>
    <t>Número de viviendas afectadas por ocurrencia de desastres</t>
  </si>
  <si>
    <t>INDECI - SINPAD</t>
  </si>
  <si>
    <t>GERENCIA REGIONAL DE DEFENSA NACIONAL</t>
  </si>
  <si>
    <t>Incrementar el acceso de la población rural a servicios de agua y saneamiento sostenible de calidad/Incrementar el acceso de la población urbana a servicios de agua y saneamiento sostenible y de calidad</t>
  </si>
  <si>
    <t>Mejorar los servicios de saneamiento en el departamento</t>
  </si>
  <si>
    <t>Porcentaje de la población con acceso a la red pública de alcantarillado en el departamento</t>
  </si>
  <si>
    <t>DIRECCIÓN REGIONAL DE VIVIENDA, CONSTRUCCIÓN Y SANEAMIENTO</t>
  </si>
  <si>
    <t>Porcentaje de la población que consume agua potable proveniente de red pública</t>
  </si>
  <si>
    <t>Fortalecer la conciencia, cultural y gobernanza ambiental</t>
  </si>
  <si>
    <t>Fortalecer el ordenamiento territorial del departamento</t>
  </si>
  <si>
    <t>Número equipos humanos capacitados para la implementación el ordenamiento territorial</t>
  </si>
  <si>
    <t>IDER LORETO</t>
  </si>
  <si>
    <t>GRPPAT</t>
  </si>
  <si>
    <t>*Fuente: PEI 2020-2022, aprobado RER N°434-2018-GRL-P</t>
  </si>
  <si>
    <t>FORMATO 02: DISTRIBUCIÓN DEL PRESUPUESTO POR CATEGORÍA PRESUPUESTAL 2019, 2020 Y PROYECTO 2021</t>
  </si>
  <si>
    <t>PLIEGO: 453 GOBIERNO REGIONAL DEL DEPARTAMENTO DE LOREO</t>
  </si>
  <si>
    <t>PIA
POR CATEGORIA PRESUPUESTAL</t>
  </si>
  <si>
    <t>1: Acciones Centrales (AC)</t>
  </si>
  <si>
    <t>2: Asignaciones Presupuestarias que No Resultan en Productos (APNP)</t>
  </si>
  <si>
    <t>3: Programas Presupuestales</t>
  </si>
  <si>
    <t>PIA TOTAL S/</t>
  </si>
  <si>
    <t>PIM
POR CATEGORIA PRESUPUESTAL</t>
  </si>
  <si>
    <t>2020 (*)</t>
  </si>
  <si>
    <t>2021 (**)</t>
  </si>
  <si>
    <t>PIM TOTAL S/</t>
  </si>
  <si>
    <t>EJECUCIÓN
POR CATEGORIA PRESUPUESTAL</t>
  </si>
  <si>
    <t>EJECUCIÓN TOTAL S/</t>
  </si>
  <si>
    <t>(*) Proyección al 31/12/2020</t>
  </si>
  <si>
    <t>(**) Proyecto 2021</t>
  </si>
  <si>
    <t>FORMATO 03: DISTRIBUCIÓN DEL PRESUPUESTO POR FUENTE DE FINANCIAMIENTO 2019, 2020 Y PROYECTO 2021</t>
  </si>
  <si>
    <t>SECTOR o GOB. REGIONAL: 453 GOBIERNO REGIONAL DEL DEPARTAMENTO DE LORETO</t>
  </si>
  <si>
    <t>FTE. FTO.: .5 RECURSOS DETERMINADOS</t>
  </si>
  <si>
    <t>PIA 
POR FUENTE DE FINANCIAMIENTO</t>
  </si>
  <si>
    <t>GASTOS CORRIENTES</t>
  </si>
  <si>
    <t>1: Reserva de Contingencia</t>
  </si>
  <si>
    <t>2: Personal y Obligaciones Sociales</t>
  </si>
  <si>
    <t>3: Pensiones y Prestaciones Sociales</t>
  </si>
  <si>
    <t>4: Bienes y Servicios</t>
  </si>
  <si>
    <t>5: Donaciones y Transferencias (corrientes)</t>
  </si>
  <si>
    <t>6: Otros Gastos (corrientes)</t>
  </si>
  <si>
    <t>GASTOS DE CAPITAL</t>
  </si>
  <si>
    <t>7: Donaciones y Transferencias (de capital)</t>
  </si>
  <si>
    <t>8: Otros Gastos (de capital)</t>
  </si>
  <si>
    <t>9: Adquisiciones de Activos No Financieros</t>
  </si>
  <si>
    <t>10: Adquisiciones de Activos Financieros</t>
  </si>
  <si>
    <t>SERVICIO DE DEUDA</t>
  </si>
  <si>
    <t>11: Servicio de la Deuda</t>
  </si>
  <si>
    <t>PIM 
POR FUENTE DE FINANCIAMIENTO</t>
  </si>
  <si>
    <t>EJECUCIÓN 
POR FUENTE DE FINANCIAMIENTO</t>
  </si>
  <si>
    <t>FORMATO 04: DISTRIBUCIÓN DEL GASTO POR UNIDADES EJECUTORAS / ENTIDAD PÚBLICA Y FUENTES DE FINANCIAMIENTO - PROYECTO 2021</t>
  </si>
  <si>
    <t>PLIEGO: 453 GOBIERNO REGIONAL DEL DEPARTAMENTO DE LORETO</t>
  </si>
  <si>
    <t>FTE.FTO.: 1 RECURSOS ORDINARIOS</t>
  </si>
  <si>
    <t>PLIEGOS DEL SECTOR O GOBIERNO REGIONAL</t>
  </si>
  <si>
    <t>UNIDADES EJECUTORAS O ENTIDADES PÚBLICAS ADSCRITAS AL SECTOR</t>
  </si>
  <si>
    <t>5: Donaciones y Transferencias</t>
  </si>
  <si>
    <t>6: Otros Gastos</t>
  </si>
  <si>
    <t>SUB TOTAL GASTOS CORRIENTES</t>
  </si>
  <si>
    <t>7: Donaciones y Transferencias</t>
  </si>
  <si>
    <t>8: Otros Gastos</t>
  </si>
  <si>
    <t>SUB TOTAL GASTOS DE CAPITAL</t>
  </si>
  <si>
    <t>SUB TOTAL SERVICIO DE DEUDA</t>
  </si>
  <si>
    <t>TOTAL GASTOS UNIDAD EJECUTORA / ENTIDAD PÚBLICA</t>
  </si>
  <si>
    <t>PART. %</t>
  </si>
  <si>
    <t>GORELORETO</t>
  </si>
  <si>
    <t>001 SEDE CENTRAL</t>
  </si>
  <si>
    <t>002 ALTO AMAZONAS - YURIMAGUAS</t>
  </si>
  <si>
    <t>003 UCAYALI - CONTAMANA</t>
  </si>
  <si>
    <t>004 ORGANISMO PUBLICO INFRAESTRUCTURA PARA LA PRODUCTIVIDAD</t>
  </si>
  <si>
    <t>100 AGRICULTURA LORETO</t>
  </si>
  <si>
    <t>200 TRANSPORTES LORETO</t>
  </si>
  <si>
    <t>300 EDUCACION LORETO</t>
  </si>
  <si>
    <t>301 EDUCACION ALTO AMAZONAS - YURIMAGUAS</t>
  </si>
  <si>
    <t>302 EDUCACION UCAYALI - CONTAMANA</t>
  </si>
  <si>
    <t xml:space="preserve">303 EDUCACION RAMON CASTILLA </t>
  </si>
  <si>
    <t>304 EDUCACION REQUENA</t>
  </si>
  <si>
    <t>305 EDUCACION NAUTA</t>
  </si>
  <si>
    <t>306 EDUCACION DATEM DEL MARAÑON</t>
  </si>
  <si>
    <t>308 EDUCACION PUTUMAYO</t>
  </si>
  <si>
    <t>400 SALUD LORETO</t>
  </si>
  <si>
    <t>401 SALUD YURIMAGUAS</t>
  </si>
  <si>
    <t>402 HOSPITAL APOYO IQUITOSS</t>
  </si>
  <si>
    <t>403 HOSPITAL REGIONAL DE LORETO</t>
  </si>
  <si>
    <t>404 RED DE SALUD DATEM DEL MARAÑON</t>
  </si>
  <si>
    <t>405 HOSPITAL SANTA GEMA YURIMAGUAS</t>
  </si>
  <si>
    <t>..</t>
  </si>
  <si>
    <t>406 SALUD UCAYALI - CONTAMANA</t>
  </si>
  <si>
    <t>407 SALUD LORETO - NAUTA</t>
  </si>
  <si>
    <t>TOTAL PLIEGO</t>
  </si>
  <si>
    <t>FTE.FTO.: 2 RECURSOS DIRECTAMENTE RECAUDADOS</t>
  </si>
  <si>
    <t>402 HOSPITAL APOYO IQUITOS</t>
  </si>
  <si>
    <t>404 RED DE SSALUD DATEM DEL MARAÑON</t>
  </si>
  <si>
    <t>FTE.FTO.: 4 DONACIONES Y TRANSFERENCIAS</t>
  </si>
  <si>
    <t>TOTAL SECTOR</t>
  </si>
  <si>
    <t>FTE. FTO.: 5 RECURSOS DETERMINADOS</t>
  </si>
  <si>
    <t>FORMATO 05: DISTRIBUCIÓN DEL PRESUPUESTO POR PROGRAMA PRESUPUESTAL 2019, 2020 Y 2021</t>
  </si>
  <si>
    <t>PIA
POR PROGRAMA PRESUPUESTAL</t>
  </si>
  <si>
    <t>0001</t>
  </si>
  <si>
    <t>PROGRAMA ARTICULADO NUTRICIONAL</t>
  </si>
  <si>
    <t>0002</t>
  </si>
  <si>
    <t>SALUD MATERNO NEONATAL</t>
  </si>
  <si>
    <t>0016</t>
  </si>
  <si>
    <t>TBC-VIH/SIDA</t>
  </si>
  <si>
    <t>0017</t>
  </si>
  <si>
    <t>ENFERMEDADES METAXENICAS Y ZOONOSIS</t>
  </si>
  <si>
    <t>0018</t>
  </si>
  <si>
    <t>ENFERMEDADES NO TRANSMISIBLES</t>
  </si>
  <si>
    <t>0024</t>
  </si>
  <si>
    <t>PREVENCION Y CONTROL DEL CANCER</t>
  </si>
  <si>
    <t>0046</t>
  </si>
  <si>
    <t>ACCESO Y USO DE LA ELECTRIFICACION RURAL</t>
  </si>
  <si>
    <t>0051</t>
  </si>
  <si>
    <t>PREVENCION Y TRATAMIENTO DEL CONSUMO DE DROGAS</t>
  </si>
  <si>
    <t>0057</t>
  </si>
  <si>
    <t>CONSERVACION DE LA DIVERSIDAD BIOLOGICA Y APROVECHAMIENTO SOSTENIBLE DE LOS RECURSOS NATURALES EN AREA NATURAL PROTEGIDA</t>
  </si>
  <si>
    <t>0068</t>
  </si>
  <si>
    <t>REDUCCION DE VULNERABILIDAD Y ATENCION DE EMERGENCIAS POR DESASTRES</t>
  </si>
  <si>
    <t>0072</t>
  </si>
  <si>
    <t>PROGRAMA DE DESARROLLO ALTERNATIVO INTEGRALY SOSTENIBLE</t>
  </si>
  <si>
    <t>0073</t>
  </si>
  <si>
    <t>PROGRAMA PARA LA GENERACION DEL EMPLEO SOCIAL INCLUSIVO</t>
  </si>
  <si>
    <t>0080</t>
  </si>
  <si>
    <t>LUCHA CONTRA LA VIOLENCIA FAMILIAR</t>
  </si>
  <si>
    <t>0082</t>
  </si>
  <si>
    <t>PROGRAMA NACIONAL DE SANEAMIENTO URBANO</t>
  </si>
  <si>
    <t>0083</t>
  </si>
  <si>
    <t>PROGRAMA NACIONAL DE SANEAMIENTO RURAL</t>
  </si>
  <si>
    <t>0090</t>
  </si>
  <si>
    <t>LOGROS DE APRENDIZAJE DE ESTUDIANTES DE LA EDUCACION BASICA REGULAR</t>
  </si>
  <si>
    <t>0091</t>
  </si>
  <si>
    <t>INCREMENTO EN EL ACCESO DE LA POBLACION DE 3 A 16 AÑOS  DE LA POBLACION A LOS SERVICIOS EDUCATIVOS PUBLICOS DE LA EDUCACION BASICA REGULAR</t>
  </si>
  <si>
    <t>0101</t>
  </si>
  <si>
    <t>INCREMENTO DE LA PRACTICA DE ACTIVIDADES FISICAS, DEPORTIVAS Y RECREATIVAS EN LA POBLACION PERUANA</t>
  </si>
  <si>
    <t>0103</t>
  </si>
  <si>
    <t>FORTALECIMIENTO DE LAS CONDICIONES LABORALES</t>
  </si>
  <si>
    <t>0104</t>
  </si>
  <si>
    <t>REDUCCION DE LA MORTALIDAD POR EMERGENCIAS Y URGENCIAS MEDICAS</t>
  </si>
  <si>
    <t>0106</t>
  </si>
  <si>
    <t>INCLUSION DE NIÑOS, NIÑAS Y JOVENES CON DISCAPACIDAD EN LA EDUCACION BASICA Y TECNICO PRODUCTIVA</t>
  </si>
  <si>
    <t>0107</t>
  </si>
  <si>
    <t>MEJORA DE  LA FORMACION EN CARRERAS DOCENTES EN INSTITUTOS DE EDUCACION SUPERIOR NO UNIVERSITARIA</t>
  </si>
  <si>
    <t>0116</t>
  </si>
  <si>
    <t>MEJORAMIENTO DE LA EMPLEABILIDAD E INSERCION LABORAL-PROEMPLEO</t>
  </si>
  <si>
    <t>0121</t>
  </si>
  <si>
    <t>MEJORA DE LA ARTICULACION DE PEQUEÑOS PRODUCTORES AL MERCADO</t>
  </si>
  <si>
    <t>0126</t>
  </si>
  <si>
    <t>FORMALIZACION MINERA DE LA PEQUEÑA MINERIA Y MINERIA ARTESANAL</t>
  </si>
  <si>
    <t>0129</t>
  </si>
  <si>
    <t>PREVENCION Y MANEJO DE CONDICIONES SECUNDARIAS DE SALUD EN PERSONAS CON DISCAPACIDAD</t>
  </si>
  <si>
    <t>0130</t>
  </si>
  <si>
    <t>COMPETITIVIDAD Y APROVECHAMIENTO SOSTENIBLE DE LOS RECURSOS FORESTALES Y DE LA FAUNA SILVESTRE</t>
  </si>
  <si>
    <t>0131</t>
  </si>
  <si>
    <t>CONTROL Y PREVENCION EN SALUD MENTAL</t>
  </si>
  <si>
    <t>0138</t>
  </si>
  <si>
    <t>REDUCCION DEL COSTO, TIEMPO E INSEGURIDAD EN EL SISTEMA DE TRANSPORTE</t>
  </si>
  <si>
    <t>0144</t>
  </si>
  <si>
    <t>CONSERVACION Y USO SOSTENIBLE DE ECOSISTEMAS PARA LA PROVISION DE SERVICIOS ECOSISTEMICOS</t>
  </si>
  <si>
    <t>0147</t>
  </si>
  <si>
    <t>FORTALECIMIENTO DE LA EDUCACION SUPERIOR TECNOLOGICA</t>
  </si>
  <si>
    <t>0150</t>
  </si>
  <si>
    <t>INCREMENTO EN EL ACCESO DE LA POBLACION A LOS SERVICIOS EDUCATIVOS PUBLICOS DE LA EDUCACION BASICA</t>
  </si>
  <si>
    <t>PRODUCTOS ESPECIFICOS PARA REDUCCION DE LA VIOLENCIA CONTRA LA MUJER</t>
  </si>
  <si>
    <t>FORMATO 06: PROGRAMAS SOCIALES PRIORIZADOS SEGÚN EL CICLO DE VIDA POR FUENTE DE FINANCIAMIENTO 2019, 2020 Y PROYECTO 2021</t>
  </si>
  <si>
    <t>SECTOR O GOB. REGIONAL: 453 GOBIERNO REGIONAL DE LORETO</t>
  </si>
  <si>
    <t>PROGRAMAS SOCIALES</t>
  </si>
  <si>
    <t>I.  DE GESTANTES A NIÑOS DE HASTA 14 AÑOS</t>
  </si>
  <si>
    <t>JUNTOS</t>
  </si>
  <si>
    <t>II.  GESTACIÓN</t>
  </si>
  <si>
    <t>SAMU</t>
  </si>
  <si>
    <t>SMN</t>
  </si>
  <si>
    <t>Mortalidad Materna</t>
  </si>
  <si>
    <t>Mortalidad Neonatal</t>
  </si>
  <si>
    <t>III.  De 0 a 2 AÑOS</t>
  </si>
  <si>
    <t>PAN</t>
  </si>
  <si>
    <t>CUNA MAS</t>
  </si>
  <si>
    <t>Desnutrición Cronica</t>
  </si>
  <si>
    <t>Mortalidad Infantil</t>
  </si>
  <si>
    <t>Desarrollo cognitivo, lenguaje, socioemocional y motor</t>
  </si>
  <si>
    <t>IV. DE 3 A 5 AÑOS</t>
  </si>
  <si>
    <t>PELA</t>
  </si>
  <si>
    <t>Logros de aprendizaje</t>
  </si>
  <si>
    <t>Cobertura escolar</t>
  </si>
  <si>
    <t>V. DE 6 A 12 AÑOS</t>
  </si>
  <si>
    <t>PELA Primaria</t>
  </si>
  <si>
    <t>VI. DE 13 A 17 AÑOS</t>
  </si>
  <si>
    <t>PELA Secundaria</t>
  </si>
  <si>
    <t>Logros de aprindizaje</t>
  </si>
  <si>
    <t>Deserción escolar</t>
  </si>
  <si>
    <t>VII. DE 17 A 24 AÑOS</t>
  </si>
  <si>
    <t>Jovenes a la obra</t>
  </si>
  <si>
    <t>Beca 18</t>
  </si>
  <si>
    <t>Acceso a la educación superior de calidad</t>
  </si>
  <si>
    <t>Educacion pertienente para el mercado laboral</t>
  </si>
  <si>
    <t>VIII. DE 65 A MAS</t>
  </si>
  <si>
    <t>Pensión 65</t>
  </si>
  <si>
    <t>Asegurar las condiciones básicas para la subsistencia</t>
  </si>
  <si>
    <t>Est. %</t>
  </si>
  <si>
    <t>(*) Al 30 de junio de 2020</t>
  </si>
  <si>
    <t>(**) Estimado al 31 de diciembre de 2020</t>
  </si>
  <si>
    <t>PRESUPUESTO PIA</t>
  </si>
  <si>
    <t>DIferencia 
(2019-2020</t>
  </si>
  <si>
    <t>Proyecto 2021</t>
  </si>
  <si>
    <t>PRESUPUESTO PIM</t>
  </si>
  <si>
    <t>BENEFICIARIOS</t>
  </si>
  <si>
    <t>Estimado 2020 (**)</t>
  </si>
  <si>
    <t>DIferencia 
(2020-2021)</t>
  </si>
  <si>
    <t>SECTOR O GOB. REGIONAL: GOBIERNO REGIONAL DE LORETO</t>
  </si>
  <si>
    <t>UNIDAD EJECUTORA: HOSPITAL APOYO IQUITOS</t>
  </si>
  <si>
    <t>UNIDAD EJECUTORA: HOSPITAL SANTA GEMA YURIMAGUAS</t>
  </si>
  <si>
    <t>UNIDAD EJECUTORA: RED DE SALUD UCAYALI - CONTAMANA</t>
  </si>
  <si>
    <t>UNIDAD EJECUTORA: 400 SALUD LORETO</t>
  </si>
  <si>
    <t>FORMATO 07: RESUMEN POR GRUPO GENÉRICO Y FUENTES DE FINANCIAMIENTO PROYECTO 2021</t>
  </si>
  <si>
    <t>SECTOR o GOB. REGIONAL: PLIEGO: 453 GOBIERNO REGIONAL DEL DEPARTAMENTO DE LORETO</t>
  </si>
  <si>
    <t>RECURSOS PUBLICOS</t>
  </si>
  <si>
    <t>GASTO CORRIENTE 2021</t>
  </si>
  <si>
    <t>GASTO CAPITAL 2021</t>
  </si>
  <si>
    <t>SERVICIO DE DEUDA 2021</t>
  </si>
  <si>
    <t>RESERVA DE CONTINGENCIA</t>
  </si>
  <si>
    <t>PERSONAL Y OBLIGAC. SOC.</t>
  </si>
  <si>
    <t>PENSIONES Y PREST. SOC.</t>
  </si>
  <si>
    <t>BIENES Y SERVICIOS</t>
  </si>
  <si>
    <t>DONACIONES TRANSFER.</t>
  </si>
  <si>
    <t>OTROS GASTOS</t>
  </si>
  <si>
    <t>SUB TOTAL GASTO CTE</t>
  </si>
  <si>
    <t>DONACIONES Y TRANSFER,</t>
  </si>
  <si>
    <t>ADQUIS. ACT. NO FINANC.</t>
  </si>
  <si>
    <t>ADQUIS. ACT. FINANC.</t>
  </si>
  <si>
    <t>SUB TOTAL GASTOS CAP.</t>
  </si>
  <si>
    <t xml:space="preserve">SERVICIO DE DEUDA </t>
  </si>
  <si>
    <t>SUB TOTAL SER. DEUDA</t>
  </si>
  <si>
    <t>S/.</t>
  </si>
  <si>
    <t>EST. %</t>
  </si>
  <si>
    <t>1. RECURSOS ORDINARIOS</t>
  </si>
  <si>
    <t>2. RECURSOS DIRECTAM. RECAUD.</t>
  </si>
  <si>
    <t>3.- RECURSOS OPERACIONES</t>
  </si>
  <si>
    <t xml:space="preserve">       OFICIALES DE CREDITO</t>
  </si>
  <si>
    <t>4. DONACIONES Y TRANSFERENCIAS</t>
  </si>
  <si>
    <t>5. RECURSOS DETERMINADOS</t>
  </si>
  <si>
    <t xml:space="preserve">    - CANON  Y  SOBRECANON, REGALIAS</t>
  </si>
  <si>
    <t xml:space="preserve">       Y PARTICIPACIONES</t>
  </si>
  <si>
    <t xml:space="preserve">    - CONTRIBUCIONES A FONDOS</t>
  </si>
  <si>
    <t xml:space="preserve">    - FONDO DE COMPENCIÓN MUNICIPAL</t>
  </si>
  <si>
    <t xml:space="preserve">    - IMPUESTOS MUNICIPALES</t>
  </si>
  <si>
    <t xml:space="preserve">    - OTROS (ESPECIFICAR)</t>
  </si>
  <si>
    <t>SECTOR o GOB. REGIONAL:</t>
  </si>
  <si>
    <t>FUNCIONES</t>
  </si>
  <si>
    <t>PPTO (PIA)</t>
  </si>
  <si>
    <t>GASTOS CORRIENTES */</t>
  </si>
  <si>
    <t>0: Reserva de Contingencia</t>
  </si>
  <si>
    <t>1: Personal y Obligaciones Sociales</t>
  </si>
  <si>
    <t>2: Pensiones y Prestaciones Sociales</t>
  </si>
  <si>
    <t>3: Bienes y Servicios</t>
  </si>
  <si>
    <t>4: Donaciones y Transferencias</t>
  </si>
  <si>
    <t>5: Otros Gastos</t>
  </si>
  <si>
    <t>6: Adquisiciones de Activos No Financieros</t>
  </si>
  <si>
    <t>7: Adquisiciones de Activos Financieros</t>
  </si>
  <si>
    <t>8: Servicio de la Deuda</t>
  </si>
  <si>
    <t>NUEVOS SOLES</t>
  </si>
  <si>
    <t>1 Legislativa</t>
  </si>
  <si>
    <t>Var. % (2020-2021)</t>
  </si>
  <si>
    <t>2 Relaciones Exteriores</t>
  </si>
  <si>
    <t xml:space="preserve"> </t>
  </si>
  <si>
    <t>3 Planeam. Gestión y Reserva</t>
  </si>
  <si>
    <t>4 Defensa y Seg. Nacional</t>
  </si>
  <si>
    <t>5 Orden Púb. y Seguridad</t>
  </si>
  <si>
    <t>6 Justicia</t>
  </si>
  <si>
    <t>7 Trabajo</t>
  </si>
  <si>
    <t>8 Comercio</t>
  </si>
  <si>
    <t>9 Turismo</t>
  </si>
  <si>
    <t>10 Agropecuaria</t>
  </si>
  <si>
    <t>11 Pesca</t>
  </si>
  <si>
    <t>12 Energía</t>
  </si>
  <si>
    <t>13 Mineria</t>
  </si>
  <si>
    <t>14 Industria</t>
  </si>
  <si>
    <t>15 Transporte</t>
  </si>
  <si>
    <t>16 Comunicaciones</t>
  </si>
  <si>
    <t>17 Ambiente</t>
  </si>
  <si>
    <t>18 Saneamiento</t>
  </si>
  <si>
    <t>19 Vivienda y Des. Urbano</t>
  </si>
  <si>
    <t>20 Salud</t>
  </si>
  <si>
    <t>21 Cultura y Deporte</t>
  </si>
  <si>
    <t>22 Educación</t>
  </si>
  <si>
    <t>23 Protección Social</t>
  </si>
  <si>
    <t>24 Previsión Social</t>
  </si>
  <si>
    <t>25 Deuda Pública</t>
  </si>
  <si>
    <t>FORMATO 09: COMPARATIVO DEL NÚMERO DE PLAZAS EN EL PRESUPUESTO  2020 Y PROYECTO 2021</t>
  </si>
  <si>
    <r>
      <t xml:space="preserve">PLIEGO: </t>
    </r>
    <r>
      <rPr>
        <sz val="10"/>
        <rFont val="Arial"/>
        <family val="2"/>
      </rPr>
      <t>Todos los pliegos del sector y cada pliego del sector</t>
    </r>
  </si>
  <si>
    <t>UNIDAD EJECUTORA: 100 AGRICULTURA LORETO</t>
  </si>
  <si>
    <t>CATEGORIA</t>
  </si>
  <si>
    <t>2020 (JUNIO)</t>
  </si>
  <si>
    <t>PROYECCIÓN 2021 (JUNIO)</t>
  </si>
  <si>
    <t xml:space="preserve"> REMUNERATIVA</t>
  </si>
  <si>
    <t>Decreto Legislativo 276 (Regimen Público)</t>
  </si>
  <si>
    <t>Decreto Legislativo 728 (Regimen Privado)</t>
  </si>
  <si>
    <t>Decreto Legislativo 1057 (Contrato Administrativo de Servicios</t>
  </si>
  <si>
    <t>Ley 30057 
(Ley del Servicio Civil)</t>
  </si>
  <si>
    <t>Decreto Legislativo 1024 (Gerentes Públicos) (**)</t>
  </si>
  <si>
    <t>Ley 25650 (Fondo de Apoyo Generencial) (**)</t>
  </si>
  <si>
    <t>Ley 29806 (Personal Altamente Calificado) (**)</t>
  </si>
  <si>
    <t>Practicantes (***)</t>
  </si>
  <si>
    <t>Otros Servidores (especificar) (**) (***)</t>
  </si>
  <si>
    <t xml:space="preserve">Total </t>
  </si>
  <si>
    <t>S/ Anual (****)</t>
  </si>
  <si>
    <t>S/ (****)</t>
  </si>
  <si>
    <t>DIRECTIVOS/FUNCIONARIOS</t>
  </si>
  <si>
    <t>F-8</t>
  </si>
  <si>
    <t>F-5</t>
  </si>
  <si>
    <t>F-4</t>
  </si>
  <si>
    <t>F-3</t>
  </si>
  <si>
    <t>F-2</t>
  </si>
  <si>
    <t>F-1</t>
  </si>
  <si>
    <t>PROFESIONALES</t>
  </si>
  <si>
    <t>SPA</t>
  </si>
  <si>
    <t>....</t>
  </si>
  <si>
    <t>SPE</t>
  </si>
  <si>
    <t>TECNICOS</t>
  </si>
  <si>
    <t>STA</t>
  </si>
  <si>
    <t>STB</t>
  </si>
  <si>
    <t>STE</t>
  </si>
  <si>
    <t>AUXILIARES</t>
  </si>
  <si>
    <t>SAA</t>
  </si>
  <si>
    <t>...</t>
  </si>
  <si>
    <t>SAE</t>
  </si>
  <si>
    <t>TOTAL (A)</t>
  </si>
  <si>
    <t>(*) Incluye GRATIFICACIONES, CAFAE, PNUD, BONOS, PRODUCTIVIDAD, HORAS EXTRAS, GUARDIAS, AETAS, etc.</t>
  </si>
  <si>
    <t>(**) Incluye el monto pagado por otras entidades al personal que presta servidos en el Sector o Gobierno Regional</t>
  </si>
  <si>
    <t xml:space="preserve">(***) Detallar el marco legal </t>
  </si>
  <si>
    <t>(****) Proyectado</t>
  </si>
  <si>
    <t>PLIEGO: 453 GOBIERNO RGIONAL DEL DEPARTAMENTO DE LORETO</t>
  </si>
  <si>
    <t>UNIDAD EJECUTORA : 002 ALTO AMAZONAS - YURIMAGUAS</t>
  </si>
  <si>
    <t>SPC</t>
  </si>
  <si>
    <t>STC</t>
  </si>
  <si>
    <t>STD</t>
  </si>
  <si>
    <t>STF</t>
  </si>
  <si>
    <t>SAB</t>
  </si>
  <si>
    <t>SAD</t>
  </si>
  <si>
    <t>PROFESIONALES ASISTENCIALES</t>
  </si>
  <si>
    <t>TECNICOS ASISTENCIALES</t>
  </si>
  <si>
    <t>AUXILIARES ASISTENCIALES</t>
  </si>
  <si>
    <t>PROFESORADO</t>
  </si>
  <si>
    <t>E-40</t>
  </si>
  <si>
    <t>PROFESIONALES DE LA SALUD</t>
  </si>
  <si>
    <t>OPS-IV</t>
  </si>
  <si>
    <t>REFORMA MAGISTERIAL</t>
  </si>
  <si>
    <t>VI-40</t>
  </si>
  <si>
    <t>V-40</t>
  </si>
  <si>
    <t>IV-40</t>
  </si>
  <si>
    <t>III-40</t>
  </si>
  <si>
    <t>II-40</t>
  </si>
  <si>
    <t>I-40</t>
  </si>
  <si>
    <t>VI-32</t>
  </si>
  <si>
    <t>IV-32</t>
  </si>
  <si>
    <t>III-32</t>
  </si>
  <si>
    <t>II-32</t>
  </si>
  <si>
    <t>I-32</t>
  </si>
  <si>
    <t>VI-30</t>
  </si>
  <si>
    <t>V-30</t>
  </si>
  <si>
    <t>IV-30</t>
  </si>
  <si>
    <t>III-30</t>
  </si>
  <si>
    <t>II-30</t>
  </si>
  <si>
    <t>I-30</t>
  </si>
  <si>
    <t>VII-30</t>
  </si>
  <si>
    <t>VII-40</t>
  </si>
  <si>
    <t>PROFESOR CONTRATADO</t>
  </si>
  <si>
    <t>G-40</t>
  </si>
  <si>
    <t>G-30</t>
  </si>
  <si>
    <t>AUXILIAR DE EDUCACION</t>
  </si>
  <si>
    <t>E-30</t>
  </si>
  <si>
    <t>DOCENTE DE INSTITUTO DE EDUCACION SUPERIOR</t>
  </si>
  <si>
    <t>CONTRATO ADMINISTRATIVO DE SERVICIOS</t>
  </si>
  <si>
    <t>CAS</t>
  </si>
  <si>
    <t>PpR</t>
  </si>
  <si>
    <t>UGEL</t>
  </si>
  <si>
    <t>SPD</t>
  </si>
  <si>
    <t>SPF</t>
  </si>
  <si>
    <t>SAC</t>
  </si>
  <si>
    <t>SAF</t>
  </si>
  <si>
    <t>MC-5</t>
  </si>
  <si>
    <t>MC-4</t>
  </si>
  <si>
    <t>MC-3</t>
  </si>
  <si>
    <t>MC-2</t>
  </si>
  <si>
    <t>MC-1</t>
  </si>
  <si>
    <t>ENF-10</t>
  </si>
  <si>
    <t>ENF-11</t>
  </si>
  <si>
    <t>ENF-12</t>
  </si>
  <si>
    <t>ENF-14</t>
  </si>
  <si>
    <t>OBS-V</t>
  </si>
  <si>
    <t>OBS-II</t>
  </si>
  <si>
    <t>OBS-I</t>
  </si>
  <si>
    <t>OPS-V</t>
  </si>
  <si>
    <t>CD-V</t>
  </si>
  <si>
    <t>OPS-II</t>
  </si>
  <si>
    <t>OPS-I</t>
  </si>
  <si>
    <t>CD-I</t>
  </si>
  <si>
    <t>TM-5</t>
  </si>
  <si>
    <t>TECNICOS ESPECIALIZADOS</t>
  </si>
  <si>
    <t>G5-V</t>
  </si>
  <si>
    <t>UNIDAD EJECUTORA: HOSPITAL REGIONAL DE LORETO</t>
  </si>
  <si>
    <t>HOSPITAL REGIONAL DE LORETO</t>
  </si>
  <si>
    <t>MEDICO  N-5</t>
  </si>
  <si>
    <t>MEDICO N-4</t>
  </si>
  <si>
    <t>MEDICO N-2</t>
  </si>
  <si>
    <t>MEDICO N-1</t>
  </si>
  <si>
    <t>ENFERMERA/O  N-VIII</t>
  </si>
  <si>
    <t>ENFERMERA/O  N-VII</t>
  </si>
  <si>
    <t>ENFERMERA/O  N-VI</t>
  </si>
  <si>
    <t>ENFERMERA/O  N-V</t>
  </si>
  <si>
    <t>ENFERMERA/O  N-IV</t>
  </si>
  <si>
    <t>OBSTETRAS N-V</t>
  </si>
  <si>
    <t>OBSTETRAS N-IV</t>
  </si>
  <si>
    <t>OBSTETRAS N-III</t>
  </si>
  <si>
    <t>OBSTETRAS N-II</t>
  </si>
  <si>
    <t>OBSTETRAS N-I</t>
  </si>
  <si>
    <t>QUIMICO FARMACEUTICO  N-V</t>
  </si>
  <si>
    <t>QUIMICO FARMACEUTICO  N-I</t>
  </si>
  <si>
    <t>PSICOLOGOS N-V</t>
  </si>
  <si>
    <t>PSICOLOGOS N-I</t>
  </si>
  <si>
    <t>CIRUJANO DENTISTA N-V</t>
  </si>
  <si>
    <t>CIRUJANO DENTISTA N-IV</t>
  </si>
  <si>
    <t>CIRUJANO DENTISTA N-I</t>
  </si>
  <si>
    <t>TECNOLOGO MEDICO N-III</t>
  </si>
  <si>
    <t>TECNOLOGO MEDICO N-I</t>
  </si>
  <si>
    <t>BIOLOGO N-II</t>
  </si>
  <si>
    <t>TEC.ESPECILIZADO EN LABOTORIO N-IV</t>
  </si>
  <si>
    <t>NUTRICIONISTA ESC.SUP. N-II</t>
  </si>
  <si>
    <t>LABORATORISTA CLIN. ESCP. N-II</t>
  </si>
  <si>
    <t>ASISTENTE SOCIAL N-VIII</t>
  </si>
  <si>
    <t>ASISTENTE SOCIAL N-V</t>
  </si>
  <si>
    <t xml:space="preserve">OTROS PROFESIONALES </t>
  </si>
  <si>
    <t>MEDICOS</t>
  </si>
  <si>
    <t>CIRUJANO DENTISTA</t>
  </si>
  <si>
    <t>LIC. ENFERMERIA</t>
  </si>
  <si>
    <t>OBSTETRAS</t>
  </si>
  <si>
    <t>QUIMICO FARMACEUTICO</t>
  </si>
  <si>
    <t>NUTRICIONISTA</t>
  </si>
  <si>
    <t>BIOLOGO</t>
  </si>
  <si>
    <t>ASISTENTE SOCIAL</t>
  </si>
  <si>
    <t>DESTACADOS</t>
  </si>
  <si>
    <t xml:space="preserve">CAS </t>
  </si>
  <si>
    <t>CAS COVID</t>
  </si>
  <si>
    <t>Ejecutora Educacion loreto</t>
  </si>
  <si>
    <t>UNIDAD EJECUTORA: 404 RED DE SALUD DATEM DEL MARAÑON</t>
  </si>
  <si>
    <t>PROFESIONALES ADMINISTRATIVOS</t>
  </si>
  <si>
    <t>INGENIERO</t>
  </si>
  <si>
    <t>ADMINISTRADOR</t>
  </si>
  <si>
    <t>CONTADOR</t>
  </si>
  <si>
    <t>MEDICO 15</t>
  </si>
  <si>
    <t>MEDICO 16</t>
  </si>
  <si>
    <t>MEDICO 17</t>
  </si>
  <si>
    <t>MEDICO 18-19</t>
  </si>
  <si>
    <t>ENFERMERA 10</t>
  </si>
  <si>
    <t>ENFERMERA 11</t>
  </si>
  <si>
    <t>ENFERMERA 12</t>
  </si>
  <si>
    <t>ENFERMERA 13</t>
  </si>
  <si>
    <t>ENFERMERA 14</t>
  </si>
  <si>
    <t>OBSTETRA 1, 1SM</t>
  </si>
  <si>
    <t>OBSTETRA 2</t>
  </si>
  <si>
    <t>OBSTETRA 3</t>
  </si>
  <si>
    <t>OTROS PROFESIONALES DE LA SALUD</t>
  </si>
  <si>
    <t>ODONTOLOGO</t>
  </si>
  <si>
    <t>QUIMICO</t>
  </si>
  <si>
    <t>PSICOLOGO</t>
  </si>
  <si>
    <t xml:space="preserve">SAC </t>
  </si>
  <si>
    <t>TECNICOS ADMINISTRATIVOS</t>
  </si>
  <si>
    <t>AUXILIARES ADMINISTRTIVOS</t>
  </si>
  <si>
    <t>F-7</t>
  </si>
  <si>
    <t>F-6</t>
  </si>
  <si>
    <t>SPB</t>
  </si>
  <si>
    <t>Ejecutora   : Sede Central</t>
  </si>
  <si>
    <t>NO CORRESPONDE</t>
  </si>
  <si>
    <t>Ejecutora : Transportes</t>
  </si>
  <si>
    <t>Ejecutora  : Ucayali Contamana</t>
  </si>
  <si>
    <t>FORMATO Nº 10 INFORMACION DE REMUNERACIONESY NUMERO DE PLAZAS-PRESUPUESTO 2019, 2020, Y PROYECTO 2021</t>
  </si>
  <si>
    <t>PLEGO: 453 GOBIERNO REGIONAL DEL DEPARTAMENTO DE LORETO</t>
  </si>
  <si>
    <t>2019 (PIA)</t>
  </si>
  <si>
    <t>2020 (PIA)</t>
  </si>
  <si>
    <t>2021  (PROYECTO)</t>
  </si>
  <si>
    <t>VARIACION 2019-2020</t>
  </si>
  <si>
    <t>PEA / Beneficiarios</t>
  </si>
  <si>
    <t>COSTO ANUAL</t>
  </si>
  <si>
    <t>COSTO TOTAL EN PLANILLAS (*)</t>
  </si>
  <si>
    <t>BONIFICACIÓN EXTRAORDINARIA (INACEPTACIÓN DE GRATIFICACIONES)</t>
  </si>
  <si>
    <t>BONOS POR FUNCION JURIDICCIONAL Y FISCAL</t>
  </si>
  <si>
    <t>DIETA DE DIRECTORIO</t>
  </si>
  <si>
    <t>DIETAS</t>
  </si>
  <si>
    <t>ESCOLARIDAD, AGUINALDO Y GRATIFICACIONES</t>
  </si>
  <si>
    <t>GASTOS POR ESTACIONAMIENTO DE VEHICULOS</t>
  </si>
  <si>
    <t>GASTOS VARIABLES Y OCASIONALES</t>
  </si>
  <si>
    <t>MOVILIDAD PARA TRASLADO DE TRABAJADORES</t>
  </si>
  <si>
    <t>OBLIGACIONES DEL EMPLEADOR (CARGAS SOCIALES)</t>
  </si>
  <si>
    <t>PRODUCTIVIDAD</t>
  </si>
  <si>
    <t>RETRIBUCIONES EN BIENES</t>
  </si>
  <si>
    <t>SEGUROS (ESPECIFICAR)</t>
  </si>
  <si>
    <t>TRANSFERENCIAS CAFAE</t>
  </si>
  <si>
    <t>VESTUARIO</t>
  </si>
  <si>
    <t>OTROS (ESPECIFICAR) (**) VAC. TRUNCAS, CTS, ASIG 25 Y 30 AÑOS</t>
  </si>
  <si>
    <t>TOTAL    (*)</t>
  </si>
  <si>
    <t>(*) DEBE COINCIDIR CON LOS MONTOS ASIGNADOS EN LA GENERICA 1. PERSONAL Y OBLIGACIONES SOCIALES CONSIDERADAS EN EL PRESUPUESTO</t>
  </si>
  <si>
    <t>(**) PNUD, BONOS, etc.</t>
  </si>
  <si>
    <t>OTROS (ESPECIFICAR) (**)</t>
  </si>
  <si>
    <t>Ejecutora  educacion loreto</t>
  </si>
  <si>
    <t>U.E. 405 HOSPITAL SANTA GEMA DE YURIMAGUAS</t>
  </si>
  <si>
    <t>ASIGNACION POR CUMPLIR 25 O 30 AÑOS</t>
  </si>
  <si>
    <t>APORTES A LOS FONDOS DE PENSIONES</t>
  </si>
  <si>
    <t>UNIDAD EJECUTORA: RED DE SALID UCAYALI - CONTAMANA</t>
  </si>
  <si>
    <t>OTROS OCASIONALES</t>
  </si>
  <si>
    <t>BONOS D.L. 1153</t>
  </si>
  <si>
    <t xml:space="preserve">                                                                               </t>
  </si>
  <si>
    <t>Ejecutora : sede Central</t>
  </si>
  <si>
    <t>Ejecutora  :  Transportes</t>
  </si>
  <si>
    <t>BONIFICACION EXTRAORDINARIA (INACEPTACION DE GRATIFICACIONES )</t>
  </si>
  <si>
    <t>ESCOLARIDAD,AGUINALDO Y GRATIFICACIONES</t>
  </si>
  <si>
    <t>SEGUROS(ESPECIFICAR)</t>
  </si>
  <si>
    <t>VESTURIO</t>
  </si>
  <si>
    <t>TOTAL (*)</t>
  </si>
  <si>
    <t>Ejecutora  : Ucayali-Contamana</t>
  </si>
  <si>
    <t>FORMATO 11: INGRESOS MENSUALES POR PERIODO DEL PERSONAL ACTIVO -  COMPARATIVO PRESUPUESTO 2019, 2020 Y PROYECTO 2021</t>
  </si>
  <si>
    <r>
      <t xml:space="preserve">PLIEGO: </t>
    </r>
    <r>
      <rPr>
        <sz val="9"/>
        <rFont val="Arial"/>
        <family val="2"/>
      </rPr>
      <t>Todos los pliego del sector y cada pliego del sector</t>
    </r>
  </si>
  <si>
    <t>NIVELES REMUNERATIVOS</t>
  </si>
  <si>
    <t>INGRESOS PERSONAL PRESUPUESTO 2019</t>
  </si>
  <si>
    <t>INGRESOS PERSONAL PRESUPUESTO 2020</t>
  </si>
  <si>
    <t>DIFERENCIA 
(2019 -2020)</t>
  </si>
  <si>
    <t>PROYECTO 2021</t>
  </si>
  <si>
    <t>PEA</t>
  </si>
  <si>
    <t>REMUNERACION MENSUAL (cada persona)</t>
  </si>
  <si>
    <t>CAFAE MENSUAL (cada persona)</t>
  </si>
  <si>
    <t>AETA MENSUAL (cada persona)</t>
  </si>
  <si>
    <t>INCENTIVOS O PRODUCTIVIDAD (cada persona)</t>
  </si>
  <si>
    <t>MOVILIDAD</t>
  </si>
  <si>
    <t>RACIONAMIENTO</t>
  </si>
  <si>
    <t>BONOS</t>
  </si>
  <si>
    <t>OTROS INGRESOS MENSUAL (cada persona)</t>
  </si>
  <si>
    <t>SUB TOTAL INGRESOS MENSUALES (cada persona)</t>
  </si>
  <si>
    <t>AGUINALDOS, GRAFICACIONES Y ESCOLARIDAD (anual cada persona)</t>
  </si>
  <si>
    <t>OTROS INGRESOS NO MENSUALES 
(anual cada personal)</t>
  </si>
  <si>
    <t>SUB TOTAL OTROS BENEFICIOS ... (no, mensuales, monto anual)</t>
  </si>
  <si>
    <t>TOTAL INGRESOS ANUAL POR PERSONA</t>
  </si>
  <si>
    <t>TOTAL INGRESO ANUAL PEA</t>
  </si>
  <si>
    <t>CAFAE MENSUL (cada persona)</t>
  </si>
  <si>
    <t>TOTAL INGRESO ANUAL PEA (Proyección al 31 de diciembre de  2019)</t>
  </si>
  <si>
    <t xml:space="preserve">DIFERENCIA INGRESO ANUAL POR PERSONAL </t>
  </si>
  <si>
    <t>DIFERENCIA INGRESO ANUAL PEA</t>
  </si>
  <si>
    <t>TOTAL INGRESO ANUAL PEA (Proyección al 31 de diciembre de 2020)</t>
  </si>
  <si>
    <t>(1)</t>
  </si>
  <si>
    <t>(2)</t>
  </si>
  <si>
    <t>(3)</t>
  </si>
  <si>
    <t>(4)</t>
  </si>
  <si>
    <t>(5)</t>
  </si>
  <si>
    <t>(6)</t>
  </si>
  <si>
    <t>(7)</t>
  </si>
  <si>
    <t>(8)</t>
  </si>
  <si>
    <t>(9)</t>
  </si>
  <si>
    <t>(10)</t>
  </si>
  <si>
    <t>(11)</t>
  </si>
  <si>
    <t>(12)</t>
  </si>
  <si>
    <t>(13)</t>
  </si>
  <si>
    <t>(14)</t>
  </si>
  <si>
    <t>(15)</t>
  </si>
  <si>
    <t>CARRERA ADMINISTRATIVA</t>
  </si>
  <si>
    <t>……</t>
  </si>
  <si>
    <t>NOTAS</t>
  </si>
  <si>
    <t>SECTOR o GOB. REGIONAL: 300 DRE Loreto</t>
  </si>
  <si>
    <r>
      <t xml:space="preserve">PLIEGO: </t>
    </r>
    <r>
      <rPr>
        <sz val="9"/>
        <rFont val="Arial"/>
        <family val="2"/>
      </rPr>
      <t>453 GOBIERNO REGIONAL DE LORETO</t>
    </r>
  </si>
  <si>
    <t>ASISTENCIALES NO PROFESIONALES DE LA SALUD</t>
  </si>
  <si>
    <t>LEY DEL PROFESORADO - REFORMA MAGISTERIAL</t>
  </si>
  <si>
    <t>SECTOR o GOB. REGIONAL: 453 GOBIERNO REGIONAL DE LORETO</t>
  </si>
  <si>
    <t>LEY DEL PROFESORADO</t>
  </si>
  <si>
    <t>CARRERA MEDICA Y PROFESIONALES  DE LA SALUD</t>
  </si>
  <si>
    <t>TECNICO ASISTENCIAL</t>
  </si>
  <si>
    <t>AUXILIAR ASISTENCIAL</t>
  </si>
  <si>
    <t>MEDICO</t>
  </si>
  <si>
    <t>PROFESIONAL</t>
  </si>
  <si>
    <t>CARRERA JUDICIAL</t>
  </si>
  <si>
    <t>SECTOR o GOB. REGIONAL: Sede Central</t>
  </si>
  <si>
    <r>
      <t xml:space="preserve">PLIEGO: </t>
    </r>
    <r>
      <rPr>
        <sz val="8"/>
        <rFont val="Arial"/>
        <family val="2"/>
      </rPr>
      <t>Todos los pliego del sector y cada pliego del sector</t>
    </r>
  </si>
  <si>
    <t xml:space="preserve">     ………….</t>
  </si>
  <si>
    <t>SECTOR o GOB. REGIONAL: Transportes</t>
  </si>
  <si>
    <t>………</t>
  </si>
  <si>
    <t>FORMATO 12: ASIGNACION DE BIENES Y SERVICIOS-COMPARATIVO PRESUPUESTO 2019, 2020 Y PROYECTO 2021</t>
  </si>
  <si>
    <t>SECTOR O GOB REGIONAL: PLIEGO: 453 GOBIERNO REGIONAL DEL DEPARTAMENTO DE LORETO</t>
  </si>
  <si>
    <t>FTE. FTO.: 1 RECURSOS ORDINARIOS</t>
  </si>
  <si>
    <t>ESPECIFICA DEL GASTO</t>
  </si>
  <si>
    <t>PPTO 2019 (PIA)</t>
  </si>
  <si>
    <t>PPTO 2019 (PIM)</t>
  </si>
  <si>
    <t>CERTIFICACIÓN
(b)</t>
  </si>
  <si>
    <t>PPTO 2020 (PIA)</t>
  </si>
  <si>
    <t>PPTO 2020 (PIM)</t>
  </si>
  <si>
    <t>PIM al 30 de Junio 2020</t>
  </si>
  <si>
    <t>PPTO 2021 (PROYECTO)</t>
  </si>
  <si>
    <t>DIFERENCIA PIA (2019-2020)</t>
  </si>
  <si>
    <t>VARIACION % (2019-2020)</t>
  </si>
  <si>
    <t>DIFERENCIA PIA (2020-2021)</t>
  </si>
  <si>
    <t>VARIACION % (2020-2021)</t>
  </si>
  <si>
    <t>2.3. 1  1. 1  1</t>
  </si>
  <si>
    <t>ALIMENTOS Y BEBIDAS PARA CONSUMO HUMANO</t>
  </si>
  <si>
    <t>2.3. 1  1. 1  2</t>
  </si>
  <si>
    <t>ALIMENTOS Y BEBIDAS PARA CONSUMO ANIMAL</t>
  </si>
  <si>
    <t/>
  </si>
  <si>
    <t>2.3. 1  2. 1  1</t>
  </si>
  <si>
    <t>VESTUARIO, ACCESORIOS Y PRENDAS DIVERSAS</t>
  </si>
  <si>
    <t>2.3. 1  2. 1  2</t>
  </si>
  <si>
    <t>TEXTILES Y ACABADOS TEXTILES</t>
  </si>
  <si>
    <t>2.3. 1  2. 1  3</t>
  </si>
  <si>
    <t>CALZADO</t>
  </si>
  <si>
    <t>2.3. 1  3. 1  1</t>
  </si>
  <si>
    <t>COMBUSTIBLES Y CARBURANTES</t>
  </si>
  <si>
    <t>2.3. 1  3. 1  2</t>
  </si>
  <si>
    <t>GASES</t>
  </si>
  <si>
    <t>2.3. 1  3. 1  3</t>
  </si>
  <si>
    <t>LUBRICANTES, GRASAS Y AFINES</t>
  </si>
  <si>
    <t>2.3. 1  4. 1  1</t>
  </si>
  <si>
    <t>MUNICIONES, EXPLOSIVOSY SIMILARES</t>
  </si>
  <si>
    <t>2.3. 1  5. 1  1</t>
  </si>
  <si>
    <t>REPUESTOS Y ACCESORIOS</t>
  </si>
  <si>
    <t>2.3. 1  5. 1  2</t>
  </si>
  <si>
    <t>PAPELERIA EN GENERAL, UTILES Y MATERIALES DE OFICINA</t>
  </si>
  <si>
    <t>2.3. 1  5. 2  1</t>
  </si>
  <si>
    <t>AGROPECUARIO, GANADERO Y DE JARDINERIA</t>
  </si>
  <si>
    <t>2.3. 1  5. 3  1</t>
  </si>
  <si>
    <t>ASEO, LIMPIEZA Y TOCADOR</t>
  </si>
  <si>
    <t>2.3. 1  5. 3  2</t>
  </si>
  <si>
    <t>DE COCINA, COMEDOR Y CAFETERIA</t>
  </si>
  <si>
    <t>2.3. 1  5. 4  1</t>
  </si>
  <si>
    <t>ELECTRICIDAD, ILUMINACION Y ELECTRONICA</t>
  </si>
  <si>
    <t>2.3. 1  5.99 99</t>
  </si>
  <si>
    <t>OTROS</t>
  </si>
  <si>
    <t>2.3. 1  6. 1  1</t>
  </si>
  <si>
    <t>DE VEHICULOS</t>
  </si>
  <si>
    <t>2.3. 1  6. 1  2</t>
  </si>
  <si>
    <t>DE COMUNICACIONES Y TELECOMUNICACIONES</t>
  </si>
  <si>
    <t>2.3. 1  6. 1  3</t>
  </si>
  <si>
    <t>DE CONSTRUCCION Y MAQUINAS</t>
  </si>
  <si>
    <t>2.3. 1  6. 1  4</t>
  </si>
  <si>
    <t>DE SEGURIDAD</t>
  </si>
  <si>
    <t>2.3. 1  6. 1 99</t>
  </si>
  <si>
    <t>OTROS ACCESORIOS Y REPUESTOS</t>
  </si>
  <si>
    <t>2.3. 1  7. 1  1</t>
  </si>
  <si>
    <t>ENSERES</t>
  </si>
  <si>
    <t>2.3. 1  8.  1 1</t>
  </si>
  <si>
    <t>VACUNAS</t>
  </si>
  <si>
    <t>2.3. 1  8. 1  2</t>
  </si>
  <si>
    <t>MEDICAMENTOS</t>
  </si>
  <si>
    <t>2.3. 1  8. 1 99</t>
  </si>
  <si>
    <t>OTROS PRODUCTOS SIMILARES</t>
  </si>
  <si>
    <t>2.3. 1  8. 2  1</t>
  </si>
  <si>
    <t xml:space="preserve">MATERIAL, INSUMOS, INSTRUMENTAL Y ACCESORIOS  MEDICOS, </t>
  </si>
  <si>
    <t>2.3. 1  9. 1  1</t>
  </si>
  <si>
    <t>LIBROS, TEXTOS Y OTROS MATERIALES IMPRESOS</t>
  </si>
  <si>
    <t>2.3. 1  9. 1  2</t>
  </si>
  <si>
    <t>MATERIAL DIDACTICO, ACCESORIOS Y UTILES DE ENSEÑANZA</t>
  </si>
  <si>
    <t>2.3. 1  9. 1 99</t>
  </si>
  <si>
    <t>OTROS MATERIALES DIVERSOS DE ENSEÑANZA</t>
  </si>
  <si>
    <t>2.3. 1 10. 1  1</t>
  </si>
  <si>
    <t>SUMINISTROS DE USO ZOOTECNICO</t>
  </si>
  <si>
    <t>2.3. 1 10. 1  4</t>
  </si>
  <si>
    <t>FERTILIZANTES, INSECTICIDAS, FUNGICIDAS Y SIMILARES</t>
  </si>
  <si>
    <t>2.3. 1 10. 1  5</t>
  </si>
  <si>
    <t xml:space="preserve">SUMINISTROS DE ACCESORIOS Y/O MATERIALES DE USO </t>
  </si>
  <si>
    <t>2.3. 1 11. 1  1</t>
  </si>
  <si>
    <t>PARA EDIFICIOS Y ESTRUCTURAS</t>
  </si>
  <si>
    <t>2.3. 1 11. 1  2</t>
  </si>
  <si>
    <t>PARA VEHICULOS</t>
  </si>
  <si>
    <t>2.3. 1 11. 1  3</t>
  </si>
  <si>
    <t>PARA MOBILIARIO Y SIMILARES</t>
  </si>
  <si>
    <t>2.3. 1 11. 1  4</t>
  </si>
  <si>
    <t>PARA MAQUINARIAS Y EQUIPOS</t>
  </si>
  <si>
    <t>2.3. 1 11. 1  5</t>
  </si>
  <si>
    <t>OTROS MATERIALES DE MANTENIMIENTO</t>
  </si>
  <si>
    <t>2.3. 1 11. 1  6</t>
  </si>
  <si>
    <t>MATERIALES DE  ACONDICIONAMIENTO</t>
  </si>
  <si>
    <t>2.3. 1 99. 1  1</t>
  </si>
  <si>
    <t>HERRAMIENTAS</t>
  </si>
  <si>
    <t>2.3. 1 99. 1  2</t>
  </si>
  <si>
    <t>PRODUCTOS QUIMICOS</t>
  </si>
  <si>
    <t>2.3. 1 99. 1  3</t>
  </si>
  <si>
    <t xml:space="preserve">LIBROS, DIARIOS, REVISTAS Y OTROS BIENES IMPRESOS NO </t>
  </si>
  <si>
    <t>2.3. 1 99. 1  4</t>
  </si>
  <si>
    <t>SIMBOLOS, DISTINTIVOS Y CONDECORACIONES</t>
  </si>
  <si>
    <t>2.3. 1 99. 1 99</t>
  </si>
  <si>
    <t>OTROS BIENES</t>
  </si>
  <si>
    <t>2.3. 2  1. 1 99</t>
  </si>
  <si>
    <t>2.3. 2  1. 2  1</t>
  </si>
  <si>
    <t>PASAJES Y GASTOS DE TRANSPORTE</t>
  </si>
  <si>
    <t>2.3. 2  1. 2  2</t>
  </si>
  <si>
    <t>VIATICOS Y ASIGNACIONES POR COMISION DE SERVICIO</t>
  </si>
  <si>
    <t>2.3. 2  1. 2  3</t>
  </si>
  <si>
    <t>VIATICOS Y FLETES POR CAMBIO DE COLOCACION</t>
  </si>
  <si>
    <t>2.3. 2  1. 2 99</t>
  </si>
  <si>
    <t>2.3. 2  2. 1  1</t>
  </si>
  <si>
    <t>SERVICIO DE SUMINISTRO DE ENERGIA ELECTRICA</t>
  </si>
  <si>
    <t>2.3. 2  2. 1  2</t>
  </si>
  <si>
    <t>SERVICIO DE AGUA Y DESAGUE</t>
  </si>
  <si>
    <t>2.3. 2  2. 1  3</t>
  </si>
  <si>
    <t>SERVICIO DE SUMINISTRO DE GAS</t>
  </si>
  <si>
    <t>2.3. 2  2. 2  1</t>
  </si>
  <si>
    <t>SERVICIO DE TELEFONIA MOVIL</t>
  </si>
  <si>
    <t>2.3. 2  2. 2  2</t>
  </si>
  <si>
    <t>SERVICIO DE TELEFONIA FIJA</t>
  </si>
  <si>
    <t>2.3. 2  2. 2  3</t>
  </si>
  <si>
    <t>SERVICIO DE INTERNET</t>
  </si>
  <si>
    <t>2.3. 2  2. 3  1</t>
  </si>
  <si>
    <t>CORREOS Y SERVICIOS DE MENSAJERIA</t>
  </si>
  <si>
    <t>2.3. 2  2. 3 99</t>
  </si>
  <si>
    <t>OTROS SERVICIOS DE COMUNICACION</t>
  </si>
  <si>
    <t>2.3. 2  2. 4  1</t>
  </si>
  <si>
    <t>SERVICIO DE PUBLICIDAD</t>
  </si>
  <si>
    <t>2.3. 2  2. 4  3</t>
  </si>
  <si>
    <t>SERVICIOS DE IMAGEN INSTITUCIONAL</t>
  </si>
  <si>
    <t>2.3. 2  2. 5  1</t>
  </si>
  <si>
    <t>DIFUSIÓN EN EL DIARIO OFICIAL</t>
  </si>
  <si>
    <t>2.3. 2  3. 1  1</t>
  </si>
  <si>
    <t>SERVICIOS DE LIMPIEZA E HIGIENE</t>
  </si>
  <si>
    <t>2.3. 2  3. 1  2</t>
  </si>
  <si>
    <t>SERVICIOS DE SEGURIDAD Y VIGILANCIA</t>
  </si>
  <si>
    <t>2.3. 2  4. 1  99</t>
  </si>
  <si>
    <t>DE OTROS BIENES Y ACTIVOS</t>
  </si>
  <si>
    <t>2.3. 2  4. 2  1</t>
  </si>
  <si>
    <t>DE EDIFICACIONES, OFICINAS Y ESTRUCTURAS</t>
  </si>
  <si>
    <t>2.3. 2  4. 3  1</t>
  </si>
  <si>
    <t>DE CARRETERAS, CAMINOS Y PUENTES  NO CONCESIONADOS</t>
  </si>
  <si>
    <t>2.3. 2  4. 5  1</t>
  </si>
  <si>
    <t>2.3. 2  4. 6  1</t>
  </si>
  <si>
    <t>DE MOBILIARIO Y SIMILARES</t>
  </si>
  <si>
    <t>2.3. 2  4. 7  1</t>
  </si>
  <si>
    <t>DE MAQUINARIAS Y EQUIPOS</t>
  </si>
  <si>
    <t>2.3. 2  5. 1  1</t>
  </si>
  <si>
    <t>DE EDIFICIOS Y ESTRUCTURAS</t>
  </si>
  <si>
    <t>2.3. 2  5. 1  2</t>
  </si>
  <si>
    <t>2.3. 2  5. 1  3</t>
  </si>
  <si>
    <t>2.3. 2  5. 1  4</t>
  </si>
  <si>
    <t>2.3. 2  5. 1 99</t>
  </si>
  <si>
    <t>2.3. 2  6. 1  1</t>
  </si>
  <si>
    <t>GASTOS LEGALES Y JUDICIALES</t>
  </si>
  <si>
    <t>2.3. 2  6. 1  2</t>
  </si>
  <si>
    <t>GASTOS NOTARIALES</t>
  </si>
  <si>
    <t>2.3. 2  6. 2  1</t>
  </si>
  <si>
    <t>CARGOS BANCARIOS</t>
  </si>
  <si>
    <t>2.3. 2  6. 3  1</t>
  </si>
  <si>
    <t>SEGURO DE VIDA</t>
  </si>
  <si>
    <t>2.3. 2  6. 3  3</t>
  </si>
  <si>
    <t>SEGURO OBLIGATORIO ACCIDENTES DE TRANSITO (SOAT)</t>
  </si>
  <si>
    <t>2.3. 2  6. 3  4</t>
  </si>
  <si>
    <t>OTROS SEGUROS PERSONALES</t>
  </si>
  <si>
    <t>2.3. 2  6. 4  1</t>
  </si>
  <si>
    <t>GASTOS POR PRESTACIONES DE SALUD</t>
  </si>
  <si>
    <t>2.3. 2  7. 1  1</t>
  </si>
  <si>
    <t>CONSULTORIAS</t>
  </si>
  <si>
    <t>2.3. 2  7. 1  2</t>
  </si>
  <si>
    <t>ASESORIAS</t>
  </si>
  <si>
    <t>2.3. 2  7. 1 99</t>
  </si>
  <si>
    <t>OTROS SERVICIOS SIMILARES</t>
  </si>
  <si>
    <t>2.3. 2  7. 2  1</t>
  </si>
  <si>
    <t>2.3. 2  7. 2  2</t>
  </si>
  <si>
    <t>2.3. 2  7. 2 99</t>
  </si>
  <si>
    <t>2.3. 2  7. 3  1</t>
  </si>
  <si>
    <t>REALIZADO POR PERSONAS JURIDICAS</t>
  </si>
  <si>
    <t>2.3. 2  7. 3  2</t>
  </si>
  <si>
    <t>REALIZADO POR PERSONAS NATURALES</t>
  </si>
  <si>
    <t>2.3. 2  7. 4  3</t>
  </si>
  <si>
    <t>SOPORTE TECNICO</t>
  </si>
  <si>
    <t>2.3. 2  7. 4 99</t>
  </si>
  <si>
    <t>OTROS SERVICIOS DE INFORMATICA</t>
  </si>
  <si>
    <t>2.3. 2  7. 5  2</t>
  </si>
  <si>
    <t>PROPINAS PARA PRACTICANTES</t>
  </si>
  <si>
    <t>2.3. 2  7. 5  4</t>
  </si>
  <si>
    <t>ANIMADORAS Y ALFABETIZADORES</t>
  </si>
  <si>
    <t>2.3. 2  7. 5  7</t>
  </si>
  <si>
    <t>INTERNOS DE MEDICINA Y ODONTOLOGIA</t>
  </si>
  <si>
    <t>2.3. 2  7. 5  99</t>
  </si>
  <si>
    <t>2.3. 2  7. 7  1</t>
  </si>
  <si>
    <t>SERVICIOS RELACIONADOS CON EL MEDIO AMBIENTE</t>
  </si>
  <si>
    <t>2.3. 2  7. 8  1</t>
  </si>
  <si>
    <t>SERVICIOS RELACIONADOS CON EL TRATAMIENTO DE AGUA</t>
  </si>
  <si>
    <t>2.3. 2  7. 9  1</t>
  </si>
  <si>
    <t>ORGANIZACION Y CONDUCCION DE EVENTOS DEPORTIVOS</t>
  </si>
  <si>
    <t>2.3. 2  7. 9  2</t>
  </si>
  <si>
    <t xml:space="preserve">OEGANIZACION Y CONDUCCIONDE EVENTOS RECREACIONALES </t>
  </si>
  <si>
    <t>2.3. 2  7. 9  4</t>
  </si>
  <si>
    <t>AUSPICIO Y PATROCINIO DE EVENTOS CULTURALES Y DE ARTE</t>
  </si>
  <si>
    <t>2.3. 2  7. 9 99</t>
  </si>
  <si>
    <t>OTROS RELACIONADOS A ORGANIZACION DE EVENTOS</t>
  </si>
  <si>
    <t>2.3. 2  7.10  1</t>
  </si>
  <si>
    <t xml:space="preserve">SEMINARIOS ,TALLERES Y SIMILARES ORGANIZADOS POR LA INSTITUCION  </t>
  </si>
  <si>
    <t>2.3. 2  7.10  2</t>
  </si>
  <si>
    <t>ATENCIONES OFICIALES Y CELEBRACIONES INSTITUCIONALES</t>
  </si>
  <si>
    <t>2.3. 2  7.10 99</t>
  </si>
  <si>
    <t>OTRAS ATENCIONES Y CELEBRACIONES</t>
  </si>
  <si>
    <t>2.3. 2  7.11  1</t>
  </si>
  <si>
    <t>EMBALAJE Y ALMACENAJE</t>
  </si>
  <si>
    <t>2.3. 2  7.11  2</t>
  </si>
  <si>
    <t>TRANSPORTE Y TRASLADO DE CARGA, BIENES Y MATERIALES</t>
  </si>
  <si>
    <t>2.3. 2  7.11  5</t>
  </si>
  <si>
    <t>SERVICIOS DE ALIMENTACION DE CONSUMO HUMANO</t>
  </si>
  <si>
    <t>2.3. 2  7.11  6</t>
  </si>
  <si>
    <t>SERVICIO DE IMPRESIONES, ENCUADERNACION Y EMPASTADO</t>
  </si>
  <si>
    <t>2.3. 2  7.11 99</t>
  </si>
  <si>
    <t>SERVICIOS DIVERSOS</t>
  </si>
  <si>
    <t>2.3. 2  8. 1  1</t>
  </si>
  <si>
    <t>2.3. 2  8. 1  2</t>
  </si>
  <si>
    <t>CONTRIBUCIONES A ESSALUD DE C.A.S.</t>
  </si>
  <si>
    <t>2.3. 2  8. 1  4</t>
  </si>
  <si>
    <t>AGUINALDOS DE C.A.S.</t>
  </si>
  <si>
    <t>2.3. 2  8. 1  5</t>
  </si>
  <si>
    <t>VACACIONES TRUNCAS DE C.A.S.</t>
  </si>
  <si>
    <t>2.3. 2  8. 1 99</t>
  </si>
  <si>
    <t>OTROS GASTOS C.A.S</t>
  </si>
  <si>
    <t>2.3. 2  9. 1 1</t>
  </si>
  <si>
    <t>LOCACION DE SERVICIOS REALIZADOS POR PERSONAS NATURALES RELACIONDAS AL ROL DE LA ENTIDAD</t>
  </si>
  <si>
    <t xml:space="preserve">TOTAL </t>
  </si>
  <si>
    <t>FORMATO 13: CONTRATOS DE OBRAS SUSCRITOS EN LOS AÑOS 2019 Y 2020</t>
  </si>
  <si>
    <t>ADQUISICIONES/CONTRATACIONES/OBRAS</t>
  </si>
  <si>
    <t>PROYECTO</t>
  </si>
  <si>
    <t>CODIGO SNIP</t>
  </si>
  <si>
    <t>TIPO DE PROCESO DE SELECCIÓN</t>
  </si>
  <si>
    <t>MODALIDAD</t>
  </si>
  <si>
    <t>NUMERO DEL PROCESO</t>
  </si>
  <si>
    <t>MONTO PRESUPUESTADO (*)</t>
  </si>
  <si>
    <t>FECHA DE SUSCRIPCION DEL CONTRATO</t>
  </si>
  <si>
    <t>CONTRATISTA (RUC y Denominacion)</t>
  </si>
  <si>
    <t>PLAZO DE EJEUCION DE OBRAS</t>
  </si>
  <si>
    <t>FECHA DE VENCIMIENTO DEL PLAZO</t>
  </si>
  <si>
    <t>AMPLIACION DE PLAZO</t>
  </si>
  <si>
    <t>FECHA DE VENCIMIENTO DE PLAZO</t>
  </si>
  <si>
    <t>FECHA DE ENTREGA</t>
  </si>
  <si>
    <t>FECHA DE CONFORMIDAD DE OBRA</t>
  </si>
  <si>
    <t>1. CONTRATACIÓN DEL SERVICIO DE CONSULTORÍA PARA LA SUPERVISIÓN DE LA OBRA: MEJORAMIENTO DE LOS SERVICIOS EDUCATIVOS DE LA INSTITUCIÓN EDUCATIVA PÚBLICA DE E.B.R. FERNANDO MELENDEZ CELIS DE LA CIUDAD DE YURIMAGUAS - DISTRITO DE YURIMAGUAS - PROVINCIA DE ALTO AMAZONAS - LORETO</t>
  </si>
  <si>
    <t xml:space="preserve">ADJUDICACION SIMPLIFICADA </t>
  </si>
  <si>
    <t>PROCEDIMIENTO CLASICO</t>
  </si>
  <si>
    <t>001-2020-GRL-GSRAA/18.CS</t>
  </si>
  <si>
    <t>S/ 605,343.32</t>
  </si>
  <si>
    <t>CONSORCIO SUPERVISOR J&amp;R (JJR COSNTRUCTORA Y SERVICIOS GENERALES S.A.C Y JORGE LUIS ALEJANDRO REBAZA HUERTO)</t>
  </si>
  <si>
    <t>450 DIAS</t>
  </si>
  <si>
    <t>SI</t>
  </si>
  <si>
    <t>NO</t>
  </si>
  <si>
    <t>2. CONTRATACION DE EJECUCION DE LA OBRA: MEJORAMIENTO DEL CAMINO VECINAL; RUTA LO-545, EMP.PE-5N B (YURIMAGUAS) – TUPAC AMARU – ROCA FUERTE – EMP.PE-5N B (GRAU), DISTRITO DE YURIMAGUAS, PROVINCIA DE ALTO AMAZONAS - LORETO” I ETAPA – CONSTRUCCIÓN DE PUENTE SOBRE EL RÍO SHANUSI</t>
  </si>
  <si>
    <t>002-2020-GRL-GSRAA/18.CS</t>
  </si>
  <si>
    <t>S/ 33´134,251.66</t>
  </si>
  <si>
    <t>EL CONSORCIO YURIMAGUAS (GROUP CASUARINAS J &amp; D S.R.L, CORPORACION CROMOS S.A.C Y CORPORACION DIAMANTE JUBERS S.A.C)</t>
  </si>
  <si>
    <t>365 DIAS</t>
  </si>
  <si>
    <t>3. CONTRATACIÓN DEL SERVICIO DE CONSULTORÍA PARA LA SUPERVISIÓN DE LA OBRA: “MEJORAMIENTO DEL CAMINO VECINAL, RUTA LO -545, EMP.PE -5N B (YURIMAGUAS) – TUPAC AMARU – ROCA FUERTE – EMP. PE-5NB (GRAU) DISTRITO DE YURIMAGUAS, PROVINCIA DE ALTO AMAZONAS, REGION LORETO” – I ETAPA – CONSTRUCCION DE PUENTE SOBRE EL RIO SHANUSI”</t>
  </si>
  <si>
    <t>003-2020-GRL-GSRAA/18.CS</t>
  </si>
  <si>
    <t>S/ 1´150,814.52</t>
  </si>
  <si>
    <t>CONSORCIO SUPERVISOR PUENTE SHANUSI (RBG INGENIEROS S.A.C y RICARDO LENIN BECERRA GUEVARA)</t>
  </si>
  <si>
    <t>395 DIAS</t>
  </si>
  <si>
    <t>4. CONTRATACIÓN DEL SERVICIO DE CONSULTORÍA PARA LA SUPERVISIÓN DE LA OBRA: MEJORAMIENTO Y AMPLIACIÓN DE LOS SERVICIOS DEPORTIVOS DEL ESTADIO MUNICIPAL RICARDO CRUZALEGUI ROJAS DISTRITO DE YURIMAGUAS, PROVINCIA DE ALTO AMAZONAS, REGIÓN LORETO</t>
  </si>
  <si>
    <t>004-2020-GRL-GSRAA/18.CS</t>
  </si>
  <si>
    <t>S/ 240,460.40</t>
  </si>
  <si>
    <t>JAS CONSULTORIA Y SERVICIOS GENERALES E.I.R.L</t>
  </si>
  <si>
    <t>150 DIAS</t>
  </si>
  <si>
    <t>…</t>
  </si>
  <si>
    <t>(*) Una línea por cada año fiscal, consignado en monto presupuestado por cada año presupuestal</t>
  </si>
  <si>
    <t>Ejecutora    : Uvayali-contamana</t>
  </si>
  <si>
    <t>1   EJECUCIÓN DE OBRA: CONSTRUCCIÓN DE TANQUES DE ALMACENAMIENTO DE AGUA EN LA LOCALIDAD PORVENIR - DISTRITO DE PADRE MARQUEZ - PROVINCIA DE UCAYALI - DEPARTAMENTO DE LORETO.</t>
  </si>
  <si>
    <t>ADJUDICACION SIMPLIFICADA</t>
  </si>
  <si>
    <t>CONSORCIO PADRE MARQUEZ PORVENIR :
20393285771 - TIENDAS SUMINISTROS E.I.R.L.
20393577399 - HVD CONTRATISTAS Y NEGOCIOS E.I.R.L.</t>
  </si>
  <si>
    <t>60 DIAS</t>
  </si>
  <si>
    <t>2 CONSTRUCCIÓN DE TANQUE DE ALMACENAMIENTO DE AGUA EN LA LOCALIDAD NUEVO SAN MARTIN - DISTRITO DE PADRE MARQUEZ - PROVINCIA DE UCAYALI - DEPARTAMENTO DE LORETO.</t>
  </si>
  <si>
    <t>CONSORCIO NUEVO SAN MARTIN :20602071040 - CONSTRUCTORA CELSO E.I.R.L.20393155648 - INVERSIONES Y SERVICIOS MERCURIO S.R.L</t>
  </si>
  <si>
    <t>06/12/2019</t>
  </si>
  <si>
    <t>3 CONSTRUCCIÓN DE BLOQUE DE INFRAESTRUCTURA EN LA I.E. 64213 - CONTAMANA EN LA LOCALIDAD SAN CARLOS - DISTRITO DE CONTAMANA - PROVINCIA DE UCAYALI - DEPARTAMENTO DE LORETO.</t>
  </si>
  <si>
    <t xml:space="preserve">CONSORCIO SAN CARLOS :20602071040 - CONSTRUCTORA CELSO E.I.R.L.20393155648 - INVERSIONES Y SERVICIOS MERCURIO S.R.L.
</t>
  </si>
  <si>
    <t>90 DIAS</t>
  </si>
  <si>
    <t>FORMATO 14: PRINCIPALES ADQUISICIONES DE BIENES Y SERVICIOS - PRESUPUESTO 2019, 2020 Y PROYECTO 2021</t>
  </si>
  <si>
    <t>FECHA PROG. CONV.</t>
  </si>
  <si>
    <t>ADQUISICIÓN</t>
  </si>
  <si>
    <t>MONTO</t>
  </si>
  <si>
    <t>ESTADO DEL PROCESO</t>
  </si>
  <si>
    <t>OBSERVACIONES</t>
  </si>
  <si>
    <t>1 ADQUISICIÓN REQUERIMIENTO DE TONER Y TINTA</t>
  </si>
  <si>
    <t>MENORES DE 8(UIT)</t>
  </si>
  <si>
    <t>11.250.00</t>
  </si>
  <si>
    <t>CHOTA BANEO JANS RUC: 10435282119</t>
  </si>
  <si>
    <t xml:space="preserve"> ORDENES DE COMPRA </t>
  </si>
  <si>
    <t xml:space="preserve">2 ADQUISICIÓN DE MATERIALES </t>
  </si>
  <si>
    <t>25.744.12</t>
  </si>
  <si>
    <t>HACERO CONTRATISTA CONSTRUCTORES E.I.R.L RUC: 10702422332</t>
  </si>
  <si>
    <t xml:space="preserve">3 ADQUISICIÓN DE LUBRICANTES </t>
  </si>
  <si>
    <t>20.500.00</t>
  </si>
  <si>
    <t>GRIFO SAN JUAN S.R.L RUC: 20531570929</t>
  </si>
  <si>
    <t>4 ADQUISICIÓN DE MATERIALES PLAN DE CONTINGENCIA-P</t>
  </si>
  <si>
    <t>23.032.49</t>
  </si>
  <si>
    <t xml:space="preserve">5 ADQUISICIÓN DE COMBUSTIBLES </t>
  </si>
  <si>
    <t>18.144.00</t>
  </si>
  <si>
    <t xml:space="preserve">6 ADQUISICIÓN DE COMBUSTIBLES </t>
  </si>
  <si>
    <t xml:space="preserve">7ADQUISICIÓN DE COMBUSTIBLES </t>
  </si>
  <si>
    <t>16.719.60</t>
  </si>
  <si>
    <t xml:space="preserve">8 ADQUISICIÓN DE MATERIALES DE CONSTRUCCIÓN </t>
  </si>
  <si>
    <t>13.550.00</t>
  </si>
  <si>
    <t>FERRETERIA MATRI E.I.R.L RUC: 20542327996</t>
  </si>
  <si>
    <t xml:space="preserve">9 ADQUISICIÓN DE MATERIALES DE CONSTRUCCIÓN </t>
  </si>
  <si>
    <t>23.520.00</t>
  </si>
  <si>
    <t xml:space="preserve">10 ADQUISICIÓN DE MATERIALES DE CONSTRUCCIÓN </t>
  </si>
  <si>
    <t>13.235.00</t>
  </si>
  <si>
    <t>EDIN CONSTRUCTORA Y CERVICIOS GENERALES E.I.R.L RUC: 20542362473</t>
  </si>
  <si>
    <t xml:space="preserve">11 ADQUISICIÓN DE MATERIALES DE CONSTRUCCIÓN </t>
  </si>
  <si>
    <t>23.750.00</t>
  </si>
  <si>
    <t xml:space="preserve">12 ADQUISICIÓN DE MATERIALES DE CONSTRUCCIÓN </t>
  </si>
  <si>
    <t>32.880.00</t>
  </si>
  <si>
    <t xml:space="preserve">13 ADQUISICIÓN DE MATERIALES DE CONSTRUCCIÓN </t>
  </si>
  <si>
    <t>17.104.57</t>
  </si>
  <si>
    <t>RISCO TAFUR KAREN YUBITZA RUC: 10716420529</t>
  </si>
  <si>
    <t xml:space="preserve">14 ADQUISICIÓN DE MATERIALES DE CONSTRUCCIÓN </t>
  </si>
  <si>
    <t>13.069.28</t>
  </si>
  <si>
    <t>PEREZ RAMOS MARLENY RUC: 10430152004</t>
  </si>
  <si>
    <t xml:space="preserve">15 ADQUISICIÓN DE IMPLEMENTOS, NATERIALES, QUIPOS ET </t>
  </si>
  <si>
    <t>18.829.00</t>
  </si>
  <si>
    <t>YURLI SERVICIOS GENERALES S.A.C RUC: 20600905326</t>
  </si>
  <si>
    <t xml:space="preserve">16 ADQUISICIÓN DE CEMENTE </t>
  </si>
  <si>
    <t>33.595.40</t>
  </si>
  <si>
    <t xml:space="preserve">17 ADQUISICIÓN DE CEMENTE </t>
  </si>
  <si>
    <t>13.375.01</t>
  </si>
  <si>
    <t xml:space="preserve">18 ADQUISICIÓN DE CEMENTE </t>
  </si>
  <si>
    <t xml:space="preserve">19 ADQUISICIÓN DE COMBUSTIBLE </t>
  </si>
  <si>
    <t>10.000.00</t>
  </si>
  <si>
    <t>GRIFO FLOTANTE SATELITE S.R.L RUC: 20531545142</t>
  </si>
  <si>
    <t xml:space="preserve">20 ADQUISICIÓN DE HACERO CORRUGADO </t>
  </si>
  <si>
    <t>17.210.00</t>
  </si>
  <si>
    <t>10 ADQUISICIÓN DE ALIMENTOS</t>
  </si>
  <si>
    <t>.</t>
  </si>
  <si>
    <t>33.000.00</t>
  </si>
  <si>
    <t>11 ADQUISICIÓN DE ALIMENTOS</t>
  </si>
  <si>
    <t>TUESTA ORBE ADELA RUC: 10055949633</t>
  </si>
  <si>
    <t>12 ADQUISICIÓN DE ALIMENTOS</t>
  </si>
  <si>
    <t>10.500.00</t>
  </si>
  <si>
    <t xml:space="preserve">13 ADQUISICIÓN DE CEMENTO </t>
  </si>
  <si>
    <t xml:space="preserve">14 ADQUISICIÓN DE CEMENTO </t>
  </si>
  <si>
    <t xml:space="preserve">15 ADQUISICIÓN DE COMBUSTIBLE </t>
  </si>
  <si>
    <t>18.168.00</t>
  </si>
  <si>
    <t xml:space="preserve">16 ADQUISICIÓN DE ALCANTARILLA </t>
  </si>
  <si>
    <t>27.201.33</t>
  </si>
  <si>
    <t>33.550.00</t>
  </si>
  <si>
    <t>18 ADQUISICIÓN DE PLOTER</t>
  </si>
  <si>
    <t>22.690.00</t>
  </si>
  <si>
    <t>CARRANZA CHILMAZA VICTOR WALTER</t>
  </si>
  <si>
    <t>17.000.00</t>
  </si>
  <si>
    <t xml:space="preserve">DARIOS CONSTRUCTORA Y CONSULTORES E.I.R.L </t>
  </si>
  <si>
    <t>27.500.00</t>
  </si>
  <si>
    <t xml:space="preserve">16 ADQUISICIÓN DE COMBUSTIBLE </t>
  </si>
  <si>
    <t xml:space="preserve">22 ADQUISICIÓN DE MATERIALES AFIRMADO </t>
  </si>
  <si>
    <t>28.125.00</t>
  </si>
  <si>
    <t xml:space="preserve">LDA CONTRATISTAS GENERALES E.I.R.L </t>
  </si>
  <si>
    <t xml:space="preserve">23 ADQUISICIÓN DE BIENES Y EQUIPOS </t>
  </si>
  <si>
    <t>11.545.00</t>
  </si>
  <si>
    <t xml:space="preserve">GRACÍA SAAVEDRA THEY JUNIOR </t>
  </si>
  <si>
    <t xml:space="preserve">24 ADQUISICIÓN DE VARAS YEMERAS </t>
  </si>
  <si>
    <t xml:space="preserve">ADJUDICACCIÓN SIMPLIFICADA </t>
  </si>
  <si>
    <t>192.572.80</t>
  </si>
  <si>
    <t>INSTITUTO PARA EL DESARROLLO SOSTENIBLES DE LA AMAZONIA RUC: 20531286538</t>
  </si>
  <si>
    <t xml:space="preserve">25 ADQUISICIÓN DE VARAS YEMERAS </t>
  </si>
  <si>
    <t>48.143.20</t>
  </si>
  <si>
    <t xml:space="preserve">26 ADQUISICIÓN DE MATERIAL AGREGADO </t>
  </si>
  <si>
    <t>33.300.00</t>
  </si>
  <si>
    <t>DELGADO PEÑA JORGE RUC: 10055815319</t>
  </si>
  <si>
    <t xml:space="preserve">27 ADQUISICIÓN DE MATERIAL </t>
  </si>
  <si>
    <t>32.722.91</t>
  </si>
  <si>
    <t xml:space="preserve">29 ADQUISICIÓN DE ALIMENTOS </t>
  </si>
  <si>
    <t>11.000.00</t>
  </si>
  <si>
    <t>23.000.00</t>
  </si>
  <si>
    <t>SERVICENTRO S.R.L RUC: 20450131891</t>
  </si>
  <si>
    <t>10.311.00</t>
  </si>
  <si>
    <t xml:space="preserve">32 ADQUISICIÓN DE REPUESTOS Y ACEITES </t>
  </si>
  <si>
    <t>24.272.60</t>
  </si>
  <si>
    <t>INVERCONS E.I.R.L RUC: 20480664613</t>
  </si>
  <si>
    <t xml:space="preserve">33 ADQUISICIÓN DE OTROS PRODCUTOS SIMILARES </t>
  </si>
  <si>
    <t>28.440.00</t>
  </si>
  <si>
    <t>INVERSIONES Y SERVICIOS VEME E.I.R.L RUC: 20604080470</t>
  </si>
  <si>
    <t xml:space="preserve">34 ADQUISICIÓN DE PRODUCTOS MEDICOS SIMILARES Y OTROS BIENES </t>
  </si>
  <si>
    <t>21.440.00</t>
  </si>
  <si>
    <t>INVERSIONES ESCORPION RUC: 10056242924</t>
  </si>
  <si>
    <t xml:space="preserve">ADQUISICIÓN DE IMPLEMENTOS MEDICOS </t>
  </si>
  <si>
    <t>12.090.00</t>
  </si>
  <si>
    <t>PRODUCTOS MEDICOS CHICLAYO E.I.R.L RUC: 20480820178</t>
  </si>
  <si>
    <t>1 - CONTRATACIÓN DE SERVICIO DE SEGURIDAD Y VIGILANCIA PARA EL HOSPITAL REGIONAL DE LORETO</t>
  </si>
  <si>
    <t>AS</t>
  </si>
  <si>
    <t>AS-SM-2-2019-HRL-CS-1</t>
  </si>
  <si>
    <t>20393888041 - EMPRESA DE SEGURIDAD G Y G PROTECCION MAXIMA S.A.C.</t>
  </si>
  <si>
    <t>CONCLUIDO</t>
  </si>
  <si>
    <t>12 MESES 
17/04/2020</t>
  </si>
  <si>
    <t>2 - SERVICIO DE AGENCIAMIENTO DE PASAJES AEREOS NACIONALES Y REGIONALES</t>
  </si>
  <si>
    <t>AS-SM-1-2019-HRL-CS-1</t>
  </si>
  <si>
    <t>20102399154 - CONTACT TOURS S.A.C.</t>
  </si>
  <si>
    <t>EN EJECUCION</t>
  </si>
  <si>
    <t>VIGENTE</t>
  </si>
  <si>
    <t>3 - SUMINISTRO DE VIVERES SECOS</t>
  </si>
  <si>
    <t>AS-SM-3-2019-HRL-CS-1</t>
  </si>
  <si>
    <t>20601638658 - GRUPO HEVIMO S.A.C.</t>
  </si>
  <si>
    <t>12 MESES 
12/06/2020</t>
  </si>
  <si>
    <t>4 - CONTRATACIÓN DEL SUMINISTRO DE VIVERES FRESCOS</t>
  </si>
  <si>
    <t>LP-SM-1-2019-HRL-CS-1</t>
  </si>
  <si>
    <t>10054107574 - EGOAVIL BALUARTE JOSE MARTIN</t>
  </si>
  <si>
    <t>12 MESES 
17/07/2020</t>
  </si>
  <si>
    <t>5 - SUMINISTRO DE SUCEDANEO DE LA LECHE MATERNA</t>
  </si>
  <si>
    <t>AS-SM-4-2019-HRL-CS-1</t>
  </si>
  <si>
    <t>20100096936 - ABBOTT LABORATORIOS SA</t>
  </si>
  <si>
    <t>6 - SUMINISTRO DE ARROZ, AZUCAR Y ACEITE</t>
  </si>
  <si>
    <t>SIE-SIE-1-2019-HRL-CS-1</t>
  </si>
  <si>
    <t>10461871637 - DEL AGUILA VILLACORTA LUIS MIGUEL</t>
  </si>
  <si>
    <t>12 MESES 
08/08/2020</t>
  </si>
  <si>
    <t>7 - SUMINISTRO DE DIESEL B5</t>
  </si>
  <si>
    <t>DIRECTA-PROC-1-2019-HRL-OL-1</t>
  </si>
  <si>
    <t>20100128218 - PETROLEOS DEL PERU S.A.</t>
  </si>
  <si>
    <t>8 - ADQUISICION DE UNIFORMES PARA EL PERSONAL ADMINISTRATIVO Y ASISTENCIAL DEL HOSPITAL REGIONAL DE LORETO</t>
  </si>
  <si>
    <t>AS-SM-5-2019-HRL-CS-1</t>
  </si>
  <si>
    <t>20528422129 - MEDICAL &amp; EQUIPOS S.R.L.</t>
  </si>
  <si>
    <t>60 DIAS 
14/12/2019</t>
  </si>
  <si>
    <t>9 - ADQUISICION DE ESTERILIZADOR AUTOCLAVE DE 400 L</t>
  </si>
  <si>
    <t>AS-SM-8-2019-HRL-CS-1</t>
  </si>
  <si>
    <t>20503919908 - ESTERILIZA SOCIEDAD ANONIMA</t>
  </si>
  <si>
    <t>45 DIAS 
22/12/2019</t>
  </si>
  <si>
    <t>10 - ADQUISICION DE EQUIPOS MEDICOS DE DIAGNOSTICO Y/O MONITOREO</t>
  </si>
  <si>
    <t>AS-SM-9-2019-HRL-CS-1</t>
  </si>
  <si>
    <t>20557041631 - INTECWELD IMPORT S.A.C.</t>
  </si>
  <si>
    <t>30 DIAS 
07/12/2019</t>
  </si>
  <si>
    <t>11 - ADQUISICION DE MAQUINA DE HEMODILIASIS</t>
  </si>
  <si>
    <t>AS-SM-10-2019-HRL-CS-1</t>
  </si>
  <si>
    <t>20504312403 - NIPRO MEDICAL CORPORATION SUCURSAL DEL PERU</t>
  </si>
  <si>
    <t>30 DIAS 
12/12/2019</t>
  </si>
  <si>
    <t>12 - ADQUISICION DE ELECTROBISTURI</t>
  </si>
  <si>
    <t>AS-SM-13-2019-HRL-CS-1</t>
  </si>
  <si>
    <t>20465722119 - GLOBAL SUPPLY S.A.C.</t>
  </si>
  <si>
    <t>30 DIAS 
15/12/2019</t>
  </si>
  <si>
    <t>13 - ADQUISICION DE EQUIPOS MEDICOS Y DE LABORATORIO DIVERSOS</t>
  </si>
  <si>
    <t>AS-SM-12-2019-HRL-CS-1</t>
  </si>
  <si>
    <t>20100262291 - COMERC. E IND DENT TARRILLO BARBA S.A.C</t>
  </si>
  <si>
    <t>30 DIAS 
20/12/2019</t>
  </si>
  <si>
    <t>14 - CONTRATACION DE SERVICIO DE AMBULANCIA AEREA</t>
  </si>
  <si>
    <t>AS-SM-16-2019-HRL-CS-2</t>
  </si>
  <si>
    <t>20100010721 - AERO TRANSPORTE S A</t>
  </si>
  <si>
    <t>02 MESES 
CONCLUIDO</t>
  </si>
  <si>
    <t>15 - ADQUISICION DE ELECTROENCEFALOGRAFO PORTATIL</t>
  </si>
  <si>
    <t>AS-SM-11-2019-HRL-CS-2</t>
  </si>
  <si>
    <t>20306168712 - INTERNATIONAL EQUIPMENT MEDICAL SOCIEDAD ANONIMA CERRADA-INTEREMED S.A.C.</t>
  </si>
  <si>
    <t>30 DIAS 
28/12/2019</t>
  </si>
  <si>
    <t>16 - ADQUISICION DE MESA QUIRURGICA</t>
  </si>
  <si>
    <t>AS-SM-7-2019-HRL-CS-1</t>
  </si>
  <si>
    <t>20512709088 - CARDIOPULMONARY CARE SOCIEDAD ANONIMA CERRADA</t>
  </si>
  <si>
    <t>30 DIAS + AMPLIACION
28/02/2020</t>
  </si>
  <si>
    <t>17 - SERVICIO DE LINEA DEDICADA DE INTERNET POR 24 MESES</t>
  </si>
  <si>
    <t>AS-SM-3-2020-HRL-CS-1</t>
  </si>
  <si>
    <t>20106897914 - ENTEL PERU S.A.</t>
  </si>
  <si>
    <t>730 DIAS 
03/08/2022</t>
  </si>
  <si>
    <t>18 - CONTRATACIÓN DE SUMINISTRO DE BIENES: ARROZ PILADO SUPERIOR, AZÚCAR RUBIA DOMESTICA Y ACEITE VEGETAL</t>
  </si>
  <si>
    <t>SIE</t>
  </si>
  <si>
    <t>SIE-SIE-1-2020-HRL-CS-1</t>
  </si>
  <si>
    <t>10406890461 - MARIN ANACONA PAMELA SABRINA</t>
  </si>
  <si>
    <t>12 MESES 
25/08/2021</t>
  </si>
  <si>
    <t>19 - Adquisición de artículos de protección personal ¿ EPP para el personal asistencial del HRL en el marco de la Emergencia Sanitaria COVID19</t>
  </si>
  <si>
    <t>DIRECTA</t>
  </si>
  <si>
    <t>DIRECTA-PROC-1-2020-HRL-OL-1</t>
  </si>
  <si>
    <t>20493427645 - DISTRIBUIDORA MARIDIOSE S.A.C.</t>
  </si>
  <si>
    <t>05 DIAS 
19/08/2020</t>
  </si>
  <si>
    <t>20547614900 - T &amp; R DISTRIBUIDORES E.I.R.L.</t>
  </si>
  <si>
    <t>20 - SERVICIO DE SEGURIDAD Y VIGILANCIA PARA EL H.R.L.</t>
  </si>
  <si>
    <t>AS-SM-1-2020-HRL-CS-2</t>
  </si>
  <si>
    <t>20601649579 - PREVENCION VIGILANCIA Y SEGURIDAD DEL ORIENTE SOCIEDAD ANONIMA CERRADA - PREVISEG S.A.C.</t>
  </si>
  <si>
    <t>12 MESES 
01/10/2021</t>
  </si>
  <si>
    <t>21 - SUMINISTRO DE VIVERES SECOS</t>
  </si>
  <si>
    <t>AS-SM-2-2020-HRL-CS-2</t>
  </si>
  <si>
    <t>22 - SUMINISTRO DE VIVERES FRESCOS</t>
  </si>
  <si>
    <t>LP</t>
  </si>
  <si>
    <t>LP-SM-1-2020-HRL-CS-1</t>
  </si>
  <si>
    <t>20528447113 - MULTISERVICIOS MARCUS &amp; MATEO E.I.R.L.</t>
  </si>
  <si>
    <t>EN CONSENTIMIENTO</t>
  </si>
  <si>
    <t>12 MESES</t>
  </si>
  <si>
    <t>CONSENTIMIENTO DE BUENA PRO</t>
  </si>
  <si>
    <t>23 - ADQUISICION DE UNIFORMES PARA EL PERSONAL ADMINISTRATIVO Y ASISTENCIAL DEL HOSPITAL REGIONAL DE LORETO</t>
  </si>
  <si>
    <t>AS-SM-4-2020-HRL-CS-1</t>
  </si>
  <si>
    <t>---</t>
  </si>
  <si>
    <t>PUBLICADO EN EL SEACE</t>
  </si>
  <si>
    <t>EN PRESENTACION DE OFERTAS</t>
  </si>
  <si>
    <t>24 - SERVICIO DE AVION AMBULANCIA PARA EL TRASLADO DE EMERGENCIA DE PACIENTES EN ESTADOS CRITICOS Y BENEFICIARIOS DEL SEGURO INTEGRAL DE SALUD</t>
  </si>
  <si>
    <t>AS-SM-5-2020-HRL-CS-1</t>
  </si>
  <si>
    <t>EN INTEGRACION DE BASES</t>
  </si>
  <si>
    <t>SECTOR O GOB. REGIONAL:</t>
  </si>
  <si>
    <t>ADQUISICIÓN/SERVICIO</t>
  </si>
  <si>
    <t>CONTRATACION DEL SERVICIO DE MANTENIMIENTO RUTINARIO DE LA CARRETERA DEPARTAMENTAL JENARO HERRERA - COLONIA ANGAMOS LO-30 KM DEL AÑO 2019, PROVINCIA DE REQUENA, REGION LORETO</t>
  </si>
  <si>
    <t>0012-2019</t>
  </si>
  <si>
    <t>CONTRATACION DEL SERVICIO DE MANTENIMIENTO VIAL DE LA RUTA DEPARTAMENTAL LO-104 EL HUAMBE TRAMO KM 0+000 AL KM 12+000 AÑO 2019 , DISTRITO DE SAN JUAN BAUTISTA, PROVINCIA DE MAYNAS, REGION LORETO</t>
  </si>
  <si>
    <t>0011-2019</t>
  </si>
  <si>
    <t>CONTRATACIÓN DE SUMINISTRO DE COMBUSTIBLE DIESEL B5 PARA LA ACTIVIDAD MANTENIMIENTO RUTINARIO  CARRETERA DEPARTAMENTAL LO-103 IQUITOS-NAUTA KM. 0+000 AL KM. 94+400.</t>
  </si>
  <si>
    <t>SIE-SIE-2-2019-DRTC-CS-1</t>
  </si>
  <si>
    <t>0002-2019</t>
  </si>
  <si>
    <t>ADQUISICIÓN DE PINTURA Y DISOLVENTE PARA LA ACTIVIDAD MANTENIMIENTO RUTINARIO CARRETERA DEPARTAMENTAL LO-103 IQUITOS-NAUTA DEL KM. 0+000 AL KM. 94+400.</t>
  </si>
  <si>
    <t>AS-SM-2-2019-DRTC-CS-1</t>
  </si>
  <si>
    <t>ADQUISICION DE CANASTAS DE VIVERES PARA EL PERSONAL NOMBRADO ACTIVOS DE LA DRTC-L.</t>
  </si>
  <si>
    <t>AS-SM-1-2019-DRTC-CS-1</t>
  </si>
  <si>
    <t>0001-2019</t>
  </si>
  <si>
    <t>CONTRATACIÓN DE SUMINISTRO DE COMBUSTIBLE DIESEL B5 PARA LOS DIFERENTES VEHICULOS DE LA DIRECCIÓN REGIONAL DE TRANSPORTES Y COMUNICACIONES.</t>
  </si>
  <si>
    <t>SIE-SIE-1-2019-DRTC-CS-2</t>
  </si>
  <si>
    <t>SIE-SIE-1-2019-DRTC-CS-1</t>
  </si>
  <si>
    <t>1. Contratación del Servicio de Alquiler de Maquinaria Motoniveladora de 125 HP, para la Reparación de la Trocha Carrozable Requena – Jenaro Herrera, Long. KM 13.70 – Distrito de Requena – Provincia de Requena – Departamento de Loreto</t>
  </si>
  <si>
    <t>001-2020</t>
  </si>
  <si>
    <t>2. Contratación del Servicio de Alquiler de Maquinaria Tractor Oruga para la Reparación de la Trocha Carrozable Requena – Jenaro Herrera, Long. KM 13.70 – Distrito de Requena – Provincia de Requena – Departamento de Loreto</t>
  </si>
  <si>
    <t>002-2020</t>
  </si>
  <si>
    <t>3. CONTRATACIÓN DEL SERVICIO DE MANTENIMIENTO PERIODICO DE LA CARRETERA DEPARTAMENTAL NO PAVIMENTADA, TRAMO ORELLANA, EL DORADO, DISTRITO DE VARGAS GUERRA – UCAYALI - LORETO</t>
  </si>
  <si>
    <t>003-2020</t>
  </si>
  <si>
    <t>4. CONTRATACION DEL SERVICIO PARA LA SUPERVISION PARA EL “MANTENIMIENTO RUTINARIO DE LA CARRETERA DEPARTAMENTAL LO-103 TRAMO IQUITOS – NAUTA, LONG. 94+400 KM.</t>
  </si>
  <si>
    <t>004-2020</t>
  </si>
  <si>
    <t>5. Contratación del Servicio  para el “MANTENIMIENTO PERIODICO DE LA RED VIAL DEPARTAMENTAL NO PAVIMENTADA - TRAMO: PUERTO ARICA - RIO ALGODÓN, DISTRITO DE NAPO – MAYNAS - LORETO”</t>
  </si>
  <si>
    <t>005-2020</t>
  </si>
  <si>
    <t>6. Contratación del Servicio para el “MANTENIMIENTO RUTINARIO DE LA RED VIAL DEPARTAMENTAL NO PAVIMENTADA TRAMO: YURIMAGUAS-JEBEROS-DISTRITOS DE YURIMAGUAS Y JEBEROS-ALTO AMAZONAS-LORETO"</t>
  </si>
  <si>
    <t>006-2020</t>
  </si>
  <si>
    <t>7. CONTRATACION DEL SERVICIO PARA LA SUPERVISION DEL MANTENIMIENTO PERIODICO DE LA CARRETERA DEPARTAMENTAL NO PAVIMENTADA, TRAMO SAN LORENZO – SARAMIRIZA – MULTIDISTRITAL DATEM DEL MARAÑON - LORETO</t>
  </si>
  <si>
    <t>007-2020</t>
  </si>
  <si>
    <t>FIRMA DE CONTRATO</t>
  </si>
  <si>
    <t>8. CONTRATACION DEL SERVICIO PARA LA SUPERVISION DEL MANTENIMIENTO PERIODICO DE LA CARRETERA DEPARTAMENTAL NO PAVIMENTADA LO-105, TRAMO JENARO HERRERA – LONG-18KM, DISTRITO DE JENARO HERRERA, PROVINCIA DE REQUENA, DEPARTAMENTO DE LORETO</t>
  </si>
  <si>
    <t>008-2020</t>
  </si>
  <si>
    <t>9. CONTRATACION DEL SERVICIO PARA LA SUPERVISION DEL MANTENIMIENTO PERIODICO DE LA RED VIAL DEPARTAMENTAL NO PAVIMENTADA  – TRAMO EL HUAMBE, DISTRITO DE SAN JUAN BAUTISTA, DEPARTAMENTO DE LORETO</t>
  </si>
  <si>
    <t>009-2020</t>
  </si>
  <si>
    <t>10. Contratación del Servicio para el Mantenimiento Periódico de la Carretera Departamental no Pavimentada, Tramo San Lorenzo - Saramiriza, Multidistrital, Datém del Marañón – Loreto</t>
  </si>
  <si>
    <t xml:space="preserve">ADJUDICACION SIMPLIFICADA - DERIVADA DEL CONCURSO PUBLICO </t>
  </si>
  <si>
    <t>010-2020</t>
  </si>
  <si>
    <t>1´010,000.00</t>
  </si>
  <si>
    <t>11. Contratación del Servicio del Mantenimiento Rutinario de la Carretera Departamental LO-103, Tramo Iquitos – Nauta, Long. Km. 94+400</t>
  </si>
  <si>
    <t>CONCURSO PUBLICO</t>
  </si>
  <si>
    <t>1´150,000.00</t>
  </si>
  <si>
    <t>12. CONTRATACION DEL SERVICIO PARA EL MANTENIMIENTO RUTINARIO DE LA RED VIAL DEPARTAMENTAL NO PAVIMENTADA – TRAMO – EL HUAMBE – DISTRITO DE SAN JUAN BAUTISTA - LORETO</t>
  </si>
  <si>
    <t>13. CONTRATACION DEL SERVICIO PARA EL MANTENIMIENTO PERIODICO DE LA RED VIAL DEPARTAMENTAL NO PAVIMENTADA LO – 105 – TRAMO JENARO HERRERA, LONG. 18.00KM – DISTRITO DE JENARO HERRERA</t>
  </si>
  <si>
    <t>1´300,000.00</t>
  </si>
  <si>
    <t>Ejecutora : Ucayali-Contamana</t>
  </si>
  <si>
    <r>
      <rPr>
        <sz val="9"/>
        <color theme="1"/>
        <rFont val="Arial"/>
        <family val="2"/>
      </rPr>
      <t>1</t>
    </r>
    <r>
      <rPr>
        <sz val="8"/>
        <color theme="1"/>
        <rFont val="Arial"/>
        <family val="2"/>
      </rPr>
      <t xml:space="preserve"> CONTRATACIÓN DE SERVICIO DE INTERNET DEDICADO VÍA RADIO ENLACE PARA LAS OFICINAS DE LA GERENCIA SUB REGIONAL DE UCAYALI - CONTAMANA.</t>
    </r>
  </si>
  <si>
    <t>CONTRATADO</t>
  </si>
  <si>
    <t>2 CONTRATACIÓN DE SUMINISTRO DE GASOLINA DE 90 OCTANOS PARA LOS VEHÍCULOS DE LA GERENCIA SUB REGIONAL DE UCAYALI.</t>
  </si>
  <si>
    <t>3  CONTRATACION DE SUMINISTRO DE DIESEL B5 PARA LAS MAQUINARIAS DE LA GERENCIA SUB REGIONAL DE UCAYALI.</t>
  </si>
  <si>
    <t>SUBASTA INVERSA ELECTRONICA</t>
  </si>
  <si>
    <t>4  CONTRATACIÓN DE SUMINISTRO DE GASOLINA DE 90 PARA EL PROYECTO MEJORAMIENTO DE CAPACIDADES PARA LA PRESTACIÓN DE SERVICIOS DE APOYO A LA CADENA PRODUCTIVA DEL CULTIVO DEL CACAO EN LOS DISTRITOS DE CONTAMANA PAMPA HERMOSA INAHUAYA Y VARGAS GUERRA PROVINCIA DE UCAYALI REGIÓN LORETO.</t>
  </si>
  <si>
    <t>5  CONTRATACIÓN DE SERVICIO DE COORDINADOR PARA EL PROYECTO MEJORAMIENTO DE CAPACIDADES PARA LA PRESTACIÓN DE SERVICIOS DE APOYO A LA CADENA PRODUCTIVA DEL CULTIVO DEL CACAO EN LOS DISTRITOS DE CONTAMANA PAMPA HERMOSA INAHUAYA Y VARGAS GUERRA PROVINCIA DE UCAYALI REGIÓN LORETO.</t>
  </si>
  <si>
    <t>6 ADQUISICIÓN DE MOTOCICLETAS PARA EL PROYECTO MEJORAMIENTO DE CAPACIDADES PARA LA PRESTACIÓN DE SERVICIOS DE APOYO A LA CADENA PRODUCTIVA DEL CULTIVO DEL CACAO EN LOS DISTRITOS DE CONTAMANA PAMPA HERMOSA INAHUAYA Y VARGAS GUERRA - PROVINCIA DE UCAYALI REGIÓN LORETO.</t>
  </si>
  <si>
    <t>7 CONTRATACIÓN DE SUMINISTRO DE COMBUSTIBLES PARA LOS VEHÍCULOS Y MAQUINARIA PESADA DE LA GSRU.</t>
  </si>
  <si>
    <t>8  CONTRATACION DE SERVICIO DE REPARACION DE CARGADOR FRONTAL EN LA MAQUINARIA PESADA (TRACTOR ORUGA, CAMION VOLQUETE, CARGADOR FRONTAL) EN LA LOCALIDAD DE CONTAMANA, DISTRITO DE CONTAMANA,  PROVINCIA DE UCAYALI, DEPARTAMENTO DE LORETO.</t>
  </si>
  <si>
    <t>FORMATO 15: DETALLE DE CONSULTORIAS PERSONAS JURÍDICAS Y NATURALES - PRESUPUESTO 2019 Y 2020</t>
  </si>
  <si>
    <t>Ejecutora  : Transportes</t>
  </si>
  <si>
    <t>PERSONA JURIDICA (RUC)</t>
  </si>
  <si>
    <t>PERSONA NATURAL (DNI)</t>
  </si>
  <si>
    <t>PPTO 2018 (AL 31/12)</t>
  </si>
  <si>
    <t>PPTO 2019 (AL 30/06)</t>
  </si>
  <si>
    <t>PPTO 2019 (PROYECCI{ON 31/12)</t>
  </si>
  <si>
    <t>TIPO DE ESTUDIO Y/O INFORME (*)</t>
  </si>
  <si>
    <t>ESPECIALIDAD (**)</t>
  </si>
  <si>
    <t>EJECUCIÓN S/</t>
  </si>
  <si>
    <t>1. CONTRATACIÓN DEL SERVICIO DE CONSULTORIA DE OBRA PARA LA ELABORACION DEL EXPEDIENTE TECNICO MEJORAMIENTO DEL CAMINO VECINAL ANGEL CARDENAS HAYA I ZONA (CARRETERA IQUITOS-NAUTA KM. 35+000) AÑO 2019, DISTRITO DE SAN JUAN BAUTISTA, PROVINCIA DE MAYNAS, DEPARTAMENTO DE LORETO</t>
  </si>
  <si>
    <t>CONSULTORIA</t>
  </si>
  <si>
    <t>2. CONTRATACIÓN DEL SERVICIO DE CONSULTORIA DE OBRA PARA LA ELABORACION DEL EXPEDIENTE TECNICO MEJORAMIENTO DEL CAMINO VECINAL HABANA II ZONA CARRETERA IQUITOS-NAUTA KM. 53+200 MARGEN DERECHO, DISTRITO DE SAN JUAN BAUTISTA, PROVINCIA DE MAYNAS, DEPARTAMENTO DE LORETO</t>
  </si>
  <si>
    <t>3. CONTRATACIÓN DEL SERVICIO DE CONSULTORIA DE OBRA PARA LA ELABORACION DEL EXPEDIENTE TECNICO MEJORAMIENTO DEL CAMINO VECINAL 10 DE OCTUBRE I ZONA UNION (CARRETERA IQUITOS-NAUTA), DISTRITO DE SAN JUAN BAUTISTA, PROVINCIA DE MAYNAS, DEPARTAMENTO DE LORETO</t>
  </si>
  <si>
    <t>4. CONTRATACIÓN DEL SERVICIO DE CONSULTORIA DE OBRA PARA LA ELABORACION DEL EXPEDIENTE TECNICO MEJORAMIENTO DEL CAMINO VECINAL SAN JUAN DE PINTUYACU IQUITOS-NAUTA, DISTRITO DE SAN JUAN BAUTISTA, PROVINCIA DE MAYNAS, DEPARTAMENTO DE LORETO</t>
  </si>
  <si>
    <t>5. CONTRATACIÓN DEL SERVICIO DE CONSULTORIA DE OBRA PARA LA ELABORACION DEL EXPEDIENTE TECNICO MEJORAMIENTO DEL CAMINO VECINAL EL DORADO – BELEN (CARRETERA IQUITOS-NAUTA KM. 25+000), DISTRITO DE SAN JUAN BAUTISTA, PROVINCIA DE MAYNAS, DEPARTAMENTO DE LORETO</t>
  </si>
  <si>
    <t>6. CONTRATACIÓN DEL SERVICIO DE CONSULTORIA DE OBRA PARA LA ELABORACION DEL EXPEDIENTE TECNICO MEJORAMIENTO DEL CAMINO VECINAL NUEVO TRIUNFO, DISTRITO DE SAN JUAN BAUTISTA, PROVINCIA DE MAYNAS, DEPARTAMENTO DE LORETO</t>
  </si>
  <si>
    <t>7. CONTRATACIÓN DEL SERVICIO DE CONSULTORIA DE OBRA PARA LA ELABORACION DEL EXPEDIENTE TECNICO MEJORAMIENTO DEL CAMINO VECINAL EX PETROLEROS I Y II ZONA (CARRETERA IQUITOS-NAUTA KM. 41+000), DISTRITO DE SAN JUAN BAUTISTA, PROVINCIA DE MAYNAS, DEPARTAMENTO DE LORETO</t>
  </si>
  <si>
    <t>8. CONTRATACIÓN DEL SERVICIO DE CONSULTORIA DE OBRA PARA LA ELABORACION DEL EXPEDIENTE TECNICO MEJORAMIENTO DEL CAMINO VECINAL EL PAUJIL I Y II ZONA (CARRETERA IQUITOS-NAUTA KM. 35+500), DISTRITO DE SAN JUAN BAUTISTA, PROVINCIA DE MAYNAS, DEPARTAMENTO DE LORETO</t>
  </si>
  <si>
    <t>9. CONTRATACIÓN DEL SERVICIO DE MANTENIMIENTO RUTINARIO DE LA CARRETERA DEPARATAMENTAL JENARO HERRERA-COLONIA ANGAMOS LO-30KM. DEL AÑO 2019</t>
  </si>
  <si>
    <t>MANTENIMIENTO</t>
  </si>
  <si>
    <t>10. CONTRATACIÓN DEL SERVICIO DE CONSULTORIA DE OBRA PARA LA ELABORACION DEL EXPEDIENTE TECNICO MEJORAMIENTO DEL CAMINO VECINAL HABANA II ZONA CARRETERA IQUITOS-NAUTA KM. 53+200 MARGEN DERECHO, DISTRITO DE SAN JUAN BAUTISTA, PROVINCIA DE MAYNAS, DEPARTAMENTO DE LORETO</t>
  </si>
  <si>
    <t>11. CONTRATACIÓN DEL SERVICIO DE CONSULTORIA DE OBRA PARA LA ELABORACION DEL EXPEDIENTE TECNICO MEJORAMIENTO DEL CAMINO VECINAL CASERIO NUEVO HORIZONTE                                  (CARRETERA IQUITOS-NAUTA KM. 38+500), DISTRITO DE SAN JUAN BAUTISTA, PROVINCIA DE MAYNAS, DEPARTAMENTO DE LORETO</t>
  </si>
  <si>
    <t xml:space="preserve">Ejecutora  : Ucayali-Contamana </t>
  </si>
  <si>
    <t>1. RECUPERACION DE BOSQUES DEGRADADOS EN EL AREA DE INFLUENCIA DE LAS CARRETERAS CONTAMANA AGUAS CALIENTES Y CONTAMANA PETRO PERU, DISTRITO DE CONTAMANA, PROVINCIA DE UCAYALI, DEPARTAMENTO DE LORETO.</t>
  </si>
  <si>
    <t>ESTUDIO DE PRE INVERSION</t>
  </si>
  <si>
    <t>CONSULTORIA EN GENERAL</t>
  </si>
  <si>
    <t>FORMATO 16 : TESORERIA - RESUMEN POR GRUPO GENERICO Y FUENTES DE FINANCIAMIENTO 2019 Y 2020</t>
  </si>
  <si>
    <t>UNIDAD EJECUTORA : 000861 - REGION LORETO - SEDE CENTRAL</t>
  </si>
  <si>
    <t>CUENTAS BANCARIAS</t>
  </si>
  <si>
    <t>ESPECIFICACIONES RECURSOS PUBLICOS</t>
  </si>
  <si>
    <t>UNIDAD EJECUTORA</t>
  </si>
  <si>
    <t>BANCO/INSTITUCION FINANCIERA</t>
  </si>
  <si>
    <t>CUENTA</t>
  </si>
  <si>
    <t>APERTURA</t>
  </si>
  <si>
    <t>MONEDA</t>
  </si>
  <si>
    <t>SALDO 2019 (*)</t>
  </si>
  <si>
    <t>SALDO 2020 (**)</t>
  </si>
  <si>
    <t>BANCO DE LA NACION/SIAF-CUT</t>
  </si>
  <si>
    <t>0521-030240</t>
  </si>
  <si>
    <t>SOLES</t>
  </si>
  <si>
    <t>0521-024577</t>
  </si>
  <si>
    <t>3. RECURSOS OPERACIONES OFICIALES DE</t>
  </si>
  <si>
    <t xml:space="preserve">    CREDITO EXTERNO</t>
  </si>
  <si>
    <t>BANCO DE LA NACION</t>
  </si>
  <si>
    <t>0521-035617</t>
  </si>
  <si>
    <t xml:space="preserve">    - CANON Y SOBRECANON,REGALIAS </t>
  </si>
  <si>
    <t xml:space="preserve">      Y PARTICIPACIONES</t>
  </si>
  <si>
    <t>0521-034912</t>
  </si>
  <si>
    <t xml:space="preserve">    - IMPUESTO A LA RENTA</t>
  </si>
  <si>
    <t xml:space="preserve">    - PARTICIPACIONES - FED</t>
  </si>
  <si>
    <t xml:space="preserve">    - PARTICIPACIONES - FONIPREL</t>
  </si>
  <si>
    <t xml:space="preserve">    - CANON FORESTAL</t>
  </si>
  <si>
    <t xml:space="preserve">    - SALDOS ANTIGUOS</t>
  </si>
  <si>
    <t xml:space="preserve">    - FIDEICOMISO REGIONAL</t>
  </si>
  <si>
    <t xml:space="preserve">    - FIDEICOMISO/ BANCO DE LA NACION</t>
  </si>
  <si>
    <t>068-381800</t>
  </si>
  <si>
    <t>FORMATO 16: TESORERIA - RESUMEN POR GRUPO GENERICO Y FUENTES DE FINANCIAMIENTO 2019 Y 2020</t>
  </si>
  <si>
    <t>BANCO / INSTITUCIÓN FINANCIERA</t>
  </si>
  <si>
    <t>FECHA DE APERTURA</t>
  </si>
  <si>
    <t>SALDO 2018 (*)</t>
  </si>
  <si>
    <t>SALDO 2019 (**)</t>
  </si>
  <si>
    <t>865 - AGRICULTURA</t>
  </si>
  <si>
    <t xml:space="preserve">       OFICIALES DE CRED. EXTERNO</t>
  </si>
  <si>
    <t xml:space="preserve">    - OTROS (ESPECIFIQUE)</t>
  </si>
  <si>
    <t>525-016242</t>
  </si>
  <si>
    <t>Soles</t>
  </si>
  <si>
    <t>-------</t>
  </si>
  <si>
    <t>------</t>
  </si>
  <si>
    <t>SALDO 2020 (***)</t>
  </si>
  <si>
    <t>0872</t>
  </si>
  <si>
    <t>0521-028955-RDR</t>
  </si>
  <si>
    <t>S/</t>
  </si>
  <si>
    <t xml:space="preserve"> 4.-DONACIONES Y TRANSFERENCIAS</t>
  </si>
  <si>
    <t>00-521-028955-DYT</t>
  </si>
  <si>
    <t>1'117,494.81</t>
  </si>
  <si>
    <t xml:space="preserve">     -DONACIONES PARA APOYO PRESUPUESTARIO</t>
  </si>
  <si>
    <t>00-521-028955-TR-N-DYT</t>
  </si>
  <si>
    <t>00-521-028955-K</t>
  </si>
  <si>
    <t>00-521-028955-FED</t>
  </si>
  <si>
    <t xml:space="preserve">       Y PARTICIPACIONES - FED</t>
  </si>
  <si>
    <t xml:space="preserve">    - DU.051-MEDIDAS EXT. Y TEMP. COVID-19-ROOC</t>
  </si>
  <si>
    <t>00-521-028955-ROOC</t>
  </si>
  <si>
    <t xml:space="preserve">    -CTAR LORETO HOSPITAL DE APOYO IQUITOS</t>
  </si>
  <si>
    <t>00-521-024623</t>
  </si>
  <si>
    <t xml:space="preserve">    - REG.LORETO SALUD HOSP. APOYO IQUITOS </t>
  </si>
  <si>
    <t>00-521-026227</t>
  </si>
  <si>
    <t xml:space="preserve">      MEDICAMENTOS DS. 195-2001-EF CADIC</t>
  </si>
  <si>
    <t>00-521-027215</t>
  </si>
  <si>
    <t>00-521-060328</t>
  </si>
  <si>
    <t xml:space="preserve">      EJECUCION DE CARTAS FIANZAS POR GARANT.</t>
  </si>
  <si>
    <t>BANCO DE LA NACIÓN</t>
  </si>
  <si>
    <t>0521-030216</t>
  </si>
  <si>
    <t>0521-024631</t>
  </si>
  <si>
    <t>0521-027223</t>
  </si>
  <si>
    <t>1407-GOB.REG.-H.S.G.Y</t>
  </si>
  <si>
    <t>00525019330</t>
  </si>
  <si>
    <t>2.1 CUENTA CENTRAL DE RDR</t>
  </si>
  <si>
    <t>1407-GOB. REG.-HSGY</t>
  </si>
  <si>
    <t xml:space="preserve">BANCO DE LA NACION </t>
  </si>
  <si>
    <t>00525019349</t>
  </si>
  <si>
    <t>2.2 CUENTA CENTRAL CADIC</t>
  </si>
  <si>
    <t>00525019357</t>
  </si>
  <si>
    <t>2.3 R.D.R.CUT</t>
  </si>
  <si>
    <t>CUT</t>
  </si>
  <si>
    <t xml:space="preserve">4.1 DONACIONES </t>
  </si>
  <si>
    <t>4.2 TRANSFERENCIA</t>
  </si>
  <si>
    <t xml:space="preserve">       - PARTICIPACIONES - BOI</t>
  </si>
  <si>
    <t xml:space="preserve">       - PARTICIPACIONES - FED</t>
  </si>
  <si>
    <t xml:space="preserve">       - CANON PETROLERO</t>
  </si>
  <si>
    <t>530-000206</t>
  </si>
  <si>
    <t>530-000214</t>
  </si>
  <si>
    <t>530-002006</t>
  </si>
  <si>
    <t>SECTOR o GOB. REGIONAL: GOBIERNO REGIONAL DE LORETO</t>
  </si>
  <si>
    <t>001672 - UNIDAD EJECUTORA DE SAUD UCAYALI - CONTAMANA</t>
  </si>
  <si>
    <t>00514001588   R/O</t>
  </si>
  <si>
    <t xml:space="preserve">00514001596  RDR  </t>
  </si>
  <si>
    <t>3.- RECURSOS OPERACIONES OFICIALES DE CRED. EXTERNO</t>
  </si>
  <si>
    <t>00514001588 - OP.CR D.U 068-20</t>
  </si>
  <si>
    <t xml:space="preserve">00514001588 DT - SIS </t>
  </si>
  <si>
    <t xml:space="preserve">00514001588 CANON </t>
  </si>
  <si>
    <t xml:space="preserve">    - CANON  Y  SOBRECANON, REGALIAS Y PARTICIPACIONES</t>
  </si>
  <si>
    <t>0521-030208</t>
  </si>
  <si>
    <t>AÑO 2005</t>
  </si>
  <si>
    <t>AÑO 2013</t>
  </si>
  <si>
    <t xml:space="preserve">  2.1 R.D.R</t>
  </si>
  <si>
    <t xml:space="preserve">  - I.P CENTRALIZADORA</t>
  </si>
  <si>
    <t xml:space="preserve">0521-024615 </t>
  </si>
  <si>
    <t>AÑO 2001</t>
  </si>
  <si>
    <t xml:space="preserve">  - PACFARM - DIREMID</t>
  </si>
  <si>
    <t>0521-024372</t>
  </si>
  <si>
    <t>AÑO 2020</t>
  </si>
  <si>
    <t>0.00</t>
  </si>
  <si>
    <t>114, 452.00</t>
  </si>
  <si>
    <t xml:space="preserve">4. DONACIONES Y TRANSFERENCIAS/ CUT </t>
  </si>
  <si>
    <t xml:space="preserve">  - SIS</t>
  </si>
  <si>
    <t>AÑO 2017</t>
  </si>
  <si>
    <t xml:space="preserve">  - MINSA</t>
  </si>
  <si>
    <t xml:space="preserve">  - DERRAME DE PETROLEO</t>
  </si>
  <si>
    <t>AÑO 2019</t>
  </si>
  <si>
    <t xml:space="preserve">  - MIDIS/INCLUSION SOCIAL</t>
  </si>
  <si>
    <t xml:space="preserve">  4.1 TRANSFERENCIAS</t>
  </si>
  <si>
    <t xml:space="preserve">  - EMERGENCIA SANITARIA </t>
  </si>
  <si>
    <t xml:space="preserve">0521-038950 </t>
  </si>
  <si>
    <t>AÑO 2009</t>
  </si>
  <si>
    <t xml:space="preserve">  - DONACIONES Y TRANSFERENCIAS</t>
  </si>
  <si>
    <t xml:space="preserve">0521-027207 </t>
  </si>
  <si>
    <t>AÑO 2003</t>
  </si>
  <si>
    <t>5. RECURSOS DETERMINADOS:</t>
  </si>
  <si>
    <t xml:space="preserve">     - PARTICIPACIONES FED</t>
  </si>
  <si>
    <t>AÑO 2014</t>
  </si>
  <si>
    <t xml:space="preserve">     5.1 OTROS (ESPECIFIQUE)</t>
  </si>
  <si>
    <t xml:space="preserve">  - FONDOS SUJETOS A RESTRICCION (FONDO DE GARANTÍA DE FIEL CUMPLIMIENTO)</t>
  </si>
  <si>
    <t>0521-060891</t>
  </si>
  <si>
    <t>AÑO 2018</t>
  </si>
  <si>
    <t xml:space="preserve">  - IP. DISA BANCO CONTINENTAL (OTROS)</t>
  </si>
  <si>
    <t>BANCO CONTINENTAL ( BBVA)</t>
  </si>
  <si>
    <t>301-0100009990</t>
  </si>
  <si>
    <t>SALDO 30/06/2020 (**)</t>
  </si>
  <si>
    <t>00-521-030232</t>
  </si>
  <si>
    <t>-</t>
  </si>
  <si>
    <t>Ejecutora : Ucayali-contamana</t>
  </si>
  <si>
    <t>000864</t>
  </si>
  <si>
    <t>0512-029302</t>
  </si>
  <si>
    <t>2013</t>
  </si>
  <si>
    <t>0514-000883</t>
  </si>
  <si>
    <t>2009</t>
  </si>
  <si>
    <t>2008</t>
  </si>
  <si>
    <t>0512-029303</t>
  </si>
  <si>
    <t xml:space="preserve">    - CTA. CTRAL. RR.DD</t>
  </si>
  <si>
    <t>0512-036244</t>
  </si>
  <si>
    <t>2007</t>
  </si>
  <si>
    <t xml:space="preserve">   - CONSORCIO UCAYALI-INTERV.ECON.OBRA</t>
  </si>
  <si>
    <t>0512-044220</t>
  </si>
  <si>
    <t xml:space="preserve">    - RDR D.S. 195-2001-EF</t>
  </si>
  <si>
    <t>0514-000603</t>
  </si>
  <si>
    <t>2001</t>
  </si>
  <si>
    <t xml:space="preserve">   - RETENCIONES 10% LEY 28015 ART. 21</t>
  </si>
  <si>
    <t>0514-001723</t>
  </si>
  <si>
    <t>2018</t>
  </si>
  <si>
    <t>FORMATO 17: NOMBRES E INGRESOS MENSUALES DEL PERSONAL CONTRATADO FUERA DEL PAP EN LOS AÑOS FISCALES 2019 Y 2020</t>
  </si>
  <si>
    <t>SECTOR O GOBIERNO REGIONAL</t>
  </si>
  <si>
    <t>CONTRATANTE</t>
  </si>
  <si>
    <t>AÑO FISCAL 2019</t>
  </si>
  <si>
    <t>AÑO FISCAL 2020</t>
  </si>
  <si>
    <t>Titulo Profesional, Técnico o Capacitación Ocupacional</t>
  </si>
  <si>
    <t>Numero de Contrato o revovaciones</t>
  </si>
  <si>
    <t>Meses Ejecutados</t>
  </si>
  <si>
    <t>Monto Ejecutado</t>
  </si>
  <si>
    <t>Numero de Contratos o renovaciones</t>
  </si>
  <si>
    <t>FUENTE DE</t>
  </si>
  <si>
    <t xml:space="preserve">TIPO </t>
  </si>
  <si>
    <t xml:space="preserve">FUNCION </t>
  </si>
  <si>
    <t>CONTRAPRESTACION</t>
  </si>
  <si>
    <t>DNI</t>
  </si>
  <si>
    <t>Apellidos y Nombres</t>
  </si>
  <si>
    <t>Profesión</t>
  </si>
  <si>
    <t>Grado Academico</t>
  </si>
  <si>
    <t>EJECUTORA</t>
  </si>
  <si>
    <t>FINANCIAMIENTO</t>
  </si>
  <si>
    <t>DE CONTRATO</t>
  </si>
  <si>
    <t>DESEMPEÑADA</t>
  </si>
  <si>
    <t>MENSUAL</t>
  </si>
  <si>
    <t>Recursos Ordinarios</t>
  </si>
  <si>
    <t>Director Agenc. Agrar. Daten Marañon</t>
  </si>
  <si>
    <t>41397284</t>
  </si>
  <si>
    <t>AREVALO PANDURO LUIS ENRIQUE</t>
  </si>
  <si>
    <t>Ing. Agrónomo</t>
  </si>
  <si>
    <t>-.-</t>
  </si>
  <si>
    <t>Nº 155-2020</t>
  </si>
  <si>
    <t>03 de Agos. A Set.</t>
  </si>
  <si>
    <t>Director Agenc. Agrar. Ucayali- Contamana</t>
  </si>
  <si>
    <t>42255504</t>
  </si>
  <si>
    <t>LOZANO REATEGUI ALDO MAGNO</t>
  </si>
  <si>
    <t>Ing. Forestal</t>
  </si>
  <si>
    <t>Nº 183-2020</t>
  </si>
  <si>
    <t>07 de Set.</t>
  </si>
  <si>
    <t>Director de la Direc. De Promoción Agraria</t>
  </si>
  <si>
    <t>05248629</t>
  </si>
  <si>
    <t>MATUTE PINEDO JAIME EDUARDO</t>
  </si>
  <si>
    <t>Nº 153-2020</t>
  </si>
  <si>
    <t>Secretaria</t>
  </si>
  <si>
    <t>05365668</t>
  </si>
  <si>
    <t>GIL NICOLINI KIRA YICELA</t>
  </si>
  <si>
    <t>Nº 001-2019</t>
  </si>
  <si>
    <t xml:space="preserve">05 de Set. Al 30 de Dic. </t>
  </si>
  <si>
    <t>Nº 002-2020</t>
  </si>
  <si>
    <t>Ener. A Set.</t>
  </si>
  <si>
    <t xml:space="preserve">Trabajador de servicio </t>
  </si>
  <si>
    <t>44067605</t>
  </si>
  <si>
    <t>TAPULLIMA HUAYTA KARINA</t>
  </si>
  <si>
    <t xml:space="preserve">01 de Ener. Al 30 Dic.  </t>
  </si>
  <si>
    <t>Director Agenc. Agrar. Alto Amazonas</t>
  </si>
  <si>
    <t>80336821</t>
  </si>
  <si>
    <t>ESPINOZA ORDINOLA MIGUEL ANGEL</t>
  </si>
  <si>
    <t>Nº 007-2019</t>
  </si>
  <si>
    <t>02 de Ener. Al 30 de Dic.</t>
  </si>
  <si>
    <t>Directora Agenc. Agrar. Ramon Castilla</t>
  </si>
  <si>
    <t>41479744</t>
  </si>
  <si>
    <t>D' AZEVEDO REATEGUI ANA KARINA</t>
  </si>
  <si>
    <t>Ing. Agronomo</t>
  </si>
  <si>
    <t>Nº 012-2019</t>
  </si>
  <si>
    <t xml:space="preserve">Especialista en Finanzas </t>
  </si>
  <si>
    <t>05246474</t>
  </si>
  <si>
    <t>DEL CASTILLO TEJADA OSCAR RAUL</t>
  </si>
  <si>
    <t>Tercer Nivel Academico - Ciencias Economicas</t>
  </si>
  <si>
    <t>Tesorero</t>
  </si>
  <si>
    <t>42096836</t>
  </si>
  <si>
    <t>AREVALO TUISIMA CARLOS EWING</t>
  </si>
  <si>
    <t>Economia</t>
  </si>
  <si>
    <t>Bachiller en Ciencias Economicas</t>
  </si>
  <si>
    <t>cas</t>
  </si>
  <si>
    <t>Especialista en Finanzas</t>
  </si>
  <si>
    <t>70257324</t>
  </si>
  <si>
    <t>ASPAJO SINTI JORGE</t>
  </si>
  <si>
    <t>Lic. En Negocios Internacionales y Turismos</t>
  </si>
  <si>
    <t>Ener. A Jul.</t>
  </si>
  <si>
    <t xml:space="preserve">Director de la oficina de Administración </t>
  </si>
  <si>
    <t>Nº 122-2020</t>
  </si>
  <si>
    <t>Agos. A Set.</t>
  </si>
  <si>
    <t>Jefe de Brigada</t>
  </si>
  <si>
    <t>05402764</t>
  </si>
  <si>
    <t>ORBE IÑAPE JOSE LUIS</t>
  </si>
  <si>
    <t>Resp. De Saneamiento Fisico</t>
  </si>
  <si>
    <t>46315339</t>
  </si>
  <si>
    <t>LOPEZ ISUIZA ALEXANDER JUNIOR</t>
  </si>
  <si>
    <t>45920044</t>
  </si>
  <si>
    <t>GALLEGOS VELA PAUL JOSEPH</t>
  </si>
  <si>
    <t>45752881</t>
  </si>
  <si>
    <t>DIAZ GUIMACK NEIL STEVE</t>
  </si>
  <si>
    <t>Ing. Especialista en Diagnostico de Predios</t>
  </si>
  <si>
    <t>45277677</t>
  </si>
  <si>
    <t>MANRIQUE JIMENEZ EDSEL MANUEL</t>
  </si>
  <si>
    <t>Responsable Administrativo</t>
  </si>
  <si>
    <t>40693682</t>
  </si>
  <si>
    <t>NUÑEZ FIGUEROA MAGALI</t>
  </si>
  <si>
    <t>Bachiller en Administración de Empresas</t>
  </si>
  <si>
    <t>Ing. Especialista en Clasificación de Suelos</t>
  </si>
  <si>
    <t>45410645</t>
  </si>
  <si>
    <t>BABILONIA RUIS JOSE ERICK</t>
  </si>
  <si>
    <t>Asistente Administrativo</t>
  </si>
  <si>
    <t>72520906</t>
  </si>
  <si>
    <t>PAREDES MACEDO MARIA EMILY</t>
  </si>
  <si>
    <t>Profesional Tecnico en  Contabilidad</t>
  </si>
  <si>
    <t>Director de la Oficina de Asesoria Juridica</t>
  </si>
  <si>
    <t>40763788</t>
  </si>
  <si>
    <t>RIOS DAVILA CARLOS MARIO</t>
  </si>
  <si>
    <t>Abogado</t>
  </si>
  <si>
    <t>Nº 087-2020</t>
  </si>
  <si>
    <t xml:space="preserve">31 de Marz. A Set. </t>
  </si>
  <si>
    <t>Directora de la Agenc. Agrar. Requena</t>
  </si>
  <si>
    <t>05416843</t>
  </si>
  <si>
    <t>ALVA CABALLERO ROSA LIZETH</t>
  </si>
  <si>
    <t>ing. Agronomo</t>
  </si>
  <si>
    <t>Nº 108-2019</t>
  </si>
  <si>
    <t>01 de Marz. Al 30 de Dic.</t>
  </si>
  <si>
    <t>FORMATO 18: ALQUILER DE INMUEBLES EN LOS AÑOS FISCALES 2019 Y 2020</t>
  </si>
  <si>
    <t>ARRENDATARIO</t>
  </si>
  <si>
    <t>ARRENDADOR</t>
  </si>
  <si>
    <t>INMUEBLE</t>
  </si>
  <si>
    <t>CONTRATO</t>
  </si>
  <si>
    <t>EJECUCIÓN 2018</t>
  </si>
  <si>
    <t>EJECUCIÓN 2019 (*)</t>
  </si>
  <si>
    <t>PLIEGO</t>
  </si>
  <si>
    <t>Apellidos y Nombres o Denominación</t>
  </si>
  <si>
    <t>DNI O PARTIDA REGISTRAL</t>
  </si>
  <si>
    <t>BIEN PROPIO DE TERCEROS O AJENO</t>
  </si>
  <si>
    <t>PARTIDA REGISTRAL DE INCRIPCION DE PROPIEDAD</t>
  </si>
  <si>
    <t>METROS CUADRADOS</t>
  </si>
  <si>
    <t>COCHERAS</t>
  </si>
  <si>
    <t>VIGENCIA DEL CONTRATO</t>
  </si>
  <si>
    <t>MONTO MENSUAL</t>
  </si>
  <si>
    <t xml:space="preserve">FORMA DE PAGO (MENSUAL O ANUAL) Y FECHA DE PAGO </t>
  </si>
  <si>
    <t>GOBIERNO REGIONAL DE LORETO</t>
  </si>
  <si>
    <t>GERENCIA SUB REGIONAL DE ALTO AMAZONAS</t>
  </si>
  <si>
    <t>ALEX ROBERTO ACHING LOPEZ</t>
  </si>
  <si>
    <t>PROPIO</t>
  </si>
  <si>
    <t>1,700m3</t>
  </si>
  <si>
    <t xml:space="preserve">MESUAL </t>
  </si>
  <si>
    <t>X</t>
  </si>
  <si>
    <t>(*) = Al 30 de junio de 2020</t>
  </si>
  <si>
    <t xml:space="preserve">                                                                                                                                                                                                                                                                                                                                                                                                                                                                                                                                                                                                                                                                                                                                                                                                                                                                                                                                                                                                                                                                                                                                                                                                                                                                                                                                                                                                                                                                                                                                                                                                                                                                                                                                                                                                                                                                                                                                                                                                                                                                                                                                                                                                                                                                                                                                                                                                                                                                                                                                                                                                                                                                                                                                                                                                                                                                                                                                                                                                                                                                                                                                                                                                                                                                                                                                                                                                                                                                                                                                                                                                                                                                                                                                                                                                                                                                                                                                                                                                                                                                                                                                                                                                                                                                                                                                                                                </t>
  </si>
  <si>
    <t>453: Gobierno Regional de Loreto</t>
  </si>
  <si>
    <t>402: Hospital Apoyo Iquitos</t>
  </si>
  <si>
    <t>Zegarra Diaz Flor</t>
  </si>
  <si>
    <t>Propio</t>
  </si>
  <si>
    <t>P12019763</t>
  </si>
  <si>
    <t>475.9900 m2</t>
  </si>
  <si>
    <t>20/11/2019 al 20/03/2020</t>
  </si>
  <si>
    <t>Mensual: 18/11/2019</t>
  </si>
  <si>
    <t>453:Gobierno Regional de Loreto</t>
  </si>
  <si>
    <t>Mensual: 11/03/2020</t>
  </si>
  <si>
    <t>P12020763</t>
  </si>
  <si>
    <t>21/03/2020 al 21/07/2020</t>
  </si>
  <si>
    <t>Mensual: 23/04/2020</t>
  </si>
  <si>
    <t>Mensual: 09/06/2020</t>
  </si>
  <si>
    <t>Mensual: 08/07/2020</t>
  </si>
  <si>
    <t>Mensual: 01/08/2020</t>
  </si>
  <si>
    <t>22/07/2020 al 22/08/2020</t>
  </si>
  <si>
    <t>Mensual: 24/08/2020</t>
  </si>
  <si>
    <t>23/08/2020 al 23/08/2020</t>
  </si>
  <si>
    <t>Mensual: 28/09/2020</t>
  </si>
  <si>
    <t>453 GOBIERNO REGIONAL DEL DEPARTAMENTO DE LORETO</t>
  </si>
  <si>
    <t>UNIDAD EJECUTORA SALUD UCAYALI- CONTAMANA – 1672.</t>
  </si>
  <si>
    <t>GIOCONDA RUIZ PEREZ.</t>
  </si>
  <si>
    <t>10059549095</t>
  </si>
  <si>
    <t>00019614</t>
  </si>
  <si>
    <t>3 PISOS</t>
  </si>
  <si>
    <t>25 MESES</t>
  </si>
  <si>
    <t>AMELIA PAREDES LOMAS</t>
  </si>
  <si>
    <t>P12053010</t>
  </si>
  <si>
    <t>22 MESES</t>
  </si>
  <si>
    <t>PERCY VILLENA VASQUEZ</t>
  </si>
  <si>
    <t>26 MESES</t>
  </si>
  <si>
    <t>NERO KA´S EIRL</t>
  </si>
  <si>
    <t xml:space="preserve">CONSTANCIA DE PROPIEDAD </t>
  </si>
  <si>
    <t>453 Gobierno Regional de Loreto</t>
  </si>
  <si>
    <t>400 Salud Loreto</t>
  </si>
  <si>
    <t>KEI TAO CHING LI</t>
  </si>
  <si>
    <t>Sin Contrato</t>
  </si>
  <si>
    <t>SALAS BARRERA CESAR AUGUSTO</t>
  </si>
  <si>
    <t>MURRIETA DEL AGUILA WANDERLID KELAIDE</t>
  </si>
  <si>
    <t xml:space="preserve">FLOR ZEGARRA DIAZ </t>
  </si>
  <si>
    <t>05217776</t>
  </si>
  <si>
    <t>Contrato N°004-2020</t>
  </si>
  <si>
    <t>ERNESTINA CORREA DE SALAS</t>
  </si>
  <si>
    <t>05224815</t>
  </si>
  <si>
    <t>MARCIA ALEYDA GUTIERRES RODRIGUEZ</t>
  </si>
  <si>
    <t>05783137</t>
  </si>
  <si>
    <t>Contrato N°003-2020</t>
  </si>
  <si>
    <t>HIDALGO CAJACHAGUA JHON ALEXANDER</t>
  </si>
  <si>
    <t>04521956</t>
  </si>
  <si>
    <t>Contrato N°008-2020</t>
  </si>
  <si>
    <t>ROSA MARIA FLORES WONG</t>
  </si>
  <si>
    <t>00528965</t>
  </si>
  <si>
    <t>Contrato N°005-2020</t>
  </si>
  <si>
    <t>BETTY RUBY ASAYAG VASQUEZ</t>
  </si>
  <si>
    <t>71037797</t>
  </si>
  <si>
    <t>Contrato N°127-2019</t>
  </si>
  <si>
    <t>TOBIES RIOS DE MOBERG ROSA DONALIA</t>
  </si>
  <si>
    <t>00534188</t>
  </si>
  <si>
    <t>Contrato N° 001-2020</t>
  </si>
  <si>
    <t>RUIZ PEREZ ROBERTO REGINALDO</t>
  </si>
  <si>
    <t>07066676</t>
  </si>
  <si>
    <t>Contrato N°028-2020</t>
  </si>
  <si>
    <t>MARIA ESTHER CORIAT MACEDO DE MOREY</t>
  </si>
  <si>
    <t>00520239</t>
  </si>
  <si>
    <t>Contrato N°011-2020</t>
  </si>
  <si>
    <t xml:space="preserve">ROGER AREVALO GARCIA </t>
  </si>
  <si>
    <t>00804464</t>
  </si>
  <si>
    <t>ContratoN°006-2020</t>
  </si>
  <si>
    <t>Contrato N°007-2020</t>
  </si>
  <si>
    <t>GALLY PINEDO SORIA</t>
  </si>
  <si>
    <t>04224429</t>
  </si>
  <si>
    <t>Contrato N°010-2020</t>
  </si>
  <si>
    <t xml:space="preserve">Weche VIillena Gladys </t>
  </si>
  <si>
    <t>Contrato N°013-2020</t>
  </si>
  <si>
    <t>Elder Marreros Pinedo</t>
  </si>
  <si>
    <t>09336238</t>
  </si>
  <si>
    <t>Contrato N°009-2020</t>
  </si>
  <si>
    <t>Congregacion de Religiosas Agustinas Misioneras</t>
  </si>
  <si>
    <t>03780472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</si>
</sst>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0;\-#,##0;&quot;&quot;"/>
    <numFmt numFmtId="165" formatCode="#,##0_ ;\-#,##0\ "/>
    <numFmt numFmtId="166" formatCode="_ * #,##0.00_ ;_ * \-#,##0.00_ ;_ * &quot;-&quot;??_ ;_ @_ "/>
    <numFmt numFmtId="167" formatCode="_-* #,##0.00\ _€_-;\-* #,##0.00\ _€_-;_-* &quot;-&quot;??\ _€_-;_-@_-"/>
    <numFmt numFmtId="168" formatCode="_-* #,##0_-;\-* #,##0_-;_-* &quot;-&quot;??_-;_-@_-"/>
    <numFmt numFmtId="169" formatCode="_ * #,##0_ ;_ * \-#,##0_ ;_ * &quot;-&quot;??_ ;_ @_ "/>
    <numFmt numFmtId="170" formatCode="0.00;[Red]0.00"/>
    <numFmt numFmtId="171" formatCode="#,##0.00;[Red]#,##0.00"/>
    <numFmt numFmtId="172" formatCode="#,##0;[Red]#,##0"/>
    <numFmt numFmtId="173" formatCode="[$-280A]d&quot; de &quot;mmmm&quot; de &quot;yyyy"/>
    <numFmt numFmtId="174" formatCode="00000000"/>
  </numFmts>
  <fonts count="84">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7.7"/>
      <color theme="1"/>
      <name val="Arial"/>
      <family val="2"/>
    </font>
    <font>
      <sz val="8"/>
      <color theme="1"/>
      <name val="Arial"/>
      <family val="2"/>
    </font>
    <font>
      <b/>
      <sz val="8"/>
      <color theme="1"/>
      <name val="Arial"/>
      <family val="2"/>
    </font>
    <font>
      <b/>
      <sz val="8"/>
      <color rgb="FFFFFFFF"/>
      <name val="Arial"/>
      <family val="2"/>
    </font>
    <font>
      <b/>
      <sz val="7.7"/>
      <color theme="1"/>
      <name val="Arial"/>
      <family val="2"/>
    </font>
    <font>
      <sz val="20"/>
      <color theme="1"/>
      <name val="Calibri"/>
      <family val="2"/>
      <scheme val="minor"/>
    </font>
    <font>
      <b/>
      <sz val="10"/>
      <color theme="1"/>
      <name val="Calibri"/>
      <family val="2"/>
      <scheme val="minor"/>
    </font>
    <font>
      <sz val="10"/>
      <color theme="1"/>
      <name val="Calibri"/>
      <family val="2"/>
      <scheme val="minor"/>
    </font>
    <font>
      <sz val="10"/>
      <color theme="1"/>
      <name val="Calibri"/>
      <family val="2"/>
    </font>
    <font>
      <sz val="7"/>
      <color theme="1"/>
      <name val="Calibri"/>
      <family val="2"/>
      <scheme val="minor"/>
    </font>
    <font>
      <sz val="11"/>
      <color theme="1"/>
      <name val="Arial"/>
      <family val="2"/>
    </font>
    <font>
      <b/>
      <sz val="10"/>
      <color theme="1"/>
      <name val="Arial"/>
      <family val="2"/>
    </font>
    <font>
      <sz val="10"/>
      <color theme="1"/>
      <name val="Arial"/>
      <family val="2"/>
    </font>
    <font>
      <b/>
      <sz val="10"/>
      <color rgb="FF000000"/>
      <name val="Arial"/>
      <family val="2"/>
    </font>
    <font>
      <b/>
      <sz val="8"/>
      <color rgb="FF000000"/>
      <name val="Arial"/>
      <family val="2"/>
    </font>
    <font>
      <sz val="10"/>
      <name val="Arial"/>
      <family val="2"/>
    </font>
    <font>
      <sz val="8"/>
      <color rgb="FF000000"/>
      <name val="Arial"/>
      <family val="2"/>
    </font>
    <font>
      <b/>
      <sz val="8"/>
      <color theme="1"/>
      <name val="Calibri"/>
      <family val="2"/>
    </font>
    <font>
      <sz val="8"/>
      <color theme="1"/>
      <name val="Calibri"/>
      <family val="2"/>
    </font>
    <font>
      <sz val="8"/>
      <name val="Arial"/>
      <family val="2"/>
    </font>
    <font>
      <b/>
      <sz val="8"/>
      <name val="Arial"/>
      <family val="2"/>
    </font>
    <font>
      <b/>
      <u/>
      <sz val="8"/>
      <color theme="1"/>
      <name val="Arial"/>
      <family val="2"/>
    </font>
    <font>
      <sz val="10"/>
      <color rgb="FF000000"/>
      <name val="Arial"/>
      <family val="2"/>
    </font>
    <font>
      <b/>
      <sz val="9"/>
      <color theme="1"/>
      <name val="Arial"/>
      <family val="2"/>
    </font>
    <font>
      <sz val="9"/>
      <color rgb="FF000000"/>
      <name val="Arial"/>
      <family val="2"/>
    </font>
    <font>
      <b/>
      <sz val="9"/>
      <color rgb="FF000000"/>
      <name val="Arial"/>
      <family val="2"/>
    </font>
    <font>
      <sz val="9"/>
      <color theme="1"/>
      <name val="Arial"/>
      <family val="2"/>
    </font>
    <font>
      <b/>
      <sz val="12"/>
      <color theme="1"/>
      <name val="Arial"/>
      <family val="2"/>
    </font>
    <font>
      <sz val="10"/>
      <color rgb="FF000000"/>
      <name val="Arial"/>
      <family val="2"/>
    </font>
    <font>
      <b/>
      <sz val="10"/>
      <color theme="1"/>
      <name val="Calibri Light"/>
      <family val="1"/>
      <scheme val="major"/>
    </font>
    <font>
      <sz val="10"/>
      <color theme="1"/>
      <name val="Calibri Light"/>
      <family val="1"/>
      <scheme val="major"/>
    </font>
    <font>
      <b/>
      <sz val="13"/>
      <color theme="1"/>
      <name val="Calibri Light"/>
      <family val="1"/>
      <scheme val="major"/>
    </font>
    <font>
      <sz val="11"/>
      <color theme="1"/>
      <name val="Calibri Light"/>
      <family val="1"/>
      <scheme val="major"/>
    </font>
    <font>
      <sz val="18"/>
      <color theme="1"/>
      <name val="Calibri"/>
      <family val="2"/>
      <scheme val="minor"/>
    </font>
    <font>
      <b/>
      <sz val="14"/>
      <color rgb="FFFF0000"/>
      <name val="Arial"/>
      <family val="2"/>
    </font>
    <font>
      <b/>
      <sz val="11"/>
      <color theme="1"/>
      <name val="Arial"/>
      <family val="2"/>
    </font>
    <font>
      <b/>
      <sz val="8"/>
      <color rgb="FF000000"/>
      <name val="Calibri Light"/>
      <family val="2"/>
      <scheme val="major"/>
    </font>
    <font>
      <b/>
      <sz val="8"/>
      <color theme="1"/>
      <name val="Calibri"/>
      <family val="2"/>
      <scheme val="minor"/>
    </font>
    <font>
      <sz val="9"/>
      <name val="Arial"/>
      <family val="2"/>
    </font>
    <font>
      <sz val="8"/>
      <color theme="1"/>
      <name val="Calibri Light"/>
      <family val="1"/>
      <scheme val="major"/>
    </font>
    <font>
      <b/>
      <sz val="12"/>
      <color theme="1"/>
      <name val="Calibri Light"/>
      <family val="1"/>
      <scheme val="major"/>
    </font>
    <font>
      <b/>
      <sz val="8"/>
      <color indexed="8"/>
      <name val="Arial"/>
      <family val="2"/>
    </font>
    <font>
      <b/>
      <sz val="7"/>
      <color indexed="8"/>
      <name val="Arial"/>
      <family val="2"/>
    </font>
    <font>
      <b/>
      <sz val="5"/>
      <color indexed="8"/>
      <name val="Arial"/>
      <family val="2"/>
    </font>
    <font>
      <sz val="10"/>
      <color indexed="8"/>
      <name val="SansSerif"/>
    </font>
    <font>
      <b/>
      <sz val="6"/>
      <color indexed="8"/>
      <name val="SansSerif"/>
    </font>
    <font>
      <b/>
      <sz val="6"/>
      <name val="Arial"/>
      <family val="2"/>
    </font>
    <font>
      <sz val="6"/>
      <name val="Arial"/>
      <family val="2"/>
    </font>
    <font>
      <sz val="6"/>
      <color indexed="8"/>
      <name val="Arial"/>
      <family val="2"/>
    </font>
    <font>
      <sz val="6"/>
      <color indexed="8"/>
      <name val="SansSerif"/>
    </font>
    <font>
      <b/>
      <sz val="6"/>
      <color indexed="8"/>
      <name val="Arial"/>
      <family val="2"/>
    </font>
    <font>
      <b/>
      <sz val="10"/>
      <color indexed="8"/>
      <name val="SansSerif"/>
    </font>
    <font>
      <sz val="8"/>
      <color rgb="FF000000"/>
      <name val="Verdana"/>
      <family val="2"/>
    </font>
    <font>
      <sz val="8"/>
      <color theme="1"/>
      <name val="Verdana"/>
      <family val="2"/>
    </font>
    <font>
      <sz val="9"/>
      <color rgb="FF000080"/>
      <name val="Arial"/>
      <family val="2"/>
    </font>
    <font>
      <b/>
      <sz val="7.5"/>
      <color theme="1"/>
      <name val="Arial"/>
      <family val="2"/>
    </font>
    <font>
      <b/>
      <sz val="7"/>
      <color theme="1"/>
      <name val="Arial"/>
      <family val="2"/>
    </font>
    <font>
      <b/>
      <sz val="7"/>
      <color rgb="FF000000"/>
      <name val="Arial"/>
      <family val="2"/>
    </font>
    <font>
      <sz val="7"/>
      <color rgb="FF000000"/>
      <name val="Arial"/>
      <family val="2"/>
    </font>
    <font>
      <b/>
      <sz val="6.5"/>
      <color theme="1"/>
      <name val="Arial"/>
      <family val="2"/>
    </font>
    <font>
      <b/>
      <sz val="10"/>
      <name val="Arial"/>
      <family val="2"/>
    </font>
    <font>
      <sz val="10"/>
      <color rgb="FF000000"/>
      <name val="Calibri"/>
      <family val="2"/>
    </font>
    <font>
      <b/>
      <u/>
      <sz val="9"/>
      <color theme="1"/>
      <name val="Arial"/>
      <family val="2"/>
    </font>
    <font>
      <b/>
      <sz val="12"/>
      <color theme="1"/>
      <name val="Calibri"/>
      <family val="2"/>
      <scheme val="minor"/>
    </font>
    <font>
      <b/>
      <sz val="12"/>
      <color rgb="FF000000"/>
      <name val="Calibri"/>
      <family val="2"/>
      <scheme val="minor"/>
    </font>
    <font>
      <u/>
      <sz val="10"/>
      <color theme="10"/>
      <name val="Arial"/>
      <family val="2"/>
    </font>
  </fonts>
  <fills count="5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3A6EA5"/>
        <bgColor indexed="64"/>
      </patternFill>
    </fill>
    <fill>
      <patternFill patternType="solid">
        <fgColor theme="5" tint="0.59999389629810485"/>
        <bgColor indexed="64"/>
      </patternFill>
    </fill>
    <fill>
      <patternFill patternType="solid">
        <fgColor rgb="FFE36C09"/>
        <bgColor rgb="FFE36C09"/>
      </patternFill>
    </fill>
    <fill>
      <patternFill patternType="solid">
        <fgColor rgb="FFC6D9F0"/>
        <bgColor rgb="FFC6D9F0"/>
      </patternFill>
    </fill>
    <fill>
      <patternFill patternType="solid">
        <fgColor rgb="FFC0C0C0"/>
        <bgColor rgb="FFC0C0C0"/>
      </patternFill>
    </fill>
    <fill>
      <patternFill patternType="solid">
        <fgColor rgb="FFFFFF00"/>
        <bgColor indexed="64"/>
      </patternFill>
    </fill>
    <fill>
      <patternFill patternType="solid">
        <fgColor theme="4" tint="0.59999389629810485"/>
        <bgColor rgb="FFC6D9F0"/>
      </patternFill>
    </fill>
    <fill>
      <patternFill patternType="solid">
        <fgColor theme="4" tint="0.59999389629810485"/>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rgb="FFD8D8D8"/>
        <bgColor rgb="FFD8D8D8"/>
      </patternFill>
    </fill>
    <fill>
      <patternFill patternType="solid">
        <fgColor theme="0" tint="-0.14999847407452621"/>
        <bgColor rgb="FFD8D8D8"/>
      </patternFill>
    </fill>
    <fill>
      <patternFill patternType="solid">
        <fgColor theme="0"/>
        <bgColor theme="0"/>
      </patternFill>
    </fill>
    <fill>
      <patternFill patternType="solid">
        <fgColor rgb="FFFF9933"/>
        <bgColor rgb="FFE36C09"/>
      </patternFill>
    </fill>
    <fill>
      <patternFill patternType="solid">
        <fgColor rgb="FFFF9933"/>
        <bgColor indexed="64"/>
      </patternFill>
    </fill>
    <fill>
      <patternFill patternType="solid">
        <fgColor theme="0" tint="-0.249977111117893"/>
        <bgColor indexed="64"/>
      </patternFill>
    </fill>
    <fill>
      <patternFill patternType="solid">
        <fgColor rgb="FFFFFF00"/>
        <bgColor theme="0"/>
      </patternFill>
    </fill>
    <fill>
      <patternFill patternType="solid">
        <fgColor theme="0"/>
        <bgColor rgb="FFC0C0C0"/>
      </patternFill>
    </fill>
    <fill>
      <patternFill patternType="solid">
        <fgColor rgb="FFFFFFFF"/>
        <bgColor rgb="FFFFFFFF"/>
      </patternFill>
    </fill>
    <fill>
      <patternFill patternType="solid">
        <fgColor theme="0"/>
        <bgColor indexed="64"/>
      </patternFill>
    </fill>
    <fill>
      <patternFill patternType="solid">
        <fgColor theme="0"/>
        <bgColor rgb="FFE36C09"/>
      </patternFill>
    </fill>
    <fill>
      <patternFill patternType="solid">
        <fgColor theme="5"/>
        <bgColor indexed="64"/>
      </patternFill>
    </fill>
    <fill>
      <patternFill patternType="solid">
        <fgColor theme="9"/>
        <bgColor indexed="64"/>
      </patternFill>
    </fill>
    <fill>
      <patternFill patternType="solid">
        <fgColor theme="9"/>
        <bgColor theme="9"/>
      </patternFill>
    </fill>
  </fills>
  <borders count="17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thin">
        <color rgb="FF000000"/>
      </right>
      <top style="thin">
        <color indexed="64"/>
      </top>
      <bottom style="thin">
        <color indexed="64"/>
      </bottom>
      <diagonal/>
    </border>
    <border>
      <left style="medium">
        <color rgb="FF000000"/>
      </left>
      <right style="medium">
        <color rgb="FF000000"/>
      </right>
      <top/>
      <bottom/>
      <diagonal/>
    </border>
    <border>
      <left style="medium">
        <color rgb="FF000000"/>
      </left>
      <right/>
      <top/>
      <bottom style="medium">
        <color rgb="FF000000"/>
      </bottom>
      <diagonal/>
    </border>
    <border>
      <left style="medium">
        <color rgb="FF000000"/>
      </left>
      <right/>
      <top/>
      <bottom/>
      <diagonal/>
    </border>
    <border>
      <left style="medium">
        <color rgb="FF000000"/>
      </left>
      <right style="medium">
        <color rgb="FF000000"/>
      </right>
      <top/>
      <bottom style="thick">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thick">
        <color rgb="FF000000"/>
      </bottom>
      <diagonal/>
    </border>
    <border>
      <left style="thin">
        <color rgb="FF000000"/>
      </left>
      <right style="thin">
        <color rgb="FF000000"/>
      </right>
      <top/>
      <bottom/>
      <diagonal/>
    </border>
    <border>
      <left/>
      <right/>
      <top/>
      <bottom style="thick">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style="thick">
        <color rgb="FF000000"/>
      </bottom>
      <diagonal/>
    </border>
    <border>
      <left/>
      <right style="thin">
        <color rgb="FF000000"/>
      </right>
      <top/>
      <bottom/>
      <diagonal/>
    </border>
    <border>
      <left/>
      <right style="medium">
        <color rgb="FF000000"/>
      </right>
      <top/>
      <bottom style="thick">
        <color rgb="FF000000"/>
      </bottom>
      <diagonal/>
    </border>
    <border>
      <left/>
      <right style="thin">
        <color rgb="FF000000"/>
      </right>
      <top style="medium">
        <color rgb="FF000000"/>
      </top>
      <bottom/>
      <diagonal/>
    </border>
    <border>
      <left/>
      <right style="thin">
        <color rgb="FF000000"/>
      </right>
      <top/>
      <bottom style="thick">
        <color rgb="FF000000"/>
      </bottom>
      <diagonal/>
    </border>
    <border>
      <left/>
      <right style="thin">
        <color rgb="FF000000"/>
      </right>
      <top style="medium">
        <color rgb="FF000000"/>
      </top>
      <bottom style="medium">
        <color rgb="FF000000"/>
      </bottom>
      <diagonal/>
    </border>
    <border>
      <left/>
      <right style="medium">
        <color rgb="FF000000"/>
      </right>
      <top/>
      <bottom/>
      <diagonal/>
    </border>
    <border>
      <left style="thin">
        <color rgb="FF000000"/>
      </left>
      <right style="medium">
        <color rgb="FF000000"/>
      </right>
      <top style="medium">
        <color rgb="FF000000"/>
      </top>
      <bottom/>
      <diagonal/>
    </border>
    <border>
      <left style="thin">
        <color rgb="FF000000"/>
      </left>
      <right style="medium">
        <color rgb="FF000000"/>
      </right>
      <top/>
      <bottom style="thick">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right style="thin">
        <color rgb="FF000000"/>
      </right>
      <top style="thin">
        <color rgb="FF000000"/>
      </top>
      <bottom/>
      <diagonal/>
    </border>
    <border>
      <left style="thin">
        <color rgb="FF000000"/>
      </left>
      <right style="medium">
        <color rgb="FF000000"/>
      </right>
      <top/>
      <bottom/>
      <diagonal/>
    </border>
    <border>
      <left/>
      <right/>
      <top style="medium">
        <color indexed="64"/>
      </top>
      <bottom style="medium">
        <color indexed="64"/>
      </bottom>
      <diagonal/>
    </border>
    <border>
      <left style="medium">
        <color rgb="FF000000"/>
      </left>
      <right style="thin">
        <color indexed="64"/>
      </right>
      <top/>
      <bottom/>
      <diagonal/>
    </border>
    <border>
      <left/>
      <right style="medium">
        <color auto="1"/>
      </right>
      <top/>
      <bottom/>
      <diagonal/>
    </border>
    <border>
      <left/>
      <right style="medium">
        <color indexed="64"/>
      </right>
      <top style="medium">
        <color indexed="64"/>
      </top>
      <bottom style="medium">
        <color indexed="64"/>
      </bottom>
      <diagonal/>
    </border>
    <border>
      <left/>
      <right/>
      <top style="medium">
        <color auto="1"/>
      </top>
      <bottom style="thin">
        <color auto="1"/>
      </bottom>
      <diagonal/>
    </border>
    <border>
      <left/>
      <right style="medium">
        <color indexed="64"/>
      </right>
      <top style="medium">
        <color indexed="64"/>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medium">
        <color indexed="64"/>
      </left>
      <right/>
      <top style="thin">
        <color auto="1"/>
      </top>
      <bottom style="thin">
        <color auto="1"/>
      </bottom>
      <diagonal/>
    </border>
    <border>
      <left style="medium">
        <color indexed="64"/>
      </left>
      <right style="medium">
        <color indexed="64"/>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thin">
        <color auto="1"/>
      </top>
      <bottom/>
      <diagonal/>
    </border>
    <border>
      <left style="medium">
        <color indexed="64"/>
      </left>
      <right/>
      <top style="thin">
        <color auto="1"/>
      </top>
      <bottom/>
      <diagonal/>
    </border>
    <border>
      <left style="medium">
        <color indexed="64"/>
      </left>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rgb="FF000000"/>
      </left>
      <right/>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thin">
        <color rgb="FF000000"/>
      </bottom>
      <diagonal/>
    </border>
    <border>
      <left style="medium">
        <color indexed="64"/>
      </left>
      <right style="thin">
        <color rgb="FF000000"/>
      </right>
      <top style="medium">
        <color indexed="64"/>
      </top>
      <bottom/>
      <diagonal/>
    </border>
    <border>
      <left/>
      <right style="medium">
        <color indexed="64"/>
      </right>
      <top style="medium">
        <color indexed="64"/>
      </top>
      <bottom/>
      <diagonal/>
    </border>
    <border>
      <left style="medium">
        <color indexed="64"/>
      </left>
      <right style="thin">
        <color rgb="FF000000"/>
      </right>
      <top/>
      <bottom style="medium">
        <color rgb="FF000000"/>
      </bottom>
      <diagonal/>
    </border>
    <border>
      <left/>
      <right style="medium">
        <color indexed="64"/>
      </right>
      <top/>
      <bottom style="medium">
        <color rgb="FF000000"/>
      </bottom>
      <diagonal/>
    </border>
    <border>
      <left style="medium">
        <color indexed="64"/>
      </left>
      <right style="thin">
        <color rgb="FF000000"/>
      </right>
      <top/>
      <bottom/>
      <diagonal/>
    </border>
    <border>
      <left style="medium">
        <color rgb="FF000000"/>
      </left>
      <right/>
      <top style="thin">
        <color rgb="FF000000"/>
      </top>
      <bottom style="medium">
        <color rgb="FF000000"/>
      </bottom>
      <diagonal/>
    </border>
    <border>
      <left style="thin">
        <color indexed="64"/>
      </left>
      <right/>
      <top style="thin">
        <color rgb="FF000000"/>
      </top>
      <bottom style="medium">
        <color rgb="FF000000"/>
      </bottom>
      <diagonal/>
    </border>
    <border>
      <left style="thin">
        <color indexed="64"/>
      </left>
      <right style="medium">
        <color rgb="FF000000"/>
      </right>
      <top style="thin">
        <color rgb="FF000000"/>
      </top>
      <bottom style="medium">
        <color rgb="FF000000"/>
      </bottom>
      <diagonal/>
    </border>
    <border>
      <left style="medium">
        <color rgb="FF000000"/>
      </left>
      <right style="thin">
        <color indexed="64"/>
      </right>
      <top style="thin">
        <color rgb="FF000000"/>
      </top>
      <bottom style="medium">
        <color rgb="FF000000"/>
      </bottom>
      <diagonal/>
    </border>
    <border>
      <left style="thin">
        <color indexed="64"/>
      </left>
      <right style="thin">
        <color indexed="64"/>
      </right>
      <top style="thin">
        <color rgb="FF000000"/>
      </top>
      <bottom style="medium">
        <color rgb="FF000000"/>
      </bottom>
      <diagonal/>
    </border>
    <border>
      <left/>
      <right style="thin">
        <color indexed="64"/>
      </right>
      <top style="thin">
        <color rgb="FF000000"/>
      </top>
      <bottom style="medium">
        <color rgb="FF000000"/>
      </bottom>
      <diagonal/>
    </border>
    <border>
      <left style="thin">
        <color rgb="FF000000"/>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auto="1"/>
      </left>
      <right style="medium">
        <color auto="1"/>
      </right>
      <top/>
      <bottom/>
      <diagonal/>
    </border>
    <border>
      <left/>
      <right style="thin">
        <color indexed="64"/>
      </right>
      <top/>
      <bottom/>
      <diagonal/>
    </border>
    <border>
      <left style="thin">
        <color auto="1"/>
      </left>
      <right/>
      <top/>
      <bottom style="thin">
        <color auto="1"/>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40" fillId="0" borderId="0"/>
    <xf numFmtId="43" fontId="1" fillId="0" borderId="0" applyFont="0" applyFill="0" applyBorder="0" applyAlignment="0" applyProtection="0"/>
    <xf numFmtId="43" fontId="46" fillId="0" borderId="0" applyFont="0" applyFill="0" applyBorder="0" applyAlignment="0" applyProtection="0"/>
    <xf numFmtId="0" fontId="40" fillId="0" borderId="0"/>
    <xf numFmtId="0" fontId="83" fillId="0" borderId="0" applyNumberFormat="0" applyFill="0" applyBorder="0" applyAlignment="0" applyProtection="0"/>
  </cellStyleXfs>
  <cellXfs count="1440">
    <xf numFmtId="0" fontId="0" fillId="0" borderId="0" xfId="0"/>
    <xf numFmtId="0" fontId="18" fillId="33" borderId="0" xfId="0" applyFont="1" applyFill="1"/>
    <xf numFmtId="0" fontId="19" fillId="33" borderId="0" xfId="0" applyFont="1" applyFill="1"/>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3" fontId="19" fillId="33" borderId="12" xfId="0" applyNumberFormat="1" applyFont="1" applyFill="1" applyBorder="1" applyAlignment="1">
      <alignment horizontal="righ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3" fontId="19" fillId="33" borderId="13" xfId="0" applyNumberFormat="1" applyFont="1" applyFill="1" applyBorder="1" applyAlignment="1">
      <alignment horizontal="right" wrapText="1"/>
    </xf>
    <xf numFmtId="0" fontId="22" fillId="33" borderId="10" xfId="0" applyFont="1" applyFill="1" applyBorder="1" applyAlignment="1">
      <alignment horizontal="center" vertical="center"/>
    </xf>
    <xf numFmtId="3" fontId="22" fillId="33" borderId="10" xfId="0" applyNumberFormat="1" applyFont="1" applyFill="1" applyBorder="1" applyAlignment="1">
      <alignment vertical="center"/>
    </xf>
    <xf numFmtId="2" fontId="19" fillId="33" borderId="11" xfId="0" applyNumberFormat="1" applyFont="1" applyFill="1" applyBorder="1" applyAlignment="1">
      <alignment horizontal="right"/>
    </xf>
    <xf numFmtId="2" fontId="19" fillId="33" borderId="12" xfId="0" applyNumberFormat="1" applyFont="1" applyFill="1" applyBorder="1" applyAlignment="1">
      <alignment horizontal="right"/>
    </xf>
    <xf numFmtId="2" fontId="19" fillId="33" borderId="14" xfId="0" applyNumberFormat="1" applyFont="1" applyFill="1" applyBorder="1" applyAlignment="1">
      <alignment horizontal="right"/>
    </xf>
    <xf numFmtId="2" fontId="20" fillId="33" borderId="10" xfId="0" applyNumberFormat="1" applyFont="1" applyFill="1" applyBorder="1" applyAlignment="1">
      <alignment horizontal="right" vertical="center"/>
    </xf>
    <xf numFmtId="0" fontId="19" fillId="33" borderId="0" xfId="0" applyFont="1" applyFill="1" applyBorder="1" applyAlignment="1"/>
    <xf numFmtId="3" fontId="19" fillId="33" borderId="0" xfId="0" applyNumberFormat="1" applyFont="1" applyFill="1" applyBorder="1" applyAlignment="1">
      <alignment horizontal="right"/>
    </xf>
    <xf numFmtId="3" fontId="19" fillId="33" borderId="12" xfId="0" applyNumberFormat="1" applyFont="1" applyFill="1" applyBorder="1" applyAlignment="1">
      <alignment horizontal="right"/>
    </xf>
    <xf numFmtId="3" fontId="19" fillId="33" borderId="13" xfId="0" applyNumberFormat="1" applyFont="1" applyFill="1" applyBorder="1" applyAlignment="1">
      <alignment horizontal="right"/>
    </xf>
    <xf numFmtId="3" fontId="18" fillId="33" borderId="0" xfId="0" applyNumberFormat="1" applyFont="1" applyFill="1"/>
    <xf numFmtId="0" fontId="24" fillId="35" borderId="10" xfId="0" applyFont="1" applyFill="1" applyBorder="1" applyAlignment="1">
      <alignment horizontal="center" vertical="center"/>
    </xf>
    <xf numFmtId="0" fontId="24" fillId="35" borderId="10" xfId="0" applyFont="1" applyFill="1" applyBorder="1" applyAlignment="1">
      <alignment horizontal="center" vertical="center" wrapText="1"/>
    </xf>
    <xf numFmtId="0" fontId="25" fillId="0" borderId="10" xfId="0" applyFont="1" applyBorder="1" applyAlignment="1">
      <alignment horizontal="center" vertical="center" wrapText="1"/>
    </xf>
    <xf numFmtId="0" fontId="25" fillId="0" borderId="0"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0" xfId="0" applyFont="1" applyBorder="1" applyAlignment="1">
      <alignment horizontal="center" vertical="center" wrapText="1"/>
    </xf>
    <xf numFmtId="0" fontId="25" fillId="0" borderId="10" xfId="0" applyFont="1" applyBorder="1" applyAlignment="1">
      <alignment horizontal="center" vertical="center"/>
    </xf>
    <xf numFmtId="0" fontId="25" fillId="0" borderId="18" xfId="0" applyFont="1" applyBorder="1" applyAlignment="1">
      <alignment horizontal="center" vertical="center" wrapText="1"/>
    </xf>
    <xf numFmtId="0" fontId="26" fillId="0" borderId="10" xfId="0" applyFont="1" applyBorder="1" applyAlignment="1">
      <alignment horizontal="center" vertical="center" wrapText="1"/>
    </xf>
    <xf numFmtId="0" fontId="25" fillId="0" borderId="15" xfId="0" applyFont="1" applyBorder="1" applyAlignment="1">
      <alignment horizontal="center" vertical="center"/>
    </xf>
    <xf numFmtId="0" fontId="28" fillId="0" borderId="0" xfId="0" applyFont="1"/>
    <xf numFmtId="0" fontId="20" fillId="0" borderId="0" xfId="0" applyFont="1" applyAlignment="1">
      <alignment horizontal="left"/>
    </xf>
    <xf numFmtId="0" fontId="0" fillId="0" borderId="0" xfId="0" applyFont="1" applyAlignment="1"/>
    <xf numFmtId="0" fontId="20" fillId="0" borderId="0" xfId="0" applyFont="1" applyAlignment="1">
      <alignment vertical="center"/>
    </xf>
    <xf numFmtId="0" fontId="29" fillId="36" borderId="24" xfId="0" applyFont="1" applyFill="1" applyBorder="1" applyAlignment="1">
      <alignment horizontal="center" vertical="center" wrapText="1"/>
    </xf>
    <xf numFmtId="0" fontId="29" fillId="36" borderId="24" xfId="0" applyFont="1" applyFill="1" applyBorder="1" applyAlignment="1">
      <alignment horizontal="center" vertical="center"/>
    </xf>
    <xf numFmtId="0" fontId="29" fillId="0" borderId="0" xfId="0" applyFont="1" applyAlignment="1">
      <alignment horizontal="center" vertical="center"/>
    </xf>
    <xf numFmtId="0" fontId="30" fillId="0" borderId="24" xfId="0" applyFont="1" applyBorder="1"/>
    <xf numFmtId="3" fontId="30" fillId="0" borderId="24" xfId="0" applyNumberFormat="1" applyFont="1" applyBorder="1"/>
    <xf numFmtId="0" fontId="30" fillId="0" borderId="0" xfId="0" applyFont="1"/>
    <xf numFmtId="0" fontId="29" fillId="37" borderId="24" xfId="0" applyFont="1" applyFill="1" applyBorder="1" applyAlignment="1">
      <alignment horizontal="right" vertical="center"/>
    </xf>
    <xf numFmtId="3" fontId="29" fillId="37" borderId="24" xfId="0" applyNumberFormat="1" applyFont="1" applyFill="1" applyBorder="1" applyAlignment="1">
      <alignment vertical="center"/>
    </xf>
    <xf numFmtId="0" fontId="30" fillId="0" borderId="0" xfId="0" applyFont="1" applyAlignment="1">
      <alignment vertical="center"/>
    </xf>
    <xf numFmtId="0" fontId="19" fillId="0" borderId="25" xfId="0" applyFont="1" applyBorder="1" applyAlignment="1">
      <alignment horizontal="left"/>
    </xf>
    <xf numFmtId="0" fontId="19" fillId="0" borderId="0" xfId="0" applyFont="1" applyAlignment="1">
      <alignment horizontal="left"/>
    </xf>
    <xf numFmtId="0" fontId="31" fillId="0" borderId="0" xfId="0" applyFont="1" applyAlignment="1"/>
    <xf numFmtId="0" fontId="29" fillId="37" borderId="24" xfId="0" applyFont="1" applyFill="1" applyBorder="1"/>
    <xf numFmtId="3" fontId="29" fillId="37" borderId="24" xfId="0" applyNumberFormat="1" applyFont="1" applyFill="1" applyBorder="1"/>
    <xf numFmtId="0" fontId="30" fillId="0" borderId="24" xfId="0" applyFont="1" applyBorder="1" applyAlignment="1">
      <alignment horizontal="left"/>
    </xf>
    <xf numFmtId="0" fontId="29" fillId="37" borderId="24" xfId="0" applyFont="1" applyFill="1" applyBorder="1" applyAlignment="1">
      <alignment vertical="center"/>
    </xf>
    <xf numFmtId="0" fontId="29" fillId="37" borderId="26" xfId="0" applyFont="1" applyFill="1" applyBorder="1" applyAlignment="1">
      <alignment horizontal="right" vertical="center"/>
    </xf>
    <xf numFmtId="0" fontId="19" fillId="0" borderId="0" xfId="0" applyFont="1" applyAlignment="1">
      <alignment horizontal="center"/>
    </xf>
    <xf numFmtId="0" fontId="19" fillId="0" borderId="0" xfId="0" applyFont="1"/>
    <xf numFmtId="49" fontId="34" fillId="36" borderId="33" xfId="0" applyNumberFormat="1" applyFont="1" applyFill="1" applyBorder="1" applyAlignment="1">
      <alignment horizontal="center" textRotation="90" wrapText="1"/>
    </xf>
    <xf numFmtId="49" fontId="34" fillId="36" borderId="34" xfId="0" applyNumberFormat="1" applyFont="1" applyFill="1" applyBorder="1" applyAlignment="1">
      <alignment horizontal="center" textRotation="90" wrapText="1"/>
    </xf>
    <xf numFmtId="49" fontId="34" fillId="36" borderId="35" xfId="0" applyNumberFormat="1" applyFont="1" applyFill="1" applyBorder="1" applyAlignment="1">
      <alignment horizontal="center" textRotation="90" wrapText="1"/>
    </xf>
    <xf numFmtId="49" fontId="20" fillId="36" borderId="33" xfId="0" applyNumberFormat="1" applyFont="1" applyFill="1" applyBorder="1" applyAlignment="1">
      <alignment horizontal="center" textRotation="90" wrapText="1"/>
    </xf>
    <xf numFmtId="49" fontId="20" fillId="36" borderId="36" xfId="0" applyNumberFormat="1" applyFont="1" applyFill="1" applyBorder="1" applyAlignment="1">
      <alignment horizontal="center" textRotation="90" wrapText="1"/>
    </xf>
    <xf numFmtId="49" fontId="20" fillId="0" borderId="37" xfId="0" applyNumberFormat="1" applyFont="1" applyBorder="1" applyAlignment="1">
      <alignment vertical="center"/>
    </xf>
    <xf numFmtId="49" fontId="19" fillId="0" borderId="37" xfId="0" applyNumberFormat="1" applyFont="1" applyBorder="1" applyAlignment="1">
      <alignment vertical="center"/>
    </xf>
    <xf numFmtId="3" fontId="20" fillId="0" borderId="38" xfId="0" applyNumberFormat="1" applyFont="1" applyBorder="1" applyAlignment="1">
      <alignment vertical="center"/>
    </xf>
    <xf numFmtId="3" fontId="19" fillId="0" borderId="39" xfId="0" applyNumberFormat="1" applyFont="1" applyBorder="1" applyAlignment="1">
      <alignment vertical="center"/>
    </xf>
    <xf numFmtId="3" fontId="20" fillId="0" borderId="40" xfId="0" applyNumberFormat="1" applyFont="1" applyBorder="1" applyAlignment="1">
      <alignment vertical="center"/>
    </xf>
    <xf numFmtId="3" fontId="20" fillId="0" borderId="39" xfId="0" applyNumberFormat="1" applyFont="1" applyBorder="1" applyAlignment="1">
      <alignment vertical="center"/>
    </xf>
    <xf numFmtId="4" fontId="20" fillId="0" borderId="41" xfId="0" applyNumberFormat="1" applyFont="1" applyBorder="1" applyAlignment="1">
      <alignment vertical="center"/>
    </xf>
    <xf numFmtId="49" fontId="19" fillId="0" borderId="42" xfId="0" applyNumberFormat="1" applyFont="1" applyBorder="1" applyAlignment="1">
      <alignment vertical="center"/>
    </xf>
    <xf numFmtId="3" fontId="20" fillId="0" borderId="43" xfId="0" applyNumberFormat="1" applyFont="1" applyBorder="1" applyAlignment="1">
      <alignment vertical="center"/>
    </xf>
    <xf numFmtId="3" fontId="19" fillId="0" borderId="24" xfId="0" applyNumberFormat="1" applyFont="1" applyBorder="1" applyAlignment="1">
      <alignment vertical="center"/>
    </xf>
    <xf numFmtId="3" fontId="20" fillId="0" borderId="44" xfId="0" applyNumberFormat="1" applyFont="1" applyBorder="1" applyAlignment="1">
      <alignment vertical="center"/>
    </xf>
    <xf numFmtId="3" fontId="20" fillId="0" borderId="24" xfId="0" applyNumberFormat="1" applyFont="1" applyBorder="1" applyAlignment="1">
      <alignment vertical="center"/>
    </xf>
    <xf numFmtId="3" fontId="19" fillId="0" borderId="43" xfId="0" applyNumberFormat="1" applyFont="1" applyBorder="1" applyAlignment="1">
      <alignment horizontal="left" vertical="center"/>
    </xf>
    <xf numFmtId="3" fontId="19" fillId="0" borderId="24" xfId="0" applyNumberFormat="1" applyFont="1" applyBorder="1" applyAlignment="1">
      <alignment horizontal="right" vertical="center"/>
    </xf>
    <xf numFmtId="3" fontId="19" fillId="0" borderId="24" xfId="0" applyNumberFormat="1" applyFont="1" applyBorder="1" applyAlignment="1">
      <alignment horizontal="left" vertical="center"/>
    </xf>
    <xf numFmtId="3" fontId="19" fillId="0" borderId="44" xfId="0" applyNumberFormat="1" applyFont="1" applyBorder="1" applyAlignment="1">
      <alignment horizontal="left" vertical="center"/>
    </xf>
    <xf numFmtId="3" fontId="19" fillId="0" borderId="44" xfId="0" applyNumberFormat="1" applyFont="1" applyBorder="1" applyAlignment="1">
      <alignment horizontal="right" vertical="center"/>
    </xf>
    <xf numFmtId="49" fontId="19" fillId="0" borderId="42" xfId="0" applyNumberFormat="1" applyFont="1" applyBorder="1" applyAlignment="1">
      <alignment horizontal="left" vertical="center" wrapText="1"/>
    </xf>
    <xf numFmtId="4" fontId="19" fillId="0" borderId="45" xfId="0" applyNumberFormat="1" applyFont="1" applyBorder="1" applyAlignment="1">
      <alignment horizontal="right" vertical="center"/>
    </xf>
    <xf numFmtId="4" fontId="20" fillId="0" borderId="45" xfId="0" applyNumberFormat="1" applyFont="1" applyBorder="1" applyAlignment="1">
      <alignment vertical="center"/>
    </xf>
    <xf numFmtId="3" fontId="19" fillId="0" borderId="43" xfId="0" applyNumberFormat="1" applyFont="1" applyBorder="1" applyAlignment="1">
      <alignment vertical="center"/>
    </xf>
    <xf numFmtId="3" fontId="19" fillId="0" borderId="44" xfId="0" applyNumberFormat="1" applyFont="1" applyBorder="1" applyAlignment="1">
      <alignment vertical="center"/>
    </xf>
    <xf numFmtId="4" fontId="19" fillId="0" borderId="45" xfId="0" applyNumberFormat="1" applyFont="1" applyBorder="1" applyAlignment="1">
      <alignment vertical="center"/>
    </xf>
    <xf numFmtId="49" fontId="19" fillId="0" borderId="46" xfId="0" applyNumberFormat="1" applyFont="1" applyBorder="1" applyAlignment="1">
      <alignment vertical="center"/>
    </xf>
    <xf numFmtId="3" fontId="19" fillId="0" borderId="47" xfId="0" applyNumberFormat="1" applyFont="1" applyBorder="1" applyAlignment="1">
      <alignment vertical="center"/>
    </xf>
    <xf numFmtId="3" fontId="19" fillId="0" borderId="26" xfId="0" applyNumberFormat="1" applyFont="1" applyBorder="1" applyAlignment="1">
      <alignment vertical="center"/>
    </xf>
    <xf numFmtId="3" fontId="20" fillId="0" borderId="48" xfId="0" applyNumberFormat="1" applyFont="1" applyBorder="1" applyAlignment="1">
      <alignment vertical="center"/>
    </xf>
    <xf numFmtId="3" fontId="19" fillId="0" borderId="48" xfId="0" applyNumberFormat="1" applyFont="1" applyBorder="1" applyAlignment="1">
      <alignment vertical="center"/>
    </xf>
    <xf numFmtId="4" fontId="19" fillId="0" borderId="49" xfId="0" applyNumberFormat="1" applyFont="1" applyBorder="1" applyAlignment="1">
      <alignment vertical="center"/>
    </xf>
    <xf numFmtId="49" fontId="19" fillId="0" borderId="50" xfId="0" applyNumberFormat="1" applyFont="1" applyBorder="1" applyAlignment="1">
      <alignment vertical="center"/>
    </xf>
    <xf numFmtId="49" fontId="19" fillId="0" borderId="51" xfId="0" applyNumberFormat="1" applyFont="1" applyBorder="1" applyAlignment="1">
      <alignment vertical="center"/>
    </xf>
    <xf numFmtId="3" fontId="19" fillId="0" borderId="52" xfId="0" applyNumberFormat="1" applyFont="1" applyBorder="1" applyAlignment="1">
      <alignment vertical="center"/>
    </xf>
    <xf numFmtId="3" fontId="19" fillId="0" borderId="53" xfId="0" applyNumberFormat="1" applyFont="1" applyBorder="1" applyAlignment="1">
      <alignment vertical="center"/>
    </xf>
    <xf numFmtId="3" fontId="20" fillId="0" borderId="54" xfId="0" applyNumberFormat="1" applyFont="1" applyBorder="1" applyAlignment="1">
      <alignment vertical="center"/>
    </xf>
    <xf numFmtId="3" fontId="20" fillId="0" borderId="53" xfId="0" applyNumberFormat="1" applyFont="1" applyBorder="1" applyAlignment="1">
      <alignment vertical="center"/>
    </xf>
    <xf numFmtId="3" fontId="20" fillId="0" borderId="50" xfId="0" applyNumberFormat="1" applyFont="1" applyBorder="1" applyAlignment="1">
      <alignment vertical="center"/>
    </xf>
    <xf numFmtId="4" fontId="20" fillId="0" borderId="55" xfId="0" applyNumberFormat="1" applyFont="1" applyBorder="1" applyAlignment="1">
      <alignment vertical="center"/>
    </xf>
    <xf numFmtId="3" fontId="20" fillId="38" borderId="33" xfId="0" applyNumberFormat="1" applyFont="1" applyFill="1" applyBorder="1" applyAlignment="1">
      <alignment horizontal="right" vertical="center"/>
    </xf>
    <xf numFmtId="4" fontId="20" fillId="38" borderId="36" xfId="0" applyNumberFormat="1" applyFont="1" applyFill="1" applyBorder="1" applyAlignment="1">
      <alignment horizontal="right" vertical="center"/>
    </xf>
    <xf numFmtId="49" fontId="35" fillId="0" borderId="0" xfId="0" applyNumberFormat="1" applyFont="1" applyAlignment="1">
      <alignment horizontal="left" vertical="center"/>
    </xf>
    <xf numFmtId="3" fontId="36" fillId="0" borderId="0" xfId="0" applyNumberFormat="1" applyFont="1" applyAlignment="1">
      <alignment vertical="center"/>
    </xf>
    <xf numFmtId="3" fontId="36" fillId="0" borderId="0" xfId="0" applyNumberFormat="1" applyFont="1" applyAlignment="1">
      <alignment horizontal="right" vertical="center"/>
    </xf>
    <xf numFmtId="0" fontId="36" fillId="0" borderId="0" xfId="0" applyFont="1"/>
    <xf numFmtId="49" fontId="20" fillId="38" borderId="56" xfId="0" applyNumberFormat="1" applyFont="1" applyFill="1" applyBorder="1" applyAlignment="1">
      <alignment horizontal="center" vertical="center"/>
    </xf>
    <xf numFmtId="0" fontId="32" fillId="39" borderId="0" xfId="0" applyFont="1" applyFill="1" applyAlignment="1"/>
    <xf numFmtId="0" fontId="20" fillId="39" borderId="0" xfId="0" applyFont="1" applyFill="1" applyAlignment="1">
      <alignment vertical="center"/>
    </xf>
    <xf numFmtId="3" fontId="20" fillId="0" borderId="44" xfId="0" applyNumberFormat="1" applyFont="1" applyBorder="1" applyAlignment="1">
      <alignment horizontal="left" vertical="center"/>
    </xf>
    <xf numFmtId="3" fontId="20" fillId="0" borderId="44" xfId="0" applyNumberFormat="1" applyFont="1" applyBorder="1" applyAlignment="1">
      <alignment horizontal="right" vertical="center"/>
    </xf>
    <xf numFmtId="0" fontId="20" fillId="39" borderId="0" xfId="0" applyFont="1" applyFill="1" applyAlignment="1">
      <alignment horizontal="left"/>
    </xf>
    <xf numFmtId="0" fontId="37" fillId="0" borderId="60" xfId="0" applyNumberFormat="1" applyFont="1" applyFill="1" applyBorder="1" applyAlignment="1">
      <alignment vertical="top"/>
    </xf>
    <xf numFmtId="0" fontId="37" fillId="0" borderId="61" xfId="0" applyNumberFormat="1" applyFont="1" applyFill="1" applyBorder="1" applyAlignment="1">
      <alignment vertical="top"/>
    </xf>
    <xf numFmtId="164" fontId="37" fillId="0" borderId="62" xfId="0" applyNumberFormat="1" applyFont="1" applyFill="1" applyBorder="1" applyAlignment="1">
      <alignment vertical="top"/>
    </xf>
    <xf numFmtId="164" fontId="37" fillId="0" borderId="63" xfId="0" applyNumberFormat="1" applyFont="1" applyFill="1" applyBorder="1" applyAlignment="1">
      <alignment vertical="top"/>
    </xf>
    <xf numFmtId="0" fontId="37" fillId="0" borderId="64" xfId="0" applyNumberFormat="1" applyFont="1" applyFill="1" applyBorder="1" applyAlignment="1">
      <alignment vertical="top"/>
    </xf>
    <xf numFmtId="0" fontId="37" fillId="0" borderId="65" xfId="0" applyNumberFormat="1" applyFont="1" applyFill="1" applyBorder="1" applyAlignment="1">
      <alignment vertical="top"/>
    </xf>
    <xf numFmtId="165" fontId="37" fillId="0" borderId="62" xfId="0" applyNumberFormat="1" applyFont="1" applyFill="1" applyBorder="1" applyAlignment="1">
      <alignment vertical="top"/>
    </xf>
    <xf numFmtId="0" fontId="37" fillId="0" borderId="65" xfId="0" applyNumberFormat="1" applyFont="1" applyFill="1" applyBorder="1" applyAlignment="1">
      <alignment vertical="top" wrapText="1"/>
    </xf>
    <xf numFmtId="49" fontId="37" fillId="0" borderId="64" xfId="0" applyNumberFormat="1" applyFont="1" applyFill="1" applyBorder="1" applyAlignment="1">
      <alignment vertical="top"/>
    </xf>
    <xf numFmtId="165" fontId="37" fillId="0" borderId="62" xfId="0" applyNumberFormat="1" applyFont="1" applyFill="1" applyBorder="1" applyAlignment="1">
      <alignment horizontal="right" vertical="top"/>
    </xf>
    <xf numFmtId="1" fontId="37" fillId="0" borderId="62" xfId="0" applyNumberFormat="1" applyFont="1" applyFill="1" applyBorder="1" applyAlignment="1">
      <alignment vertical="top"/>
    </xf>
    <xf numFmtId="1" fontId="37" fillId="0" borderId="62" xfId="0" applyNumberFormat="1" applyFont="1" applyFill="1" applyBorder="1" applyAlignment="1">
      <alignment horizontal="right" vertical="top"/>
    </xf>
    <xf numFmtId="0" fontId="37" fillId="0" borderId="65" xfId="0" applyNumberFormat="1" applyFont="1" applyFill="1" applyBorder="1" applyAlignment="1">
      <alignment horizontal="left" vertical="top" wrapText="1"/>
    </xf>
    <xf numFmtId="0" fontId="37" fillId="0" borderId="64" xfId="0" applyNumberFormat="1" applyFont="1" applyFill="1" applyBorder="1" applyAlignment="1">
      <alignment vertical="top" wrapText="1"/>
    </xf>
    <xf numFmtId="0" fontId="37" fillId="0" borderId="66" xfId="0" applyNumberFormat="1" applyFont="1" applyFill="1" applyBorder="1" applyAlignment="1">
      <alignment horizontal="left" vertical="top"/>
    </xf>
    <xf numFmtId="0" fontId="37" fillId="0" borderId="67" xfId="0" applyNumberFormat="1" applyFont="1" applyFill="1" applyBorder="1" applyAlignment="1">
      <alignment vertical="top" wrapText="1"/>
    </xf>
    <xf numFmtId="2" fontId="37" fillId="0" borderId="62" xfId="0" applyNumberFormat="1" applyFont="1" applyFill="1" applyBorder="1" applyAlignment="1">
      <alignment vertical="top"/>
    </xf>
    <xf numFmtId="164" fontId="38" fillId="41" borderId="10" xfId="0" applyNumberFormat="1" applyFont="1" applyFill="1" applyBorder="1" applyAlignment="1">
      <alignment horizontal="right" vertical="center"/>
    </xf>
    <xf numFmtId="0" fontId="34" fillId="0" borderId="0" xfId="0" applyFont="1" applyAlignment="1"/>
    <xf numFmtId="0" fontId="20" fillId="0" borderId="0" xfId="0" applyFont="1"/>
    <xf numFmtId="0" fontId="20" fillId="0" borderId="28" xfId="0" applyFont="1" applyBorder="1" applyAlignment="1">
      <alignment horizontal="center" wrapText="1"/>
    </xf>
    <xf numFmtId="0" fontId="39" fillId="0" borderId="69" xfId="0" applyFont="1" applyBorder="1" applyAlignment="1">
      <alignment wrapText="1"/>
    </xf>
    <xf numFmtId="0" fontId="19" fillId="0" borderId="69" xfId="0" applyFont="1" applyBorder="1" applyAlignment="1">
      <alignment wrapText="1"/>
    </xf>
    <xf numFmtId="0" fontId="20" fillId="0" borderId="69" xfId="0" applyFont="1" applyBorder="1" applyAlignment="1">
      <alignment wrapText="1"/>
    </xf>
    <xf numFmtId="0" fontId="19" fillId="0" borderId="69" xfId="0" applyFont="1" applyBorder="1" applyAlignment="1">
      <alignment horizontal="left" wrapText="1"/>
    </xf>
    <xf numFmtId="0" fontId="39" fillId="0" borderId="69" xfId="0" applyFont="1" applyBorder="1" applyAlignment="1">
      <alignment horizontal="left" wrapText="1"/>
    </xf>
    <xf numFmtId="0" fontId="19" fillId="0" borderId="70" xfId="0" applyFont="1" applyBorder="1" applyAlignment="1">
      <alignment wrapText="1"/>
    </xf>
    <xf numFmtId="0" fontId="19" fillId="0" borderId="71" xfId="0" applyFont="1" applyBorder="1" applyAlignment="1">
      <alignment wrapText="1"/>
    </xf>
    <xf numFmtId="0" fontId="20" fillId="0" borderId="72" xfId="0" applyFont="1" applyBorder="1" applyAlignment="1">
      <alignment horizontal="center" wrapText="1"/>
    </xf>
    <xf numFmtId="0" fontId="20" fillId="0" borderId="73" xfId="0" applyFont="1" applyBorder="1" applyAlignment="1">
      <alignment horizontal="center" wrapText="1"/>
    </xf>
    <xf numFmtId="0" fontId="20" fillId="36" borderId="33" xfId="0" applyFont="1" applyFill="1" applyBorder="1" applyAlignment="1">
      <alignment horizontal="center" vertical="center" textRotation="90" wrapText="1"/>
    </xf>
    <xf numFmtId="0" fontId="20" fillId="0" borderId="74" xfId="0" applyFont="1" applyBorder="1" applyAlignment="1">
      <alignment horizontal="center"/>
    </xf>
    <xf numFmtId="3" fontId="20" fillId="0" borderId="75" xfId="0" applyNumberFormat="1" applyFont="1" applyBorder="1"/>
    <xf numFmtId="3" fontId="19" fillId="0" borderId="75" xfId="0" applyNumberFormat="1" applyFont="1" applyBorder="1"/>
    <xf numFmtId="3" fontId="19" fillId="0" borderId="74" xfId="0" applyNumberFormat="1" applyFont="1" applyBorder="1"/>
    <xf numFmtId="3" fontId="20" fillId="0" borderId="76" xfId="0" applyNumberFormat="1" applyFont="1" applyBorder="1"/>
    <xf numFmtId="3" fontId="20" fillId="0" borderId="33" xfId="0" applyNumberFormat="1" applyFont="1" applyBorder="1"/>
    <xf numFmtId="0" fontId="20" fillId="36" borderId="34" xfId="0" applyFont="1" applyFill="1" applyBorder="1" applyAlignment="1">
      <alignment horizontal="center" vertical="center" textRotation="90" wrapText="1"/>
    </xf>
    <xf numFmtId="0" fontId="20" fillId="0" borderId="77" xfId="0" applyFont="1" applyBorder="1" applyAlignment="1">
      <alignment horizontal="center"/>
    </xf>
    <xf numFmtId="3" fontId="20" fillId="0" borderId="77" xfId="0" applyNumberFormat="1" applyFont="1" applyBorder="1"/>
    <xf numFmtId="3" fontId="19" fillId="0" borderId="77" xfId="0" applyNumberFormat="1" applyFont="1" applyBorder="1"/>
    <xf numFmtId="3" fontId="19" fillId="0" borderId="30" xfId="0" applyNumberFormat="1" applyFont="1" applyBorder="1"/>
    <xf numFmtId="3" fontId="20" fillId="0" borderId="78" xfId="0" applyNumberFormat="1" applyFont="1" applyBorder="1"/>
    <xf numFmtId="3" fontId="20" fillId="0" borderId="79" xfId="0" applyNumberFormat="1" applyFont="1" applyBorder="1"/>
    <xf numFmtId="3" fontId="19" fillId="0" borderId="80" xfId="0" applyNumberFormat="1" applyFont="1" applyBorder="1"/>
    <xf numFmtId="3" fontId="20" fillId="0" borderId="81" xfId="0" applyNumberFormat="1" applyFont="1" applyBorder="1"/>
    <xf numFmtId="3" fontId="20" fillId="0" borderId="34" xfId="0" applyNumberFormat="1" applyFont="1" applyBorder="1"/>
    <xf numFmtId="0" fontId="20" fillId="36" borderId="57" xfId="0" applyFont="1" applyFill="1" applyBorder="1" applyAlignment="1">
      <alignment horizontal="center" vertical="center" textRotation="90" wrapText="1"/>
    </xf>
    <xf numFmtId="0" fontId="20" fillId="0" borderId="82" xfId="0" applyFont="1" applyBorder="1" applyAlignment="1">
      <alignment horizontal="center"/>
    </xf>
    <xf numFmtId="3" fontId="20" fillId="0" borderId="82" xfId="0" applyNumberFormat="1" applyFont="1" applyBorder="1"/>
    <xf numFmtId="3" fontId="19" fillId="0" borderId="82" xfId="0" applyNumberFormat="1" applyFont="1" applyBorder="1"/>
    <xf numFmtId="3" fontId="19" fillId="0" borderId="31" xfId="0" applyNumberFormat="1" applyFont="1" applyBorder="1"/>
    <xf numFmtId="3" fontId="20" fillId="0" borderId="83" xfId="0" applyNumberFormat="1" applyFont="1" applyBorder="1"/>
    <xf numFmtId="3" fontId="20" fillId="0" borderId="57" xfId="0" applyNumberFormat="1" applyFont="1" applyBorder="1"/>
    <xf numFmtId="3" fontId="19" fillId="0" borderId="84" xfId="0" applyNumberFormat="1" applyFont="1" applyBorder="1"/>
    <xf numFmtId="3" fontId="20" fillId="0" borderId="85" xfId="0" applyNumberFormat="1" applyFont="1" applyBorder="1"/>
    <xf numFmtId="3" fontId="20" fillId="0" borderId="86" xfId="0" applyNumberFormat="1" applyFont="1" applyBorder="1"/>
    <xf numFmtId="0" fontId="20" fillId="0" borderId="87" xfId="0" applyFont="1" applyBorder="1" applyAlignment="1">
      <alignment horizontal="center"/>
    </xf>
    <xf numFmtId="3" fontId="20" fillId="0" borderId="87" xfId="0" applyNumberFormat="1" applyFont="1" applyBorder="1"/>
    <xf numFmtId="3" fontId="19" fillId="0" borderId="87" xfId="0" applyNumberFormat="1" applyFont="1" applyBorder="1"/>
    <xf numFmtId="3" fontId="19" fillId="0" borderId="88" xfId="0" applyNumberFormat="1" applyFont="1" applyBorder="1"/>
    <xf numFmtId="3" fontId="20" fillId="0" borderId="89" xfId="0" applyNumberFormat="1" applyFont="1" applyBorder="1"/>
    <xf numFmtId="3" fontId="20" fillId="0" borderId="36" xfId="0" applyNumberFormat="1" applyFont="1" applyBorder="1"/>
    <xf numFmtId="0" fontId="20" fillId="36" borderId="86" xfId="0" applyFont="1" applyFill="1" applyBorder="1" applyAlignment="1">
      <alignment horizontal="center" vertical="center" textRotation="90" wrapText="1"/>
    </xf>
    <xf numFmtId="0" fontId="20" fillId="0" borderId="0" xfId="42" applyFont="1"/>
    <xf numFmtId="0" fontId="20" fillId="0" borderId="0" xfId="42" applyFont="1" applyAlignment="1">
      <alignment vertical="center"/>
    </xf>
    <xf numFmtId="0" fontId="19" fillId="0" borderId="0" xfId="42" applyFont="1"/>
    <xf numFmtId="0" fontId="36" fillId="0" borderId="0" xfId="42" applyFont="1"/>
    <xf numFmtId="0" fontId="20" fillId="36" borderId="28" xfId="0" applyFont="1" applyFill="1" applyBorder="1" applyAlignment="1">
      <alignment horizontal="center" vertical="center"/>
    </xf>
    <xf numFmtId="0" fontId="33" fillId="0" borderId="0" xfId="0" applyFont="1" applyBorder="1"/>
    <xf numFmtId="0" fontId="20" fillId="36" borderId="10" xfId="0" applyFont="1" applyFill="1" applyBorder="1" applyAlignment="1">
      <alignment horizontal="center" vertical="center" textRotation="90" wrapText="1"/>
    </xf>
    <xf numFmtId="0" fontId="20" fillId="36" borderId="15" xfId="0" applyFont="1" applyFill="1" applyBorder="1" applyAlignment="1">
      <alignment horizontal="center" vertical="center" textRotation="90" wrapText="1"/>
    </xf>
    <xf numFmtId="0" fontId="20" fillId="0" borderId="10" xfId="0" applyFont="1" applyBorder="1" applyAlignment="1">
      <alignment horizontal="center" wrapText="1"/>
    </xf>
    <xf numFmtId="0" fontId="20" fillId="0" borderId="10" xfId="0" applyFont="1" applyBorder="1" applyAlignment="1">
      <alignment horizontal="center"/>
    </xf>
    <xf numFmtId="0" fontId="39" fillId="0" borderId="10" xfId="0" applyFont="1" applyBorder="1" applyAlignment="1">
      <alignment wrapText="1"/>
    </xf>
    <xf numFmtId="3" fontId="20" fillId="0" borderId="10" xfId="0" applyNumberFormat="1" applyFont="1" applyBorder="1"/>
    <xf numFmtId="0" fontId="19" fillId="0" borderId="10" xfId="0" applyFont="1" applyBorder="1" applyAlignment="1">
      <alignment wrapText="1"/>
    </xf>
    <xf numFmtId="3" fontId="19" fillId="0" borderId="10" xfId="0" applyNumberFormat="1" applyFont="1" applyBorder="1"/>
    <xf numFmtId="0" fontId="20" fillId="0" borderId="10" xfId="0" applyFont="1" applyBorder="1" applyAlignment="1">
      <alignment wrapText="1"/>
    </xf>
    <xf numFmtId="0" fontId="19" fillId="0" borderId="10" xfId="0" applyFont="1" applyBorder="1" applyAlignment="1">
      <alignment horizontal="left" wrapText="1"/>
    </xf>
    <xf numFmtId="0" fontId="39" fillId="0" borderId="10" xfId="0" applyFont="1" applyBorder="1" applyAlignment="1">
      <alignment horizontal="left" wrapText="1"/>
    </xf>
    <xf numFmtId="0" fontId="20" fillId="42" borderId="10" xfId="42" applyFont="1" applyFill="1" applyBorder="1" applyAlignment="1">
      <alignment horizontal="center" vertical="center" textRotation="90" wrapText="1"/>
    </xf>
    <xf numFmtId="0" fontId="20" fillId="0" borderId="10" xfId="42" applyFont="1" applyBorder="1" applyAlignment="1">
      <alignment horizontal="center" wrapText="1"/>
    </xf>
    <xf numFmtId="41" fontId="20" fillId="0" borderId="10" xfId="42" applyNumberFormat="1" applyFont="1" applyBorder="1" applyAlignment="1">
      <alignment horizontal="center"/>
    </xf>
    <xf numFmtId="0" fontId="20" fillId="0" borderId="10" xfId="42" applyFont="1" applyBorder="1" applyAlignment="1">
      <alignment horizontal="center"/>
    </xf>
    <xf numFmtId="0" fontId="39" fillId="0" borderId="10" xfId="42" applyFont="1" applyBorder="1" applyAlignment="1">
      <alignment wrapText="1"/>
    </xf>
    <xf numFmtId="41" fontId="20" fillId="0" borderId="10" xfId="42" applyNumberFormat="1" applyFont="1" applyBorder="1"/>
    <xf numFmtId="3" fontId="20" fillId="0" borderId="10" xfId="42" applyNumberFormat="1" applyFont="1" applyBorder="1"/>
    <xf numFmtId="0" fontId="19" fillId="0" borderId="10" xfId="42" applyFont="1" applyBorder="1" applyAlignment="1">
      <alignment wrapText="1"/>
    </xf>
    <xf numFmtId="41" fontId="19" fillId="0" borderId="10" xfId="42" applyNumberFormat="1" applyFont="1" applyBorder="1"/>
    <xf numFmtId="3" fontId="19" fillId="0" borderId="10" xfId="42" applyNumberFormat="1" applyFont="1" applyBorder="1"/>
    <xf numFmtId="0" fontId="20" fillId="0" borderId="10" xfId="42" applyFont="1" applyBorder="1" applyAlignment="1">
      <alignment wrapText="1"/>
    </xf>
    <xf numFmtId="0" fontId="19" fillId="0" borderId="10" xfId="42" applyFont="1" applyBorder="1" applyAlignment="1">
      <alignment horizontal="left" wrapText="1"/>
    </xf>
    <xf numFmtId="0" fontId="39" fillId="0" borderId="10" xfId="42" applyFont="1" applyBorder="1" applyAlignment="1">
      <alignment horizontal="left" wrapText="1"/>
    </xf>
    <xf numFmtId="0" fontId="35" fillId="0" borderId="0" xfId="0" applyFont="1"/>
    <xf numFmtId="0" fontId="36" fillId="0" borderId="0" xfId="0" applyFont="1" applyAlignment="1">
      <alignment horizontal="center"/>
    </xf>
    <xf numFmtId="0" fontId="35" fillId="0" borderId="0" xfId="0" applyFont="1" applyAlignment="1">
      <alignment vertical="center"/>
    </xf>
    <xf numFmtId="0" fontId="35" fillId="36" borderId="10" xfId="0" applyFont="1" applyFill="1" applyBorder="1" applyAlignment="1">
      <alignment horizontal="center" vertical="center" textRotation="90" wrapText="1"/>
    </xf>
    <xf numFmtId="0" fontId="36" fillId="0" borderId="10" xfId="0" applyFont="1" applyBorder="1"/>
    <xf numFmtId="3" fontId="36" fillId="0" borderId="10" xfId="0" applyNumberFormat="1" applyFont="1" applyBorder="1"/>
    <xf numFmtId="3" fontId="35" fillId="0" borderId="10" xfId="0" applyNumberFormat="1" applyFont="1" applyBorder="1"/>
    <xf numFmtId="2" fontId="36" fillId="0" borderId="10" xfId="0" applyNumberFormat="1" applyFont="1" applyBorder="1"/>
    <xf numFmtId="0" fontId="35" fillId="0" borderId="10" xfId="0" applyFont="1" applyBorder="1"/>
    <xf numFmtId="49" fontId="35" fillId="43" borderId="10" xfId="0" applyNumberFormat="1" applyFont="1" applyFill="1" applyBorder="1" applyAlignment="1">
      <alignment horizontal="center" vertical="center"/>
    </xf>
    <xf numFmtId="3" fontId="35" fillId="43" borderId="10" xfId="0" applyNumberFormat="1" applyFont="1" applyFill="1" applyBorder="1"/>
    <xf numFmtId="2" fontId="35" fillId="43" borderId="10" xfId="0" applyNumberFormat="1" applyFont="1" applyFill="1" applyBorder="1"/>
    <xf numFmtId="0" fontId="41" fillId="0" borderId="0" xfId="0" applyFont="1" applyAlignment="1">
      <alignment vertical="center"/>
    </xf>
    <xf numFmtId="0" fontId="41" fillId="36" borderId="28" xfId="0" applyFont="1" applyFill="1" applyBorder="1" applyAlignment="1">
      <alignment horizontal="center" vertical="center"/>
    </xf>
    <xf numFmtId="0" fontId="41" fillId="36" borderId="28" xfId="0" applyFont="1" applyFill="1" applyBorder="1" applyAlignment="1">
      <alignment horizontal="center" vertical="center" wrapText="1"/>
    </xf>
    <xf numFmtId="49" fontId="42" fillId="36" borderId="54" xfId="0" applyNumberFormat="1" applyFont="1" applyFill="1" applyBorder="1" applyAlignment="1">
      <alignment horizontal="center" textRotation="90" wrapText="1"/>
    </xf>
    <xf numFmtId="49" fontId="42" fillId="36" borderId="53" xfId="0" applyNumberFormat="1" applyFont="1" applyFill="1" applyBorder="1" applyAlignment="1">
      <alignment horizontal="center" textRotation="90" wrapText="1"/>
    </xf>
    <xf numFmtId="49" fontId="42" fillId="36" borderId="49" xfId="0" applyNumberFormat="1" applyFont="1" applyFill="1" applyBorder="1" applyAlignment="1">
      <alignment horizontal="center" textRotation="90" wrapText="1"/>
    </xf>
    <xf numFmtId="49" fontId="42" fillId="36" borderId="55" xfId="0" applyNumberFormat="1" applyFont="1" applyFill="1" applyBorder="1" applyAlignment="1">
      <alignment horizontal="center" textRotation="90" wrapText="1"/>
    </xf>
    <xf numFmtId="49" fontId="42" fillId="36" borderId="52" xfId="0" applyNumberFormat="1" applyFont="1" applyFill="1" applyBorder="1" applyAlignment="1">
      <alignment horizontal="center" textRotation="90" wrapText="1"/>
    </xf>
    <xf numFmtId="49" fontId="43" fillId="36" borderId="53" xfId="0" applyNumberFormat="1" applyFont="1" applyFill="1" applyBorder="1" applyAlignment="1">
      <alignment horizontal="center" textRotation="90" wrapText="1"/>
    </xf>
    <xf numFmtId="49" fontId="41" fillId="36" borderId="55" xfId="0" applyNumberFormat="1" applyFont="1" applyFill="1" applyBorder="1" applyAlignment="1">
      <alignment horizontal="center" textRotation="90" wrapText="1"/>
    </xf>
    <xf numFmtId="0" fontId="44" fillId="0" borderId="29" xfId="0" applyFont="1" applyBorder="1"/>
    <xf numFmtId="0" fontId="44" fillId="0" borderId="28" xfId="0" applyFont="1" applyBorder="1"/>
    <xf numFmtId="3" fontId="44" fillId="0" borderId="94" xfId="0" applyNumberFormat="1" applyFont="1" applyBorder="1"/>
    <xf numFmtId="3" fontId="44" fillId="0" borderId="95" xfId="0" applyNumberFormat="1" applyFont="1" applyBorder="1"/>
    <xf numFmtId="3" fontId="41" fillId="0" borderId="45" xfId="0" applyNumberFormat="1" applyFont="1" applyFill="1" applyBorder="1"/>
    <xf numFmtId="3" fontId="44" fillId="0" borderId="96" xfId="0" applyNumberFormat="1" applyFont="1" applyBorder="1"/>
    <xf numFmtId="3" fontId="44" fillId="0" borderId="92" xfId="0" applyNumberFormat="1" applyFont="1" applyBorder="1"/>
    <xf numFmtId="3" fontId="41" fillId="0" borderId="95" xfId="0" applyNumberFormat="1" applyFont="1" applyBorder="1"/>
    <xf numFmtId="0" fontId="44" fillId="0" borderId="96" xfId="0" applyFont="1" applyBorder="1"/>
    <xf numFmtId="49" fontId="44" fillId="0" borderId="71" xfId="0" applyNumberFormat="1" applyFont="1" applyBorder="1" applyAlignment="1">
      <alignment horizontal="left"/>
    </xf>
    <xf numFmtId="0" fontId="44" fillId="0" borderId="69" xfId="0" applyFont="1" applyBorder="1"/>
    <xf numFmtId="3" fontId="44" fillId="0" borderId="43" xfId="0" applyNumberFormat="1" applyFont="1" applyBorder="1"/>
    <xf numFmtId="3" fontId="44" fillId="0" borderId="24" xfId="0" applyNumberFormat="1" applyFont="1" applyBorder="1"/>
    <xf numFmtId="3" fontId="44" fillId="0" borderId="45" xfId="0" applyNumberFormat="1" applyFont="1" applyBorder="1"/>
    <xf numFmtId="3" fontId="44" fillId="0" borderId="59" xfId="0" applyNumberFormat="1" applyFont="1" applyBorder="1"/>
    <xf numFmtId="3" fontId="41" fillId="0" borderId="24" xfId="0" applyNumberFormat="1" applyFont="1" applyBorder="1"/>
    <xf numFmtId="0" fontId="44" fillId="0" borderId="45" xfId="0" applyFont="1" applyBorder="1"/>
    <xf numFmtId="3" fontId="44" fillId="0" borderId="47" xfId="0" applyNumberFormat="1" applyFont="1" applyBorder="1"/>
    <xf numFmtId="3" fontId="44" fillId="0" borderId="26" xfId="0" applyNumberFormat="1" applyFont="1" applyBorder="1"/>
    <xf numFmtId="0" fontId="44" fillId="0" borderId="49" xfId="0" applyFont="1" applyBorder="1"/>
    <xf numFmtId="49" fontId="44" fillId="0" borderId="70" xfId="0" applyNumberFormat="1" applyFont="1" applyBorder="1" applyAlignment="1">
      <alignment horizontal="left"/>
    </xf>
    <xf numFmtId="0" fontId="44" fillId="44" borderId="32" xfId="0" applyFont="1" applyFill="1" applyBorder="1" applyAlignment="1">
      <alignment horizontal="right"/>
    </xf>
    <xf numFmtId="3" fontId="44" fillId="44" borderId="54" xfId="0" applyNumberFormat="1" applyFont="1" applyFill="1" applyBorder="1"/>
    <xf numFmtId="3" fontId="44" fillId="44" borderId="53" xfId="0" applyNumberFormat="1" applyFont="1" applyFill="1" applyBorder="1"/>
    <xf numFmtId="3" fontId="41" fillId="43" borderId="55" xfId="0" applyNumberFormat="1" applyFont="1" applyFill="1" applyBorder="1"/>
    <xf numFmtId="3" fontId="44" fillId="43" borderId="55" xfId="0" applyNumberFormat="1" applyFont="1" applyFill="1" applyBorder="1"/>
    <xf numFmtId="3" fontId="44" fillId="45" borderId="52" xfId="0" applyNumberFormat="1" applyFont="1" applyFill="1" applyBorder="1"/>
    <xf numFmtId="3" fontId="41" fillId="43" borderId="53" xfId="0" applyNumberFormat="1" applyFont="1" applyFill="1" applyBorder="1"/>
    <xf numFmtId="3" fontId="44" fillId="43" borderId="53" xfId="0" applyNumberFormat="1" applyFont="1" applyFill="1" applyBorder="1"/>
    <xf numFmtId="0" fontId="44" fillId="44" borderId="55" xfId="0" applyFont="1" applyFill="1" applyBorder="1"/>
    <xf numFmtId="0" fontId="44" fillId="0" borderId="71" xfId="0" applyFont="1" applyBorder="1"/>
    <xf numFmtId="3" fontId="44" fillId="0" borderId="38" xfId="0" applyNumberFormat="1" applyFont="1" applyBorder="1"/>
    <xf numFmtId="3" fontId="44" fillId="0" borderId="39" xfId="0" applyNumberFormat="1" applyFont="1" applyBorder="1"/>
    <xf numFmtId="3" fontId="41" fillId="0" borderId="41" xfId="0" applyNumberFormat="1" applyFont="1" applyFill="1" applyBorder="1"/>
    <xf numFmtId="3" fontId="44" fillId="0" borderId="41" xfId="0" applyNumberFormat="1" applyFont="1" applyBorder="1"/>
    <xf numFmtId="3" fontId="44" fillId="0" borderId="97" xfId="0" applyNumberFormat="1" applyFont="1" applyBorder="1"/>
    <xf numFmtId="3" fontId="41" fillId="0" borderId="39" xfId="0" applyNumberFormat="1" applyFont="1" applyBorder="1"/>
    <xf numFmtId="0" fontId="44" fillId="0" borderId="41" xfId="0" applyFont="1" applyBorder="1"/>
    <xf numFmtId="0" fontId="44" fillId="0" borderId="70" xfId="0" applyFont="1" applyBorder="1" applyAlignment="1">
      <alignment horizontal="right"/>
    </xf>
    <xf numFmtId="0" fontId="44" fillId="45" borderId="55" xfId="0" applyFont="1" applyFill="1" applyBorder="1"/>
    <xf numFmtId="3" fontId="41" fillId="0" borderId="41" xfId="0" applyNumberFormat="1" applyFont="1" applyBorder="1"/>
    <xf numFmtId="3" fontId="41" fillId="0" borderId="40" xfId="0" applyNumberFormat="1" applyFont="1" applyBorder="1"/>
    <xf numFmtId="0" fontId="44" fillId="0" borderId="98" xfId="0" applyFont="1" applyBorder="1"/>
    <xf numFmtId="0" fontId="44" fillId="0" borderId="99" xfId="0" applyFont="1" applyBorder="1"/>
    <xf numFmtId="4" fontId="41" fillId="44" borderId="53" xfId="0" applyNumberFormat="1" applyFont="1" applyFill="1" applyBorder="1"/>
    <xf numFmtId="3" fontId="41" fillId="44" borderId="53" xfId="0" applyNumberFormat="1" applyFont="1" applyFill="1" applyBorder="1"/>
    <xf numFmtId="4" fontId="41" fillId="44" borderId="50" xfId="0" applyNumberFormat="1" applyFont="1" applyFill="1" applyBorder="1"/>
    <xf numFmtId="2" fontId="41" fillId="43" borderId="51" xfId="0" applyNumberFormat="1" applyFont="1" applyFill="1" applyBorder="1"/>
    <xf numFmtId="0" fontId="44" fillId="0" borderId="100" xfId="0" applyFont="1" applyBorder="1"/>
    <xf numFmtId="3" fontId="41" fillId="43" borderId="50" xfId="0" applyNumberFormat="1" applyFont="1" applyFill="1" applyBorder="1"/>
    <xf numFmtId="0" fontId="44" fillId="43" borderId="51" xfId="0" applyFont="1" applyFill="1" applyBorder="1"/>
    <xf numFmtId="4" fontId="41" fillId="44" borderId="54" xfId="0" applyNumberFormat="1" applyFont="1" applyFill="1" applyBorder="1"/>
    <xf numFmtId="4" fontId="41" fillId="43" borderId="55" xfId="0" applyNumberFormat="1" applyFont="1" applyFill="1" applyBorder="1"/>
    <xf numFmtId="4" fontId="41" fillId="45" borderId="52" xfId="0" applyNumberFormat="1" applyFont="1" applyFill="1" applyBorder="1"/>
    <xf numFmtId="4" fontId="41" fillId="43" borderId="53" xfId="0" applyNumberFormat="1" applyFont="1" applyFill="1" applyBorder="1"/>
    <xf numFmtId="2" fontId="44" fillId="0" borderId="99" xfId="0" applyNumberFormat="1" applyFont="1" applyBorder="1"/>
    <xf numFmtId="4" fontId="44" fillId="44" borderId="53" xfId="0" applyNumberFormat="1" applyFont="1" applyFill="1" applyBorder="1"/>
    <xf numFmtId="4" fontId="44" fillId="45" borderId="52" xfId="0" applyNumberFormat="1" applyFont="1" applyFill="1" applyBorder="1"/>
    <xf numFmtId="4" fontId="41" fillId="43" borderId="50" xfId="0" applyNumberFormat="1" applyFont="1" applyFill="1" applyBorder="1"/>
    <xf numFmtId="3" fontId="41" fillId="0" borderId="59" xfId="0" applyNumberFormat="1" applyFont="1" applyBorder="1"/>
    <xf numFmtId="0" fontId="44" fillId="0" borderId="51" xfId="0" applyFont="1" applyFill="1" applyBorder="1"/>
    <xf numFmtId="2" fontId="41" fillId="44" borderId="101" xfId="0" applyNumberFormat="1" applyFont="1" applyFill="1" applyBorder="1"/>
    <xf numFmtId="0" fontId="44" fillId="0" borderId="71" xfId="0" applyFont="1" applyBorder="1" applyAlignment="1">
      <alignment horizontal="left"/>
    </xf>
    <xf numFmtId="2" fontId="41" fillId="0" borderId="41" xfId="0" applyNumberFormat="1" applyFont="1" applyBorder="1"/>
    <xf numFmtId="0" fontId="44" fillId="0" borderId="71" xfId="0" applyFont="1" applyBorder="1" applyAlignment="1">
      <alignment horizontal="center"/>
    </xf>
    <xf numFmtId="3" fontId="41" fillId="0" borderId="45" xfId="0" applyNumberFormat="1" applyFont="1" applyBorder="1"/>
    <xf numFmtId="2" fontId="41" fillId="0" borderId="45" xfId="0" applyNumberFormat="1" applyFont="1" applyBorder="1"/>
    <xf numFmtId="3" fontId="41" fillId="44" borderId="54" xfId="0" applyNumberFormat="1" applyFont="1" applyFill="1" applyBorder="1"/>
    <xf numFmtId="3" fontId="41" fillId="43" borderId="51" xfId="0" applyNumberFormat="1" applyFont="1" applyFill="1" applyBorder="1"/>
    <xf numFmtId="2" fontId="41" fillId="44" borderId="55" xfId="0" applyNumberFormat="1" applyFont="1" applyFill="1" applyBorder="1"/>
    <xf numFmtId="0" fontId="44" fillId="0" borderId="0" xfId="0" applyFont="1"/>
    <xf numFmtId="0" fontId="29" fillId="0" borderId="0" xfId="0" applyFont="1" applyAlignment="1">
      <alignment vertical="center"/>
    </xf>
    <xf numFmtId="0" fontId="45" fillId="0" borderId="0" xfId="0" applyFont="1" applyAlignment="1">
      <alignment vertical="center"/>
    </xf>
    <xf numFmtId="0" fontId="29" fillId="46" borderId="0" xfId="0" applyFont="1" applyFill="1" applyBorder="1"/>
    <xf numFmtId="0" fontId="45" fillId="46" borderId="0" xfId="0" applyFont="1" applyFill="1" applyBorder="1"/>
    <xf numFmtId="0" fontId="44" fillId="0" borderId="0" xfId="0" applyFont="1" applyAlignment="1">
      <alignment vertical="center"/>
    </xf>
    <xf numFmtId="0" fontId="41" fillId="0" borderId="0" xfId="0" applyFont="1" applyAlignment="1">
      <alignment horizontal="center" vertical="center"/>
    </xf>
    <xf numFmtId="0" fontId="41" fillId="38" borderId="0" xfId="0" applyFont="1" applyFill="1" applyBorder="1" applyAlignment="1">
      <alignment horizontal="center" vertical="center"/>
    </xf>
    <xf numFmtId="0" fontId="41" fillId="38" borderId="0" xfId="0" applyFont="1" applyFill="1" applyBorder="1" applyAlignment="1">
      <alignment vertical="center"/>
    </xf>
    <xf numFmtId="0" fontId="44" fillId="0" borderId="0" xfId="0" applyFont="1" applyAlignment="1">
      <alignment horizontal="left" vertical="center"/>
    </xf>
    <xf numFmtId="0" fontId="44" fillId="46" borderId="0" xfId="0" applyFont="1" applyFill="1" applyBorder="1"/>
    <xf numFmtId="0" fontId="20" fillId="36" borderId="98" xfId="0" applyFont="1" applyFill="1" applyBorder="1" applyAlignment="1">
      <alignment horizontal="center" vertical="center"/>
    </xf>
    <xf numFmtId="0" fontId="20" fillId="36" borderId="99" xfId="0" applyFont="1" applyFill="1" applyBorder="1" applyAlignment="1">
      <alignment horizontal="center" vertical="center" wrapText="1"/>
    </xf>
    <xf numFmtId="0" fontId="19" fillId="36" borderId="59" xfId="0" applyFont="1" applyFill="1" applyBorder="1" applyAlignment="1">
      <alignment horizontal="center" vertical="center" textRotation="90" wrapText="1"/>
    </xf>
    <xf numFmtId="0" fontId="19" fillId="36" borderId="24" xfId="0" applyFont="1" applyFill="1" applyBorder="1" applyAlignment="1">
      <alignment horizontal="center" vertical="center" textRotation="90" wrapText="1"/>
    </xf>
    <xf numFmtId="0" fontId="20" fillId="36" borderId="24" xfId="0" applyFont="1" applyFill="1" applyBorder="1" applyAlignment="1">
      <alignment horizontal="center" vertical="center" textRotation="90" wrapText="1"/>
    </xf>
    <xf numFmtId="0" fontId="20" fillId="36" borderId="44" xfId="0" applyFont="1" applyFill="1" applyBorder="1" applyAlignment="1">
      <alignment horizontal="center" vertical="center" textRotation="90" wrapText="1"/>
    </xf>
    <xf numFmtId="0" fontId="20" fillId="36" borderId="45" xfId="0" applyFont="1" applyFill="1" applyBorder="1" applyAlignment="1">
      <alignment horizontal="center" vertical="center" textRotation="90" wrapText="1"/>
    </xf>
    <xf numFmtId="0" fontId="44" fillId="0" borderId="69" xfId="0" applyFont="1" applyBorder="1" applyAlignment="1">
      <alignment horizontal="center" vertical="center"/>
    </xf>
    <xf numFmtId="0" fontId="44" fillId="0" borderId="87" xfId="0" applyFont="1" applyBorder="1" applyAlignment="1">
      <alignment vertical="center"/>
    </xf>
    <xf numFmtId="0" fontId="41" fillId="38" borderId="69" xfId="0" applyFont="1" applyFill="1" applyBorder="1" applyAlignment="1">
      <alignment horizontal="center" vertical="center"/>
    </xf>
    <xf numFmtId="0" fontId="41" fillId="38" borderId="87" xfId="0" applyFont="1" applyFill="1" applyBorder="1" applyAlignment="1">
      <alignment vertical="center"/>
    </xf>
    <xf numFmtId="0" fontId="20" fillId="0" borderId="69" xfId="0" applyFont="1" applyBorder="1" applyAlignment="1">
      <alignment vertical="center"/>
    </xf>
    <xf numFmtId="0" fontId="41" fillId="38" borderId="73" xfId="0" applyFont="1" applyFill="1" applyBorder="1" applyAlignment="1">
      <alignment horizontal="center" vertical="center"/>
    </xf>
    <xf numFmtId="0" fontId="41" fillId="38" borderId="79" xfId="0" applyFont="1" applyFill="1" applyBorder="1" applyAlignment="1">
      <alignment vertical="center"/>
    </xf>
    <xf numFmtId="0" fontId="41" fillId="38" borderId="57" xfId="0" applyFont="1" applyFill="1" applyBorder="1" applyAlignment="1">
      <alignment vertical="center"/>
    </xf>
    <xf numFmtId="0" fontId="44" fillId="0" borderId="0" xfId="0" applyFont="1" applyAlignment="1">
      <alignment horizontal="center" vertical="center"/>
    </xf>
    <xf numFmtId="0" fontId="44" fillId="0" borderId="102" xfId="0" applyFont="1" applyBorder="1" applyAlignment="1">
      <alignment vertical="center"/>
    </xf>
    <xf numFmtId="0" fontId="44" fillId="0" borderId="26" xfId="0" applyFont="1" applyBorder="1" applyAlignment="1">
      <alignment vertical="center"/>
    </xf>
    <xf numFmtId="0" fontId="44" fillId="0" borderId="49" xfId="0" applyFont="1" applyBorder="1" applyAlignment="1">
      <alignment vertical="center"/>
    </xf>
    <xf numFmtId="0" fontId="44" fillId="0" borderId="102" xfId="0" applyFont="1" applyBorder="1" applyAlignment="1">
      <alignment horizontal="center" vertical="center"/>
    </xf>
    <xf numFmtId="0" fontId="41" fillId="38" borderId="82" xfId="0" applyFont="1" applyFill="1" applyBorder="1" applyAlignment="1">
      <alignment vertical="center"/>
    </xf>
    <xf numFmtId="0" fontId="41" fillId="38" borderId="77" xfId="0" applyFont="1" applyFill="1" applyBorder="1" applyAlignment="1">
      <alignment vertical="center"/>
    </xf>
    <xf numFmtId="0" fontId="41" fillId="38" borderId="103" xfId="0" applyFont="1" applyFill="1" applyBorder="1" applyAlignment="1">
      <alignment vertical="center"/>
    </xf>
    <xf numFmtId="0" fontId="41" fillId="38" borderId="82" xfId="0" applyFont="1" applyFill="1" applyBorder="1" applyAlignment="1">
      <alignment horizontal="center" vertical="center"/>
    </xf>
    <xf numFmtId="0" fontId="44" fillId="0" borderId="82" xfId="0" applyFont="1" applyBorder="1" applyAlignment="1">
      <alignment vertical="center"/>
    </xf>
    <xf numFmtId="0" fontId="44" fillId="0" borderId="77" xfId="0" applyFont="1" applyBorder="1" applyAlignment="1">
      <alignment vertical="center"/>
    </xf>
    <xf numFmtId="43" fontId="44" fillId="0" borderId="103" xfId="43" applyFont="1" applyBorder="1" applyAlignment="1">
      <alignment vertical="center"/>
    </xf>
    <xf numFmtId="0" fontId="44" fillId="0" borderId="82" xfId="0" applyFont="1" applyBorder="1" applyAlignment="1">
      <alignment horizontal="center" vertical="center"/>
    </xf>
    <xf numFmtId="43" fontId="44" fillId="0" borderId="87" xfId="43" applyFont="1" applyBorder="1" applyAlignment="1">
      <alignment vertical="center"/>
    </xf>
    <xf numFmtId="43" fontId="41" fillId="38" borderId="103" xfId="43" applyFont="1" applyFill="1" applyBorder="1" applyAlignment="1">
      <alignment vertical="center"/>
    </xf>
    <xf numFmtId="43" fontId="41" fillId="38" borderId="87" xfId="43" applyFont="1" applyFill="1" applyBorder="1" applyAlignment="1">
      <alignment vertical="center"/>
    </xf>
    <xf numFmtId="0" fontId="41" fillId="38" borderId="79" xfId="0" applyFont="1" applyFill="1" applyBorder="1" applyAlignment="1">
      <alignment horizontal="center" vertical="center"/>
    </xf>
    <xf numFmtId="0" fontId="41" fillId="38" borderId="86" xfId="0" applyFont="1" applyFill="1" applyBorder="1" applyAlignment="1">
      <alignment vertical="center"/>
    </xf>
    <xf numFmtId="0" fontId="41" fillId="38" borderId="34" xfId="0" applyFont="1" applyFill="1" applyBorder="1" applyAlignment="1">
      <alignment vertical="center"/>
    </xf>
    <xf numFmtId="43" fontId="41" fillId="38" borderId="34" xfId="43" applyFont="1" applyFill="1" applyBorder="1" applyAlignment="1">
      <alignment vertical="center"/>
    </xf>
    <xf numFmtId="0" fontId="41" fillId="38" borderId="86" xfId="0" applyFont="1" applyFill="1" applyBorder="1" applyAlignment="1">
      <alignment horizontal="center" vertical="center"/>
    </xf>
    <xf numFmtId="166" fontId="41" fillId="38" borderId="57" xfId="0" applyNumberFormat="1" applyFont="1" applyFill="1" applyBorder="1" applyAlignment="1">
      <alignment vertical="center"/>
    </xf>
    <xf numFmtId="0" fontId="41" fillId="46" borderId="27" xfId="0" applyFont="1" applyFill="1" applyBorder="1" applyAlignment="1">
      <alignment vertical="center"/>
    </xf>
    <xf numFmtId="43" fontId="41" fillId="38" borderId="0" xfId="0" applyNumberFormat="1" applyFont="1" applyFill="1" applyBorder="1" applyAlignment="1">
      <alignment vertical="center"/>
    </xf>
    <xf numFmtId="43" fontId="44" fillId="0" borderId="87" xfId="0" applyNumberFormat="1" applyFont="1" applyBorder="1" applyAlignment="1">
      <alignment vertical="center"/>
    </xf>
    <xf numFmtId="4" fontId="41" fillId="38" borderId="79" xfId="0" applyNumberFormat="1" applyFont="1" applyFill="1" applyBorder="1" applyAlignment="1">
      <alignment vertical="center"/>
    </xf>
    <xf numFmtId="43" fontId="41" fillId="38" borderId="104" xfId="0" applyNumberFormat="1" applyFont="1" applyFill="1" applyBorder="1" applyAlignment="1">
      <alignment vertical="center"/>
    </xf>
    <xf numFmtId="0" fontId="20" fillId="47" borderId="98" xfId="0" applyFont="1" applyFill="1" applyBorder="1" applyAlignment="1">
      <alignment horizontal="center" vertical="center"/>
    </xf>
    <xf numFmtId="0" fontId="20" fillId="47" borderId="99" xfId="0" applyFont="1" applyFill="1" applyBorder="1" applyAlignment="1">
      <alignment horizontal="center" vertical="center" wrapText="1"/>
    </xf>
    <xf numFmtId="0" fontId="19" fillId="47" borderId="59" xfId="0" applyFont="1" applyFill="1" applyBorder="1" applyAlignment="1">
      <alignment horizontal="center" vertical="center" wrapText="1"/>
    </xf>
    <xf numFmtId="0" fontId="19" fillId="47" borderId="24" xfId="0" applyFont="1" applyFill="1" applyBorder="1" applyAlignment="1">
      <alignment horizontal="center" vertical="center" wrapText="1"/>
    </xf>
    <xf numFmtId="0" fontId="20" fillId="47" borderId="24" xfId="0" applyFont="1" applyFill="1" applyBorder="1" applyAlignment="1">
      <alignment horizontal="center" vertical="center" wrapText="1"/>
    </xf>
    <xf numFmtId="0" fontId="20" fillId="47" borderId="44" xfId="0" applyFont="1" applyFill="1" applyBorder="1" applyAlignment="1">
      <alignment horizontal="center" vertical="center" wrapText="1"/>
    </xf>
    <xf numFmtId="0" fontId="20" fillId="47" borderId="45" xfId="0" applyFont="1" applyFill="1" applyBorder="1" applyAlignment="1">
      <alignment horizontal="center" vertical="center" wrapText="1"/>
    </xf>
    <xf numFmtId="0" fontId="19" fillId="47" borderId="59" xfId="0" applyFont="1" applyFill="1" applyBorder="1" applyAlignment="1">
      <alignment horizontal="center" vertical="center" textRotation="90" wrapText="1"/>
    </xf>
    <xf numFmtId="0" fontId="19" fillId="47" borderId="24" xfId="0" applyFont="1" applyFill="1" applyBorder="1" applyAlignment="1">
      <alignment horizontal="center" vertical="center" textRotation="90" wrapText="1"/>
    </xf>
    <xf numFmtId="0" fontId="20" fillId="47" borderId="24" xfId="0" applyFont="1" applyFill="1" applyBorder="1" applyAlignment="1">
      <alignment horizontal="center" vertical="center" textRotation="90" wrapText="1"/>
    </xf>
    <xf numFmtId="0" fontId="20" fillId="47" borderId="44" xfId="0" applyFont="1" applyFill="1" applyBorder="1" applyAlignment="1">
      <alignment horizontal="center" vertical="center" textRotation="90" wrapText="1"/>
    </xf>
    <xf numFmtId="0" fontId="20" fillId="47" borderId="45" xfId="0" applyFont="1" applyFill="1" applyBorder="1" applyAlignment="1">
      <alignment horizontal="center" vertical="center" textRotation="90" wrapText="1"/>
    </xf>
    <xf numFmtId="1" fontId="41" fillId="38" borderId="0" xfId="0" applyNumberFormat="1" applyFont="1" applyFill="1" applyBorder="1" applyAlignment="1">
      <alignment vertical="center"/>
    </xf>
    <xf numFmtId="1" fontId="0" fillId="0" borderId="0" xfId="43" applyNumberFormat="1" applyFont="1"/>
    <xf numFmtId="1" fontId="44" fillId="0" borderId="0" xfId="0" applyNumberFormat="1" applyFont="1" applyAlignment="1">
      <alignment vertical="center"/>
    </xf>
    <xf numFmtId="0" fontId="44" fillId="0" borderId="105" xfId="0" applyFont="1" applyBorder="1" applyAlignment="1">
      <alignment horizontal="center" vertical="center"/>
    </xf>
    <xf numFmtId="0" fontId="0" fillId="0" borderId="0" xfId="0" applyAlignment="1">
      <alignment horizontal="center"/>
    </xf>
    <xf numFmtId="1" fontId="0" fillId="0" borderId="0" xfId="0" applyNumberFormat="1"/>
    <xf numFmtId="0" fontId="41" fillId="38" borderId="105" xfId="0" applyFont="1" applyFill="1" applyBorder="1" applyAlignment="1">
      <alignment horizontal="center" vertical="center"/>
    </xf>
    <xf numFmtId="1" fontId="41" fillId="38" borderId="79" xfId="0" applyNumberFormat="1" applyFont="1" applyFill="1" applyBorder="1" applyAlignment="1">
      <alignment vertical="center"/>
    </xf>
    <xf numFmtId="166" fontId="41" fillId="38" borderId="79" xfId="0" applyNumberFormat="1" applyFont="1" applyFill="1" applyBorder="1" applyAlignment="1">
      <alignment vertical="center"/>
    </xf>
    <xf numFmtId="0" fontId="20" fillId="0" borderId="0" xfId="0" applyFont="1" applyAlignment="1">
      <alignment horizontal="left" vertical="center"/>
    </xf>
    <xf numFmtId="0" fontId="41" fillId="0" borderId="69" xfId="0" applyFont="1" applyBorder="1" applyAlignment="1">
      <alignment horizontal="center" vertical="center"/>
    </xf>
    <xf numFmtId="0" fontId="44" fillId="49" borderId="87" xfId="0" applyFont="1" applyFill="1" applyBorder="1" applyAlignment="1">
      <alignment vertical="center"/>
    </xf>
    <xf numFmtId="0" fontId="41" fillId="49" borderId="87" xfId="0" applyFont="1" applyFill="1" applyBorder="1" applyAlignment="1">
      <alignment vertical="center"/>
    </xf>
    <xf numFmtId="0" fontId="41" fillId="38" borderId="106" xfId="0" applyFont="1" applyFill="1" applyBorder="1" applyAlignment="1">
      <alignment vertical="center"/>
    </xf>
    <xf numFmtId="0" fontId="44" fillId="0" borderId="69" xfId="0" applyFont="1" applyFill="1" applyBorder="1" applyAlignment="1">
      <alignment horizontal="center" vertical="center"/>
    </xf>
    <xf numFmtId="0" fontId="44" fillId="0" borderId="106" xfId="0" applyFont="1" applyBorder="1" applyAlignment="1">
      <alignment vertical="center"/>
    </xf>
    <xf numFmtId="0" fontId="41" fillId="38" borderId="107" xfId="0" applyFont="1" applyFill="1" applyBorder="1" applyAlignment="1">
      <alignment vertical="center"/>
    </xf>
    <xf numFmtId="0" fontId="29" fillId="0" borderId="0" xfId="42" applyFont="1" applyAlignment="1">
      <alignment vertical="center"/>
    </xf>
    <xf numFmtId="0" fontId="45" fillId="0" borderId="0" xfId="42" applyFont="1" applyAlignment="1">
      <alignment vertical="center"/>
    </xf>
    <xf numFmtId="0" fontId="45" fillId="46" borderId="0" xfId="42" applyFont="1" applyFill="1" applyBorder="1"/>
    <xf numFmtId="0" fontId="44" fillId="0" borderId="0" xfId="42" applyFont="1" applyAlignment="1">
      <alignment vertical="center"/>
    </xf>
    <xf numFmtId="0" fontId="41" fillId="0" borderId="0" xfId="42" applyFont="1" applyAlignment="1">
      <alignment horizontal="center" vertical="center"/>
    </xf>
    <xf numFmtId="0" fontId="20" fillId="36" borderId="98" xfId="42" applyFont="1" applyFill="1" applyBorder="1" applyAlignment="1">
      <alignment horizontal="center" vertical="center"/>
    </xf>
    <xf numFmtId="0" fontId="20" fillId="36" borderId="99" xfId="42" applyFont="1" applyFill="1" applyBorder="1" applyAlignment="1">
      <alignment horizontal="center" vertical="center" wrapText="1"/>
    </xf>
    <xf numFmtId="0" fontId="19" fillId="36" borderId="59" xfId="42" applyFont="1" applyFill="1" applyBorder="1" applyAlignment="1">
      <alignment horizontal="center" vertical="center" textRotation="90" wrapText="1"/>
    </xf>
    <xf numFmtId="0" fontId="19" fillId="36" borderId="24" xfId="42" applyFont="1" applyFill="1" applyBorder="1" applyAlignment="1">
      <alignment horizontal="center" vertical="center" textRotation="90" wrapText="1"/>
    </xf>
    <xf numFmtId="0" fontId="20" fillId="36" borderId="24" xfId="42" applyFont="1" applyFill="1" applyBorder="1" applyAlignment="1">
      <alignment horizontal="center" vertical="center" textRotation="90" wrapText="1"/>
    </xf>
    <xf numFmtId="0" fontId="20" fillId="36" borderId="44" xfId="42" applyFont="1" applyFill="1" applyBorder="1" applyAlignment="1">
      <alignment horizontal="center" vertical="center" textRotation="90" wrapText="1"/>
    </xf>
    <xf numFmtId="0" fontId="20" fillId="36" borderId="45" xfId="42" applyFont="1" applyFill="1" applyBorder="1" applyAlignment="1">
      <alignment horizontal="center" vertical="center" textRotation="90" wrapText="1"/>
    </xf>
    <xf numFmtId="0" fontId="44" fillId="0" borderId="69" xfId="42" applyFont="1" applyBorder="1" applyAlignment="1">
      <alignment horizontal="center" vertical="center"/>
    </xf>
    <xf numFmtId="0" fontId="44" fillId="0" borderId="87" xfId="42" applyFont="1" applyBorder="1" applyAlignment="1">
      <alignment vertical="center"/>
    </xf>
    <xf numFmtId="0" fontId="41" fillId="38" borderId="69" xfId="42" applyFont="1" applyFill="1" applyBorder="1" applyAlignment="1">
      <alignment horizontal="center" vertical="center"/>
    </xf>
    <xf numFmtId="0" fontId="41" fillId="38" borderId="0" xfId="42" applyFont="1" applyFill="1" applyBorder="1" applyAlignment="1">
      <alignment vertical="center"/>
    </xf>
    <xf numFmtId="0" fontId="41" fillId="38" borderId="87" xfId="42" applyFont="1" applyFill="1" applyBorder="1" applyAlignment="1">
      <alignment vertical="center"/>
    </xf>
    <xf numFmtId="43" fontId="44" fillId="0" borderId="0" xfId="44" applyFont="1" applyAlignment="1">
      <alignment vertical="center"/>
    </xf>
    <xf numFmtId="43" fontId="44" fillId="0" borderId="87" xfId="44" applyFont="1" applyBorder="1" applyAlignment="1">
      <alignment vertical="center"/>
    </xf>
    <xf numFmtId="0" fontId="20" fillId="0" borderId="69" xfId="42" applyFont="1" applyBorder="1" applyAlignment="1">
      <alignment vertical="center"/>
    </xf>
    <xf numFmtId="0" fontId="41" fillId="38" borderId="73" xfId="42" applyFont="1" applyFill="1" applyBorder="1" applyAlignment="1">
      <alignment horizontal="center" vertical="center"/>
    </xf>
    <xf numFmtId="0" fontId="41" fillId="38" borderId="79" xfId="42" applyFont="1" applyFill="1" applyBorder="1" applyAlignment="1">
      <alignment vertical="center"/>
    </xf>
    <xf numFmtId="0" fontId="41" fillId="38" borderId="57" xfId="42" applyFont="1" applyFill="1" applyBorder="1" applyAlignment="1">
      <alignment vertical="center"/>
    </xf>
    <xf numFmtId="0" fontId="44" fillId="0" borderId="0" xfId="42" applyFont="1" applyAlignment="1">
      <alignment horizontal="left" vertical="center"/>
    </xf>
    <xf numFmtId="0" fontId="41" fillId="0" borderId="0" xfId="42" applyFont="1" applyAlignment="1">
      <alignment vertical="center"/>
    </xf>
    <xf numFmtId="0" fontId="44" fillId="0" borderId="0" xfId="42" applyFont="1"/>
    <xf numFmtId="0" fontId="44" fillId="46" borderId="0" xfId="42" applyFont="1" applyFill="1" applyBorder="1"/>
    <xf numFmtId="0" fontId="0" fillId="0" borderId="0" xfId="42" applyFont="1" applyAlignment="1"/>
    <xf numFmtId="0" fontId="44" fillId="39" borderId="0" xfId="0" applyFont="1" applyFill="1" applyAlignment="1">
      <alignment vertical="center"/>
    </xf>
    <xf numFmtId="0" fontId="45" fillId="50" borderId="0" xfId="42" applyFont="1" applyFill="1" applyBorder="1"/>
    <xf numFmtId="0" fontId="19" fillId="39" borderId="0" xfId="42" applyFont="1" applyFill="1"/>
    <xf numFmtId="0" fontId="44" fillId="39" borderId="0" xfId="42" applyFont="1" applyFill="1" applyAlignment="1">
      <alignment vertical="center"/>
    </xf>
    <xf numFmtId="43" fontId="45" fillId="0" borderId="0" xfId="43" applyFont="1" applyAlignment="1">
      <alignment vertical="center"/>
    </xf>
    <xf numFmtId="43" fontId="45" fillId="46" borderId="0" xfId="43" applyFont="1" applyFill="1" applyBorder="1"/>
    <xf numFmtId="0" fontId="41" fillId="39" borderId="0" xfId="0" applyFont="1" applyFill="1" applyAlignment="1">
      <alignment vertical="center"/>
    </xf>
    <xf numFmtId="43" fontId="41" fillId="0" borderId="0" xfId="43" applyFont="1" applyAlignment="1">
      <alignment horizontal="center" vertical="center"/>
    </xf>
    <xf numFmtId="43" fontId="20" fillId="36" borderId="45" xfId="43" applyFont="1" applyFill="1" applyBorder="1" applyAlignment="1">
      <alignment horizontal="center" vertical="center" textRotation="90" wrapText="1"/>
    </xf>
    <xf numFmtId="43" fontId="41" fillId="38" borderId="79" xfId="43" applyFont="1" applyFill="1" applyBorder="1" applyAlignment="1">
      <alignment vertical="center"/>
    </xf>
    <xf numFmtId="43" fontId="41" fillId="0" borderId="0" xfId="43" applyFont="1" applyAlignment="1">
      <alignment vertical="center"/>
    </xf>
    <xf numFmtId="43" fontId="44" fillId="0" borderId="0" xfId="43" applyFont="1" applyAlignment="1">
      <alignment vertical="center"/>
    </xf>
    <xf numFmtId="43" fontId="44" fillId="0" borderId="0" xfId="0" applyNumberFormat="1" applyFont="1" applyAlignment="1">
      <alignment vertical="center"/>
    </xf>
    <xf numFmtId="43" fontId="44" fillId="0" borderId="0" xfId="43" applyNumberFormat="1" applyFont="1" applyAlignment="1">
      <alignment vertical="center"/>
    </xf>
    <xf numFmtId="43" fontId="44" fillId="0" borderId="87" xfId="43" applyNumberFormat="1" applyFont="1" applyBorder="1" applyAlignment="1">
      <alignment vertical="center"/>
    </xf>
    <xf numFmtId="43" fontId="41" fillId="38" borderId="87" xfId="0" applyNumberFormat="1" applyFont="1" applyFill="1" applyBorder="1" applyAlignment="1">
      <alignment vertical="center"/>
    </xf>
    <xf numFmtId="0" fontId="20" fillId="38" borderId="69" xfId="0" applyFont="1" applyFill="1" applyBorder="1" applyAlignment="1">
      <alignment horizontal="center" vertical="center"/>
    </xf>
    <xf numFmtId="0" fontId="20" fillId="38" borderId="0" xfId="0" applyFont="1" applyFill="1" applyBorder="1" applyAlignment="1">
      <alignment vertical="center"/>
    </xf>
    <xf numFmtId="0" fontId="20" fillId="38" borderId="87" xfId="0" applyFont="1" applyFill="1" applyBorder="1" applyAlignment="1">
      <alignment vertical="center"/>
    </xf>
    <xf numFmtId="0" fontId="19" fillId="0" borderId="69" xfId="0"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vertical="center"/>
    </xf>
    <xf numFmtId="2" fontId="19" fillId="0" borderId="0" xfId="0" applyNumberFormat="1" applyFont="1" applyAlignment="1">
      <alignment vertical="center"/>
    </xf>
    <xf numFmtId="2" fontId="19" fillId="0" borderId="87" xfId="0" applyNumberFormat="1" applyFont="1" applyBorder="1" applyAlignment="1">
      <alignment vertical="center"/>
    </xf>
    <xf numFmtId="0" fontId="19" fillId="0" borderId="87" xfId="0" applyFont="1" applyBorder="1" applyAlignment="1">
      <alignment vertical="center"/>
    </xf>
    <xf numFmtId="2" fontId="20" fillId="0" borderId="87" xfId="0" applyNumberFormat="1" applyFont="1" applyBorder="1" applyAlignment="1">
      <alignment vertical="center"/>
    </xf>
    <xf numFmtId="0" fontId="20" fillId="38" borderId="0" xfId="0" applyFont="1" applyFill="1" applyBorder="1" applyAlignment="1">
      <alignment horizontal="center" vertical="center"/>
    </xf>
    <xf numFmtId="0" fontId="20" fillId="51" borderId="69" xfId="0" applyFont="1" applyFill="1" applyBorder="1" applyAlignment="1">
      <alignment horizontal="center" vertical="center"/>
    </xf>
    <xf numFmtId="0" fontId="20" fillId="51" borderId="0" xfId="0" applyFont="1" applyFill="1" applyBorder="1" applyAlignment="1">
      <alignment horizontal="center" vertical="center"/>
    </xf>
    <xf numFmtId="0" fontId="20" fillId="51" borderId="0" xfId="0" applyFont="1" applyFill="1" applyBorder="1" applyAlignment="1">
      <alignment vertical="center"/>
    </xf>
    <xf numFmtId="0" fontId="20" fillId="51" borderId="87" xfId="0" applyFont="1" applyFill="1" applyBorder="1" applyAlignment="1">
      <alignment vertical="center"/>
    </xf>
    <xf numFmtId="0" fontId="20" fillId="38" borderId="73" xfId="0" applyFont="1" applyFill="1" applyBorder="1" applyAlignment="1">
      <alignment horizontal="center" vertical="center"/>
    </xf>
    <xf numFmtId="0" fontId="20" fillId="38" borderId="79" xfId="0" applyFont="1" applyFill="1" applyBorder="1" applyAlignment="1">
      <alignment horizontal="center" vertical="center"/>
    </xf>
    <xf numFmtId="0" fontId="20" fillId="38" borderId="79" xfId="0" applyFont="1" applyFill="1" applyBorder="1" applyAlignment="1">
      <alignment vertical="center"/>
    </xf>
    <xf numFmtId="2" fontId="20" fillId="38" borderId="79" xfId="0" applyNumberFormat="1" applyFont="1" applyFill="1" applyBorder="1" applyAlignment="1">
      <alignment vertical="center"/>
    </xf>
    <xf numFmtId="2" fontId="20" fillId="38" borderId="57" xfId="0" applyNumberFormat="1" applyFont="1" applyFill="1" applyBorder="1" applyAlignment="1">
      <alignment vertical="center"/>
    </xf>
    <xf numFmtId="0" fontId="47" fillId="0" borderId="108" xfId="0" applyFont="1" applyBorder="1" applyAlignment="1">
      <alignment horizontal="center" vertical="center"/>
    </xf>
    <xf numFmtId="0" fontId="48" fillId="0" borderId="108" xfId="0" applyFont="1" applyBorder="1" applyAlignment="1">
      <alignment horizontal="center" vertical="center"/>
    </xf>
    <xf numFmtId="4" fontId="49" fillId="0" borderId="109" xfId="0" applyNumberFormat="1" applyFont="1" applyBorder="1" applyAlignment="1">
      <alignment horizontal="center" vertical="center"/>
    </xf>
    <xf numFmtId="0" fontId="0" fillId="0" borderId="108" xfId="0" applyBorder="1"/>
    <xf numFmtId="4" fontId="49" fillId="0" borderId="108" xfId="0" applyNumberFormat="1" applyFont="1" applyBorder="1"/>
    <xf numFmtId="0" fontId="48" fillId="0" borderId="16" xfId="0" applyFont="1" applyBorder="1" applyAlignment="1">
      <alignment horizontal="center" vertical="center"/>
    </xf>
    <xf numFmtId="4" fontId="48" fillId="0" borderId="110" xfId="0" applyNumberFormat="1" applyFont="1" applyBorder="1" applyAlignment="1">
      <alignment horizontal="right" vertical="center"/>
    </xf>
    <xf numFmtId="0" fontId="0" fillId="0" borderId="0" xfId="0" applyBorder="1" applyAlignment="1">
      <alignment horizontal="center"/>
    </xf>
    <xf numFmtId="0" fontId="0" fillId="0" borderId="10" xfId="0" applyBorder="1"/>
    <xf numFmtId="4" fontId="50" fillId="0" borderId="106" xfId="0" applyNumberFormat="1" applyFont="1" applyBorder="1"/>
    <xf numFmtId="0" fontId="48" fillId="0" borderId="10" xfId="0" applyFont="1" applyBorder="1" applyAlignment="1">
      <alignment horizontal="center" vertical="center"/>
    </xf>
    <xf numFmtId="4" fontId="48" fillId="0" borderId="111" xfId="0" applyNumberFormat="1" applyFont="1" applyBorder="1" applyAlignment="1">
      <alignment horizontal="right" vertical="center"/>
    </xf>
    <xf numFmtId="0" fontId="0" fillId="0" borderId="18" xfId="0" applyBorder="1" applyAlignment="1">
      <alignment horizontal="center"/>
    </xf>
    <xf numFmtId="4" fontId="50" fillId="0" borderId="10" xfId="0" applyNumberFormat="1" applyFont="1" applyBorder="1"/>
    <xf numFmtId="0" fontId="51" fillId="0" borderId="10" xfId="0" applyFont="1" applyBorder="1"/>
    <xf numFmtId="0" fontId="47" fillId="0" borderId="10" xfId="0" applyFont="1" applyBorder="1" applyAlignment="1">
      <alignment horizontal="center" vertical="center"/>
    </xf>
    <xf numFmtId="4" fontId="49" fillId="0" borderId="111" xfId="0" applyNumberFormat="1" applyFont="1" applyBorder="1" applyAlignment="1">
      <alignment horizontal="right" vertical="center"/>
    </xf>
    <xf numFmtId="4" fontId="49" fillId="0" borderId="10" xfId="0" applyNumberFormat="1" applyFont="1" applyBorder="1"/>
    <xf numFmtId="4" fontId="53" fillId="38" borderId="57" xfId="0" applyNumberFormat="1" applyFont="1" applyFill="1" applyBorder="1" applyAlignment="1">
      <alignment vertical="center"/>
    </xf>
    <xf numFmtId="4" fontId="45" fillId="38" borderId="57" xfId="0" applyNumberFormat="1" applyFont="1" applyFill="1" applyBorder="1" applyAlignment="1">
      <alignment vertical="center"/>
    </xf>
    <xf numFmtId="4" fontId="44" fillId="0" borderId="0" xfId="0" applyNumberFormat="1" applyFont="1" applyAlignment="1">
      <alignment vertical="center"/>
    </xf>
    <xf numFmtId="4" fontId="44" fillId="0" borderId="87" xfId="0" applyNumberFormat="1" applyFont="1" applyBorder="1" applyAlignment="1">
      <alignment vertical="center"/>
    </xf>
    <xf numFmtId="4" fontId="41" fillId="38" borderId="0" xfId="0" applyNumberFormat="1" applyFont="1" applyFill="1" applyBorder="1" applyAlignment="1">
      <alignment vertical="center"/>
    </xf>
    <xf numFmtId="4" fontId="41" fillId="38" borderId="87" xfId="0" applyNumberFormat="1" applyFont="1" applyFill="1" applyBorder="1" applyAlignment="1">
      <alignment vertical="center"/>
    </xf>
    <xf numFmtId="4" fontId="41" fillId="38" borderId="57" xfId="0" applyNumberFormat="1" applyFont="1" applyFill="1" applyBorder="1" applyAlignment="1">
      <alignment vertical="center"/>
    </xf>
    <xf numFmtId="0" fontId="55" fillId="0" borderId="0" xfId="0" applyFont="1" applyAlignment="1">
      <alignment vertical="center"/>
    </xf>
    <xf numFmtId="0" fontId="54" fillId="0" borderId="0" xfId="0" applyFont="1" applyAlignment="1">
      <alignment horizontal="left"/>
    </xf>
    <xf numFmtId="0" fontId="41" fillId="0" borderId="0" xfId="0" applyFont="1" applyBorder="1" applyAlignment="1">
      <alignment vertical="center"/>
    </xf>
    <xf numFmtId="0" fontId="41" fillId="36" borderId="31" xfId="0" applyFont="1" applyFill="1" applyBorder="1" applyAlignment="1">
      <alignment horizontal="center" vertical="center" wrapText="1"/>
    </xf>
    <xf numFmtId="0" fontId="41" fillId="36" borderId="91" xfId="0" applyFont="1" applyFill="1" applyBorder="1" applyAlignment="1">
      <alignment horizontal="center" vertical="center" wrapText="1"/>
    </xf>
    <xf numFmtId="0" fontId="41" fillId="36" borderId="96" xfId="0" applyFont="1" applyFill="1" applyBorder="1" applyAlignment="1">
      <alignment horizontal="center" vertical="center" wrapText="1"/>
    </xf>
    <xf numFmtId="0" fontId="44" fillId="0" borderId="99" xfId="0" applyFont="1" applyBorder="1" applyAlignment="1">
      <alignment horizontal="left" vertical="center"/>
    </xf>
    <xf numFmtId="0" fontId="41" fillId="0" borderId="59" xfId="0" applyFont="1" applyBorder="1" applyAlignment="1">
      <alignment vertical="center"/>
    </xf>
    <xf numFmtId="0" fontId="41" fillId="0" borderId="112" xfId="0" applyFont="1" applyBorder="1" applyAlignment="1">
      <alignment vertical="center"/>
    </xf>
    <xf numFmtId="0" fontId="41" fillId="0" borderId="43" xfId="0" applyFont="1" applyBorder="1" applyAlignment="1">
      <alignment vertical="center"/>
    </xf>
    <xf numFmtId="0" fontId="41" fillId="0" borderId="45" xfId="0" applyFont="1" applyBorder="1" applyAlignment="1">
      <alignment vertical="center"/>
    </xf>
    <xf numFmtId="0" fontId="44" fillId="0" borderId="69" xfId="0" applyFont="1" applyBorder="1" applyAlignment="1">
      <alignment horizontal="left" vertical="center"/>
    </xf>
    <xf numFmtId="0" fontId="41" fillId="38" borderId="33" xfId="0" applyFont="1" applyFill="1" applyBorder="1" applyAlignment="1">
      <alignment vertical="center"/>
    </xf>
    <xf numFmtId="0" fontId="41" fillId="38" borderId="36" xfId="0" applyFont="1" applyFill="1" applyBorder="1" applyAlignment="1">
      <alignment vertical="center"/>
    </xf>
    <xf numFmtId="0" fontId="41" fillId="36" borderId="56" xfId="0" applyFont="1" applyFill="1" applyBorder="1" applyAlignment="1">
      <alignment horizontal="center" vertical="center"/>
    </xf>
    <xf numFmtId="43" fontId="44" fillId="0" borderId="59" xfId="43" applyFont="1" applyBorder="1" applyAlignment="1">
      <alignment vertical="center"/>
    </xf>
    <xf numFmtId="43" fontId="44" fillId="0" borderId="112" xfId="43" applyFont="1" applyBorder="1" applyAlignment="1">
      <alignment vertical="center"/>
    </xf>
    <xf numFmtId="43" fontId="44" fillId="0" borderId="45" xfId="43" applyFont="1" applyBorder="1" applyAlignment="1">
      <alignment vertical="center"/>
    </xf>
    <xf numFmtId="166" fontId="41" fillId="0" borderId="45" xfId="0" applyNumberFormat="1" applyFont="1" applyBorder="1" applyAlignment="1">
      <alignment vertical="center"/>
    </xf>
    <xf numFmtId="43" fontId="41" fillId="0" borderId="45" xfId="0" applyNumberFormat="1" applyFont="1" applyBorder="1" applyAlignment="1">
      <alignment vertical="center"/>
    </xf>
    <xf numFmtId="43" fontId="41" fillId="0" borderId="45" xfId="43" applyFont="1" applyBorder="1" applyAlignment="1">
      <alignment vertical="center"/>
    </xf>
    <xf numFmtId="43" fontId="41" fillId="38" borderId="57" xfId="43" applyFont="1" applyFill="1" applyBorder="1" applyAlignment="1">
      <alignment vertical="center"/>
    </xf>
    <xf numFmtId="166" fontId="41" fillId="0" borderId="0" xfId="0" applyNumberFormat="1" applyFont="1" applyAlignment="1">
      <alignment vertical="center"/>
    </xf>
    <xf numFmtId="168" fontId="41" fillId="0" borderId="112" xfId="44" applyNumberFormat="1" applyFont="1" applyBorder="1" applyAlignment="1">
      <alignment vertical="center"/>
    </xf>
    <xf numFmtId="168" fontId="41" fillId="0" borderId="45" xfId="44" applyNumberFormat="1" applyFont="1" applyBorder="1" applyAlignment="1">
      <alignment vertical="center"/>
    </xf>
    <xf numFmtId="4" fontId="41" fillId="0" borderId="112" xfId="0" applyNumberFormat="1" applyFont="1" applyBorder="1" applyAlignment="1">
      <alignment vertical="center"/>
    </xf>
    <xf numFmtId="4" fontId="41" fillId="0" borderId="45" xfId="0" applyNumberFormat="1" applyFont="1" applyBorder="1" applyAlignment="1">
      <alignment vertical="center"/>
    </xf>
    <xf numFmtId="0" fontId="44" fillId="0" borderId="113" xfId="0" applyFont="1" applyBorder="1" applyAlignment="1">
      <alignment horizontal="left" vertical="center"/>
    </xf>
    <xf numFmtId="0" fontId="41" fillId="0" borderId="102" xfId="0" applyFont="1" applyBorder="1" applyAlignment="1">
      <alignment vertical="center"/>
    </xf>
    <xf numFmtId="0" fontId="41" fillId="0" borderId="47" xfId="0" applyFont="1" applyBorder="1" applyAlignment="1">
      <alignment vertical="center"/>
    </xf>
    <xf numFmtId="0" fontId="44" fillId="0" borderId="10" xfId="0" applyFont="1" applyBorder="1" applyAlignment="1">
      <alignment horizontal="left" vertical="center"/>
    </xf>
    <xf numFmtId="0" fontId="41" fillId="0" borderId="10" xfId="0" applyFont="1" applyBorder="1" applyAlignment="1">
      <alignment vertical="center"/>
    </xf>
    <xf numFmtId="0" fontId="40" fillId="0" borderId="0" xfId="0" applyFont="1" applyAlignment="1"/>
    <xf numFmtId="0" fontId="40" fillId="0" borderId="10" xfId="0" applyFont="1" applyBorder="1" applyAlignment="1"/>
    <xf numFmtId="0" fontId="41" fillId="38" borderId="32" xfId="0" applyFont="1" applyFill="1" applyBorder="1" applyAlignment="1">
      <alignment horizontal="center" vertical="center"/>
    </xf>
    <xf numFmtId="0" fontId="41" fillId="38" borderId="114" xfId="0" applyFont="1" applyFill="1" applyBorder="1" applyAlignment="1">
      <alignment vertical="center"/>
    </xf>
    <xf numFmtId="4" fontId="41" fillId="38" borderId="114" xfId="0" applyNumberFormat="1" applyFont="1" applyFill="1" applyBorder="1" applyAlignment="1">
      <alignment vertical="center"/>
    </xf>
    <xf numFmtId="0" fontId="41" fillId="38" borderId="115" xfId="0" applyFont="1" applyFill="1" applyBorder="1" applyAlignment="1">
      <alignment vertical="center"/>
    </xf>
    <xf numFmtId="4" fontId="41" fillId="38" borderId="101" xfId="0" applyNumberFormat="1" applyFont="1" applyFill="1" applyBorder="1" applyAlignment="1">
      <alignment vertical="center"/>
    </xf>
    <xf numFmtId="0" fontId="44" fillId="39" borderId="99" xfId="0" applyFont="1" applyFill="1" applyBorder="1" applyAlignment="1">
      <alignment horizontal="left" vertical="center"/>
    </xf>
    <xf numFmtId="0" fontId="44" fillId="39" borderId="69" xfId="0" applyFont="1" applyFill="1" applyBorder="1" applyAlignment="1">
      <alignment horizontal="left" vertical="center"/>
    </xf>
    <xf numFmtId="4" fontId="41" fillId="38" borderId="33" xfId="0" applyNumberFormat="1" applyFont="1" applyFill="1" applyBorder="1" applyAlignment="1">
      <alignment vertical="center"/>
    </xf>
    <xf numFmtId="4" fontId="41" fillId="0" borderId="0" xfId="0" applyNumberFormat="1" applyFont="1" applyAlignment="1">
      <alignment vertical="center"/>
    </xf>
    <xf numFmtId="0" fontId="44" fillId="0" borderId="59" xfId="0" applyFont="1" applyBorder="1" applyAlignment="1">
      <alignment vertical="center"/>
    </xf>
    <xf numFmtId="43" fontId="44" fillId="0" borderId="112" xfId="0" applyNumberFormat="1" applyFont="1" applyBorder="1" applyAlignment="1">
      <alignment vertical="center"/>
    </xf>
    <xf numFmtId="0" fontId="44" fillId="0" borderId="43" xfId="0" applyFont="1" applyBorder="1" applyAlignment="1">
      <alignment vertical="center"/>
    </xf>
    <xf numFmtId="43" fontId="44" fillId="0" borderId="45" xfId="0" applyNumberFormat="1" applyFont="1" applyBorder="1" applyAlignment="1">
      <alignment vertical="center"/>
    </xf>
    <xf numFmtId="0" fontId="44" fillId="0" borderId="112" xfId="0" applyFont="1" applyBorder="1" applyAlignment="1">
      <alignment vertical="center"/>
    </xf>
    <xf numFmtId="169" fontId="41" fillId="38" borderId="57" xfId="43" applyNumberFormat="1" applyFont="1" applyFill="1" applyBorder="1" applyAlignment="1">
      <alignment vertical="center"/>
    </xf>
    <xf numFmtId="169" fontId="41" fillId="38" borderId="57" xfId="0" applyNumberFormat="1" applyFont="1" applyFill="1" applyBorder="1" applyAlignment="1">
      <alignment vertical="center"/>
    </xf>
    <xf numFmtId="0" fontId="20" fillId="36" borderId="28" xfId="0" applyFont="1" applyFill="1" applyBorder="1" applyAlignment="1">
      <alignment horizontal="center" vertical="center" wrapText="1"/>
    </xf>
    <xf numFmtId="0" fontId="20" fillId="36" borderId="31" xfId="0" applyFont="1" applyFill="1" applyBorder="1" applyAlignment="1">
      <alignment horizontal="center" vertical="center" wrapText="1"/>
    </xf>
    <xf numFmtId="0" fontId="20" fillId="36" borderId="91" xfId="0" applyFont="1" applyFill="1" applyBorder="1" applyAlignment="1">
      <alignment horizontal="center" vertical="center" wrapText="1"/>
    </xf>
    <xf numFmtId="0" fontId="20" fillId="36" borderId="96" xfId="0" applyFont="1" applyFill="1" applyBorder="1" applyAlignment="1">
      <alignment horizontal="center" vertical="center" wrapText="1"/>
    </xf>
    <xf numFmtId="0" fontId="19" fillId="0" borderId="99" xfId="0" applyFont="1" applyBorder="1" applyAlignment="1">
      <alignment horizontal="left" vertical="center"/>
    </xf>
    <xf numFmtId="0" fontId="20" fillId="0" borderId="59" xfId="0" applyFont="1" applyBorder="1" applyAlignment="1">
      <alignment horizontal="center" vertical="center"/>
    </xf>
    <xf numFmtId="2" fontId="20" fillId="0" borderId="112" xfId="0" applyNumberFormat="1" applyFont="1" applyBorder="1" applyAlignment="1">
      <alignment vertical="center"/>
    </xf>
    <xf numFmtId="0" fontId="20" fillId="0" borderId="43" xfId="0" applyFont="1" applyBorder="1" applyAlignment="1">
      <alignment vertical="center"/>
    </xf>
    <xf numFmtId="0" fontId="20" fillId="0" borderId="45" xfId="0" applyFont="1" applyBorder="1" applyAlignment="1">
      <alignment vertical="center"/>
    </xf>
    <xf numFmtId="0" fontId="20" fillId="0" borderId="112" xfId="0" applyFont="1" applyBorder="1" applyAlignment="1">
      <alignment vertical="center"/>
    </xf>
    <xf numFmtId="0" fontId="20" fillId="0" borderId="43" xfId="0" applyFont="1" applyBorder="1" applyAlignment="1">
      <alignment horizontal="center" vertical="center"/>
    </xf>
    <xf numFmtId="0" fontId="19" fillId="0" borderId="69" xfId="0" applyFont="1" applyBorder="1" applyAlignment="1">
      <alignment horizontal="left" vertical="center"/>
    </xf>
    <xf numFmtId="0" fontId="20" fillId="0" borderId="59" xfId="0" applyFont="1" applyBorder="1" applyAlignment="1">
      <alignment vertical="center"/>
    </xf>
    <xf numFmtId="0" fontId="20" fillId="38" borderId="57" xfId="0" applyFont="1" applyFill="1" applyBorder="1" applyAlignment="1">
      <alignment vertical="center"/>
    </xf>
    <xf numFmtId="0" fontId="20" fillId="38" borderId="33" xfId="0" applyFont="1" applyFill="1" applyBorder="1" applyAlignment="1">
      <alignment vertical="center"/>
    </xf>
    <xf numFmtId="2" fontId="20" fillId="38" borderId="36" xfId="0" applyNumberFormat="1" applyFont="1" applyFill="1" applyBorder="1" applyAlignment="1">
      <alignment vertical="center"/>
    </xf>
    <xf numFmtId="2" fontId="41" fillId="38" borderId="0" xfId="0" applyNumberFormat="1" applyFont="1" applyFill="1" applyBorder="1" applyAlignment="1">
      <alignment vertical="center"/>
    </xf>
    <xf numFmtId="0" fontId="48" fillId="0" borderId="116" xfId="0" applyFont="1" applyBorder="1" applyAlignment="1">
      <alignment horizontal="left" vertical="center"/>
    </xf>
    <xf numFmtId="0" fontId="48" fillId="0" borderId="116" xfId="0" applyFont="1" applyBorder="1" applyAlignment="1">
      <alignment vertical="center"/>
    </xf>
    <xf numFmtId="4" fontId="48" fillId="0" borderId="117" xfId="0" applyNumberFormat="1" applyFont="1" applyBorder="1" applyAlignment="1">
      <alignment vertical="center"/>
    </xf>
    <xf numFmtId="0" fontId="48" fillId="0" borderId="118" xfId="0" applyFont="1" applyBorder="1" applyAlignment="1">
      <alignment vertical="center"/>
    </xf>
    <xf numFmtId="0" fontId="48" fillId="0" borderId="117" xfId="0" applyFont="1" applyBorder="1" applyAlignment="1">
      <alignment vertical="center"/>
    </xf>
    <xf numFmtId="0" fontId="48" fillId="0" borderId="116" xfId="0" applyFont="1" applyBorder="1"/>
    <xf numFmtId="0" fontId="48" fillId="0" borderId="119" xfId="0" applyFont="1" applyBorder="1" applyAlignment="1">
      <alignment vertical="center"/>
    </xf>
    <xf numFmtId="0" fontId="48" fillId="0" borderId="120" xfId="0" applyFont="1" applyBorder="1"/>
    <xf numFmtId="0" fontId="48" fillId="0" borderId="121" xfId="0" applyFont="1" applyBorder="1" applyAlignment="1">
      <alignment vertical="center"/>
    </xf>
    <xf numFmtId="0" fontId="48" fillId="0" borderId="23" xfId="0" applyFont="1" applyBorder="1" applyAlignment="1">
      <alignment vertical="center"/>
    </xf>
    <xf numFmtId="0" fontId="48" fillId="0" borderId="122" xfId="0" applyFont="1" applyBorder="1" applyAlignment="1">
      <alignment vertical="center"/>
    </xf>
    <xf numFmtId="0" fontId="47" fillId="0" borderId="123" xfId="0" applyFont="1" applyBorder="1" applyAlignment="1">
      <alignment horizontal="center"/>
    </xf>
    <xf numFmtId="0" fontId="48" fillId="0" borderId="124" xfId="0" applyFont="1" applyBorder="1"/>
    <xf numFmtId="4" fontId="48" fillId="0" borderId="125" xfId="0" applyNumberFormat="1" applyFont="1" applyBorder="1"/>
    <xf numFmtId="0" fontId="48" fillId="0" borderId="126" xfId="0" applyFont="1" applyBorder="1"/>
    <xf numFmtId="4" fontId="48" fillId="0" borderId="127" xfId="0" applyNumberFormat="1" applyFont="1" applyBorder="1"/>
    <xf numFmtId="0" fontId="48" fillId="0" borderId="127" xfId="0" applyFont="1" applyBorder="1"/>
    <xf numFmtId="4" fontId="48" fillId="0" borderId="128" xfId="0" applyNumberFormat="1" applyFont="1" applyBorder="1"/>
    <xf numFmtId="0" fontId="44" fillId="0" borderId="129" xfId="0" applyFont="1" applyBorder="1" applyAlignment="1">
      <alignment horizontal="center" vertical="center"/>
    </xf>
    <xf numFmtId="4" fontId="42" fillId="0" borderId="130" xfId="0" applyNumberFormat="1" applyFont="1" applyBorder="1" applyAlignment="1">
      <alignment horizontal="right" vertical="center"/>
    </xf>
    <xf numFmtId="0" fontId="41" fillId="0" borderId="43" xfId="0" applyFont="1" applyBorder="1" applyAlignment="1">
      <alignment horizontal="center" vertical="center"/>
    </xf>
    <xf numFmtId="2" fontId="41" fillId="0" borderId="45" xfId="0" applyNumberFormat="1" applyFont="1" applyBorder="1" applyAlignment="1">
      <alignment vertical="center"/>
    </xf>
    <xf numFmtId="4" fontId="44" fillId="0" borderId="131" xfId="0" applyNumberFormat="1" applyFont="1" applyBorder="1" applyAlignment="1">
      <alignment vertical="center"/>
    </xf>
    <xf numFmtId="4" fontId="44" fillId="0" borderId="132" xfId="0" applyNumberFormat="1" applyFont="1" applyBorder="1" applyAlignment="1">
      <alignment vertical="center"/>
    </xf>
    <xf numFmtId="0" fontId="41" fillId="0" borderId="129" xfId="0" applyFont="1" applyBorder="1" applyAlignment="1">
      <alignment horizontal="center" vertical="center"/>
    </xf>
    <xf numFmtId="4" fontId="44" fillId="0" borderId="133" xfId="0" applyNumberFormat="1" applyFont="1" applyBorder="1" applyAlignment="1">
      <alignment vertical="center"/>
    </xf>
    <xf numFmtId="0" fontId="41" fillId="38" borderId="57" xfId="0" applyFont="1" applyFill="1" applyBorder="1" applyAlignment="1">
      <alignment horizontal="center" vertical="center"/>
    </xf>
    <xf numFmtId="0" fontId="41" fillId="46" borderId="0" xfId="0" applyFont="1" applyFill="1" applyBorder="1"/>
    <xf numFmtId="0" fontId="41" fillId="46" borderId="0" xfId="0" applyFont="1" applyFill="1" applyBorder="1" applyAlignment="1">
      <alignment vertical="center"/>
    </xf>
    <xf numFmtId="0" fontId="41" fillId="0" borderId="0" xfId="0" applyFont="1" applyBorder="1" applyAlignment="1">
      <alignment horizontal="center"/>
    </xf>
    <xf numFmtId="0" fontId="43" fillId="52" borderId="0" xfId="0" applyFont="1" applyFill="1" applyBorder="1"/>
    <xf numFmtId="0" fontId="42" fillId="52" borderId="0" xfId="0" applyFont="1" applyFill="1" applyBorder="1"/>
    <xf numFmtId="0" fontId="43" fillId="52" borderId="0" xfId="0" applyFont="1" applyFill="1" applyBorder="1" applyAlignment="1">
      <alignment vertical="center"/>
    </xf>
    <xf numFmtId="0" fontId="43" fillId="36" borderId="28" xfId="0" applyFont="1" applyFill="1" applyBorder="1" applyAlignment="1">
      <alignment horizontal="center" vertical="center" textRotation="90" wrapText="1"/>
    </xf>
    <xf numFmtId="0" fontId="43" fillId="36" borderId="82" xfId="0" applyFont="1" applyFill="1" applyBorder="1" applyAlignment="1">
      <alignment horizontal="center" vertical="center" textRotation="90" wrapText="1"/>
    </xf>
    <xf numFmtId="0" fontId="43" fillId="36" borderId="77" xfId="0" applyFont="1" applyFill="1" applyBorder="1" applyAlignment="1">
      <alignment horizontal="center" vertical="center" textRotation="90" wrapText="1"/>
    </xf>
    <xf numFmtId="0" fontId="43" fillId="36" borderId="134" xfId="0" applyFont="1" applyFill="1" applyBorder="1" applyAlignment="1">
      <alignment horizontal="center" vertical="center" textRotation="90" wrapText="1"/>
    </xf>
    <xf numFmtId="0" fontId="43" fillId="36" borderId="74" xfId="0" applyFont="1" applyFill="1" applyBorder="1" applyAlignment="1">
      <alignment horizontal="center" vertical="center" textRotation="90" wrapText="1"/>
    </xf>
    <xf numFmtId="0" fontId="43" fillId="36" borderId="31" xfId="0" applyFont="1" applyFill="1" applyBorder="1" applyAlignment="1">
      <alignment horizontal="center" vertical="center" textRotation="90" wrapText="1"/>
    </xf>
    <xf numFmtId="0" fontId="43" fillId="36" borderId="69" xfId="0" applyFont="1" applyFill="1" applyBorder="1" applyAlignment="1">
      <alignment horizontal="center" vertical="center" textRotation="90" wrapText="1"/>
    </xf>
    <xf numFmtId="0" fontId="43" fillId="36" borderId="32" xfId="0" applyFont="1" applyFill="1" applyBorder="1" applyAlignment="1">
      <alignment horizontal="center"/>
    </xf>
    <xf numFmtId="0" fontId="43" fillId="36" borderId="135" xfId="0" applyFont="1" applyFill="1" applyBorder="1" applyAlignment="1">
      <alignment horizontal="center"/>
    </xf>
    <xf numFmtId="0" fontId="43" fillId="36" borderId="136" xfId="0" applyFont="1" applyFill="1" applyBorder="1" applyAlignment="1">
      <alignment horizontal="center"/>
    </xf>
    <xf numFmtId="0" fontId="43" fillId="36" borderId="136" xfId="0" quotePrefix="1" applyFont="1" applyFill="1" applyBorder="1" applyAlignment="1">
      <alignment horizontal="center"/>
    </xf>
    <xf numFmtId="0" fontId="43" fillId="36" borderId="137" xfId="0" quotePrefix="1" applyFont="1" applyFill="1" applyBorder="1" applyAlignment="1">
      <alignment horizontal="center"/>
    </xf>
    <xf numFmtId="0" fontId="43" fillId="36" borderId="115" xfId="0" quotePrefix="1" applyFont="1" applyFill="1" applyBorder="1" applyAlignment="1">
      <alignment horizontal="center"/>
    </xf>
    <xf numFmtId="0" fontId="43" fillId="36" borderId="114" xfId="0" quotePrefix="1" applyFont="1" applyFill="1" applyBorder="1" applyAlignment="1">
      <alignment horizontal="center"/>
    </xf>
    <xf numFmtId="0" fontId="43" fillId="36" borderId="114" xfId="0" applyFont="1" applyFill="1" applyBorder="1" applyAlignment="1">
      <alignment horizontal="center"/>
    </xf>
    <xf numFmtId="0" fontId="42" fillId="0" borderId="28" xfId="0" applyFont="1" applyFill="1" applyBorder="1"/>
    <xf numFmtId="0" fontId="42" fillId="0" borderId="69" xfId="0" applyFont="1" applyFill="1" applyBorder="1"/>
    <xf numFmtId="0" fontId="42" fillId="0" borderId="82" xfId="0" applyFont="1" applyFill="1" applyBorder="1"/>
    <xf numFmtId="0" fontId="42" fillId="0" borderId="0" xfId="0" applyFont="1" applyFill="1" applyBorder="1"/>
    <xf numFmtId="0" fontId="42" fillId="0" borderId="75" xfId="0" applyFont="1" applyFill="1" applyBorder="1"/>
    <xf numFmtId="0" fontId="42" fillId="0" borderId="87" xfId="0" applyFont="1" applyFill="1" applyBorder="1"/>
    <xf numFmtId="0" fontId="42" fillId="0" borderId="32" xfId="0" applyFont="1" applyFill="1" applyBorder="1"/>
    <xf numFmtId="0" fontId="42" fillId="0" borderId="100" xfId="0" applyFont="1" applyFill="1" applyBorder="1"/>
    <xf numFmtId="0" fontId="42" fillId="0" borderId="97" xfId="0" applyFont="1" applyFill="1" applyBorder="1"/>
    <xf numFmtId="0" fontId="42" fillId="0" borderId="58" xfId="0" applyFont="1" applyFill="1" applyBorder="1"/>
    <xf numFmtId="0" fontId="42" fillId="0" borderId="38" xfId="0" applyFont="1" applyFill="1" applyBorder="1"/>
    <xf numFmtId="0" fontId="42" fillId="0" borderId="138" xfId="0" applyFont="1" applyFill="1" applyBorder="1"/>
    <xf numFmtId="0" fontId="43" fillId="0" borderId="32" xfId="0" applyFont="1" applyFill="1" applyBorder="1" applyAlignment="1">
      <alignment horizontal="center"/>
    </xf>
    <xf numFmtId="0" fontId="42" fillId="0" borderId="51" xfId="0" applyFont="1" applyFill="1" applyBorder="1"/>
    <xf numFmtId="0" fontId="42" fillId="0" borderId="52" xfId="0" applyFont="1" applyFill="1" applyBorder="1"/>
    <xf numFmtId="0" fontId="42" fillId="0" borderId="53" xfId="0" applyFont="1" applyFill="1" applyBorder="1"/>
    <xf numFmtId="0" fontId="42" fillId="0" borderId="50" xfId="0" applyFont="1" applyFill="1" applyBorder="1"/>
    <xf numFmtId="0" fontId="42" fillId="0" borderId="54" xfId="0" applyFont="1" applyFill="1" applyBorder="1"/>
    <xf numFmtId="0" fontId="42" fillId="0" borderId="114" xfId="0" applyFont="1" applyFill="1" applyBorder="1"/>
    <xf numFmtId="0" fontId="41" fillId="36" borderId="28" xfId="0" applyFont="1" applyFill="1" applyBorder="1" applyAlignment="1">
      <alignment horizontal="center" vertical="center" textRotation="90" wrapText="1"/>
    </xf>
    <xf numFmtId="0" fontId="41" fillId="36" borderId="82" xfId="0" applyFont="1" applyFill="1" applyBorder="1" applyAlignment="1">
      <alignment horizontal="center" vertical="center" textRotation="90" wrapText="1"/>
    </xf>
    <xf numFmtId="0" fontId="41" fillId="36" borderId="77" xfId="0" applyFont="1" applyFill="1" applyBorder="1" applyAlignment="1">
      <alignment horizontal="center" vertical="center" textRotation="90" wrapText="1"/>
    </xf>
    <xf numFmtId="0" fontId="41" fillId="36" borderId="134" xfId="0" applyFont="1" applyFill="1" applyBorder="1" applyAlignment="1">
      <alignment horizontal="center" vertical="center" textRotation="90" wrapText="1"/>
    </xf>
    <xf numFmtId="0" fontId="41" fillId="36" borderId="74" xfId="0" applyFont="1" applyFill="1" applyBorder="1" applyAlignment="1">
      <alignment horizontal="center" vertical="center" textRotation="90" wrapText="1"/>
    </xf>
    <xf numFmtId="0" fontId="41" fillId="36" borderId="31" xfId="0" applyFont="1" applyFill="1" applyBorder="1" applyAlignment="1">
      <alignment horizontal="center" vertical="center" textRotation="90" wrapText="1"/>
    </xf>
    <xf numFmtId="0" fontId="41" fillId="36" borderId="69" xfId="0" applyFont="1" applyFill="1" applyBorder="1" applyAlignment="1">
      <alignment horizontal="center" vertical="center" textRotation="90" wrapText="1"/>
    </xf>
    <xf numFmtId="0" fontId="41" fillId="36" borderId="32" xfId="0" applyFont="1" applyFill="1" applyBorder="1" applyAlignment="1">
      <alignment horizontal="center"/>
    </xf>
    <xf numFmtId="0" fontId="41" fillId="36" borderId="135" xfId="0" applyFont="1" applyFill="1" applyBorder="1" applyAlignment="1">
      <alignment horizontal="center"/>
    </xf>
    <xf numFmtId="0" fontId="41" fillId="36" borderId="136" xfId="0" applyFont="1" applyFill="1" applyBorder="1" applyAlignment="1">
      <alignment horizontal="center"/>
    </xf>
    <xf numFmtId="0" fontId="41" fillId="36" borderId="136" xfId="0" quotePrefix="1" applyFont="1" applyFill="1" applyBorder="1" applyAlignment="1">
      <alignment horizontal="center"/>
    </xf>
    <xf numFmtId="0" fontId="41" fillId="36" borderId="137" xfId="0" quotePrefix="1" applyFont="1" applyFill="1" applyBorder="1" applyAlignment="1">
      <alignment horizontal="center"/>
    </xf>
    <xf numFmtId="0" fontId="41" fillId="36" borderId="115" xfId="0" quotePrefix="1" applyFont="1" applyFill="1" applyBorder="1" applyAlignment="1">
      <alignment horizontal="center"/>
    </xf>
    <xf numFmtId="0" fontId="41" fillId="36" borderId="114" xfId="0" quotePrefix="1" applyFont="1" applyFill="1" applyBorder="1" applyAlignment="1">
      <alignment horizontal="center"/>
    </xf>
    <xf numFmtId="0" fontId="41" fillId="36" borderId="114" xfId="0" applyFont="1" applyFill="1" applyBorder="1" applyAlignment="1">
      <alignment horizontal="center"/>
    </xf>
    <xf numFmtId="0" fontId="56" fillId="53" borderId="69" xfId="0" applyFont="1" applyFill="1" applyBorder="1"/>
    <xf numFmtId="0" fontId="41" fillId="54" borderId="69" xfId="0" applyFont="1" applyFill="1" applyBorder="1" applyAlignment="1">
      <alignment horizontal="center"/>
    </xf>
    <xf numFmtId="0" fontId="41" fillId="54" borderId="28" xfId="0" applyFont="1" applyFill="1" applyBorder="1" applyAlignment="1">
      <alignment horizontal="center"/>
    </xf>
    <xf numFmtId="0" fontId="41" fillId="54" borderId="82" xfId="0" applyFont="1" applyFill="1" applyBorder="1" applyAlignment="1">
      <alignment horizontal="center"/>
    </xf>
    <xf numFmtId="0" fontId="41" fillId="54" borderId="82" xfId="0" quotePrefix="1" applyFont="1" applyFill="1" applyBorder="1" applyAlignment="1">
      <alignment horizontal="center"/>
    </xf>
    <xf numFmtId="0" fontId="41" fillId="54" borderId="0" xfId="0" quotePrefix="1" applyFont="1" applyFill="1" applyBorder="1" applyAlignment="1">
      <alignment horizontal="center"/>
    </xf>
    <xf numFmtId="0" fontId="41" fillId="54" borderId="75" xfId="0" quotePrefix="1" applyFont="1" applyFill="1" applyBorder="1" applyAlignment="1">
      <alignment horizontal="center"/>
    </xf>
    <xf numFmtId="0" fontId="41" fillId="54" borderId="87" xfId="0" quotePrefix="1" applyFont="1" applyFill="1" applyBorder="1" applyAlignment="1">
      <alignment horizontal="center"/>
    </xf>
    <xf numFmtId="0" fontId="41" fillId="54" borderId="0" xfId="0" applyFont="1" applyFill="1" applyBorder="1" applyAlignment="1">
      <alignment horizontal="center"/>
    </xf>
    <xf numFmtId="166" fontId="44" fillId="0" borderId="82" xfId="0" applyNumberFormat="1" applyFont="1" applyBorder="1"/>
    <xf numFmtId="0" fontId="41" fillId="54" borderId="87" xfId="0" applyFont="1" applyFill="1" applyBorder="1" applyAlignment="1">
      <alignment horizontal="center"/>
    </xf>
    <xf numFmtId="0" fontId="44" fillId="0" borderId="82" xfId="0" applyFont="1" applyBorder="1"/>
    <xf numFmtId="43" fontId="44" fillId="0" borderId="82" xfId="43" applyFont="1" applyBorder="1"/>
    <xf numFmtId="166" fontId="44" fillId="0" borderId="75" xfId="0" applyNumberFormat="1" applyFont="1" applyBorder="1"/>
    <xf numFmtId="166" fontId="44" fillId="0" borderId="87" xfId="0" applyNumberFormat="1" applyFont="1" applyBorder="1"/>
    <xf numFmtId="43" fontId="44" fillId="0" borderId="87" xfId="0" applyNumberFormat="1" applyFont="1" applyBorder="1"/>
    <xf numFmtId="43" fontId="44" fillId="0" borderId="69" xfId="0" applyNumberFormat="1" applyFont="1" applyBorder="1"/>
    <xf numFmtId="0" fontId="44" fillId="0" borderId="69" xfId="0" applyFont="1" applyBorder="1" applyAlignment="1">
      <alignment horizontal="center"/>
    </xf>
    <xf numFmtId="166" fontId="44" fillId="0" borderId="69" xfId="0" applyNumberFormat="1" applyFont="1" applyBorder="1"/>
    <xf numFmtId="0" fontId="44" fillId="0" borderId="38" xfId="0" applyFont="1" applyBorder="1"/>
    <xf numFmtId="0" fontId="44" fillId="0" borderId="39" xfId="0" applyFont="1" applyBorder="1"/>
    <xf numFmtId="0" fontId="44" fillId="0" borderId="97" xfId="0" applyFont="1" applyBorder="1"/>
    <xf numFmtId="166" fontId="44" fillId="0" borderId="39" xfId="0" applyNumberFormat="1" applyFont="1" applyBorder="1"/>
    <xf numFmtId="166" fontId="44" fillId="0" borderId="38" xfId="0" applyNumberFormat="1" applyFont="1" applyBorder="1"/>
    <xf numFmtId="166" fontId="44" fillId="0" borderId="41" xfId="0" applyNumberFormat="1" applyFont="1" applyBorder="1"/>
    <xf numFmtId="0" fontId="41" fillId="0" borderId="32" xfId="0" applyFont="1" applyBorder="1" applyAlignment="1">
      <alignment horizontal="center"/>
    </xf>
    <xf numFmtId="0" fontId="44" fillId="0" borderId="51" xfId="0" applyFont="1" applyBorder="1"/>
    <xf numFmtId="0" fontId="44" fillId="0" borderId="53" xfId="0" applyFont="1" applyBorder="1"/>
    <xf numFmtId="43" fontId="44" fillId="0" borderId="51" xfId="43" applyFont="1" applyBorder="1"/>
    <xf numFmtId="165" fontId="44" fillId="0" borderId="51" xfId="43" applyNumberFormat="1" applyFont="1" applyBorder="1" applyAlignment="1">
      <alignment horizontal="center"/>
    </xf>
    <xf numFmtId="166" fontId="44" fillId="0" borderId="0" xfId="0" applyNumberFormat="1" applyFont="1"/>
    <xf numFmtId="4" fontId="44" fillId="46" borderId="0" xfId="0" applyNumberFormat="1" applyFont="1" applyFill="1" applyBorder="1"/>
    <xf numFmtId="4" fontId="41" fillId="46" borderId="0" xfId="0" applyNumberFormat="1" applyFont="1" applyFill="1" applyBorder="1" applyAlignment="1">
      <alignment vertical="center"/>
    </xf>
    <xf numFmtId="4" fontId="41" fillId="46" borderId="0" xfId="0" applyNumberFormat="1" applyFont="1" applyFill="1" applyBorder="1"/>
    <xf numFmtId="4" fontId="41" fillId="36" borderId="77" xfId="0" applyNumberFormat="1" applyFont="1" applyFill="1" applyBorder="1" applyAlignment="1">
      <alignment horizontal="center" vertical="center" textRotation="90" wrapText="1"/>
    </xf>
    <xf numFmtId="0" fontId="41" fillId="36" borderId="139" xfId="0" applyFont="1" applyFill="1" applyBorder="1" applyAlignment="1">
      <alignment horizontal="center" vertical="center" textRotation="90" wrapText="1"/>
    </xf>
    <xf numFmtId="0" fontId="41" fillId="36" borderId="140" xfId="0" applyFont="1" applyFill="1" applyBorder="1" applyAlignment="1">
      <alignment horizontal="center" vertical="center" textRotation="90" wrapText="1"/>
    </xf>
    <xf numFmtId="4" fontId="41" fillId="36" borderId="136" xfId="0" quotePrefix="1" applyNumberFormat="1" applyFont="1" applyFill="1" applyBorder="1" applyAlignment="1">
      <alignment horizontal="center"/>
    </xf>
    <xf numFmtId="0" fontId="41" fillId="36" borderId="141" xfId="0" quotePrefix="1" applyFont="1" applyFill="1" applyBorder="1" applyAlignment="1">
      <alignment horizontal="center"/>
    </xf>
    <xf numFmtId="0" fontId="41" fillId="36" borderId="142" xfId="0" quotePrefix="1" applyFont="1" applyFill="1" applyBorder="1" applyAlignment="1">
      <alignment horizontal="center"/>
    </xf>
    <xf numFmtId="4" fontId="44" fillId="0" borderId="82" xfId="0" applyNumberFormat="1" applyFont="1" applyBorder="1"/>
    <xf numFmtId="0" fontId="44" fillId="0" borderId="143" xfId="0" applyFont="1" applyBorder="1"/>
    <xf numFmtId="0" fontId="44" fillId="0" borderId="106" xfId="0" applyFont="1" applyBorder="1"/>
    <xf numFmtId="0" fontId="44" fillId="0" borderId="87" xfId="0" applyFont="1" applyBorder="1"/>
    <xf numFmtId="0" fontId="44" fillId="0" borderId="75" xfId="0" applyFont="1" applyBorder="1"/>
    <xf numFmtId="0" fontId="44" fillId="0" borderId="69" xfId="0" applyFont="1" applyBorder="1" applyAlignment="1">
      <alignment vertical="center"/>
    </xf>
    <xf numFmtId="4" fontId="44" fillId="0" borderId="143" xfId="0" applyNumberFormat="1" applyFont="1" applyBorder="1"/>
    <xf numFmtId="4" fontId="44" fillId="0" borderId="106" xfId="0" applyNumberFormat="1" applyFont="1" applyBorder="1"/>
    <xf numFmtId="1" fontId="44" fillId="0" borderId="87" xfId="0" applyNumberFormat="1" applyFont="1" applyBorder="1"/>
    <xf numFmtId="0" fontId="40" fillId="0" borderId="0" xfId="0" applyFont="1"/>
    <xf numFmtId="2" fontId="0" fillId="0" borderId="0" xfId="0" applyNumberFormat="1"/>
    <xf numFmtId="4" fontId="0" fillId="0" borderId="0" xfId="0" applyNumberFormat="1" applyFont="1" applyAlignment="1"/>
    <xf numFmtId="0" fontId="44" fillId="0" borderId="32" xfId="0" applyFont="1" applyBorder="1"/>
    <xf numFmtId="4" fontId="44" fillId="0" borderId="97" xfId="0" applyNumberFormat="1" applyFont="1" applyBorder="1"/>
    <xf numFmtId="0" fontId="44" fillId="0" borderId="138" xfId="0" applyFont="1" applyBorder="1"/>
    <xf numFmtId="0" fontId="44" fillId="0" borderId="144" xfId="0" applyFont="1" applyBorder="1"/>
    <xf numFmtId="0" fontId="44" fillId="0" borderId="145" xfId="0" applyFont="1" applyBorder="1"/>
    <xf numFmtId="0" fontId="44" fillId="0" borderId="146" xfId="0" applyFont="1" applyBorder="1"/>
    <xf numFmtId="0" fontId="44" fillId="0" borderId="147" xfId="0" applyFont="1" applyBorder="1"/>
    <xf numFmtId="0" fontId="44" fillId="0" borderId="148" xfId="0" applyFont="1" applyBorder="1"/>
    <xf numFmtId="0" fontId="44" fillId="0" borderId="149" xfId="0" applyFont="1" applyBorder="1"/>
    <xf numFmtId="4" fontId="44" fillId="0" borderId="0" xfId="0" applyNumberFormat="1" applyFont="1"/>
    <xf numFmtId="0" fontId="41" fillId="46" borderId="0" xfId="42" applyFont="1" applyFill="1" applyBorder="1"/>
    <xf numFmtId="0" fontId="41" fillId="46" borderId="0" xfId="42" applyFont="1" applyFill="1" applyBorder="1" applyAlignment="1">
      <alignment vertical="center"/>
    </xf>
    <xf numFmtId="0" fontId="41" fillId="36" borderId="28" xfId="42" applyFont="1" applyFill="1" applyBorder="1" applyAlignment="1">
      <alignment horizontal="center" vertical="center" textRotation="90" wrapText="1"/>
    </xf>
    <xf numFmtId="0" fontId="41" fillId="36" borderId="82" xfId="42" applyFont="1" applyFill="1" applyBorder="1" applyAlignment="1">
      <alignment horizontal="center" vertical="center" textRotation="90" wrapText="1"/>
    </xf>
    <xf numFmtId="0" fontId="41" fillId="36" borderId="77" xfId="42" applyFont="1" applyFill="1" applyBorder="1" applyAlignment="1">
      <alignment horizontal="center" vertical="center" textRotation="90" wrapText="1"/>
    </xf>
    <xf numFmtId="0" fontId="41" fillId="36" borderId="134" xfId="42" applyFont="1" applyFill="1" applyBorder="1" applyAlignment="1">
      <alignment horizontal="center" vertical="center" textRotation="90" wrapText="1"/>
    </xf>
    <xf numFmtId="0" fontId="41" fillId="36" borderId="74" xfId="42" applyFont="1" applyFill="1" applyBorder="1" applyAlignment="1">
      <alignment horizontal="center" vertical="center" textRotation="90" wrapText="1"/>
    </xf>
    <xf numFmtId="0" fontId="41" fillId="36" borderId="31" xfId="42" applyFont="1" applyFill="1" applyBorder="1" applyAlignment="1">
      <alignment horizontal="center" vertical="center" textRotation="90" wrapText="1"/>
    </xf>
    <xf numFmtId="0" fontId="41" fillId="36" borderId="69" xfId="42" applyFont="1" applyFill="1" applyBorder="1" applyAlignment="1">
      <alignment horizontal="center" vertical="center" textRotation="90" wrapText="1"/>
    </xf>
    <xf numFmtId="0" fontId="41" fillId="36" borderId="32" xfId="42" applyFont="1" applyFill="1" applyBorder="1" applyAlignment="1">
      <alignment horizontal="center"/>
    </xf>
    <xf numFmtId="0" fontId="41" fillId="36" borderId="135" xfId="42" applyFont="1" applyFill="1" applyBorder="1" applyAlignment="1">
      <alignment horizontal="center"/>
    </xf>
    <xf numFmtId="0" fontId="41" fillId="36" borderId="136" xfId="42" applyFont="1" applyFill="1" applyBorder="1" applyAlignment="1">
      <alignment horizontal="center"/>
    </xf>
    <xf numFmtId="0" fontId="41" fillId="36" borderId="136" xfId="42" quotePrefix="1" applyFont="1" applyFill="1" applyBorder="1" applyAlignment="1">
      <alignment horizontal="center"/>
    </xf>
    <xf numFmtId="0" fontId="41" fillId="36" borderId="137" xfId="42" quotePrefix="1" applyFont="1" applyFill="1" applyBorder="1" applyAlignment="1">
      <alignment horizontal="center"/>
    </xf>
    <xf numFmtId="0" fontId="41" fillId="36" borderId="115" xfId="42" quotePrefix="1" applyFont="1" applyFill="1" applyBorder="1" applyAlignment="1">
      <alignment horizontal="center"/>
    </xf>
    <xf numFmtId="0" fontId="41" fillId="36" borderId="114" xfId="42" quotePrefix="1" applyFont="1" applyFill="1" applyBorder="1" applyAlignment="1">
      <alignment horizontal="center"/>
    </xf>
    <xf numFmtId="0" fontId="41" fillId="36" borderId="114" xfId="42" applyFont="1" applyFill="1" applyBorder="1" applyAlignment="1">
      <alignment horizontal="center"/>
    </xf>
    <xf numFmtId="0" fontId="44" fillId="0" borderId="28" xfId="42" applyFont="1" applyBorder="1"/>
    <xf numFmtId="0" fontId="44" fillId="0" borderId="69" xfId="42" applyFont="1" applyBorder="1"/>
    <xf numFmtId="0" fontId="44" fillId="0" borderId="82" xfId="42" applyFont="1" applyBorder="1"/>
    <xf numFmtId="0" fontId="44" fillId="0" borderId="75" xfId="42" applyFont="1" applyBorder="1"/>
    <xf numFmtId="0" fontId="44" fillId="0" borderId="87" xfId="42" applyFont="1" applyBorder="1"/>
    <xf numFmtId="43" fontId="44" fillId="0" borderId="82" xfId="44" applyFont="1" applyBorder="1"/>
    <xf numFmtId="43" fontId="44" fillId="0" borderId="0" xfId="44" applyFont="1"/>
    <xf numFmtId="43" fontId="44" fillId="0" borderId="75" xfId="44" applyFont="1" applyBorder="1"/>
    <xf numFmtId="166" fontId="44" fillId="0" borderId="87" xfId="42" applyNumberFormat="1" applyFont="1" applyBorder="1"/>
    <xf numFmtId="43" fontId="44" fillId="0" borderId="87" xfId="44" applyFont="1" applyBorder="1"/>
    <xf numFmtId="43" fontId="44" fillId="0" borderId="69" xfId="44" applyFont="1" applyBorder="1"/>
    <xf numFmtId="0" fontId="44" fillId="0" borderId="32" xfId="42" applyFont="1" applyBorder="1"/>
    <xf numFmtId="0" fontId="44" fillId="0" borderId="100" xfId="42" applyFont="1" applyBorder="1"/>
    <xf numFmtId="0" fontId="44" fillId="0" borderId="97" xfId="42" applyFont="1" applyBorder="1"/>
    <xf numFmtId="0" fontId="44" fillId="0" borderId="58" xfId="42" applyFont="1" applyBorder="1"/>
    <xf numFmtId="0" fontId="44" fillId="0" borderId="138" xfId="42" applyFont="1" applyBorder="1"/>
    <xf numFmtId="0" fontId="41" fillId="0" borderId="32" xfId="42" applyFont="1" applyBorder="1" applyAlignment="1">
      <alignment horizontal="center"/>
    </xf>
    <xf numFmtId="0" fontId="44" fillId="0" borderId="51" xfId="42" applyFont="1" applyBorder="1"/>
    <xf numFmtId="0" fontId="44" fillId="0" borderId="52" xfId="42" applyFont="1" applyBorder="1"/>
    <xf numFmtId="0" fontId="44" fillId="0" borderId="53" xfId="42" applyFont="1" applyBorder="1"/>
    <xf numFmtId="0" fontId="44" fillId="0" borderId="50" xfId="42" applyFont="1" applyBorder="1"/>
    <xf numFmtId="43" fontId="44" fillId="0" borderId="54" xfId="42" applyNumberFormat="1" applyFont="1" applyBorder="1"/>
    <xf numFmtId="0" fontId="44" fillId="0" borderId="114" xfId="42" applyFont="1" applyBorder="1"/>
    <xf numFmtId="166" fontId="44" fillId="0" borderId="114" xfId="42" applyNumberFormat="1" applyFont="1" applyBorder="1"/>
    <xf numFmtId="0" fontId="19" fillId="0" borderId="69" xfId="0" applyFont="1" applyBorder="1"/>
    <xf numFmtId="0" fontId="0" fillId="0" borderId="150" xfId="0" applyFont="1" applyBorder="1" applyAlignment="1"/>
    <xf numFmtId="0" fontId="44" fillId="0" borderId="58" xfId="0" applyFont="1" applyBorder="1"/>
    <xf numFmtId="0" fontId="20" fillId="46" borderId="0" xfId="0" applyFont="1" applyFill="1" applyBorder="1"/>
    <xf numFmtId="0" fontId="19" fillId="46" borderId="0" xfId="0" applyFont="1" applyFill="1" applyBorder="1"/>
    <xf numFmtId="0" fontId="20" fillId="46" borderId="0" xfId="0" applyFont="1" applyFill="1" applyBorder="1" applyAlignment="1">
      <alignment vertical="center"/>
    </xf>
    <xf numFmtId="0" fontId="20" fillId="36" borderId="28" xfId="0" applyFont="1" applyFill="1" applyBorder="1" applyAlignment="1">
      <alignment horizontal="center" vertical="center" textRotation="90" wrapText="1"/>
    </xf>
    <xf numFmtId="0" fontId="20" fillId="36" borderId="82" xfId="0" applyFont="1" applyFill="1" applyBorder="1" applyAlignment="1">
      <alignment horizontal="center" vertical="center" textRotation="90" wrapText="1"/>
    </xf>
    <xf numFmtId="0" fontId="20" fillId="36" borderId="77" xfId="0" applyFont="1" applyFill="1" applyBorder="1" applyAlignment="1">
      <alignment horizontal="center" vertical="center" textRotation="90" wrapText="1"/>
    </xf>
    <xf numFmtId="0" fontId="20" fillId="36" borderId="134" xfId="0" applyFont="1" applyFill="1" applyBorder="1" applyAlignment="1">
      <alignment horizontal="center" vertical="center" textRotation="90" wrapText="1"/>
    </xf>
    <xf numFmtId="0" fontId="20" fillId="36" borderId="74" xfId="0" applyFont="1" applyFill="1" applyBorder="1" applyAlignment="1">
      <alignment horizontal="center" vertical="center" textRotation="90" wrapText="1"/>
    </xf>
    <xf numFmtId="0" fontId="20" fillId="36" borderId="31" xfId="0" applyFont="1" applyFill="1" applyBorder="1" applyAlignment="1">
      <alignment horizontal="center" vertical="center" textRotation="90" wrapText="1"/>
    </xf>
    <xf numFmtId="0" fontId="20" fillId="36" borderId="69" xfId="0" applyFont="1" applyFill="1" applyBorder="1" applyAlignment="1">
      <alignment horizontal="center" vertical="center" textRotation="90" wrapText="1"/>
    </xf>
    <xf numFmtId="0" fontId="20" fillId="36" borderId="32" xfId="0" applyFont="1" applyFill="1" applyBorder="1" applyAlignment="1">
      <alignment horizontal="center"/>
    </xf>
    <xf numFmtId="0" fontId="20" fillId="36" borderId="135" xfId="0" applyFont="1" applyFill="1" applyBorder="1" applyAlignment="1">
      <alignment horizontal="center"/>
    </xf>
    <xf numFmtId="0" fontId="20" fillId="36" borderId="136" xfId="0" applyFont="1" applyFill="1" applyBorder="1" applyAlignment="1">
      <alignment horizontal="center"/>
    </xf>
    <xf numFmtId="0" fontId="20" fillId="36" borderId="136" xfId="0" quotePrefix="1" applyFont="1" applyFill="1" applyBorder="1" applyAlignment="1">
      <alignment horizontal="center"/>
    </xf>
    <xf numFmtId="0" fontId="20" fillId="36" borderId="137" xfId="0" quotePrefix="1" applyFont="1" applyFill="1" applyBorder="1" applyAlignment="1">
      <alignment horizontal="center"/>
    </xf>
    <xf numFmtId="0" fontId="20" fillId="36" borderId="115" xfId="0" quotePrefix="1" applyFont="1" applyFill="1" applyBorder="1" applyAlignment="1">
      <alignment horizontal="center"/>
    </xf>
    <xf numFmtId="0" fontId="20" fillId="36" borderId="114" xfId="0" quotePrefix="1" applyFont="1" applyFill="1" applyBorder="1" applyAlignment="1">
      <alignment horizontal="center"/>
    </xf>
    <xf numFmtId="0" fontId="20" fillId="36" borderId="114" xfId="0" applyFont="1" applyFill="1" applyBorder="1" applyAlignment="1">
      <alignment horizontal="center"/>
    </xf>
    <xf numFmtId="0" fontId="37" fillId="53" borderId="12" xfId="0" applyFont="1" applyFill="1" applyBorder="1" applyAlignment="1">
      <alignment horizontal="center"/>
    </xf>
    <xf numFmtId="0" fontId="19" fillId="0" borderId="69" xfId="0" applyFont="1" applyBorder="1" applyAlignment="1">
      <alignment horizontal="center"/>
    </xf>
    <xf numFmtId="2" fontId="19" fillId="0" borderId="82" xfId="0" applyNumberFormat="1" applyFont="1" applyBorder="1"/>
    <xf numFmtId="0" fontId="19" fillId="0" borderId="82" xfId="0" applyFont="1" applyBorder="1"/>
    <xf numFmtId="2" fontId="19" fillId="0" borderId="0" xfId="0" applyNumberFormat="1" applyFont="1"/>
    <xf numFmtId="2" fontId="19" fillId="0" borderId="75" xfId="0" applyNumberFormat="1" applyFont="1" applyBorder="1"/>
    <xf numFmtId="2" fontId="19" fillId="0" borderId="87" xfId="0" applyNumberFormat="1" applyFont="1" applyBorder="1"/>
    <xf numFmtId="0" fontId="19" fillId="0" borderId="87" xfId="0" applyFont="1" applyBorder="1"/>
    <xf numFmtId="0" fontId="37" fillId="53" borderId="151" xfId="0" applyFont="1" applyFill="1" applyBorder="1" applyAlignment="1">
      <alignment horizontal="center"/>
    </xf>
    <xf numFmtId="0" fontId="37" fillId="53" borderId="152" xfId="0" applyFont="1" applyFill="1" applyBorder="1" applyAlignment="1">
      <alignment horizontal="center"/>
    </xf>
    <xf numFmtId="0" fontId="19" fillId="0" borderId="75" xfId="0" applyFont="1" applyBorder="1"/>
    <xf numFmtId="0" fontId="19" fillId="0" borderId="51" xfId="0" applyFont="1" applyBorder="1"/>
    <xf numFmtId="0" fontId="19" fillId="0" borderId="52" xfId="0" applyFont="1" applyBorder="1"/>
    <xf numFmtId="0" fontId="19" fillId="0" borderId="53" xfId="0" applyFont="1" applyBorder="1"/>
    <xf numFmtId="0" fontId="19" fillId="0" borderId="50" xfId="0" applyFont="1" applyBorder="1"/>
    <xf numFmtId="0" fontId="19" fillId="0" borderId="54" xfId="0" applyFont="1" applyBorder="1"/>
    <xf numFmtId="2" fontId="19" fillId="0" borderId="114" xfId="0" applyNumberFormat="1" applyFont="1" applyBorder="1"/>
    <xf numFmtId="0" fontId="20" fillId="0" borderId="0" xfId="0" applyFont="1" applyAlignment="1">
      <alignment horizontal="center"/>
    </xf>
    <xf numFmtId="0" fontId="57" fillId="0" borderId="153" xfId="0" applyFont="1" applyBorder="1" applyAlignment="1">
      <alignment horizontal="left" vertical="center"/>
    </xf>
    <xf numFmtId="0" fontId="48" fillId="0" borderId="20" xfId="0" applyFont="1" applyBorder="1" applyAlignment="1">
      <alignment horizontal="center" vertical="center" wrapText="1"/>
    </xf>
    <xf numFmtId="0" fontId="48" fillId="0" borderId="20" xfId="0" applyFont="1" applyBorder="1" applyAlignment="1">
      <alignment horizontal="center" vertical="center"/>
    </xf>
    <xf numFmtId="0" fontId="48" fillId="0" borderId="154" xfId="0" applyFont="1" applyBorder="1" applyAlignment="1">
      <alignment horizontal="center" vertical="center" wrapText="1"/>
    </xf>
    <xf numFmtId="0" fontId="48" fillId="0" borderId="155" xfId="0" applyFont="1" applyBorder="1" applyAlignment="1">
      <alignment horizontal="center" vertical="center" wrapText="1"/>
    </xf>
    <xf numFmtId="0" fontId="48" fillId="0" borderId="20" xfId="0" applyFont="1" applyFill="1" applyBorder="1" applyAlignment="1">
      <alignment horizontal="center" vertical="center" wrapText="1"/>
    </xf>
    <xf numFmtId="2" fontId="48" fillId="0" borderId="20" xfId="0" applyNumberFormat="1" applyFont="1" applyBorder="1" applyAlignment="1">
      <alignment horizontal="center" vertical="center" wrapText="1"/>
    </xf>
    <xf numFmtId="43" fontId="58" fillId="0" borderId="154" xfId="43" applyFont="1" applyBorder="1" applyAlignment="1">
      <alignment horizontal="center" vertical="center" wrapText="1"/>
    </xf>
    <xf numFmtId="2" fontId="48" fillId="0" borderId="20" xfId="0" applyNumberFormat="1" applyFont="1" applyFill="1" applyBorder="1" applyAlignment="1">
      <alignment horizontal="center" vertical="center" wrapText="1"/>
    </xf>
    <xf numFmtId="2" fontId="50" fillId="53" borderId="20" xfId="43" applyNumberFormat="1" applyFont="1" applyFill="1" applyBorder="1" applyAlignment="1">
      <alignment horizontal="center" vertical="center"/>
    </xf>
    <xf numFmtId="2" fontId="50" fillId="0" borderId="20" xfId="43" applyNumberFormat="1" applyFont="1" applyFill="1" applyBorder="1" applyAlignment="1">
      <alignment horizontal="center" vertical="center"/>
    </xf>
    <xf numFmtId="43" fontId="50" fillId="0" borderId="20" xfId="43" applyFont="1" applyFill="1" applyBorder="1" applyAlignment="1">
      <alignment horizontal="center" vertical="center"/>
    </xf>
    <xf numFmtId="0" fontId="48" fillId="0" borderId="153" xfId="0" applyFont="1" applyBorder="1" applyAlignment="1">
      <alignment horizontal="center" vertical="center"/>
    </xf>
    <xf numFmtId="0" fontId="57" fillId="0" borderId="153" xfId="0" applyFont="1" applyBorder="1" applyAlignment="1">
      <alignment horizontal="left"/>
    </xf>
    <xf numFmtId="0" fontId="48" fillId="0" borderId="156" xfId="0" applyFont="1" applyBorder="1" applyAlignment="1">
      <alignment horizontal="center" vertical="center"/>
    </xf>
    <xf numFmtId="0" fontId="48" fillId="0" borderId="16" xfId="0" applyFont="1" applyBorder="1" applyAlignment="1">
      <alignment horizontal="center" vertical="center" wrapText="1"/>
    </xf>
    <xf numFmtId="0" fontId="48" fillId="0" borderId="110" xfId="0" applyFont="1" applyBorder="1" applyAlignment="1">
      <alignment horizontal="center" vertical="center" wrapText="1"/>
    </xf>
    <xf numFmtId="0" fontId="48" fillId="0" borderId="21" xfId="0" applyFont="1" applyBorder="1" applyAlignment="1">
      <alignment horizontal="center" vertical="center" wrapText="1"/>
    </xf>
    <xf numFmtId="0" fontId="48" fillId="0" borderId="16" xfId="0" applyFont="1" applyFill="1" applyBorder="1" applyAlignment="1">
      <alignment horizontal="center" vertical="center" wrapText="1"/>
    </xf>
    <xf numFmtId="0" fontId="47" fillId="0" borderId="10" xfId="0" applyFont="1" applyBorder="1" applyAlignment="1">
      <alignment horizontal="center"/>
    </xf>
    <xf numFmtId="0" fontId="48" fillId="0" borderId="17" xfId="0" applyFont="1" applyBorder="1"/>
    <xf numFmtId="0" fontId="48" fillId="0" borderId="118" xfId="0" applyFont="1" applyBorder="1"/>
    <xf numFmtId="0" fontId="0" fillId="0" borderId="118" xfId="0" applyBorder="1"/>
    <xf numFmtId="167" fontId="49" fillId="0" borderId="118" xfId="0" applyNumberFormat="1" applyFont="1" applyBorder="1" applyAlignment="1">
      <alignment vertical="center"/>
    </xf>
    <xf numFmtId="0" fontId="62" fillId="55" borderId="11" xfId="0" applyFont="1" applyFill="1" applyBorder="1" applyAlignment="1" applyProtection="1">
      <alignment horizontal="left" vertical="top" wrapText="1"/>
    </xf>
    <xf numFmtId="0" fontId="0" fillId="55" borderId="11" xfId="0" applyFill="1" applyBorder="1"/>
    <xf numFmtId="0" fontId="0" fillId="55" borderId="15" xfId="0" applyFill="1" applyBorder="1"/>
    <xf numFmtId="0" fontId="0" fillId="55" borderId="22" xfId="0" applyFill="1" applyBorder="1"/>
    <xf numFmtId="0" fontId="62" fillId="55" borderId="12" xfId="0" applyFont="1" applyFill="1" applyBorder="1" applyAlignment="1" applyProtection="1">
      <alignment horizontal="left" vertical="top" wrapText="1"/>
    </xf>
    <xf numFmtId="0" fontId="62" fillId="55" borderId="13" xfId="0" applyFont="1" applyFill="1" applyBorder="1" applyAlignment="1" applyProtection="1">
      <alignment horizontal="left" vertical="top" wrapText="1"/>
    </xf>
    <xf numFmtId="0" fontId="0" fillId="55" borderId="13" xfId="0" applyFill="1" applyBorder="1"/>
    <xf numFmtId="0" fontId="65" fillId="55" borderId="13" xfId="0" applyFont="1" applyFill="1" applyBorder="1"/>
    <xf numFmtId="0" fontId="64" fillId="55" borderId="13" xfId="0" applyFont="1" applyFill="1" applyBorder="1"/>
    <xf numFmtId="0" fontId="66" fillId="0" borderId="152" xfId="0" applyFont="1" applyBorder="1" applyAlignment="1" applyProtection="1">
      <alignment horizontal="left" vertical="center" wrapText="1"/>
    </xf>
    <xf numFmtId="0" fontId="62" fillId="0" borderId="152" xfId="0" applyFont="1" applyBorder="1" applyAlignment="1" applyProtection="1">
      <alignment horizontal="left" vertical="top" wrapText="1"/>
    </xf>
    <xf numFmtId="4" fontId="67" fillId="0" borderId="152" xfId="0" applyNumberFormat="1" applyFont="1" applyBorder="1" applyAlignment="1" applyProtection="1">
      <alignment horizontal="right" vertical="top" wrapText="1"/>
    </xf>
    <xf numFmtId="3" fontId="65" fillId="0" borderId="152" xfId="0" applyNumberFormat="1" applyFont="1" applyBorder="1"/>
    <xf numFmtId="2" fontId="65" fillId="0" borderId="152" xfId="0" applyNumberFormat="1" applyFont="1" applyBorder="1"/>
    <xf numFmtId="0" fontId="66" fillId="0" borderId="12" xfId="0" applyFont="1" applyBorder="1" applyAlignment="1" applyProtection="1">
      <alignment horizontal="left" vertical="center" wrapText="1"/>
    </xf>
    <xf numFmtId="0" fontId="65" fillId="0" borderId="12" xfId="0" applyFont="1" applyBorder="1" applyAlignment="1" applyProtection="1">
      <alignment horizontal="left" vertical="center" wrapText="1"/>
    </xf>
    <xf numFmtId="0" fontId="62" fillId="0" borderId="12" xfId="0" applyFont="1" applyBorder="1" applyAlignment="1" applyProtection="1">
      <alignment horizontal="left" vertical="top" wrapText="1"/>
    </xf>
    <xf numFmtId="4" fontId="67" fillId="0" borderId="12" xfId="0" applyNumberFormat="1" applyFont="1" applyBorder="1" applyAlignment="1" applyProtection="1">
      <alignment horizontal="right" vertical="top" wrapText="1"/>
    </xf>
    <xf numFmtId="3" fontId="65" fillId="0" borderId="12" xfId="0" applyNumberFormat="1" applyFont="1" applyBorder="1"/>
    <xf numFmtId="2" fontId="65" fillId="0" borderId="12" xfId="0" applyNumberFormat="1" applyFont="1" applyBorder="1"/>
    <xf numFmtId="3" fontId="66" fillId="0" borderId="12" xfId="0" applyNumberFormat="1" applyFont="1" applyBorder="1" applyAlignment="1" applyProtection="1">
      <alignment horizontal="right" vertical="center" wrapText="1"/>
    </xf>
    <xf numFmtId="3" fontId="67" fillId="0" borderId="12" xfId="0" applyNumberFormat="1" applyFont="1" applyBorder="1" applyAlignment="1" applyProtection="1">
      <alignment horizontal="right" vertical="top" wrapText="1"/>
    </xf>
    <xf numFmtId="0" fontId="67" fillId="0" borderId="12" xfId="0" applyFont="1" applyBorder="1" applyAlignment="1" applyProtection="1">
      <alignment horizontal="right" vertical="top" wrapText="1"/>
    </xf>
    <xf numFmtId="0" fontId="67" fillId="0" borderId="12" xfId="0" applyFont="1" applyBorder="1" applyAlignment="1" applyProtection="1">
      <alignment horizontal="left" vertical="top" wrapText="1"/>
    </xf>
    <xf numFmtId="0" fontId="66" fillId="0" borderId="12" xfId="0" applyFont="1" applyBorder="1" applyAlignment="1" applyProtection="1">
      <alignment horizontal="right" vertical="center" wrapText="1"/>
    </xf>
    <xf numFmtId="0" fontId="66" fillId="0" borderId="14" xfId="0" applyFont="1" applyBorder="1" applyAlignment="1" applyProtection="1">
      <alignment horizontal="left" vertical="center" wrapText="1"/>
    </xf>
    <xf numFmtId="3" fontId="66" fillId="0" borderId="14" xfId="0" applyNumberFormat="1" applyFont="1" applyBorder="1" applyAlignment="1" applyProtection="1">
      <alignment horizontal="right" vertical="center" wrapText="1"/>
    </xf>
    <xf numFmtId="3" fontId="67" fillId="0" borderId="14" xfId="0" applyNumberFormat="1" applyFont="1" applyBorder="1" applyAlignment="1" applyProtection="1">
      <alignment horizontal="right" vertical="top" wrapText="1"/>
    </xf>
    <xf numFmtId="3" fontId="67" fillId="0" borderId="14" xfId="0" applyNumberFormat="1" applyFont="1" applyBorder="1" applyAlignment="1" applyProtection="1">
      <alignment horizontal="center" vertical="top" wrapText="1"/>
    </xf>
    <xf numFmtId="0" fontId="62" fillId="0" borderId="14" xfId="0" applyFont="1" applyBorder="1" applyAlignment="1" applyProtection="1">
      <alignment horizontal="left" vertical="top" wrapText="1"/>
    </xf>
    <xf numFmtId="0" fontId="67" fillId="0" borderId="14" xfId="0" applyFont="1" applyBorder="1" applyAlignment="1" applyProtection="1">
      <alignment horizontal="right" vertical="top" wrapText="1"/>
    </xf>
    <xf numFmtId="3" fontId="65" fillId="0" borderId="14" xfId="0" applyNumberFormat="1" applyFont="1" applyBorder="1"/>
    <xf numFmtId="2" fontId="65" fillId="0" borderId="14" xfId="0" applyNumberFormat="1" applyFont="1" applyBorder="1"/>
    <xf numFmtId="3" fontId="68" fillId="43" borderId="10" xfId="0" applyNumberFormat="1" applyFont="1" applyFill="1" applyBorder="1" applyAlignment="1" applyProtection="1">
      <alignment horizontal="right" vertical="center" wrapText="1"/>
    </xf>
    <xf numFmtId="0" fontId="69" fillId="43" borderId="10" xfId="0" applyFont="1" applyFill="1" applyBorder="1" applyAlignment="1" applyProtection="1">
      <alignment horizontal="left" vertical="top" wrapText="1"/>
    </xf>
    <xf numFmtId="4" fontId="68" fillId="43" borderId="10" xfId="0" applyNumberFormat="1" applyFont="1" applyFill="1" applyBorder="1" applyAlignment="1" applyProtection="1">
      <alignment horizontal="right" vertical="center" wrapText="1"/>
    </xf>
    <xf numFmtId="3" fontId="64" fillId="43" borderId="10" xfId="0" applyNumberFormat="1" applyFont="1" applyFill="1" applyBorder="1"/>
    <xf numFmtId="2" fontId="64" fillId="43" borderId="10" xfId="0" applyNumberFormat="1" applyFont="1" applyFill="1" applyBorder="1"/>
    <xf numFmtId="0" fontId="41" fillId="46" borderId="27" xfId="0" applyFont="1" applyFill="1" applyBorder="1" applyAlignment="1">
      <alignment horizontal="left" vertical="center"/>
    </xf>
    <xf numFmtId="49" fontId="44" fillId="0" borderId="0" xfId="42" applyNumberFormat="1" applyFont="1" applyAlignment="1">
      <alignment vertical="center"/>
    </xf>
    <xf numFmtId="0" fontId="41" fillId="38" borderId="87" xfId="42" applyFont="1" applyFill="1" applyBorder="1" applyAlignment="1">
      <alignment horizontal="center" vertical="center"/>
    </xf>
    <xf numFmtId="0" fontId="41" fillId="38" borderId="114" xfId="42" applyFont="1" applyFill="1" applyBorder="1" applyAlignment="1">
      <alignment horizontal="center" vertical="center"/>
    </xf>
    <xf numFmtId="0" fontId="41" fillId="38" borderId="31" xfId="42" applyFont="1" applyFill="1" applyBorder="1" applyAlignment="1">
      <alignment horizontal="center" vertical="center"/>
    </xf>
    <xf numFmtId="0" fontId="41" fillId="36" borderId="73" xfId="42" applyFont="1" applyFill="1" applyBorder="1" applyAlignment="1">
      <alignment horizontal="center" vertical="center" wrapText="1"/>
    </xf>
    <xf numFmtId="0" fontId="41" fillId="36" borderId="57" xfId="42" applyFont="1" applyFill="1" applyBorder="1" applyAlignment="1">
      <alignment horizontal="center" vertical="center" wrapText="1"/>
    </xf>
    <xf numFmtId="0" fontId="44" fillId="0" borderId="87" xfId="42" applyFont="1" applyBorder="1" applyAlignment="1">
      <alignment horizontal="center" vertical="center"/>
    </xf>
    <xf numFmtId="0" fontId="41" fillId="38" borderId="32" xfId="42" applyFont="1" applyFill="1" applyBorder="1" applyAlignment="1">
      <alignment horizontal="center" vertical="center"/>
    </xf>
    <xf numFmtId="0" fontId="41" fillId="38" borderId="70" xfId="42" applyFont="1" applyFill="1" applyBorder="1" applyAlignment="1">
      <alignment horizontal="center" vertical="center"/>
    </xf>
    <xf numFmtId="0" fontId="41" fillId="38" borderId="73" xfId="42" applyFont="1" applyFill="1" applyBorder="1" applyAlignment="1">
      <alignment vertical="center"/>
    </xf>
    <xf numFmtId="49" fontId="44" fillId="0" borderId="0" xfId="42" applyNumberFormat="1" applyFont="1" applyAlignment="1">
      <alignment horizontal="left" vertical="center"/>
    </xf>
    <xf numFmtId="0" fontId="41" fillId="36" borderId="28" xfId="42" applyFont="1" applyFill="1" applyBorder="1" applyAlignment="1">
      <alignment horizontal="center" vertical="center"/>
    </xf>
    <xf numFmtId="0" fontId="41" fillId="36" borderId="28" xfId="42" applyFont="1" applyFill="1" applyBorder="1" applyAlignment="1">
      <alignment horizontal="center" vertical="center" wrapText="1"/>
    </xf>
    <xf numFmtId="0" fontId="41" fillId="36" borderId="31" xfId="42" applyFont="1" applyFill="1" applyBorder="1" applyAlignment="1">
      <alignment horizontal="center" vertical="center" wrapText="1"/>
    </xf>
    <xf numFmtId="0" fontId="41" fillId="38" borderId="32" xfId="42" applyFont="1" applyFill="1" applyBorder="1" applyAlignment="1">
      <alignment vertical="center"/>
    </xf>
    <xf numFmtId="0" fontId="41" fillId="38" borderId="114" xfId="42" applyFont="1" applyFill="1" applyBorder="1" applyAlignment="1">
      <alignment vertical="center"/>
    </xf>
    <xf numFmtId="0" fontId="44" fillId="0" borderId="10" xfId="42" applyFont="1" applyBorder="1" applyAlignment="1">
      <alignment horizontal="center" vertical="center" wrapText="1"/>
    </xf>
    <xf numFmtId="0" fontId="44" fillId="0" borderId="10" xfId="42" applyFont="1" applyBorder="1" applyAlignment="1">
      <alignment horizontal="center" vertical="center"/>
    </xf>
    <xf numFmtId="14" fontId="44" fillId="0" borderId="10" xfId="42" applyNumberFormat="1" applyFont="1" applyBorder="1" applyAlignment="1">
      <alignment horizontal="center" vertical="center"/>
    </xf>
    <xf numFmtId="14" fontId="44" fillId="0" borderId="10" xfId="42" applyNumberFormat="1" applyFont="1" applyBorder="1" applyAlignment="1">
      <alignment vertical="center"/>
    </xf>
    <xf numFmtId="0" fontId="41" fillId="0" borderId="10" xfId="42" applyFont="1" applyBorder="1" applyAlignment="1">
      <alignment horizontal="left" vertical="center"/>
    </xf>
    <xf numFmtId="0" fontId="44" fillId="0" borderId="10" xfId="42" applyFont="1" applyBorder="1" applyAlignment="1">
      <alignment vertical="center"/>
    </xf>
    <xf numFmtId="49" fontId="44" fillId="0" borderId="0" xfId="0" applyNumberFormat="1" applyFont="1" applyAlignment="1">
      <alignment vertical="center"/>
    </xf>
    <xf numFmtId="0" fontId="41" fillId="38" borderId="87" xfId="0" applyFont="1" applyFill="1" applyBorder="1" applyAlignment="1">
      <alignment horizontal="center" vertical="center"/>
    </xf>
    <xf numFmtId="0" fontId="41" fillId="38" borderId="114" xfId="0" applyFont="1" applyFill="1" applyBorder="1" applyAlignment="1">
      <alignment horizontal="center" vertical="center"/>
    </xf>
    <xf numFmtId="0" fontId="41" fillId="38" borderId="31" xfId="0" applyFont="1" applyFill="1" applyBorder="1" applyAlignment="1">
      <alignment horizontal="center" vertical="center"/>
    </xf>
    <xf numFmtId="0" fontId="19" fillId="0" borderId="10" xfId="0" applyFont="1" applyBorder="1" applyAlignment="1">
      <alignment horizontal="justify" vertical="center" wrapText="1"/>
    </xf>
    <xf numFmtId="0" fontId="70"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4" fontId="70" fillId="0" borderId="10" xfId="0" applyNumberFormat="1" applyFont="1" applyBorder="1" applyAlignment="1">
      <alignment horizontal="right" vertical="center" wrapText="1"/>
    </xf>
    <xf numFmtId="14" fontId="71" fillId="0" borderId="10" xfId="0" applyNumberFormat="1" applyFont="1" applyBorder="1" applyAlignment="1">
      <alignment horizontal="center" vertical="center"/>
    </xf>
    <xf numFmtId="14" fontId="44" fillId="0" borderId="10" xfId="0" applyNumberFormat="1" applyFont="1" applyBorder="1" applyAlignment="1">
      <alignment horizontal="center" vertical="center"/>
    </xf>
    <xf numFmtId="2" fontId="44" fillId="0" borderId="10" xfId="0" applyNumberFormat="1" applyFont="1" applyBorder="1" applyAlignment="1">
      <alignment horizontal="center" vertical="center"/>
    </xf>
    <xf numFmtId="0" fontId="44" fillId="0" borderId="10" xfId="0" quotePrefix="1" applyFont="1" applyBorder="1" applyAlignment="1">
      <alignment horizontal="center" vertical="center"/>
    </xf>
    <xf numFmtId="0" fontId="44" fillId="0" borderId="10" xfId="0" applyFont="1" applyBorder="1" applyAlignment="1">
      <alignment horizontal="center" vertical="center"/>
    </xf>
    <xf numFmtId="0" fontId="44" fillId="0" borderId="32" xfId="0" applyFont="1" applyBorder="1" applyAlignment="1">
      <alignment horizontal="left" vertical="center"/>
    </xf>
    <xf numFmtId="0" fontId="44" fillId="0" borderId="114" xfId="0" applyFont="1" applyBorder="1" applyAlignment="1">
      <alignment horizontal="center" vertical="center"/>
    </xf>
    <xf numFmtId="4" fontId="44" fillId="0" borderId="87" xfId="0" applyNumberFormat="1" applyFont="1" applyBorder="1" applyAlignment="1">
      <alignment horizontal="right" vertical="center"/>
    </xf>
    <xf numFmtId="0" fontId="41" fillId="38" borderId="70" xfId="0" applyFont="1" applyFill="1" applyBorder="1" applyAlignment="1">
      <alignment horizontal="center" vertical="center"/>
    </xf>
    <xf numFmtId="0" fontId="41" fillId="38" borderId="73" xfId="0" applyFont="1" applyFill="1" applyBorder="1" applyAlignment="1">
      <alignment vertical="center"/>
    </xf>
    <xf numFmtId="4" fontId="41" fillId="38" borderId="57" xfId="0" applyNumberFormat="1" applyFont="1" applyFill="1" applyBorder="1" applyAlignment="1">
      <alignment horizontal="right" vertical="center"/>
    </xf>
    <xf numFmtId="0" fontId="41" fillId="0" borderId="0" xfId="42" applyFont="1"/>
    <xf numFmtId="49" fontId="72" fillId="0" borderId="0" xfId="42" applyNumberFormat="1" applyFont="1" applyAlignment="1">
      <alignment horizontal="left" vertical="center"/>
    </xf>
    <xf numFmtId="0" fontId="41" fillId="38" borderId="57" xfId="42" applyFont="1" applyFill="1" applyBorder="1" applyAlignment="1">
      <alignment horizontal="center" vertical="center"/>
    </xf>
    <xf numFmtId="0" fontId="41" fillId="36" borderId="56" xfId="42" applyFont="1" applyFill="1" applyBorder="1" applyAlignment="1">
      <alignment horizontal="center" vertical="center"/>
    </xf>
    <xf numFmtId="0" fontId="41" fillId="0" borderId="69" xfId="42" applyFont="1" applyBorder="1" applyAlignment="1">
      <alignment horizontal="left" vertical="center"/>
    </xf>
    <xf numFmtId="0" fontId="41" fillId="0" borderId="87" xfId="42" applyFont="1" applyBorder="1" applyAlignment="1">
      <alignment horizontal="left" vertical="center"/>
    </xf>
    <xf numFmtId="0" fontId="41" fillId="0" borderId="0" xfId="42" applyFont="1" applyAlignment="1">
      <alignment horizontal="left" vertical="center"/>
    </xf>
    <xf numFmtId="0" fontId="41" fillId="0" borderId="71" xfId="42" applyFont="1" applyBorder="1" applyAlignment="1">
      <alignment horizontal="left" vertical="center"/>
    </xf>
    <xf numFmtId="0" fontId="41" fillId="0" borderId="69" xfId="42" applyFont="1" applyBorder="1" applyAlignment="1">
      <alignment vertical="center"/>
    </xf>
    <xf numFmtId="14" fontId="41" fillId="0" borderId="87" xfId="42" applyNumberFormat="1" applyFont="1" applyBorder="1" applyAlignment="1">
      <alignment vertical="center"/>
    </xf>
    <xf numFmtId="0" fontId="41" fillId="0" borderId="71" xfId="42" applyFont="1" applyBorder="1" applyAlignment="1">
      <alignment vertical="center"/>
    </xf>
    <xf numFmtId="0" fontId="41" fillId="38" borderId="79" xfId="42" applyFont="1" applyFill="1" applyBorder="1" applyAlignment="1">
      <alignment horizontal="center" vertical="center"/>
    </xf>
    <xf numFmtId="0" fontId="41" fillId="38" borderId="56" xfId="42" applyFont="1" applyFill="1" applyBorder="1" applyAlignment="1">
      <alignment horizontal="center" vertical="center"/>
    </xf>
    <xf numFmtId="0" fontId="41" fillId="0" borderId="0" xfId="0" applyFont="1"/>
    <xf numFmtId="49" fontId="72" fillId="0" borderId="0" xfId="0" applyNumberFormat="1" applyFont="1" applyAlignment="1">
      <alignment horizontal="left" vertical="center"/>
    </xf>
    <xf numFmtId="0" fontId="41" fillId="36" borderId="160" xfId="0" applyFont="1" applyFill="1" applyBorder="1" applyAlignment="1">
      <alignment horizontal="center" vertical="center"/>
    </xf>
    <xf numFmtId="0" fontId="41" fillId="36" borderId="161" xfId="0" applyFont="1" applyFill="1" applyBorder="1" applyAlignment="1">
      <alignment horizontal="center" vertical="center" wrapText="1"/>
    </xf>
    <xf numFmtId="0" fontId="41" fillId="36" borderId="162" xfId="0" applyFont="1" applyFill="1" applyBorder="1" applyAlignment="1">
      <alignment horizontal="center" vertical="center" wrapText="1"/>
    </xf>
    <xf numFmtId="0" fontId="41" fillId="36" borderId="107" xfId="0" applyFont="1" applyFill="1" applyBorder="1" applyAlignment="1">
      <alignment horizontal="center" vertical="center" wrapText="1"/>
    </xf>
    <xf numFmtId="0" fontId="41" fillId="0" borderId="16" xfId="0" applyFont="1" applyBorder="1" applyAlignment="1">
      <alignment horizontal="left" vertical="center" wrapText="1"/>
    </xf>
    <xf numFmtId="0" fontId="41" fillId="0" borderId="16" xfId="0" applyFont="1" applyBorder="1" applyAlignment="1">
      <alignment horizontal="center" vertical="center"/>
    </xf>
    <xf numFmtId="0" fontId="41" fillId="0" borderId="16" xfId="0" applyFont="1" applyBorder="1" applyAlignment="1">
      <alignment horizontal="left" vertical="center"/>
    </xf>
    <xf numFmtId="43" fontId="41" fillId="0" borderId="16" xfId="43" applyFont="1" applyBorder="1" applyAlignment="1">
      <alignment horizontal="right" vertical="center"/>
    </xf>
    <xf numFmtId="0" fontId="41" fillId="0" borderId="16" xfId="0" applyFont="1" applyBorder="1" applyAlignment="1">
      <alignment horizontal="center" vertical="justify" wrapText="1"/>
    </xf>
    <xf numFmtId="14" fontId="41" fillId="0" borderId="16" xfId="0" applyNumberFormat="1" applyFont="1" applyBorder="1" applyAlignment="1">
      <alignment horizontal="center" vertical="center"/>
    </xf>
    <xf numFmtId="14" fontId="41" fillId="0" borderId="16" xfId="0" applyNumberFormat="1" applyFont="1" applyBorder="1" applyAlignment="1">
      <alignment horizontal="center" vertical="center" wrapText="1"/>
    </xf>
    <xf numFmtId="0" fontId="41" fillId="0" borderId="10" xfId="0" applyFont="1" applyBorder="1" applyAlignment="1">
      <alignment horizontal="left" vertical="center" wrapText="1"/>
    </xf>
    <xf numFmtId="0" fontId="41" fillId="0" borderId="10" xfId="0" applyFont="1" applyBorder="1" applyAlignment="1">
      <alignment horizontal="center" vertical="center"/>
    </xf>
    <xf numFmtId="0" fontId="41" fillId="0" borderId="10" xfId="0" applyFont="1" applyBorder="1" applyAlignment="1">
      <alignment horizontal="left" vertical="center"/>
    </xf>
    <xf numFmtId="43" fontId="41" fillId="0" borderId="10" xfId="43" applyFont="1" applyBorder="1" applyAlignment="1">
      <alignment horizontal="right" vertical="center"/>
    </xf>
    <xf numFmtId="0" fontId="41" fillId="0" borderId="10" xfId="0" applyFont="1" applyBorder="1" applyAlignment="1">
      <alignment horizontal="center" vertical="center" wrapText="1"/>
    </xf>
    <xf numFmtId="14" fontId="41" fillId="0" borderId="10" xfId="0" applyNumberFormat="1" applyFont="1" applyBorder="1" applyAlignment="1">
      <alignment horizontal="center" vertical="center"/>
    </xf>
    <xf numFmtId="43" fontId="41" fillId="0" borderId="10" xfId="43" quotePrefix="1" applyFont="1" applyBorder="1" applyAlignment="1">
      <alignment horizontal="center" vertical="center"/>
    </xf>
    <xf numFmtId="0" fontId="41" fillId="0" borderId="10" xfId="0" quotePrefix="1" applyFont="1" applyBorder="1" applyAlignment="1">
      <alignment horizontal="center" vertical="center"/>
    </xf>
    <xf numFmtId="0" fontId="41" fillId="38" borderId="27" xfId="0" applyFont="1" applyFill="1" applyBorder="1" applyAlignment="1">
      <alignment horizontal="center" vertical="center"/>
    </xf>
    <xf numFmtId="0" fontId="41" fillId="38" borderId="32" xfId="0" applyFont="1" applyFill="1" applyBorder="1" applyAlignment="1">
      <alignment vertical="center"/>
    </xf>
    <xf numFmtId="0" fontId="41" fillId="36" borderId="73" xfId="0" applyFont="1" applyFill="1" applyBorder="1" applyAlignment="1">
      <alignment horizontal="center" vertical="center" wrapText="1"/>
    </xf>
    <xf numFmtId="0" fontId="41" fillId="36" borderId="57" xfId="0" applyFont="1" applyFill="1" applyBorder="1" applyAlignment="1">
      <alignment horizontal="center" vertical="center" wrapText="1"/>
    </xf>
    <xf numFmtId="0" fontId="73" fillId="0" borderId="69" xfId="0" applyFont="1" applyBorder="1" applyAlignment="1">
      <alignment horizontal="left" vertical="center" wrapText="1"/>
    </xf>
    <xf numFmtId="0" fontId="74" fillId="0" borderId="87" xfId="0" applyFont="1" applyBorder="1" applyAlignment="1">
      <alignment horizontal="center" vertical="center" wrapText="1"/>
    </xf>
    <xf numFmtId="0" fontId="41" fillId="0" borderId="69" xfId="0" applyFont="1" applyFill="1" applyBorder="1" applyAlignment="1">
      <alignment horizontal="center" vertical="center" wrapText="1"/>
    </xf>
    <xf numFmtId="0" fontId="37" fillId="0" borderId="10" xfId="0" applyFont="1" applyBorder="1" applyAlignment="1">
      <alignment horizontal="center" vertical="center" wrapText="1"/>
    </xf>
    <xf numFmtId="4" fontId="74" fillId="0" borderId="87" xfId="0" applyNumberFormat="1" applyFont="1" applyFill="1" applyBorder="1" applyAlignment="1">
      <alignment horizontal="center" vertical="center" wrapText="1"/>
    </xf>
    <xf numFmtId="0" fontId="41" fillId="0" borderId="0" xfId="0" applyFont="1" applyFill="1" applyBorder="1" applyAlignment="1">
      <alignment horizontal="center" vertical="center" wrapText="1"/>
    </xf>
    <xf numFmtId="14" fontId="74" fillId="0" borderId="87" xfId="0" applyNumberFormat="1" applyFont="1" applyFill="1" applyBorder="1" applyAlignment="1">
      <alignment horizontal="center" vertical="center" wrapText="1"/>
    </xf>
    <xf numFmtId="0" fontId="41" fillId="0" borderId="87" xfId="0" applyFont="1" applyFill="1" applyBorder="1" applyAlignment="1">
      <alignment horizontal="center" vertical="center" wrapText="1"/>
    </xf>
    <xf numFmtId="0" fontId="38" fillId="0" borderId="10" xfId="0" applyFont="1" applyBorder="1" applyAlignment="1">
      <alignment horizontal="left" vertical="center" wrapText="1"/>
    </xf>
    <xf numFmtId="0" fontId="38" fillId="0" borderId="10" xfId="0" applyFont="1" applyBorder="1" applyAlignment="1">
      <alignment vertical="center" wrapText="1"/>
    </xf>
    <xf numFmtId="0" fontId="37" fillId="0" borderId="10" xfId="0" applyFont="1" applyBorder="1" applyAlignment="1">
      <alignment vertical="center" wrapText="1"/>
    </xf>
    <xf numFmtId="0" fontId="41" fillId="0" borderId="69" xfId="0" applyFont="1" applyBorder="1" applyAlignment="1">
      <alignment horizontal="left" vertical="center"/>
    </xf>
    <xf numFmtId="4" fontId="74" fillId="0" borderId="87" xfId="0" applyNumberFormat="1" applyFont="1" applyBorder="1" applyAlignment="1">
      <alignment horizontal="center" vertical="center" wrapText="1"/>
    </xf>
    <xf numFmtId="0" fontId="75" fillId="0" borderId="0" xfId="0" applyFont="1" applyAlignment="1">
      <alignment horizontal="center" vertical="center" wrapText="1"/>
    </xf>
    <xf numFmtId="0" fontId="74" fillId="0" borderId="69" xfId="0" applyFont="1" applyBorder="1" applyAlignment="1">
      <alignment horizontal="center" vertical="center" wrapText="1"/>
    </xf>
    <xf numFmtId="14" fontId="74" fillId="0" borderId="87" xfId="0" applyNumberFormat="1" applyFont="1" applyBorder="1" applyAlignment="1">
      <alignment horizontal="center" vertical="center" wrapText="1"/>
    </xf>
    <xf numFmtId="0" fontId="41" fillId="0" borderId="87" xfId="0" applyFont="1" applyBorder="1" applyAlignment="1">
      <alignment vertical="center"/>
    </xf>
    <xf numFmtId="0" fontId="41" fillId="0" borderId="69" xfId="0" applyFont="1" applyBorder="1" applyAlignment="1">
      <alignment vertical="center"/>
    </xf>
    <xf numFmtId="0" fontId="76" fillId="0" borderId="0" xfId="0" applyFont="1" applyAlignment="1">
      <alignment horizontal="center" vertical="center" wrapText="1"/>
    </xf>
    <xf numFmtId="0" fontId="41" fillId="0" borderId="71" xfId="0" applyFont="1" applyBorder="1" applyAlignment="1">
      <alignment vertical="center"/>
    </xf>
    <xf numFmtId="0" fontId="41" fillId="0" borderId="71" xfId="0" applyFont="1" applyBorder="1" applyAlignment="1">
      <alignment horizontal="left" vertical="center"/>
    </xf>
    <xf numFmtId="0" fontId="41" fillId="0" borderId="87" xfId="0" applyFont="1" applyBorder="1" applyAlignment="1">
      <alignment horizontal="left" vertical="center"/>
    </xf>
    <xf numFmtId="0" fontId="41" fillId="0" borderId="0" xfId="0" applyFont="1" applyAlignment="1">
      <alignment horizontal="left" vertical="center"/>
    </xf>
    <xf numFmtId="0" fontId="41" fillId="0" borderId="32" xfId="0" applyFont="1" applyBorder="1" applyAlignment="1">
      <alignment horizontal="left" vertical="center"/>
    </xf>
    <xf numFmtId="0" fontId="44" fillId="0" borderId="71" xfId="0" applyFont="1" applyBorder="1" applyAlignment="1">
      <alignment horizontal="center" vertical="center"/>
    </xf>
    <xf numFmtId="0" fontId="41" fillId="38" borderId="56" xfId="0" applyFont="1" applyFill="1" applyBorder="1" applyAlignment="1">
      <alignment horizontal="center" vertical="center"/>
    </xf>
    <xf numFmtId="0" fontId="41" fillId="36" borderId="29" xfId="0" applyFont="1" applyFill="1" applyBorder="1" applyAlignment="1">
      <alignment horizontal="center" vertical="center"/>
    </xf>
    <xf numFmtId="4" fontId="19" fillId="0" borderId="10" xfId="0" applyNumberFormat="1" applyFont="1" applyBorder="1" applyAlignment="1">
      <alignment horizontal="right" vertical="center"/>
    </xf>
    <xf numFmtId="14" fontId="19" fillId="0" borderId="10" xfId="0" applyNumberFormat="1" applyFont="1" applyBorder="1" applyAlignment="1">
      <alignment horizontal="center" vertical="center"/>
    </xf>
    <xf numFmtId="0" fontId="19" fillId="0" borderId="10" xfId="0" applyFont="1" applyBorder="1" applyAlignment="1">
      <alignment vertical="center"/>
    </xf>
    <xf numFmtId="4" fontId="34" fillId="0" borderId="10" xfId="0" applyNumberFormat="1" applyFont="1" applyBorder="1" applyAlignment="1">
      <alignment horizontal="right" vertical="center" wrapText="1"/>
    </xf>
    <xf numFmtId="0" fontId="44" fillId="0" borderId="10" xfId="0" applyFont="1" applyBorder="1" applyAlignment="1">
      <alignment vertical="center"/>
    </xf>
    <xf numFmtId="4" fontId="44" fillId="0" borderId="71" xfId="0" applyNumberFormat="1" applyFont="1" applyBorder="1" applyAlignment="1">
      <alignment horizontal="right" vertical="center"/>
    </xf>
    <xf numFmtId="4" fontId="41" fillId="38" borderId="56" xfId="0" applyNumberFormat="1" applyFont="1" applyFill="1" applyBorder="1" applyAlignment="1">
      <alignment horizontal="right" vertical="center"/>
    </xf>
    <xf numFmtId="15" fontId="41" fillId="36" borderId="28" xfId="0" applyNumberFormat="1" applyFont="1" applyFill="1" applyBorder="1" applyAlignment="1">
      <alignment horizontal="center" vertical="center"/>
    </xf>
    <xf numFmtId="0" fontId="41" fillId="36" borderId="114" xfId="0" applyFont="1" applyFill="1" applyBorder="1" applyAlignment="1">
      <alignment horizontal="center" vertical="center"/>
    </xf>
    <xf numFmtId="0" fontId="77" fillId="0" borderId="69" xfId="0" applyFont="1" applyBorder="1" applyAlignment="1">
      <alignment horizontal="left" vertical="top" wrapText="1"/>
    </xf>
    <xf numFmtId="0" fontId="41" fillId="0" borderId="69" xfId="0" applyFont="1" applyBorder="1" applyAlignment="1">
      <alignment horizontal="center" vertical="center" wrapText="1"/>
    </xf>
    <xf numFmtId="0" fontId="41" fillId="0" borderId="75" xfId="0" applyFont="1" applyBorder="1" applyAlignment="1">
      <alignment vertical="center"/>
    </xf>
    <xf numFmtId="0" fontId="41" fillId="0" borderId="0" xfId="0" applyFont="1" applyAlignment="1">
      <alignment horizontal="center" vertical="center" wrapText="1"/>
    </xf>
    <xf numFmtId="0" fontId="41" fillId="0" borderId="103" xfId="0" applyFont="1" applyBorder="1" applyAlignment="1">
      <alignment horizontal="center" vertical="center" wrapText="1"/>
    </xf>
    <xf numFmtId="0" fontId="41" fillId="0" borderId="103" xfId="0" applyFont="1" applyBorder="1" applyAlignment="1">
      <alignment vertical="center"/>
    </xf>
    <xf numFmtId="0" fontId="41" fillId="0" borderId="77" xfId="0" applyFont="1" applyBorder="1" applyAlignment="1">
      <alignment vertical="center"/>
    </xf>
    <xf numFmtId="0" fontId="44" fillId="0" borderId="32" xfId="0" applyFont="1" applyBorder="1" applyAlignment="1">
      <alignment horizontal="center" vertical="center"/>
    </xf>
    <xf numFmtId="0" fontId="44" fillId="0" borderId="75" xfId="0" applyFont="1" applyBorder="1" applyAlignment="1">
      <alignment vertical="center"/>
    </xf>
    <xf numFmtId="0" fontId="44" fillId="0" borderId="103" xfId="0" applyFont="1" applyBorder="1" applyAlignment="1">
      <alignment vertical="center"/>
    </xf>
    <xf numFmtId="0" fontId="19" fillId="0" borderId="69" xfId="0" applyFont="1" applyBorder="1" applyAlignment="1">
      <alignment horizontal="justify" vertical="justify" wrapText="1"/>
    </xf>
    <xf numFmtId="4" fontId="70" fillId="0" borderId="0" xfId="0" applyNumberFormat="1" applyFont="1" applyAlignment="1">
      <alignment horizontal="center" vertical="center" wrapText="1"/>
    </xf>
    <xf numFmtId="4" fontId="70" fillId="0" borderId="0" xfId="0" applyNumberFormat="1" applyFont="1" applyAlignment="1">
      <alignment horizontal="right" vertical="center" wrapText="1"/>
    </xf>
    <xf numFmtId="0" fontId="19" fillId="0" borderId="103" xfId="0" applyFont="1" applyBorder="1" applyAlignment="1">
      <alignment horizontal="center" vertical="center"/>
    </xf>
    <xf numFmtId="4" fontId="41" fillId="38" borderId="34" xfId="0" applyNumberFormat="1" applyFont="1" applyFill="1" applyBorder="1" applyAlignment="1">
      <alignment vertical="center"/>
    </xf>
    <xf numFmtId="0" fontId="33" fillId="0" borderId="0" xfId="0" applyFont="1"/>
    <xf numFmtId="0" fontId="78" fillId="56" borderId="22" xfId="0" applyFont="1" applyFill="1" applyBorder="1"/>
    <xf numFmtId="166" fontId="78" fillId="56" borderId="15" xfId="0" applyNumberFormat="1" applyFont="1" applyFill="1" applyBorder="1"/>
    <xf numFmtId="0" fontId="78" fillId="56" borderId="156" xfId="0" applyFont="1" applyFill="1" applyBorder="1" applyAlignment="1">
      <alignment horizontal="center"/>
    </xf>
    <xf numFmtId="0" fontId="78" fillId="56" borderId="16" xfId="0" applyFont="1" applyFill="1" applyBorder="1" applyAlignment="1">
      <alignment horizontal="center"/>
    </xf>
    <xf numFmtId="0" fontId="78" fillId="56" borderId="10" xfId="0" applyFont="1" applyFill="1" applyBorder="1" applyAlignment="1">
      <alignment horizontal="center"/>
    </xf>
    <xf numFmtId="0" fontId="78" fillId="56" borderId="118" xfId="0" applyFont="1" applyFill="1" applyBorder="1" applyAlignment="1">
      <alignment horizontal="center"/>
    </xf>
    <xf numFmtId="0" fontId="78" fillId="56" borderId="18" xfId="0" applyFont="1" applyFill="1" applyBorder="1" applyAlignment="1">
      <alignment horizontal="center"/>
    </xf>
    <xf numFmtId="0" fontId="0" fillId="0" borderId="15" xfId="0" applyBorder="1"/>
    <xf numFmtId="0" fontId="0" fillId="0" borderId="15" xfId="0" applyBorder="1" applyAlignment="1">
      <alignment horizontal="center"/>
    </xf>
    <xf numFmtId="0" fontId="0" fillId="0" borderId="20" xfId="0" applyBorder="1"/>
    <xf numFmtId="0" fontId="0" fillId="0" borderId="0" xfId="0" applyBorder="1"/>
    <xf numFmtId="0" fontId="0" fillId="0" borderId="155" xfId="0" applyBorder="1"/>
    <xf numFmtId="0" fontId="33" fillId="0" borderId="20" xfId="0" applyFont="1" applyBorder="1"/>
    <xf numFmtId="0" fontId="0" fillId="0" borderId="20" xfId="0" applyBorder="1" applyAlignment="1">
      <alignment horizontal="center"/>
    </xf>
    <xf numFmtId="0" fontId="0" fillId="0" borderId="20" xfId="0" applyFont="1" applyFill="1" applyBorder="1" applyAlignment="1">
      <alignment horizontal="center"/>
    </xf>
    <xf numFmtId="43" fontId="78" fillId="0" borderId="20" xfId="0" applyNumberFormat="1" applyFont="1" applyBorder="1"/>
    <xf numFmtId="43" fontId="78" fillId="0" borderId="155" xfId="0" applyNumberFormat="1" applyFont="1" applyBorder="1"/>
    <xf numFmtId="43" fontId="0" fillId="0" borderId="20" xfId="0" applyNumberFormat="1" applyBorder="1"/>
    <xf numFmtId="43" fontId="0" fillId="0" borderId="155" xfId="0" applyNumberFormat="1" applyBorder="1"/>
    <xf numFmtId="166" fontId="0" fillId="0" borderId="20" xfId="0" applyNumberFormat="1" applyBorder="1"/>
    <xf numFmtId="43" fontId="33" fillId="0" borderId="20" xfId="0" applyNumberFormat="1" applyFont="1" applyBorder="1"/>
    <xf numFmtId="43" fontId="33" fillId="0" borderId="155" xfId="0" applyNumberFormat="1" applyFont="1" applyBorder="1"/>
    <xf numFmtId="0" fontId="33" fillId="0" borderId="0" xfId="0" applyFont="1" applyFill="1" applyBorder="1"/>
    <xf numFmtId="0" fontId="0" fillId="0" borderId="16" xfId="0" applyBorder="1"/>
    <xf numFmtId="0" fontId="0" fillId="0" borderId="163" xfId="0" applyBorder="1"/>
    <xf numFmtId="0" fontId="0" fillId="0" borderId="21" xfId="0" applyBorder="1"/>
    <xf numFmtId="0" fontId="45" fillId="0" borderId="0" xfId="0" applyFont="1"/>
    <xf numFmtId="0" fontId="41" fillId="57" borderId="73" xfId="0" applyFont="1" applyFill="1" applyBorder="1" applyAlignment="1">
      <alignment horizontal="center"/>
    </xf>
    <xf numFmtId="0" fontId="41" fillId="57" borderId="56" xfId="0" applyFont="1" applyFill="1" applyBorder="1" applyAlignment="1">
      <alignment horizontal="center"/>
    </xf>
    <xf numFmtId="0" fontId="41" fillId="57" borderId="73" xfId="0" applyFont="1" applyFill="1" applyBorder="1" applyAlignment="1">
      <alignment horizontal="center" wrapText="1"/>
    </xf>
    <xf numFmtId="0" fontId="41" fillId="57" borderId="57" xfId="0" applyFont="1" applyFill="1" applyBorder="1" applyAlignment="1">
      <alignment horizontal="center"/>
    </xf>
    <xf numFmtId="0" fontId="44" fillId="0" borderId="31" xfId="0" applyFont="1" applyBorder="1"/>
    <xf numFmtId="3" fontId="44" fillId="0" borderId="87" xfId="0" applyNumberFormat="1" applyFont="1" applyBorder="1"/>
    <xf numFmtId="3" fontId="44" fillId="0" borderId="0" xfId="0" applyNumberFormat="1" applyFont="1"/>
    <xf numFmtId="3" fontId="44" fillId="0" borderId="69" xfId="0" applyNumberFormat="1" applyFont="1" applyBorder="1"/>
    <xf numFmtId="0" fontId="44" fillId="0" borderId="114" xfId="0" applyFont="1" applyBorder="1"/>
    <xf numFmtId="0" fontId="41" fillId="0" borderId="70" xfId="0" applyFont="1" applyBorder="1" applyAlignment="1">
      <alignment horizontal="center"/>
    </xf>
    <xf numFmtId="0" fontId="44" fillId="0" borderId="79" xfId="0" applyFont="1" applyBorder="1"/>
    <xf numFmtId="0" fontId="44" fillId="0" borderId="73" xfId="0" applyFont="1" applyBorder="1"/>
    <xf numFmtId="0" fontId="45" fillId="0" borderId="0" xfId="42" applyFont="1"/>
    <xf numFmtId="0" fontId="41" fillId="57" borderId="73" xfId="42" applyFont="1" applyFill="1" applyBorder="1" applyAlignment="1">
      <alignment horizontal="center"/>
    </xf>
    <xf numFmtId="0" fontId="41" fillId="57" borderId="56" xfId="42" applyFont="1" applyFill="1" applyBorder="1" applyAlignment="1">
      <alignment horizontal="center"/>
    </xf>
    <xf numFmtId="0" fontId="41" fillId="57" borderId="73" xfId="42" applyFont="1" applyFill="1" applyBorder="1" applyAlignment="1">
      <alignment horizontal="center" wrapText="1"/>
    </xf>
    <xf numFmtId="0" fontId="41" fillId="57" borderId="57" xfId="42" applyFont="1" applyFill="1" applyBorder="1" applyAlignment="1">
      <alignment horizontal="center"/>
    </xf>
    <xf numFmtId="0" fontId="44" fillId="0" borderId="31" xfId="42" applyFont="1" applyBorder="1"/>
    <xf numFmtId="3" fontId="44" fillId="0" borderId="87" xfId="42" applyNumberFormat="1" applyFont="1" applyBorder="1"/>
    <xf numFmtId="3" fontId="44" fillId="0" borderId="0" xfId="42" applyNumberFormat="1" applyFont="1"/>
    <xf numFmtId="3" fontId="44" fillId="0" borderId="69" xfId="42" applyNumberFormat="1" applyFont="1" applyBorder="1"/>
    <xf numFmtId="0" fontId="44" fillId="0" borderId="87" xfId="42" applyFont="1" applyBorder="1" applyAlignment="1">
      <alignment horizontal="center"/>
    </xf>
    <xf numFmtId="3" fontId="44" fillId="0" borderId="87" xfId="42" applyNumberFormat="1" applyFont="1" applyBorder="1" applyAlignment="1">
      <alignment horizontal="center"/>
    </xf>
    <xf numFmtId="3" fontId="44" fillId="0" borderId="0" xfId="42" applyNumberFormat="1" applyFont="1" applyAlignment="1">
      <alignment horizontal="center"/>
    </xf>
    <xf numFmtId="3" fontId="44" fillId="0" borderId="69" xfId="42" applyNumberFormat="1" applyFont="1" applyBorder="1" applyAlignment="1">
      <alignment horizontal="center"/>
    </xf>
    <xf numFmtId="0" fontId="44" fillId="0" borderId="87" xfId="42" quotePrefix="1" applyFont="1" applyBorder="1" applyAlignment="1">
      <alignment horizontal="center"/>
    </xf>
    <xf numFmtId="0" fontId="41" fillId="0" borderId="70" xfId="42" applyFont="1" applyBorder="1" applyAlignment="1">
      <alignment horizontal="center"/>
    </xf>
    <xf numFmtId="0" fontId="44" fillId="0" borderId="79" xfId="42" applyFont="1" applyBorder="1"/>
    <xf numFmtId="0" fontId="44" fillId="0" borderId="73" xfId="42" applyFont="1" applyBorder="1"/>
    <xf numFmtId="0" fontId="44" fillId="0" borderId="31" xfId="0" applyFont="1" applyBorder="1" applyAlignment="1">
      <alignment horizontal="center"/>
    </xf>
    <xf numFmtId="3" fontId="44" fillId="0" borderId="87" xfId="0" applyNumberFormat="1" applyFont="1" applyBorder="1" applyAlignment="1">
      <alignment horizontal="center"/>
    </xf>
    <xf numFmtId="0" fontId="44" fillId="0" borderId="87" xfId="0" quotePrefix="1" applyFont="1" applyBorder="1" applyAlignment="1">
      <alignment horizontal="center"/>
    </xf>
    <xf numFmtId="0" fontId="44" fillId="0" borderId="87" xfId="0" applyFont="1" applyBorder="1" applyAlignment="1">
      <alignment horizontal="center"/>
    </xf>
    <xf numFmtId="4" fontId="44" fillId="0" borderId="87" xfId="0" applyNumberFormat="1" applyFont="1" applyBorder="1"/>
    <xf numFmtId="3" fontId="44" fillId="0" borderId="87" xfId="0" applyNumberFormat="1" applyFont="1" applyBorder="1" applyAlignment="1">
      <alignment horizontal="right"/>
    </xf>
    <xf numFmtId="0" fontId="44" fillId="0" borderId="114" xfId="0" applyFont="1" applyBorder="1" applyAlignment="1">
      <alignment horizontal="center"/>
    </xf>
    <xf numFmtId="3" fontId="44" fillId="0" borderId="0" xfId="0" applyNumberFormat="1" applyFont="1" applyAlignment="1">
      <alignment horizontal="center"/>
    </xf>
    <xf numFmtId="3" fontId="44" fillId="0" borderId="79" xfId="0" applyNumberFormat="1" applyFont="1" applyBorder="1"/>
    <xf numFmtId="4" fontId="44" fillId="0" borderId="79" xfId="0" applyNumberFormat="1" applyFont="1" applyBorder="1"/>
    <xf numFmtId="0" fontId="41" fillId="57" borderId="29" xfId="42" applyFont="1" applyFill="1" applyBorder="1" applyAlignment="1">
      <alignment horizontal="center"/>
    </xf>
    <xf numFmtId="0" fontId="41" fillId="57" borderId="31" xfId="42" applyFont="1" applyFill="1" applyBorder="1" applyAlignment="1">
      <alignment horizontal="center"/>
    </xf>
    <xf numFmtId="0" fontId="44" fillId="0" borderId="29" xfId="42" applyFont="1" applyBorder="1"/>
    <xf numFmtId="0" fontId="44" fillId="0" borderId="164" xfId="42" applyFont="1" applyBorder="1"/>
    <xf numFmtId="3" fontId="44" fillId="0" borderId="0" xfId="42" applyNumberFormat="1" applyFont="1" applyBorder="1"/>
    <xf numFmtId="3" fontId="44" fillId="0" borderId="164" xfId="42" applyNumberFormat="1" applyFont="1" applyBorder="1"/>
    <xf numFmtId="3" fontId="44" fillId="0" borderId="165" xfId="42" applyNumberFormat="1" applyFont="1" applyBorder="1"/>
    <xf numFmtId="4" fontId="44" fillId="0" borderId="164" xfId="42" applyNumberFormat="1" applyFont="1" applyBorder="1"/>
    <xf numFmtId="4" fontId="44" fillId="0" borderId="140" xfId="42" applyNumberFormat="1" applyFont="1" applyBorder="1"/>
    <xf numFmtId="0" fontId="44" fillId="0" borderId="71" xfId="42" applyFont="1" applyBorder="1"/>
    <xf numFmtId="0" fontId="42" fillId="0" borderId="166" xfId="42" applyFont="1" applyBorder="1" applyAlignment="1">
      <alignment wrapText="1"/>
    </xf>
    <xf numFmtId="0" fontId="42" fillId="0" borderId="0" xfId="42" applyFont="1" applyBorder="1" applyAlignment="1">
      <alignment wrapText="1"/>
    </xf>
    <xf numFmtId="49" fontId="42" fillId="0" borderId="166" xfId="42" applyNumberFormat="1" applyFont="1" applyBorder="1" applyAlignment="1">
      <alignment horizontal="right" vertical="center" wrapText="1"/>
    </xf>
    <xf numFmtId="14" fontId="79" fillId="0" borderId="0" xfId="42" applyNumberFormat="1" applyFont="1" applyBorder="1" applyAlignment="1">
      <alignment wrapText="1"/>
    </xf>
    <xf numFmtId="0" fontId="42" fillId="0" borderId="167" xfId="42" applyFont="1" applyBorder="1" applyAlignment="1">
      <alignment wrapText="1"/>
    </xf>
    <xf numFmtId="4" fontId="79" fillId="0" borderId="166" xfId="42" applyNumberFormat="1" applyFont="1" applyBorder="1" applyAlignment="1">
      <alignment wrapText="1"/>
    </xf>
    <xf numFmtId="4" fontId="79" fillId="0" borderId="106" xfId="42" applyNumberFormat="1" applyFont="1" applyBorder="1" applyAlignment="1">
      <alignment wrapText="1"/>
    </xf>
    <xf numFmtId="0" fontId="79" fillId="0" borderId="166" xfId="42" applyFont="1" applyBorder="1" applyAlignment="1">
      <alignment wrapText="1"/>
    </xf>
    <xf numFmtId="0" fontId="79" fillId="0" borderId="0" xfId="42" applyFont="1" applyBorder="1" applyAlignment="1">
      <alignment wrapText="1"/>
    </xf>
    <xf numFmtId="0" fontId="79" fillId="0" borderId="166" xfId="42" applyFont="1" applyBorder="1" applyAlignment="1">
      <alignment vertical="center" wrapText="1"/>
    </xf>
    <xf numFmtId="0" fontId="79" fillId="0" borderId="167" xfId="42" applyFont="1" applyBorder="1" applyAlignment="1">
      <alignment wrapText="1"/>
    </xf>
    <xf numFmtId="4" fontId="44" fillId="0" borderId="166" xfId="42" applyNumberFormat="1" applyFont="1" applyBorder="1"/>
    <xf numFmtId="0" fontId="42" fillId="0" borderId="166" xfId="42" applyFont="1" applyBorder="1" applyAlignment="1">
      <alignment horizontal="right" vertical="center" wrapText="1"/>
    </xf>
    <xf numFmtId="4" fontId="42" fillId="0" borderId="106" xfId="42" applyNumberFormat="1" applyFont="1" applyBorder="1" applyAlignment="1">
      <alignment horizontal="right" wrapText="1"/>
    </xf>
    <xf numFmtId="49" fontId="42" fillId="0" borderId="166" xfId="42" applyNumberFormat="1" applyFont="1" applyBorder="1" applyAlignment="1">
      <alignment horizontal="center" vertical="center" wrapText="1"/>
    </xf>
    <xf numFmtId="0" fontId="44" fillId="0" borderId="166" xfId="42" applyFont="1" applyBorder="1"/>
    <xf numFmtId="3" fontId="44" fillId="0" borderId="166" xfId="42" applyNumberFormat="1" applyFont="1" applyBorder="1" applyAlignment="1">
      <alignment horizontal="center" vertical="center"/>
    </xf>
    <xf numFmtId="14" fontId="44" fillId="0" borderId="0" xfId="42" applyNumberFormat="1" applyFont="1" applyBorder="1"/>
    <xf numFmtId="3" fontId="44" fillId="0" borderId="167" xfId="42" applyNumberFormat="1" applyFont="1" applyBorder="1"/>
    <xf numFmtId="4" fontId="44" fillId="0" borderId="106" xfId="42" applyNumberFormat="1" applyFont="1" applyBorder="1"/>
    <xf numFmtId="3" fontId="44" fillId="0" borderId="166" xfId="42" applyNumberFormat="1" applyFont="1" applyBorder="1" applyAlignment="1">
      <alignment horizontal="center"/>
    </xf>
    <xf numFmtId="3" fontId="44" fillId="0" borderId="166" xfId="42" applyNumberFormat="1" applyFont="1" applyBorder="1"/>
    <xf numFmtId="0" fontId="44" fillId="0" borderId="70" xfId="42" applyFont="1" applyBorder="1"/>
    <xf numFmtId="0" fontId="44" fillId="0" borderId="168" xfId="42" applyFont="1" applyBorder="1"/>
    <xf numFmtId="0" fontId="44" fillId="0" borderId="0" xfId="42" applyFont="1" applyBorder="1"/>
    <xf numFmtId="0" fontId="44" fillId="0" borderId="169" xfId="42" applyFont="1" applyBorder="1"/>
    <xf numFmtId="4" fontId="44" fillId="0" borderId="168" xfId="42" applyNumberFormat="1" applyFont="1" applyBorder="1"/>
    <xf numFmtId="4" fontId="44" fillId="0" borderId="170" xfId="42" applyNumberFormat="1" applyFont="1" applyBorder="1"/>
    <xf numFmtId="0" fontId="44" fillId="0" borderId="27" xfId="42" applyFont="1" applyBorder="1"/>
    <xf numFmtId="0" fontId="41" fillId="57" borderId="28" xfId="0" applyFont="1" applyFill="1" applyBorder="1" applyAlignment="1">
      <alignment horizontal="center"/>
    </xf>
    <xf numFmtId="0" fontId="41" fillId="57" borderId="29" xfId="0" applyFont="1" applyFill="1" applyBorder="1" applyAlignment="1">
      <alignment horizontal="center"/>
    </xf>
    <xf numFmtId="0" fontId="41" fillId="57" borderId="28" xfId="0" applyFont="1" applyFill="1" applyBorder="1" applyAlignment="1">
      <alignment horizontal="center" wrapText="1"/>
    </xf>
    <xf numFmtId="0" fontId="41" fillId="57" borderId="31" xfId="0" applyFont="1" applyFill="1" applyBorder="1" applyAlignment="1">
      <alignment horizontal="center"/>
    </xf>
    <xf numFmtId="0" fontId="44" fillId="0" borderId="10" xfId="0" applyFont="1" applyBorder="1"/>
    <xf numFmtId="3" fontId="44" fillId="0" borderId="10" xfId="0" applyNumberFormat="1" applyFont="1" applyBorder="1"/>
    <xf numFmtId="3" fontId="44" fillId="0" borderId="10" xfId="0" applyNumberFormat="1" applyFont="1" applyBorder="1" applyAlignment="1">
      <alignment wrapText="1"/>
    </xf>
    <xf numFmtId="0" fontId="41" fillId="0" borderId="0" xfId="45" applyFont="1"/>
    <xf numFmtId="0" fontId="45" fillId="0" borderId="0" xfId="45" applyFont="1"/>
    <xf numFmtId="0" fontId="45" fillId="0" borderId="0" xfId="45" applyFont="1" applyAlignment="1">
      <alignment vertical="center"/>
    </xf>
    <xf numFmtId="0" fontId="44" fillId="0" borderId="0" xfId="45" applyFont="1"/>
    <xf numFmtId="0" fontId="41" fillId="57" borderId="73" xfId="45" applyFont="1" applyFill="1" applyBorder="1" applyAlignment="1">
      <alignment horizontal="center"/>
    </xf>
    <xf numFmtId="0" fontId="41" fillId="57" borderId="56" xfId="45" applyFont="1" applyFill="1" applyBorder="1" applyAlignment="1">
      <alignment horizontal="center"/>
    </xf>
    <xf numFmtId="0" fontId="41" fillId="57" borderId="73" xfId="45" applyFont="1" applyFill="1" applyBorder="1" applyAlignment="1">
      <alignment horizontal="center" wrapText="1"/>
    </xf>
    <xf numFmtId="0" fontId="41" fillId="57" borderId="57" xfId="45" applyFont="1" applyFill="1" applyBorder="1" applyAlignment="1">
      <alignment horizontal="center"/>
    </xf>
    <xf numFmtId="0" fontId="44" fillId="0" borderId="28" xfId="45" applyFont="1" applyBorder="1"/>
    <xf numFmtId="0" fontId="44" fillId="0" borderId="31" xfId="45" applyFont="1" applyBorder="1"/>
    <xf numFmtId="3" fontId="44" fillId="0" borderId="87" xfId="45" applyNumberFormat="1" applyFont="1" applyBorder="1"/>
    <xf numFmtId="3" fontId="44" fillId="0" borderId="0" xfId="45" applyNumberFormat="1" applyFont="1"/>
    <xf numFmtId="3" fontId="44" fillId="0" borderId="69" xfId="45" applyNumberFormat="1" applyFont="1" applyBorder="1"/>
    <xf numFmtId="0" fontId="80" fillId="0" borderId="69" xfId="45" applyFont="1" applyBorder="1"/>
    <xf numFmtId="0" fontId="44" fillId="0" borderId="87" xfId="45" applyFont="1" applyBorder="1" applyAlignment="1">
      <alignment horizontal="center"/>
    </xf>
    <xf numFmtId="3" fontId="44" fillId="0" borderId="87" xfId="45" applyNumberFormat="1" applyFont="1" applyBorder="1" applyAlignment="1">
      <alignment horizontal="center"/>
    </xf>
    <xf numFmtId="3" fontId="44" fillId="0" borderId="0" xfId="45" applyNumberFormat="1" applyFont="1" applyAlignment="1">
      <alignment horizontal="center"/>
    </xf>
    <xf numFmtId="3" fontId="44" fillId="0" borderId="69" xfId="45" applyNumberFormat="1" applyFont="1" applyBorder="1" applyAlignment="1">
      <alignment horizontal="center"/>
    </xf>
    <xf numFmtId="170" fontId="44" fillId="0" borderId="87" xfId="45" applyNumberFormat="1" applyFont="1" applyBorder="1" applyAlignment="1">
      <alignment horizontal="right"/>
    </xf>
    <xf numFmtId="171" fontId="44" fillId="0" borderId="87" xfId="45" applyNumberFormat="1" applyFont="1" applyBorder="1" applyAlignment="1">
      <alignment horizontal="right"/>
    </xf>
    <xf numFmtId="0" fontId="44" fillId="0" borderId="69" xfId="45" applyFont="1" applyBorder="1"/>
    <xf numFmtId="0" fontId="31" fillId="0" borderId="105" xfId="45" applyFont="1" applyBorder="1" applyAlignment="1">
      <alignment horizontal="right"/>
    </xf>
    <xf numFmtId="3" fontId="44" fillId="0" borderId="87" xfId="45" applyNumberFormat="1" applyFont="1" applyBorder="1" applyAlignment="1">
      <alignment horizontal="right"/>
    </xf>
    <xf numFmtId="4" fontId="44" fillId="0" borderId="87" xfId="45" applyNumberFormat="1" applyFont="1" applyBorder="1" applyAlignment="1">
      <alignment horizontal="right"/>
    </xf>
    <xf numFmtId="0" fontId="42" fillId="0" borderId="0" xfId="45" applyFont="1" applyAlignment="1">
      <alignment horizontal="center"/>
    </xf>
    <xf numFmtId="3" fontId="44" fillId="0" borderId="0" xfId="45" quotePrefix="1" applyNumberFormat="1" applyFont="1" applyAlignment="1">
      <alignment horizontal="center"/>
    </xf>
    <xf numFmtId="172" fontId="44" fillId="0" borderId="87" xfId="45" quotePrefix="1" applyNumberFormat="1" applyFont="1" applyBorder="1" applyAlignment="1">
      <alignment horizontal="right"/>
    </xf>
    <xf numFmtId="0" fontId="44" fillId="0" borderId="87" xfId="45" applyFont="1" applyBorder="1"/>
    <xf numFmtId="0" fontId="44" fillId="0" borderId="69" xfId="45" applyFont="1" applyBorder="1" applyAlignment="1">
      <alignment wrapText="1"/>
    </xf>
    <xf numFmtId="0" fontId="44" fillId="0" borderId="0" xfId="45" applyFont="1" applyAlignment="1">
      <alignment horizontal="center"/>
    </xf>
    <xf numFmtId="0" fontId="44" fillId="0" borderId="69" xfId="45" applyFont="1" applyBorder="1" applyAlignment="1">
      <alignment horizontal="center"/>
    </xf>
    <xf numFmtId="0" fontId="41" fillId="0" borderId="155" xfId="45" applyFont="1" applyBorder="1"/>
    <xf numFmtId="0" fontId="44" fillId="0" borderId="20" xfId="45" applyFont="1" applyBorder="1"/>
    <xf numFmtId="0" fontId="44" fillId="0" borderId="155" xfId="45" applyFont="1" applyBorder="1"/>
    <xf numFmtId="0" fontId="44" fillId="0" borderId="20" xfId="45" applyFont="1" applyBorder="1" applyAlignment="1">
      <alignment horizontal="center"/>
    </xf>
    <xf numFmtId="0" fontId="41" fillId="42" borderId="123" xfId="45" applyFont="1" applyFill="1" applyBorder="1" applyAlignment="1">
      <alignment horizontal="center"/>
    </xf>
    <xf numFmtId="0" fontId="41" fillId="42" borderId="127" xfId="45" applyFont="1" applyFill="1" applyBorder="1" applyAlignment="1">
      <alignment horizontal="center"/>
    </xf>
    <xf numFmtId="0" fontId="44" fillId="42" borderId="104" xfId="45" applyFont="1" applyFill="1" applyBorder="1"/>
    <xf numFmtId="3" fontId="44" fillId="42" borderId="127" xfId="45" applyNumberFormat="1" applyFont="1" applyFill="1" applyBorder="1" applyAlignment="1">
      <alignment horizontal="center"/>
    </xf>
    <xf numFmtId="4" fontId="41" fillId="42" borderId="127" xfId="45" applyNumberFormat="1" applyFont="1" applyFill="1" applyBorder="1" applyAlignment="1">
      <alignment horizontal="right"/>
    </xf>
    <xf numFmtId="4" fontId="41" fillId="42" borderId="128" xfId="45" applyNumberFormat="1" applyFont="1" applyFill="1" applyBorder="1" applyAlignment="1">
      <alignment horizontal="right"/>
    </xf>
    <xf numFmtId="0" fontId="45" fillId="0" borderId="0" xfId="0" applyFont="1" applyAlignment="1">
      <alignment horizontal="center"/>
    </xf>
    <xf numFmtId="0" fontId="45" fillId="0" borderId="0" xfId="0" applyFont="1" applyAlignment="1">
      <alignment horizontal="center" vertical="center"/>
    </xf>
    <xf numFmtId="0" fontId="44" fillId="0" borderId="0" xfId="0" applyFont="1" applyAlignment="1">
      <alignment horizontal="center"/>
    </xf>
    <xf numFmtId="3" fontId="44" fillId="0" borderId="69" xfId="0" applyNumberFormat="1" applyFont="1" applyBorder="1" applyAlignment="1">
      <alignment horizontal="center"/>
    </xf>
    <xf numFmtId="49" fontId="44" fillId="0" borderId="87" xfId="0" applyNumberFormat="1" applyFont="1" applyBorder="1" applyAlignment="1">
      <alignment horizontal="center"/>
    </xf>
    <xf numFmtId="49" fontId="44" fillId="0" borderId="0" xfId="0" applyNumberFormat="1" applyFont="1" applyAlignment="1">
      <alignment horizontal="center"/>
    </xf>
    <xf numFmtId="49" fontId="44" fillId="0" borderId="69" xfId="0" applyNumberFormat="1" applyFont="1" applyBorder="1" applyAlignment="1">
      <alignment horizontal="center"/>
    </xf>
    <xf numFmtId="49" fontId="44" fillId="0" borderId="69" xfId="0" applyNumberFormat="1" applyFont="1" applyBorder="1"/>
    <xf numFmtId="49" fontId="44" fillId="0" borderId="32" xfId="0" applyNumberFormat="1" applyFont="1" applyBorder="1"/>
    <xf numFmtId="49" fontId="44" fillId="0" borderId="114" xfId="0" applyNumberFormat="1" applyFont="1" applyBorder="1" applyAlignment="1">
      <alignment horizontal="center"/>
    </xf>
    <xf numFmtId="0" fontId="44" fillId="0" borderId="79" xfId="0" applyFont="1" applyBorder="1" applyAlignment="1">
      <alignment horizontal="center"/>
    </xf>
    <xf numFmtId="4" fontId="41" fillId="0" borderId="79" xfId="0" applyNumberFormat="1" applyFont="1" applyBorder="1"/>
    <xf numFmtId="0" fontId="81" fillId="0" borderId="0" xfId="0" applyFont="1"/>
    <xf numFmtId="0" fontId="82" fillId="0" borderId="171" xfId="0" applyFont="1" applyBorder="1"/>
    <xf numFmtId="0" fontId="0" fillId="0" borderId="171" xfId="0" applyBorder="1"/>
    <xf numFmtId="0" fontId="0" fillId="0" borderId="165" xfId="0" applyBorder="1"/>
    <xf numFmtId="0" fontId="0" fillId="0" borderId="172" xfId="0" applyBorder="1"/>
    <xf numFmtId="0" fontId="0" fillId="0" borderId="173" xfId="0" applyBorder="1"/>
    <xf numFmtId="0" fontId="0" fillId="0" borderId="167" xfId="0" applyBorder="1"/>
    <xf numFmtId="0" fontId="0" fillId="0" borderId="173" xfId="0" applyBorder="1" applyAlignment="1">
      <alignment horizontal="center" wrapText="1"/>
    </xf>
    <xf numFmtId="0" fontId="0" fillId="0" borderId="167" xfId="0" applyBorder="1" applyAlignment="1">
      <alignment horizontal="center" textRotation="90" wrapText="1"/>
    </xf>
    <xf numFmtId="0" fontId="0" fillId="0" borderId="172" xfId="0" applyBorder="1" applyAlignment="1">
      <alignment horizontal="center" textRotation="90" wrapText="1"/>
    </xf>
    <xf numFmtId="0" fontId="0" fillId="0" borderId="173" xfId="0" applyBorder="1" applyAlignment="1">
      <alignment horizontal="center" textRotation="90" wrapText="1"/>
    </xf>
    <xf numFmtId="0" fontId="0" fillId="0" borderId="153" xfId="0" applyBorder="1" applyAlignment="1">
      <alignment horizontal="center"/>
    </xf>
    <xf numFmtId="0" fontId="0" fillId="0" borderId="154" xfId="0" applyBorder="1"/>
    <xf numFmtId="0" fontId="0" fillId="0" borderId="167" xfId="0" applyBorder="1" applyAlignment="1">
      <alignment horizontal="center"/>
    </xf>
    <xf numFmtId="0" fontId="0" fillId="0" borderId="154" xfId="0" applyBorder="1" applyAlignment="1">
      <alignment horizontal="center"/>
    </xf>
    <xf numFmtId="0" fontId="0" fillId="0" borderId="153" xfId="0" applyBorder="1"/>
    <xf numFmtId="0" fontId="0" fillId="0" borderId="169" xfId="0" applyBorder="1"/>
    <xf numFmtId="0" fontId="0" fillId="0" borderId="174" xfId="0" applyBorder="1"/>
    <xf numFmtId="0" fontId="0" fillId="0" borderId="175" xfId="0" applyBorder="1" applyAlignment="1">
      <alignment horizontal="center"/>
    </xf>
    <xf numFmtId="0" fontId="0" fillId="0" borderId="175" xfId="0" applyBorder="1"/>
    <xf numFmtId="0" fontId="0" fillId="0" borderId="176" xfId="0" applyBorder="1"/>
    <xf numFmtId="2" fontId="0" fillId="0" borderId="154" xfId="0" applyNumberFormat="1" applyBorder="1" applyAlignment="1">
      <alignment horizontal="center"/>
    </xf>
    <xf numFmtId="0" fontId="0" fillId="0" borderId="167" xfId="0" quotePrefix="1" applyBorder="1"/>
    <xf numFmtId="0" fontId="0" fillId="0" borderId="153" xfId="0" quotePrefix="1" applyBorder="1" applyAlignment="1">
      <alignment horizontal="center"/>
    </xf>
    <xf numFmtId="0" fontId="0" fillId="0" borderId="153" xfId="0" quotePrefix="1" applyBorder="1"/>
    <xf numFmtId="2" fontId="0" fillId="0" borderId="154" xfId="0" quotePrefix="1" applyNumberFormat="1" applyBorder="1"/>
    <xf numFmtId="0" fontId="0" fillId="0" borderId="153" xfId="0" quotePrefix="1" applyBorder="1" applyAlignment="1">
      <alignment horizontal="left"/>
    </xf>
    <xf numFmtId="0" fontId="0" fillId="0" borderId="154" xfId="0" quotePrefix="1" applyBorder="1" applyAlignment="1">
      <alignment horizontal="left"/>
    </xf>
    <xf numFmtId="2" fontId="0" fillId="0" borderId="153" xfId="0" applyNumberFormat="1" applyBorder="1"/>
    <xf numFmtId="2" fontId="0" fillId="0" borderId="154" xfId="0" applyNumberFormat="1" applyBorder="1"/>
    <xf numFmtId="0" fontId="0" fillId="0" borderId="154" xfId="0" applyBorder="1" applyAlignment="1">
      <alignment horizontal="right"/>
    </xf>
    <xf numFmtId="0" fontId="0" fillId="0" borderId="154" xfId="0" quotePrefix="1" applyBorder="1"/>
    <xf numFmtId="0" fontId="0" fillId="0" borderId="177" xfId="0" applyBorder="1"/>
    <xf numFmtId="173" fontId="44" fillId="0" borderId="0" xfId="42" applyNumberFormat="1" applyFont="1"/>
    <xf numFmtId="0" fontId="44" fillId="0" borderId="0" xfId="42" applyFont="1" applyAlignment="1">
      <alignment horizontal="center" wrapText="1"/>
    </xf>
    <xf numFmtId="0" fontId="41" fillId="36" borderId="33" xfId="42" applyFont="1" applyFill="1" applyBorder="1" applyAlignment="1">
      <alignment horizontal="center" vertical="center" wrapText="1"/>
    </xf>
    <xf numFmtId="0" fontId="41" fillId="36" borderId="86" xfId="42" applyFont="1" applyFill="1" applyBorder="1" applyAlignment="1">
      <alignment horizontal="center" vertical="center" wrapText="1"/>
    </xf>
    <xf numFmtId="0" fontId="41" fillId="36" borderId="56" xfId="42" applyFont="1" applyFill="1" applyBorder="1" applyAlignment="1">
      <alignment horizontal="center" vertical="center" wrapText="1"/>
    </xf>
    <xf numFmtId="0" fontId="41" fillId="36" borderId="34" xfId="42" applyFont="1" applyFill="1" applyBorder="1" applyAlignment="1">
      <alignment horizontal="center" vertical="center" wrapText="1"/>
    </xf>
    <xf numFmtId="173" fontId="41" fillId="36" borderId="34" xfId="42" applyNumberFormat="1" applyFont="1" applyFill="1" applyBorder="1" applyAlignment="1">
      <alignment horizontal="center" vertical="center" textRotation="90" wrapText="1"/>
    </xf>
    <xf numFmtId="173" fontId="41" fillId="36" borderId="36" xfId="42" applyNumberFormat="1" applyFont="1" applyFill="1" applyBorder="1" applyAlignment="1">
      <alignment horizontal="center" vertical="center" textRotation="90" wrapText="1"/>
    </xf>
    <xf numFmtId="0" fontId="41" fillId="0" borderId="0" xfId="42" applyFont="1" applyAlignment="1">
      <alignment horizontal="center" textRotation="90" wrapText="1"/>
    </xf>
    <xf numFmtId="0" fontId="44" fillId="0" borderId="74" xfId="42" applyFont="1" applyBorder="1" applyAlignment="1">
      <alignment horizontal="center" vertical="center" wrapText="1"/>
    </xf>
    <xf numFmtId="0" fontId="44" fillId="0" borderId="134" xfId="42" applyFont="1" applyBorder="1" applyAlignment="1">
      <alignment horizontal="center" vertical="center"/>
    </xf>
    <xf numFmtId="0" fontId="44" fillId="0" borderId="75" xfId="42" applyFont="1" applyBorder="1" applyAlignment="1">
      <alignment horizontal="center" vertical="center"/>
    </xf>
    <xf numFmtId="0" fontId="44" fillId="0" borderId="77" xfId="42" applyFont="1" applyBorder="1" applyAlignment="1">
      <alignment horizontal="center" vertical="center"/>
    </xf>
    <xf numFmtId="0" fontId="44" fillId="0" borderId="77" xfId="42" applyFont="1" applyBorder="1" applyAlignment="1">
      <alignment vertical="center"/>
    </xf>
    <xf numFmtId="0" fontId="44" fillId="0" borderId="103" xfId="42" applyFont="1" applyBorder="1"/>
    <xf numFmtId="14" fontId="44" fillId="0" borderId="75" xfId="42" applyNumberFormat="1" applyFont="1" applyBorder="1" applyAlignment="1">
      <alignment vertical="center"/>
    </xf>
    <xf numFmtId="4" fontId="44" fillId="0" borderId="82" xfId="42" applyNumberFormat="1" applyFont="1" applyBorder="1" applyAlignment="1">
      <alignment horizontal="center" vertical="center"/>
    </xf>
    <xf numFmtId="0" fontId="44" fillId="0" borderId="134" xfId="42" applyFont="1" applyBorder="1"/>
    <xf numFmtId="0" fontId="44" fillId="0" borderId="77" xfId="42" applyFont="1" applyBorder="1"/>
    <xf numFmtId="0" fontId="44" fillId="0" borderId="115" xfId="42" applyFont="1" applyBorder="1"/>
    <xf numFmtId="0" fontId="41" fillId="0" borderId="33" xfId="42" applyFont="1" applyBorder="1" applyAlignment="1">
      <alignment horizontal="center"/>
    </xf>
    <xf numFmtId="0" fontId="41" fillId="0" borderId="57" xfId="42" applyFont="1" applyBorder="1" applyAlignment="1">
      <alignment horizontal="center"/>
    </xf>
    <xf numFmtId="0" fontId="44" fillId="0" borderId="86" xfId="42" applyFont="1" applyBorder="1"/>
    <xf numFmtId="0" fontId="44" fillId="0" borderId="35" xfId="42" applyFont="1" applyBorder="1"/>
    <xf numFmtId="0" fontId="44" fillId="0" borderId="33" xfId="42" applyFont="1" applyBorder="1"/>
    <xf numFmtId="0" fontId="44" fillId="0" borderId="34" xfId="42" applyFont="1" applyBorder="1"/>
    <xf numFmtId="0" fontId="44" fillId="0" borderId="36" xfId="42" applyFont="1" applyBorder="1"/>
    <xf numFmtId="0" fontId="44" fillId="0" borderId="57" xfId="42" applyFont="1" applyBorder="1"/>
    <xf numFmtId="173" fontId="44" fillId="0" borderId="0" xfId="0" applyNumberFormat="1" applyFont="1"/>
    <xf numFmtId="0" fontId="44" fillId="0" borderId="0" xfId="0" applyFont="1" applyAlignment="1">
      <alignment horizontal="center" wrapText="1"/>
    </xf>
    <xf numFmtId="0" fontId="41" fillId="36" borderId="33" xfId="0" applyFont="1" applyFill="1" applyBorder="1" applyAlignment="1">
      <alignment horizontal="center" vertical="center" wrapText="1"/>
    </xf>
    <xf numFmtId="0" fontId="41" fillId="36" borderId="86" xfId="0" applyFont="1" applyFill="1" applyBorder="1" applyAlignment="1">
      <alignment horizontal="center" vertical="center" wrapText="1"/>
    </xf>
    <xf numFmtId="0" fontId="41" fillId="36" borderId="56" xfId="0" applyFont="1" applyFill="1" applyBorder="1" applyAlignment="1">
      <alignment horizontal="center" vertical="center" wrapText="1"/>
    </xf>
    <xf numFmtId="0" fontId="41" fillId="36" borderId="34" xfId="0" applyFont="1" applyFill="1" applyBorder="1" applyAlignment="1">
      <alignment horizontal="center" vertical="center" wrapText="1"/>
    </xf>
    <xf numFmtId="173" fontId="41" fillId="36" borderId="34" xfId="0" applyNumberFormat="1" applyFont="1" applyFill="1" applyBorder="1" applyAlignment="1">
      <alignment horizontal="center" vertical="center" textRotation="90" wrapText="1"/>
    </xf>
    <xf numFmtId="173" fontId="41" fillId="36" borderId="36" xfId="0" applyNumberFormat="1" applyFont="1" applyFill="1" applyBorder="1" applyAlignment="1">
      <alignment horizontal="center" vertical="center" textRotation="90" wrapText="1"/>
    </xf>
    <xf numFmtId="0" fontId="41" fillId="0" borderId="0" xfId="0" applyFont="1" applyAlignment="1">
      <alignment horizontal="center" textRotation="90" wrapText="1"/>
    </xf>
    <xf numFmtId="0" fontId="44" fillId="0" borderId="74" xfId="0" applyFont="1" applyBorder="1" applyAlignment="1">
      <alignment horizontal="left"/>
    </xf>
    <xf numFmtId="0" fontId="44" fillId="0" borderId="31" xfId="0" applyFont="1" applyBorder="1" applyAlignment="1">
      <alignment horizontal="left"/>
    </xf>
    <xf numFmtId="0" fontId="44" fillId="0" borderId="82" xfId="0" applyFont="1" applyBorder="1" applyAlignment="1">
      <alignment horizontal="left" vertical="center"/>
    </xf>
    <xf numFmtId="174" fontId="44" fillId="0" borderId="134" xfId="0" applyNumberFormat="1" applyFont="1" applyBorder="1" applyAlignment="1">
      <alignment horizontal="center" vertical="center"/>
    </xf>
    <xf numFmtId="0" fontId="44" fillId="0" borderId="77" xfId="0" applyFont="1" applyBorder="1"/>
    <xf numFmtId="0" fontId="44" fillId="0" borderId="103" xfId="0" applyFont="1" applyBorder="1"/>
    <xf numFmtId="0" fontId="44" fillId="0" borderId="75" xfId="0" applyFont="1" applyBorder="1" applyAlignment="1">
      <alignment horizontal="center"/>
    </xf>
    <xf numFmtId="4" fontId="44" fillId="0" borderId="82" xfId="0" applyNumberFormat="1" applyFont="1" applyBorder="1" applyAlignment="1">
      <alignment horizontal="center" vertical="center"/>
    </xf>
    <xf numFmtId="46" fontId="44" fillId="0" borderId="75" xfId="0" applyNumberFormat="1" applyFont="1" applyBorder="1" applyAlignment="1">
      <alignment horizontal="left"/>
    </xf>
    <xf numFmtId="174" fontId="44" fillId="0" borderId="134" xfId="0" applyNumberFormat="1" applyFont="1" applyBorder="1" applyAlignment="1">
      <alignment horizontal="center"/>
    </xf>
    <xf numFmtId="4" fontId="44" fillId="0" borderId="82" xfId="0" applyNumberFormat="1" applyFont="1" applyBorder="1" applyAlignment="1">
      <alignment horizontal="center"/>
    </xf>
    <xf numFmtId="0" fontId="44" fillId="0" borderId="134" xfId="0" applyFont="1" applyBorder="1"/>
    <xf numFmtId="0" fontId="44" fillId="0" borderId="115" xfId="0" applyFont="1" applyBorder="1"/>
    <xf numFmtId="0" fontId="41" fillId="0" borderId="33" xfId="0" applyFont="1" applyBorder="1" applyAlignment="1">
      <alignment horizontal="center"/>
    </xf>
    <xf numFmtId="0" fontId="41" fillId="0" borderId="57" xfId="0" applyFont="1" applyBorder="1" applyAlignment="1">
      <alignment horizontal="center"/>
    </xf>
    <xf numFmtId="0" fontId="44" fillId="0" borderId="86" xfId="0" applyFont="1" applyBorder="1"/>
    <xf numFmtId="0" fontId="44" fillId="0" borderId="35" xfId="0" applyFont="1" applyBorder="1"/>
    <xf numFmtId="0" fontId="44" fillId="0" borderId="33" xfId="0" applyFont="1" applyBorder="1"/>
    <xf numFmtId="0" fontId="44" fillId="0" borderId="34" xfId="0" applyFont="1" applyBorder="1"/>
    <xf numFmtId="0" fontId="44" fillId="0" borderId="36" xfId="0" applyFont="1" applyBorder="1"/>
    <xf numFmtId="4" fontId="44" fillId="0" borderId="86" xfId="0" applyNumberFormat="1" applyFont="1" applyBorder="1"/>
    <xf numFmtId="0" fontId="44" fillId="0" borderId="57" xfId="0" applyFont="1" applyBorder="1"/>
    <xf numFmtId="0" fontId="44" fillId="0" borderId="74" xfId="0" applyFont="1" applyBorder="1"/>
    <xf numFmtId="49" fontId="44" fillId="0" borderId="134" xfId="0" applyNumberFormat="1" applyFont="1" applyBorder="1" applyAlignment="1">
      <alignment horizontal="left" vertical="center"/>
    </xf>
    <xf numFmtId="0" fontId="44" fillId="0" borderId="75" xfId="0" applyFont="1" applyBorder="1" applyAlignment="1">
      <alignment horizontal="left"/>
    </xf>
    <xf numFmtId="49" fontId="44" fillId="0" borderId="77" xfId="0" applyNumberFormat="1" applyFont="1" applyBorder="1" applyAlignment="1">
      <alignment horizontal="left"/>
    </xf>
    <xf numFmtId="0" fontId="44" fillId="0" borderId="77" xfId="0" applyFont="1" applyBorder="1" applyAlignment="1">
      <alignment horizontal="left"/>
    </xf>
    <xf numFmtId="0" fontId="44" fillId="0" borderId="103" xfId="0" applyFont="1" applyBorder="1" applyAlignment="1">
      <alignment horizontal="left"/>
    </xf>
    <xf numFmtId="0" fontId="44" fillId="0" borderId="87" xfId="0" applyFont="1" applyBorder="1" applyAlignment="1">
      <alignment horizontal="left"/>
    </xf>
    <xf numFmtId="0" fontId="44" fillId="0" borderId="134" xfId="0" applyFont="1" applyBorder="1" applyAlignment="1">
      <alignment horizontal="left"/>
    </xf>
    <xf numFmtId="0" fontId="44" fillId="0" borderId="82" xfId="0" applyFont="1" applyBorder="1" applyAlignment="1">
      <alignment horizontal="left"/>
    </xf>
    <xf numFmtId="0" fontId="44" fillId="0" borderId="33" xfId="0" applyFont="1" applyBorder="1" applyAlignment="1">
      <alignment horizontal="left"/>
    </xf>
    <xf numFmtId="0" fontId="41" fillId="0" borderId="0" xfId="0" applyFont="1" applyAlignment="1"/>
    <xf numFmtId="0" fontId="41" fillId="0" borderId="0" xfId="45" applyFont="1" applyAlignment="1">
      <alignment horizontal="left"/>
    </xf>
    <xf numFmtId="0" fontId="41" fillId="0" borderId="0" xfId="45" applyFont="1" applyAlignment="1">
      <alignment vertical="center"/>
    </xf>
    <xf numFmtId="0" fontId="20" fillId="0" borderId="27" xfId="42" applyFont="1" applyBorder="1" applyAlignment="1">
      <alignment horizontal="left" vertical="center"/>
    </xf>
    <xf numFmtId="0" fontId="20" fillId="0" borderId="0" xfId="42" applyFont="1" applyAlignment="1">
      <alignment horizontal="left" vertical="center"/>
    </xf>
    <xf numFmtId="173" fontId="44" fillId="0" borderId="0" xfId="45" applyNumberFormat="1" applyFont="1"/>
    <xf numFmtId="0" fontId="44" fillId="0" borderId="0" xfId="45" applyFont="1" applyAlignment="1">
      <alignment horizontal="center" wrapText="1"/>
    </xf>
    <xf numFmtId="0" fontId="41" fillId="36" borderId="74" xfId="45" applyFont="1" applyFill="1" applyBorder="1" applyAlignment="1">
      <alignment horizontal="center" vertical="center" wrapText="1"/>
    </xf>
    <xf numFmtId="0" fontId="41" fillId="36" borderId="28" xfId="45" applyFont="1" applyFill="1" applyBorder="1" applyAlignment="1">
      <alignment horizontal="center" vertical="center" wrapText="1"/>
    </xf>
    <xf numFmtId="0" fontId="41" fillId="36" borderId="84" xfId="45" applyFont="1" applyFill="1" applyBorder="1" applyAlignment="1">
      <alignment horizontal="center" vertical="center" wrapText="1"/>
    </xf>
    <xf numFmtId="0" fontId="41" fillId="36" borderId="29" xfId="45" applyFont="1" applyFill="1" applyBorder="1" applyAlignment="1">
      <alignment horizontal="center" vertical="center" wrapText="1"/>
    </xf>
    <xf numFmtId="0" fontId="41" fillId="36" borderId="80" xfId="45" applyFont="1" applyFill="1" applyBorder="1" applyAlignment="1">
      <alignment horizontal="center" vertical="center" wrapText="1"/>
    </xf>
    <xf numFmtId="173" fontId="41" fillId="36" borderId="80" xfId="45" applyNumberFormat="1" applyFont="1" applyFill="1" applyBorder="1" applyAlignment="1">
      <alignment horizontal="center" vertical="center" textRotation="90" wrapText="1"/>
    </xf>
    <xf numFmtId="173" fontId="41" fillId="36" borderId="88" xfId="45" applyNumberFormat="1" applyFont="1" applyFill="1" applyBorder="1" applyAlignment="1">
      <alignment horizontal="center" vertical="center" textRotation="90" wrapText="1"/>
    </xf>
    <xf numFmtId="0" fontId="41" fillId="36" borderId="31" xfId="45" applyFont="1" applyFill="1" applyBorder="1" applyAlignment="1">
      <alignment horizontal="center" vertical="center" wrapText="1"/>
    </xf>
    <xf numFmtId="0" fontId="41" fillId="0" borderId="0" xfId="45" applyFont="1" applyAlignment="1">
      <alignment horizontal="center" textRotation="90" wrapText="1"/>
    </xf>
    <xf numFmtId="0" fontId="44" fillId="0" borderId="10" xfId="45" applyFont="1" applyBorder="1"/>
    <xf numFmtId="0" fontId="19" fillId="0" borderId="10" xfId="45" applyFont="1" applyFill="1" applyBorder="1" applyAlignment="1">
      <alignment horizontal="left" vertical="center" wrapText="1"/>
    </xf>
    <xf numFmtId="49" fontId="44" fillId="0" borderId="10" xfId="45" applyNumberFormat="1" applyFont="1" applyBorder="1" applyAlignment="1">
      <alignment horizontal="left" vertical="center"/>
    </xf>
    <xf numFmtId="4" fontId="44" fillId="0" borderId="10" xfId="45" applyNumberFormat="1" applyFont="1" applyBorder="1" applyAlignment="1">
      <alignment horizontal="right" vertical="center"/>
    </xf>
    <xf numFmtId="0" fontId="44" fillId="0" borderId="10" xfId="45" applyFont="1" applyBorder="1" applyAlignment="1">
      <alignment horizontal="left" indent="1"/>
    </xf>
    <xf numFmtId="49" fontId="44" fillId="0" borderId="10" xfId="45" applyNumberFormat="1" applyFont="1" applyBorder="1" applyAlignment="1">
      <alignment horizontal="left"/>
    </xf>
    <xf numFmtId="4" fontId="44" fillId="0" borderId="10" xfId="45" applyNumberFormat="1" applyFont="1" applyBorder="1" applyAlignment="1">
      <alignment horizontal="right"/>
    </xf>
    <xf numFmtId="0" fontId="19" fillId="0" borderId="10" xfId="45" applyFont="1" applyBorder="1" applyAlignment="1">
      <alignment horizontal="left" vertical="center" wrapText="1"/>
    </xf>
    <xf numFmtId="49" fontId="83" fillId="0" borderId="10" xfId="46" applyNumberFormat="1" applyBorder="1" applyAlignment="1"/>
    <xf numFmtId="0" fontId="41" fillId="0" borderId="115" xfId="45" applyFont="1" applyBorder="1" applyAlignment="1">
      <alignment horizontal="center"/>
    </xf>
    <xf numFmtId="0" fontId="41" fillId="0" borderId="114" xfId="45" applyFont="1" applyBorder="1" applyAlignment="1">
      <alignment horizontal="center"/>
    </xf>
    <xf numFmtId="0" fontId="44" fillId="0" borderId="135" xfId="45" applyFont="1" applyBorder="1"/>
    <xf numFmtId="0" fontId="44" fillId="0" borderId="137" xfId="45" applyFont="1" applyBorder="1"/>
    <xf numFmtId="0" fontId="44" fillId="0" borderId="115" xfId="45" applyFont="1" applyBorder="1"/>
    <xf numFmtId="0" fontId="44" fillId="0" borderId="136" xfId="45" applyFont="1" applyBorder="1"/>
    <xf numFmtId="0" fontId="44" fillId="0" borderId="101" xfId="45" applyFont="1" applyBorder="1"/>
    <xf numFmtId="0" fontId="44" fillId="0" borderId="32" xfId="45" applyFont="1" applyBorder="1"/>
    <xf numFmtId="43" fontId="44" fillId="0" borderId="135" xfId="44" applyFont="1" applyBorder="1" applyAlignment="1">
      <alignment horizontal="left"/>
    </xf>
    <xf numFmtId="0" fontId="44" fillId="0" borderId="114" xfId="45" applyFont="1" applyBorder="1"/>
    <xf numFmtId="0" fontId="20" fillId="33" borderId="0" xfId="0" applyFont="1" applyFill="1" applyAlignment="1">
      <alignment horizontal="center"/>
    </xf>
    <xf numFmtId="0" fontId="21" fillId="34" borderId="10" xfId="0" applyFont="1" applyFill="1" applyBorder="1" applyAlignment="1">
      <alignment horizontal="center" vertical="center" wrapText="1"/>
    </xf>
    <xf numFmtId="0" fontId="21" fillId="34" borderId="10" xfId="0" applyFont="1" applyFill="1" applyBorder="1" applyAlignment="1">
      <alignment horizontal="center" vertical="center"/>
    </xf>
    <xf numFmtId="0" fontId="20" fillId="33" borderId="0" xfId="0" applyFont="1" applyFill="1" applyAlignment="1">
      <alignment horizontal="center" vertical="center"/>
    </xf>
    <xf numFmtId="0" fontId="19" fillId="33" borderId="0" xfId="0" applyFont="1" applyFill="1" applyAlignment="1">
      <alignment horizontal="center"/>
    </xf>
    <xf numFmtId="0" fontId="19" fillId="33" borderId="0" xfId="0" applyFont="1" applyFill="1" applyBorder="1" applyAlignment="1">
      <alignment horizontal="left"/>
    </xf>
    <xf numFmtId="0" fontId="21" fillId="34" borderId="15" xfId="0" applyFont="1" applyFill="1" applyBorder="1" applyAlignment="1">
      <alignment horizontal="center" vertical="center" wrapText="1"/>
    </xf>
    <xf numFmtId="0" fontId="21" fillId="34" borderId="16" xfId="0" applyFont="1" applyFill="1" applyBorder="1" applyAlignment="1">
      <alignment horizontal="center" vertical="center" wrapText="1"/>
    </xf>
    <xf numFmtId="0" fontId="27" fillId="0" borderId="22" xfId="0" applyFont="1" applyFill="1" applyBorder="1" applyAlignment="1">
      <alignment horizontal="left" vertical="center" wrapText="1"/>
    </xf>
    <xf numFmtId="0" fontId="27" fillId="0" borderId="23" xfId="0" applyFont="1" applyFill="1" applyBorder="1" applyAlignment="1">
      <alignment horizontal="left" vertical="center" wrapText="1"/>
    </xf>
    <xf numFmtId="0" fontId="24" fillId="35" borderId="10" xfId="0" applyFont="1" applyFill="1" applyBorder="1" applyAlignment="1">
      <alignment horizontal="center" vertical="center"/>
    </xf>
    <xf numFmtId="0" fontId="25" fillId="0" borderId="10"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1" xfId="0" applyFont="1" applyBorder="1" applyAlignment="1">
      <alignment horizontal="center" vertical="center" wrapText="1"/>
    </xf>
    <xf numFmtId="0" fontId="26" fillId="0" borderId="20"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3" fillId="0" borderId="0" xfId="0" applyFont="1" applyAlignment="1">
      <alignment horizontal="left" vertical="center"/>
    </xf>
    <xf numFmtId="0" fontId="24" fillId="35" borderId="10" xfId="0" applyFont="1" applyFill="1" applyBorder="1" applyAlignment="1">
      <alignment horizontal="center" vertical="center" wrapText="1"/>
    </xf>
    <xf numFmtId="0" fontId="24" fillId="35" borderId="17" xfId="0" applyFont="1" applyFill="1" applyBorder="1" applyAlignment="1">
      <alignment horizontal="center" vertical="center" wrapText="1"/>
    </xf>
    <xf numFmtId="0" fontId="24" fillId="35" borderId="18" xfId="0" applyFont="1" applyFill="1" applyBorder="1" applyAlignment="1">
      <alignment horizontal="center" vertical="center" wrapText="1"/>
    </xf>
    <xf numFmtId="49" fontId="20" fillId="38" borderId="56" xfId="0" applyNumberFormat="1" applyFont="1" applyFill="1" applyBorder="1" applyAlignment="1">
      <alignment horizontal="center" vertical="center"/>
    </xf>
    <xf numFmtId="49" fontId="20" fillId="38" borderId="57" xfId="0" applyNumberFormat="1" applyFont="1" applyFill="1" applyBorder="1" applyAlignment="1">
      <alignment horizontal="center" vertical="center"/>
    </xf>
    <xf numFmtId="49" fontId="20" fillId="36" borderId="29" xfId="0" applyNumberFormat="1" applyFont="1" applyFill="1" applyBorder="1" applyAlignment="1">
      <alignment horizontal="center" vertical="center" wrapText="1"/>
    </xf>
    <xf numFmtId="0" fontId="33" fillId="0" borderId="31" xfId="0" applyFont="1" applyBorder="1"/>
    <xf numFmtId="49" fontId="20" fillId="36" borderId="28" xfId="0" applyNumberFormat="1" applyFont="1" applyFill="1" applyBorder="1" applyAlignment="1">
      <alignment horizontal="center" vertical="center" wrapText="1"/>
    </xf>
    <xf numFmtId="0" fontId="33" fillId="0" borderId="32" xfId="0" applyFont="1" applyBorder="1"/>
    <xf numFmtId="0" fontId="33" fillId="0" borderId="30" xfId="0" applyFont="1" applyBorder="1"/>
    <xf numFmtId="0" fontId="0" fillId="0" borderId="57" xfId="0" applyFont="1" applyBorder="1" applyAlignment="1">
      <alignment horizontal="center" vertical="center"/>
    </xf>
    <xf numFmtId="0" fontId="32" fillId="39" borderId="27" xfId="0" applyFont="1" applyFill="1" applyBorder="1" applyAlignment="1">
      <alignment horizontal="left"/>
    </xf>
    <xf numFmtId="0" fontId="20" fillId="0" borderId="0" xfId="0" applyFont="1" applyBorder="1" applyAlignment="1">
      <alignment horizontal="left"/>
    </xf>
    <xf numFmtId="0" fontId="20" fillId="0" borderId="58" xfId="0" applyFont="1" applyBorder="1" applyAlignment="1">
      <alignment horizontal="left" vertical="center"/>
    </xf>
    <xf numFmtId="0" fontId="29" fillId="36" borderId="44" xfId="0" applyFont="1" applyFill="1" applyBorder="1" applyAlignment="1">
      <alignment horizontal="center" vertical="center" wrapText="1"/>
    </xf>
    <xf numFmtId="0" fontId="29" fillId="36" borderId="59" xfId="0" applyFont="1" applyFill="1" applyBorder="1" applyAlignment="1">
      <alignment horizontal="center" vertical="center" wrapText="1"/>
    </xf>
    <xf numFmtId="0" fontId="20" fillId="40" borderId="17" xfId="0" applyFont="1" applyFill="1" applyBorder="1" applyAlignment="1">
      <alignment horizontal="center" vertical="center"/>
    </xf>
    <xf numFmtId="0" fontId="20" fillId="40" borderId="68" xfId="0" applyFont="1" applyFill="1" applyBorder="1" applyAlignment="1">
      <alignment horizontal="center" vertical="center"/>
    </xf>
    <xf numFmtId="0" fontId="20" fillId="36" borderId="56" xfId="0" applyFont="1" applyFill="1" applyBorder="1" applyAlignment="1">
      <alignment horizontal="center" wrapText="1"/>
    </xf>
    <xf numFmtId="0" fontId="33" fillId="0" borderId="79" xfId="0" applyFont="1" applyBorder="1"/>
    <xf numFmtId="0" fontId="33" fillId="0" borderId="57" xfId="0" applyFont="1" applyBorder="1"/>
    <xf numFmtId="0" fontId="20" fillId="36" borderId="28" xfId="0" applyFont="1" applyFill="1" applyBorder="1" applyAlignment="1">
      <alignment horizontal="center" vertical="center"/>
    </xf>
    <xf numFmtId="0" fontId="20" fillId="36" borderId="29" xfId="0" applyFont="1" applyFill="1" applyBorder="1" applyAlignment="1">
      <alignment horizontal="center" wrapText="1"/>
    </xf>
    <xf numFmtId="0" fontId="20" fillId="36" borderId="10" xfId="0" applyFont="1" applyFill="1" applyBorder="1" applyAlignment="1">
      <alignment horizontal="center" vertical="center"/>
    </xf>
    <xf numFmtId="0" fontId="33" fillId="0" borderId="10" xfId="0" applyFont="1" applyBorder="1"/>
    <xf numFmtId="0" fontId="20" fillId="36" borderId="10" xfId="0" applyFont="1" applyFill="1" applyBorder="1" applyAlignment="1">
      <alignment horizontal="center" wrapText="1"/>
    </xf>
    <xf numFmtId="0" fontId="20" fillId="36" borderId="0" xfId="0" applyFont="1" applyFill="1" applyBorder="1" applyAlignment="1">
      <alignment horizontal="center" vertical="center"/>
    </xf>
    <xf numFmtId="0" fontId="33" fillId="0" borderId="0" xfId="0" applyFont="1" applyBorder="1"/>
    <xf numFmtId="0" fontId="20" fillId="36" borderId="22" xfId="0" applyFont="1" applyFill="1" applyBorder="1" applyAlignment="1">
      <alignment horizontal="center" wrapText="1"/>
    </xf>
    <xf numFmtId="0" fontId="33" fillId="0" borderId="23" xfId="0" applyFont="1" applyBorder="1"/>
    <xf numFmtId="0" fontId="33" fillId="0" borderId="19" xfId="0" applyFont="1" applyBorder="1"/>
    <xf numFmtId="0" fontId="20" fillId="36" borderId="0" xfId="0" applyFont="1" applyFill="1" applyBorder="1" applyAlignment="1">
      <alignment horizontal="center" wrapText="1"/>
    </xf>
    <xf numFmtId="0" fontId="20" fillId="42" borderId="10" xfId="42" applyFont="1" applyFill="1" applyBorder="1" applyAlignment="1">
      <alignment horizontal="center" wrapText="1"/>
    </xf>
    <xf numFmtId="0" fontId="33" fillId="42" borderId="10" xfId="42" applyFont="1" applyFill="1" applyBorder="1"/>
    <xf numFmtId="0" fontId="20" fillId="0" borderId="0" xfId="42" applyFont="1" applyAlignment="1">
      <alignment horizontal="left"/>
    </xf>
    <xf numFmtId="0" fontId="20" fillId="0" borderId="0" xfId="42" applyFont="1" applyBorder="1" applyAlignment="1">
      <alignment horizontal="left" vertical="center"/>
    </xf>
    <xf numFmtId="0" fontId="20" fillId="42" borderId="10" xfId="42" applyFont="1" applyFill="1" applyBorder="1" applyAlignment="1">
      <alignment horizontal="center" vertical="center"/>
    </xf>
    <xf numFmtId="0" fontId="35" fillId="36" borderId="10" xfId="0" applyFont="1" applyFill="1" applyBorder="1" applyAlignment="1">
      <alignment horizontal="center" vertical="center"/>
    </xf>
    <xf numFmtId="0" fontId="35" fillId="36" borderId="10" xfId="0" applyFont="1" applyFill="1" applyBorder="1" applyAlignment="1">
      <alignment horizontal="center"/>
    </xf>
    <xf numFmtId="49" fontId="41" fillId="36" borderId="93" xfId="0" applyNumberFormat="1" applyFont="1" applyFill="1" applyBorder="1" applyAlignment="1">
      <alignment horizontal="center" vertical="center" wrapText="1"/>
    </xf>
    <xf numFmtId="0" fontId="33" fillId="0" borderId="91" xfId="0" applyFont="1" applyBorder="1"/>
    <xf numFmtId="0" fontId="41" fillId="36" borderId="28" xfId="0" applyFont="1" applyFill="1" applyBorder="1" applyAlignment="1">
      <alignment horizontal="center" vertical="center"/>
    </xf>
    <xf numFmtId="0" fontId="41" fillId="36" borderId="28" xfId="0" applyFont="1" applyFill="1" applyBorder="1" applyAlignment="1">
      <alignment horizontal="center" vertical="center" wrapText="1"/>
    </xf>
    <xf numFmtId="49" fontId="41" fillId="36" borderId="37" xfId="0" applyNumberFormat="1" applyFont="1" applyFill="1" applyBorder="1" applyAlignment="1">
      <alignment horizontal="center" vertical="center"/>
    </xf>
    <xf numFmtId="0" fontId="33" fillId="0" borderId="90" xfId="0" applyFont="1" applyBorder="1"/>
    <xf numFmtId="49" fontId="41" fillId="36" borderId="37" xfId="0" applyNumberFormat="1" applyFont="1" applyFill="1" applyBorder="1" applyAlignment="1">
      <alignment horizontal="center" vertical="center" wrapText="1"/>
    </xf>
    <xf numFmtId="49" fontId="41" fillId="36" borderId="90" xfId="0" applyNumberFormat="1" applyFont="1" applyFill="1" applyBorder="1" applyAlignment="1">
      <alignment horizontal="center" vertical="center" wrapText="1"/>
    </xf>
    <xf numFmtId="0" fontId="33" fillId="0" borderId="92" xfId="0" applyFont="1" applyBorder="1"/>
    <xf numFmtId="0" fontId="20" fillId="36" borderId="37" xfId="0" applyFont="1" applyFill="1" applyBorder="1" applyAlignment="1">
      <alignment horizontal="center" vertical="center"/>
    </xf>
    <xf numFmtId="0" fontId="52" fillId="0" borderId="71" xfId="0" applyFont="1" applyBorder="1" applyAlignment="1">
      <alignment horizontal="center" vertical="center"/>
    </xf>
    <xf numFmtId="0" fontId="52" fillId="0" borderId="0" xfId="0" applyFont="1" applyBorder="1" applyAlignment="1">
      <alignment horizontal="center" vertical="center"/>
    </xf>
    <xf numFmtId="0" fontId="20" fillId="0" borderId="27" xfId="42" applyFont="1" applyBorder="1" applyAlignment="1">
      <alignment horizontal="left" vertical="center"/>
    </xf>
    <xf numFmtId="0" fontId="20" fillId="47" borderId="37" xfId="0" applyFont="1" applyFill="1" applyBorder="1" applyAlignment="1">
      <alignment horizontal="center" vertical="center"/>
    </xf>
    <xf numFmtId="0" fontId="33" fillId="48" borderId="90" xfId="0" applyFont="1" applyFill="1" applyBorder="1"/>
    <xf numFmtId="0" fontId="33" fillId="48" borderId="91" xfId="0" applyFont="1" applyFill="1" applyBorder="1"/>
    <xf numFmtId="0" fontId="20" fillId="36" borderId="37" xfId="42" applyFont="1" applyFill="1" applyBorder="1" applyAlignment="1">
      <alignment horizontal="center" vertical="center"/>
    </xf>
    <xf numFmtId="0" fontId="33" fillId="0" borderId="90" xfId="42" applyFont="1" applyBorder="1"/>
    <xf numFmtId="0" fontId="33" fillId="0" borderId="91" xfId="42" applyFont="1" applyBorder="1"/>
    <xf numFmtId="0" fontId="41" fillId="46" borderId="0" xfId="0" applyFont="1" applyFill="1" applyBorder="1" applyAlignment="1">
      <alignment horizontal="left"/>
    </xf>
    <xf numFmtId="0" fontId="54" fillId="0" borderId="0" xfId="0" applyFont="1" applyAlignment="1">
      <alignment horizontal="left"/>
    </xf>
    <xf numFmtId="0" fontId="41" fillId="36" borderId="30" xfId="0" applyFont="1" applyFill="1" applyBorder="1" applyAlignment="1">
      <alignment horizontal="center" vertical="center"/>
    </xf>
    <xf numFmtId="0" fontId="41" fillId="36" borderId="56" xfId="0" applyFont="1" applyFill="1" applyBorder="1" applyAlignment="1">
      <alignment horizontal="center" vertical="center"/>
    </xf>
    <xf numFmtId="0" fontId="20" fillId="36" borderId="30" xfId="0" applyFont="1" applyFill="1" applyBorder="1" applyAlignment="1">
      <alignment horizontal="center" vertical="center"/>
    </xf>
    <xf numFmtId="0" fontId="37" fillId="0" borderId="30" xfId="0" applyFont="1" applyBorder="1"/>
    <xf numFmtId="0" fontId="20" fillId="36" borderId="56" xfId="0" applyFont="1" applyFill="1" applyBorder="1" applyAlignment="1">
      <alignment horizontal="center" vertical="center"/>
    </xf>
    <xf numFmtId="0" fontId="37" fillId="0" borderId="79" xfId="0" applyFont="1" applyBorder="1"/>
    <xf numFmtId="0" fontId="37" fillId="0" borderId="57" xfId="0" applyFont="1" applyBorder="1"/>
    <xf numFmtId="0" fontId="41" fillId="46" borderId="27" xfId="0" applyFont="1" applyFill="1" applyBorder="1" applyAlignment="1">
      <alignment horizontal="left" vertical="center"/>
    </xf>
    <xf numFmtId="0" fontId="20" fillId="36" borderId="28" xfId="0" applyFont="1" applyFill="1" applyBorder="1" applyAlignment="1">
      <alignment horizontal="center" vertical="center" wrapText="1"/>
    </xf>
    <xf numFmtId="0" fontId="37" fillId="0" borderId="69" xfId="0" applyFont="1" applyBorder="1"/>
    <xf numFmtId="0" fontId="37" fillId="0" borderId="32" xfId="0" applyFont="1" applyBorder="1"/>
    <xf numFmtId="0" fontId="20" fillId="36" borderId="79" xfId="0" applyFont="1" applyFill="1" applyBorder="1" applyAlignment="1">
      <alignment horizontal="center"/>
    </xf>
    <xf numFmtId="0" fontId="20" fillId="36" borderId="56" xfId="0" applyFont="1" applyFill="1" applyBorder="1" applyAlignment="1">
      <alignment horizontal="center"/>
    </xf>
    <xf numFmtId="0" fontId="33" fillId="0" borderId="69" xfId="0" applyFont="1" applyBorder="1"/>
    <xf numFmtId="0" fontId="41" fillId="36" borderId="79" xfId="0" applyFont="1" applyFill="1" applyBorder="1" applyAlignment="1">
      <alignment horizontal="center"/>
    </xf>
    <xf numFmtId="0" fontId="41" fillId="36" borderId="56" xfId="0" applyFont="1" applyFill="1" applyBorder="1" applyAlignment="1">
      <alignment horizontal="center"/>
    </xf>
    <xf numFmtId="0" fontId="41" fillId="36" borderId="56" xfId="0" applyFont="1" applyFill="1" applyBorder="1" applyAlignment="1">
      <alignment horizontal="center" wrapText="1"/>
    </xf>
    <xf numFmtId="0" fontId="20" fillId="46" borderId="0" xfId="0" applyFont="1" applyFill="1" applyBorder="1" applyAlignment="1">
      <alignment horizontal="left" vertical="center"/>
    </xf>
    <xf numFmtId="0" fontId="41" fillId="36" borderId="28" xfId="42" applyFont="1" applyFill="1" applyBorder="1" applyAlignment="1">
      <alignment horizontal="center" vertical="center" wrapText="1"/>
    </xf>
    <xf numFmtId="0" fontId="33" fillId="0" borderId="69" xfId="42" applyFont="1" applyBorder="1"/>
    <xf numFmtId="0" fontId="33" fillId="0" borderId="32" xfId="42" applyFont="1" applyBorder="1"/>
    <xf numFmtId="0" fontId="41" fillId="36" borderId="79" xfId="42" applyFont="1" applyFill="1" applyBorder="1" applyAlignment="1">
      <alignment horizontal="center"/>
    </xf>
    <xf numFmtId="0" fontId="33" fillId="0" borderId="79" xfId="42" applyFont="1" applyBorder="1"/>
    <xf numFmtId="0" fontId="41" fillId="36" borderId="56" xfId="42" applyFont="1" applyFill="1" applyBorder="1" applyAlignment="1">
      <alignment horizontal="center"/>
    </xf>
    <xf numFmtId="0" fontId="33" fillId="0" borderId="57" xfId="42" applyFont="1" applyBorder="1"/>
    <xf numFmtId="0" fontId="41" fillId="36" borderId="56" xfId="42" applyFont="1" applyFill="1" applyBorder="1" applyAlignment="1">
      <alignment horizontal="center" wrapText="1"/>
    </xf>
    <xf numFmtId="0" fontId="43" fillId="36" borderId="28" xfId="0" applyFont="1" applyFill="1" applyBorder="1" applyAlignment="1">
      <alignment horizontal="center" vertical="center" wrapText="1"/>
    </xf>
    <xf numFmtId="0" fontId="33" fillId="0" borderId="69" xfId="0" applyFont="1" applyFill="1" applyBorder="1"/>
    <xf numFmtId="0" fontId="33" fillId="0" borderId="32" xfId="0" applyFont="1" applyFill="1" applyBorder="1"/>
    <xf numFmtId="0" fontId="43" fillId="36" borderId="79" xfId="0" applyFont="1" applyFill="1" applyBorder="1" applyAlignment="1">
      <alignment horizontal="center"/>
    </xf>
    <xf numFmtId="0" fontId="33" fillId="0" borderId="79" xfId="0" applyFont="1" applyFill="1" applyBorder="1"/>
    <xf numFmtId="0" fontId="43" fillId="36" borderId="56" xfId="0" applyFont="1" applyFill="1" applyBorder="1" applyAlignment="1">
      <alignment horizontal="center"/>
    </xf>
    <xf numFmtId="0" fontId="33" fillId="0" borderId="57" xfId="0" applyFont="1" applyFill="1" applyBorder="1"/>
    <xf numFmtId="0" fontId="43" fillId="36" borderId="56" xfId="0" applyFont="1" applyFill="1" applyBorder="1" applyAlignment="1">
      <alignment horizontal="center" wrapText="1"/>
    </xf>
    <xf numFmtId="0" fontId="68" fillId="43" borderId="10" xfId="0" applyFont="1" applyFill="1" applyBorder="1" applyAlignment="1" applyProtection="1">
      <alignment horizontal="center" vertical="center" wrapText="1"/>
    </xf>
    <xf numFmtId="3" fontId="68" fillId="43" borderId="17" xfId="0" applyNumberFormat="1" applyFont="1" applyFill="1" applyBorder="1" applyAlignment="1" applyProtection="1">
      <alignment horizontal="right" vertical="center" wrapText="1"/>
    </xf>
    <xf numFmtId="3" fontId="68" fillId="43" borderId="18" xfId="0" applyNumberFormat="1" applyFont="1" applyFill="1" applyBorder="1" applyAlignment="1" applyProtection="1">
      <alignment horizontal="right" vertical="center" wrapText="1"/>
    </xf>
    <xf numFmtId="3" fontId="68" fillId="43" borderId="10" xfId="0" applyNumberFormat="1" applyFont="1" applyFill="1" applyBorder="1" applyAlignment="1" applyProtection="1">
      <alignment horizontal="right" vertical="center" wrapText="1"/>
    </xf>
    <xf numFmtId="3" fontId="66" fillId="0" borderId="12" xfId="0" applyNumberFormat="1" applyFont="1" applyBorder="1" applyAlignment="1" applyProtection="1">
      <alignment horizontal="right" vertical="center" wrapText="1"/>
    </xf>
    <xf numFmtId="3" fontId="67" fillId="0" borderId="151" xfId="0" applyNumberFormat="1" applyFont="1" applyBorder="1" applyAlignment="1" applyProtection="1">
      <alignment horizontal="right" vertical="top" wrapText="1"/>
    </xf>
    <xf numFmtId="3" fontId="67" fillId="0" borderId="159" xfId="0" applyNumberFormat="1" applyFont="1" applyBorder="1" applyAlignment="1" applyProtection="1">
      <alignment horizontal="right" vertical="top" wrapText="1"/>
    </xf>
    <xf numFmtId="3" fontId="67" fillId="0" borderId="12" xfId="0" applyNumberFormat="1" applyFont="1" applyBorder="1" applyAlignment="1" applyProtection="1">
      <alignment horizontal="right" vertical="top" wrapText="1"/>
    </xf>
    <xf numFmtId="0" fontId="67" fillId="0" borderId="151" xfId="0" applyFont="1" applyBorder="1" applyAlignment="1" applyProtection="1">
      <alignment horizontal="right" vertical="top" wrapText="1"/>
    </xf>
    <xf numFmtId="0" fontId="67" fillId="0" borderId="159" xfId="0" applyFont="1" applyBorder="1" applyAlignment="1" applyProtection="1">
      <alignment horizontal="right" vertical="top" wrapText="1"/>
    </xf>
    <xf numFmtId="0" fontId="67" fillId="0" borderId="12" xfId="0" applyFont="1" applyBorder="1" applyAlignment="1" applyProtection="1">
      <alignment horizontal="right" vertical="top" wrapText="1"/>
    </xf>
    <xf numFmtId="0" fontId="66" fillId="0" borderId="12" xfId="0" applyFont="1" applyBorder="1" applyAlignment="1" applyProtection="1">
      <alignment horizontal="right" vertical="center" wrapText="1"/>
    </xf>
    <xf numFmtId="3" fontId="66" fillId="0" borderId="152" xfId="0" applyNumberFormat="1" applyFont="1" applyBorder="1" applyAlignment="1" applyProtection="1">
      <alignment horizontal="right" vertical="center" wrapText="1"/>
    </xf>
    <xf numFmtId="3" fontId="67" fillId="0" borderId="157" xfId="0" applyNumberFormat="1" applyFont="1" applyBorder="1" applyAlignment="1" applyProtection="1">
      <alignment horizontal="right" vertical="top" wrapText="1"/>
    </xf>
    <xf numFmtId="3" fontId="67" fillId="0" borderId="158" xfId="0" applyNumberFormat="1" applyFont="1" applyBorder="1" applyAlignment="1" applyProtection="1">
      <alignment horizontal="right" vertical="top" wrapText="1"/>
    </xf>
    <xf numFmtId="3" fontId="67" fillId="0" borderId="152" xfId="0" applyNumberFormat="1" applyFont="1" applyBorder="1" applyAlignment="1" applyProtection="1">
      <alignment horizontal="right" vertical="top" wrapText="1"/>
    </xf>
    <xf numFmtId="0" fontId="63" fillId="55" borderId="12" xfId="0" applyFont="1" applyFill="1" applyBorder="1" applyAlignment="1" applyProtection="1">
      <alignment horizontal="center" vertical="center" wrapText="1"/>
    </xf>
    <xf numFmtId="0" fontId="64" fillId="55" borderId="12" xfId="0" applyFont="1" applyFill="1" applyBorder="1" applyAlignment="1">
      <alignment horizontal="center" vertical="center" wrapText="1"/>
    </xf>
    <xf numFmtId="0" fontId="64" fillId="55" borderId="11" xfId="0" applyFont="1" applyFill="1" applyBorder="1" applyAlignment="1">
      <alignment horizontal="center" wrapText="1"/>
    </xf>
    <xf numFmtId="0" fontId="64" fillId="55" borderId="12" xfId="0" applyFont="1" applyFill="1" applyBorder="1" applyAlignment="1">
      <alignment horizontal="center" wrapText="1"/>
    </xf>
    <xf numFmtId="0" fontId="64" fillId="55" borderId="11" xfId="0" applyFont="1" applyFill="1" applyBorder="1" applyAlignment="1">
      <alignment horizontal="center" vertical="center" wrapText="1"/>
    </xf>
    <xf numFmtId="0" fontId="59" fillId="0" borderId="0" xfId="0" applyFont="1" applyBorder="1" applyAlignment="1" applyProtection="1">
      <alignment horizontal="left" vertical="center" wrapText="1"/>
    </xf>
    <xf numFmtId="0" fontId="60" fillId="0" borderId="0" xfId="0" applyFont="1" applyBorder="1" applyAlignment="1" applyProtection="1">
      <alignment horizontal="left" vertical="center" wrapText="1"/>
    </xf>
    <xf numFmtId="0" fontId="61" fillId="55" borderId="15" xfId="0" applyFont="1" applyFill="1" applyBorder="1" applyAlignment="1" applyProtection="1">
      <alignment horizontal="center" vertical="center" wrapText="1"/>
    </xf>
    <xf numFmtId="0" fontId="61" fillId="55" borderId="20" xfId="0" applyFont="1" applyFill="1" applyBorder="1" applyAlignment="1" applyProtection="1">
      <alignment horizontal="center" vertical="center" wrapText="1"/>
    </xf>
    <xf numFmtId="0" fontId="61" fillId="55" borderId="16" xfId="0" applyFont="1" applyFill="1" applyBorder="1" applyAlignment="1" applyProtection="1">
      <alignment horizontal="center" vertical="center" wrapText="1"/>
    </xf>
    <xf numFmtId="0" fontId="41" fillId="57" borderId="28" xfId="0" applyFont="1" applyFill="1" applyBorder="1" applyAlignment="1">
      <alignment horizontal="center" vertical="center"/>
    </xf>
    <xf numFmtId="0" fontId="41" fillId="57" borderId="56" xfId="0" applyFont="1" applyFill="1" applyBorder="1" applyAlignment="1">
      <alignment horizontal="center"/>
    </xf>
    <xf numFmtId="0" fontId="44" fillId="0" borderId="28" xfId="0" applyFont="1" applyBorder="1" applyAlignment="1">
      <alignment horizontal="center" vertical="center"/>
    </xf>
    <xf numFmtId="0" fontId="44" fillId="0" borderId="69" xfId="0" applyFont="1" applyBorder="1" applyAlignment="1">
      <alignment horizontal="center" vertical="center"/>
    </xf>
    <xf numFmtId="0" fontId="44" fillId="0" borderId="32" xfId="0" applyFont="1" applyBorder="1" applyAlignment="1">
      <alignment horizontal="center" vertical="center"/>
    </xf>
    <xf numFmtId="0" fontId="33" fillId="0" borderId="69" xfId="0" applyFont="1" applyBorder="1" applyAlignment="1">
      <alignment horizontal="center"/>
    </xf>
    <xf numFmtId="0" fontId="41" fillId="0" borderId="15" xfId="0" applyFont="1" applyBorder="1" applyAlignment="1">
      <alignment horizontal="left" wrapText="1"/>
    </xf>
    <xf numFmtId="0" fontId="41" fillId="0" borderId="16" xfId="0" applyFont="1" applyBorder="1" applyAlignment="1">
      <alignment horizontal="left" wrapText="1"/>
    </xf>
    <xf numFmtId="0" fontId="41" fillId="57" borderId="28" xfId="45" applyFont="1" applyFill="1" applyBorder="1" applyAlignment="1">
      <alignment horizontal="center" vertical="center"/>
    </xf>
    <xf numFmtId="0" fontId="33" fillId="0" borderId="69" xfId="45" applyFont="1" applyBorder="1"/>
    <xf numFmtId="0" fontId="41" fillId="57" borderId="56" xfId="45" applyFont="1" applyFill="1" applyBorder="1" applyAlignment="1">
      <alignment horizontal="center"/>
    </xf>
    <xf numFmtId="0" fontId="33" fillId="0" borderId="79" xfId="45" applyFont="1" applyBorder="1"/>
    <xf numFmtId="0" fontId="44" fillId="0" borderId="10" xfId="0" applyFont="1" applyBorder="1" applyAlignment="1">
      <alignment horizontal="left"/>
    </xf>
    <xf numFmtId="3" fontId="44" fillId="0" borderId="10" xfId="0" applyNumberFormat="1" applyFont="1" applyBorder="1" applyAlignment="1">
      <alignment horizontal="center" vertical="center"/>
    </xf>
    <xf numFmtId="49" fontId="44" fillId="0" borderId="10" xfId="0" applyNumberFormat="1" applyFont="1" applyBorder="1" applyAlignment="1">
      <alignment horizontal="center" vertical="center"/>
    </xf>
    <xf numFmtId="3" fontId="44" fillId="0" borderId="15" xfId="0" applyNumberFormat="1" applyFont="1" applyBorder="1" applyAlignment="1">
      <alignment horizontal="center" vertical="center"/>
    </xf>
    <xf numFmtId="3" fontId="44" fillId="0" borderId="16" xfId="0" applyNumberFormat="1" applyFont="1" applyBorder="1" applyAlignment="1">
      <alignment horizontal="center" vertical="center"/>
    </xf>
    <xf numFmtId="4" fontId="44" fillId="0" borderId="10" xfId="0" applyNumberFormat="1" applyFont="1" applyBorder="1" applyAlignment="1">
      <alignment horizontal="right"/>
    </xf>
    <xf numFmtId="3" fontId="44" fillId="0" borderId="10" xfId="0" applyNumberFormat="1" applyFont="1" applyBorder="1" applyAlignment="1">
      <alignment horizontal="center" vertical="center" wrapText="1"/>
    </xf>
    <xf numFmtId="0" fontId="44" fillId="0" borderId="10" xfId="0" applyFont="1" applyBorder="1" applyAlignment="1">
      <alignment horizontal="center" vertical="center" wrapText="1"/>
    </xf>
    <xf numFmtId="0" fontId="44" fillId="0" borderId="10" xfId="0" applyFont="1" applyBorder="1" applyAlignment="1">
      <alignment horizontal="left" wrapText="1"/>
    </xf>
    <xf numFmtId="3" fontId="44" fillId="0" borderId="10" xfId="0" applyNumberFormat="1" applyFont="1" applyBorder="1" applyAlignment="1">
      <alignment horizontal="center" wrapText="1"/>
    </xf>
    <xf numFmtId="0" fontId="41" fillId="57" borderId="28" xfId="42" applyFont="1" applyFill="1" applyBorder="1" applyAlignment="1">
      <alignment horizontal="center" vertical="center"/>
    </xf>
    <xf numFmtId="0" fontId="41" fillId="57" borderId="56" xfId="42" applyFont="1" applyFill="1" applyBorder="1" applyAlignment="1">
      <alignment horizontal="center"/>
    </xf>
    <xf numFmtId="0" fontId="41" fillId="57" borderId="70" xfId="0" applyFont="1" applyFill="1" applyBorder="1" applyAlignment="1">
      <alignment horizontal="center"/>
    </xf>
    <xf numFmtId="0" fontId="41" fillId="57" borderId="27" xfId="0" applyFont="1" applyFill="1" applyBorder="1" applyAlignment="1">
      <alignment horizontal="center"/>
    </xf>
    <xf numFmtId="0" fontId="78" fillId="56" borderId="17" xfId="0" applyFont="1" applyFill="1" applyBorder="1" applyAlignment="1">
      <alignment horizontal="center"/>
    </xf>
    <xf numFmtId="0" fontId="78" fillId="56" borderId="118" xfId="0" applyFont="1" applyFill="1" applyBorder="1" applyAlignment="1">
      <alignment horizontal="center"/>
    </xf>
    <xf numFmtId="0" fontId="78" fillId="56" borderId="18" xfId="0" applyFont="1" applyFill="1" applyBorder="1" applyAlignment="1">
      <alignment horizontal="center"/>
    </xf>
    <xf numFmtId="0" fontId="81" fillId="0" borderId="0" xfId="0" applyFont="1" applyAlignment="1">
      <alignment horizontal="left"/>
    </xf>
    <xf numFmtId="0" fontId="81" fillId="0" borderId="160" xfId="0" applyFont="1" applyBorder="1" applyAlignment="1">
      <alignment horizontal="center"/>
    </xf>
    <xf numFmtId="0" fontId="81" fillId="0" borderId="104" xfId="0" applyFont="1" applyBorder="1" applyAlignment="1">
      <alignment horizontal="center"/>
    </xf>
    <xf numFmtId="0" fontId="81" fillId="0" borderId="107" xfId="0" applyFont="1" applyBorder="1" applyAlignment="1">
      <alignment horizontal="center"/>
    </xf>
    <xf numFmtId="0" fontId="41" fillId="36" borderId="31" xfId="0" applyFont="1" applyFill="1" applyBorder="1" applyAlignment="1">
      <alignment horizontal="center" vertical="center" wrapText="1"/>
    </xf>
    <xf numFmtId="0" fontId="33" fillId="0" borderId="114" xfId="0" applyFont="1" applyBorder="1"/>
    <xf numFmtId="0" fontId="41" fillId="36" borderId="56" xfId="45" applyFont="1" applyFill="1" applyBorder="1" applyAlignment="1">
      <alignment horizontal="center" vertical="center" wrapText="1"/>
    </xf>
    <xf numFmtId="0" fontId="33" fillId="0" borderId="57" xfId="45" applyFont="1" applyBorder="1"/>
    <xf numFmtId="0" fontId="41" fillId="36" borderId="79" xfId="45" applyFont="1" applyFill="1" applyBorder="1" applyAlignment="1">
      <alignment horizontal="center" vertical="center" wrapText="1"/>
    </xf>
    <xf numFmtId="0" fontId="41" fillId="36" borderId="28" xfId="45" applyFont="1" applyFill="1" applyBorder="1" applyAlignment="1">
      <alignment horizontal="center" vertical="center" wrapText="1"/>
    </xf>
    <xf numFmtId="0" fontId="41" fillId="36" borderId="31" xfId="45" applyFont="1" applyFill="1" applyBorder="1" applyAlignment="1">
      <alignment horizontal="center" vertical="center" wrapText="1"/>
    </xf>
    <xf numFmtId="0" fontId="33" fillId="0" borderId="87" xfId="45" applyFont="1" applyBorder="1"/>
    <xf numFmtId="0" fontId="41" fillId="36" borderId="56" xfId="0" applyFont="1" applyFill="1" applyBorder="1" applyAlignment="1">
      <alignment horizontal="center" vertical="center" wrapText="1"/>
    </xf>
    <xf numFmtId="0" fontId="41" fillId="36" borderId="79" xfId="0" applyFont="1" applyFill="1" applyBorder="1" applyAlignment="1">
      <alignment horizontal="center" vertical="center" wrapText="1"/>
    </xf>
    <xf numFmtId="0" fontId="41" fillId="36" borderId="31" xfId="42" applyFont="1" applyFill="1" applyBorder="1" applyAlignment="1">
      <alignment horizontal="center" vertical="center" wrapText="1"/>
    </xf>
    <xf numFmtId="0" fontId="33" fillId="0" borderId="114" xfId="42" applyFont="1" applyBorder="1"/>
    <xf numFmtId="0" fontId="41" fillId="0" borderId="0" xfId="42" applyFont="1" applyAlignment="1">
      <alignment horizontal="left"/>
    </xf>
    <xf numFmtId="0" fontId="41" fillId="36" borderId="56" xfId="42" applyFont="1" applyFill="1" applyBorder="1" applyAlignment="1">
      <alignment horizontal="center" vertical="center" wrapText="1"/>
    </xf>
    <xf numFmtId="0" fontId="41" fillId="36" borderId="79" xfId="42" applyFont="1" applyFill="1" applyBorder="1" applyAlignment="1">
      <alignment horizontal="center" vertical="center" wrapText="1"/>
    </xf>
  </cellXfs>
  <cellStyles count="47">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6" builtinId="8"/>
    <cellStyle name="Incorrecto" xfId="7" builtinId="27" customBuiltin="1"/>
    <cellStyle name="Millares" xfId="43" builtinId="3"/>
    <cellStyle name="Millares 2" xfId="44" xr:uid="{00000000-0005-0000-0000-000022000000}"/>
    <cellStyle name="Neutral" xfId="8" builtinId="28" customBuiltin="1"/>
    <cellStyle name="Normal" xfId="0" builtinId="0"/>
    <cellStyle name="Normal 2" xfId="42" xr:uid="{00000000-0005-0000-0000-000025000000}"/>
    <cellStyle name="Normal 2 2" xfId="45" xr:uid="{00000000-0005-0000-0000-00002600000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2"/>
  <sheetViews>
    <sheetView showGridLines="0" topLeftCell="A160" workbookViewId="0">
      <selection activeCell="A4" sqref="A4:H4"/>
    </sheetView>
  </sheetViews>
  <sheetFormatPr baseColWidth="10" defaultColWidth="11.42578125" defaultRowHeight="9.75"/>
  <cols>
    <col min="1" max="1" width="61.28515625" style="1" customWidth="1"/>
    <col min="2" max="2" width="12.7109375" style="1" customWidth="1"/>
    <col min="3" max="3" width="12.140625" style="1" customWidth="1"/>
    <col min="4" max="4" width="12.7109375" style="1" customWidth="1"/>
    <col min="5" max="5" width="14" style="1" customWidth="1"/>
    <col min="6" max="6" width="12.28515625" style="1" customWidth="1"/>
    <col min="7" max="7" width="9.140625" style="1" customWidth="1"/>
    <col min="8" max="8" width="8.5703125" style="1" customWidth="1"/>
    <col min="9" max="16384" width="11.42578125" style="1"/>
  </cols>
  <sheetData>
    <row r="1" spans="1:8" ht="11.25">
      <c r="A1" s="1254"/>
      <c r="B1" s="1254"/>
      <c r="C1" s="1254"/>
      <c r="D1" s="1254"/>
      <c r="E1" s="1254"/>
      <c r="F1" s="1254"/>
      <c r="G1" s="1254"/>
      <c r="H1" s="1254"/>
    </row>
    <row r="2" spans="1:8" ht="11.25">
      <c r="A2" s="2"/>
      <c r="B2" s="2"/>
      <c r="C2" s="2"/>
      <c r="D2" s="2"/>
      <c r="E2" s="2"/>
      <c r="F2" s="2"/>
      <c r="G2" s="2"/>
    </row>
    <row r="3" spans="1:8" ht="11.25">
      <c r="A3" s="1257" t="s">
        <v>171</v>
      </c>
      <c r="B3" s="1257"/>
      <c r="C3" s="1257"/>
      <c r="D3" s="1257"/>
      <c r="E3" s="1257"/>
      <c r="F3" s="1257"/>
      <c r="G3" s="1257"/>
      <c r="H3" s="1257"/>
    </row>
    <row r="4" spans="1:8" ht="15" customHeight="1">
      <c r="A4" s="1258" t="s">
        <v>176</v>
      </c>
      <c r="B4" s="1258"/>
      <c r="C4" s="1258"/>
      <c r="D4" s="1258"/>
      <c r="E4" s="1258"/>
      <c r="F4" s="1258"/>
      <c r="G4" s="1258"/>
      <c r="H4" s="1258"/>
    </row>
    <row r="5" spans="1:8" ht="10.5" customHeight="1">
      <c r="A5" s="2"/>
      <c r="B5" s="2"/>
      <c r="C5" s="2"/>
      <c r="D5" s="2"/>
      <c r="E5" s="2"/>
      <c r="F5" s="2"/>
      <c r="G5" s="2"/>
    </row>
    <row r="6" spans="1:8" ht="11.25">
      <c r="A6" s="1259" t="s">
        <v>172</v>
      </c>
      <c r="B6" s="1259"/>
      <c r="C6" s="1259"/>
      <c r="D6" s="17"/>
      <c r="E6" s="17"/>
      <c r="F6" s="17"/>
      <c r="G6" s="2"/>
    </row>
    <row r="7" spans="1:8" ht="11.25" customHeight="1">
      <c r="A7" s="1259" t="s">
        <v>173</v>
      </c>
      <c r="B7" s="1259"/>
      <c r="C7" s="17"/>
      <c r="D7" s="18"/>
      <c r="E7" s="18"/>
      <c r="F7" s="18"/>
      <c r="G7" s="2"/>
    </row>
    <row r="8" spans="1:8" ht="13.5" customHeight="1">
      <c r="A8" s="1255" t="s">
        <v>1</v>
      </c>
      <c r="B8" s="1256" t="s">
        <v>2</v>
      </c>
      <c r="C8" s="1256" t="s">
        <v>3</v>
      </c>
      <c r="D8" s="1255" t="s">
        <v>4</v>
      </c>
      <c r="E8" s="1260" t="s">
        <v>174</v>
      </c>
      <c r="F8" s="1256" t="s">
        <v>5</v>
      </c>
      <c r="G8" s="1255" t="s">
        <v>170</v>
      </c>
      <c r="H8" s="1255" t="s">
        <v>175</v>
      </c>
    </row>
    <row r="9" spans="1:8" ht="31.5" customHeight="1">
      <c r="A9" s="1255"/>
      <c r="B9" s="1256"/>
      <c r="C9" s="1256"/>
      <c r="D9" s="1255"/>
      <c r="E9" s="1261"/>
      <c r="F9" s="1256"/>
      <c r="G9" s="1255"/>
      <c r="H9" s="1255"/>
    </row>
    <row r="10" spans="1:8" ht="16.5" customHeight="1">
      <c r="A10" s="3" t="s">
        <v>6</v>
      </c>
      <c r="B10" s="4">
        <v>332568309</v>
      </c>
      <c r="C10" s="4">
        <v>12893428</v>
      </c>
      <c r="D10" s="4">
        <v>7999859</v>
      </c>
      <c r="E10" s="4">
        <f t="shared" ref="E10:E41" si="0">+C10-D10</f>
        <v>4893569</v>
      </c>
      <c r="F10" s="4">
        <v>3853811</v>
      </c>
      <c r="G10" s="13">
        <f t="shared" ref="G10:G45" si="1">(F10/C10)*100</f>
        <v>29.889731419758963</v>
      </c>
      <c r="H10" s="13">
        <f t="shared" ref="H10:H45" si="2">(D10/C10)*100</f>
        <v>62.046020654863852</v>
      </c>
    </row>
    <row r="11" spans="1:8" ht="16.5" customHeight="1">
      <c r="A11" s="5" t="s">
        <v>7</v>
      </c>
      <c r="B11" s="6"/>
      <c r="C11" s="7">
        <v>341655</v>
      </c>
      <c r="D11" s="7">
        <v>341655</v>
      </c>
      <c r="E11" s="19">
        <f t="shared" si="0"/>
        <v>0</v>
      </c>
      <c r="F11" s="6">
        <v>0</v>
      </c>
      <c r="G11" s="14">
        <f t="shared" si="1"/>
        <v>0</v>
      </c>
      <c r="H11" s="14">
        <f t="shared" si="2"/>
        <v>100</v>
      </c>
    </row>
    <row r="12" spans="1:8" ht="21" customHeight="1">
      <c r="A12" s="5" t="s">
        <v>8</v>
      </c>
      <c r="B12" s="6"/>
      <c r="C12" s="7">
        <v>903082</v>
      </c>
      <c r="D12" s="7">
        <v>53082</v>
      </c>
      <c r="E12" s="19">
        <f t="shared" si="0"/>
        <v>850000</v>
      </c>
      <c r="F12" s="7">
        <v>53082</v>
      </c>
      <c r="G12" s="14">
        <f t="shared" si="1"/>
        <v>5.8778715554069283</v>
      </c>
      <c r="H12" s="14">
        <f t="shared" si="2"/>
        <v>5.8778715554069283</v>
      </c>
    </row>
    <row r="13" spans="1:8" ht="26.25" customHeight="1">
      <c r="A13" s="5" t="s">
        <v>9</v>
      </c>
      <c r="B13" s="7">
        <v>11162975</v>
      </c>
      <c r="C13" s="7">
        <v>7460939</v>
      </c>
      <c r="D13" s="7">
        <v>7163439</v>
      </c>
      <c r="E13" s="19">
        <f t="shared" si="0"/>
        <v>297500</v>
      </c>
      <c r="F13" s="7">
        <v>5000</v>
      </c>
      <c r="G13" s="14">
        <f t="shared" si="1"/>
        <v>6.7015693332970555E-2</v>
      </c>
      <c r="H13" s="14">
        <f t="shared" si="2"/>
        <v>96.012566246688252</v>
      </c>
    </row>
    <row r="14" spans="1:8" ht="21" customHeight="1">
      <c r="A14" s="5" t="s">
        <v>10</v>
      </c>
      <c r="B14" s="6"/>
      <c r="C14" s="7">
        <v>480644</v>
      </c>
      <c r="D14" s="6"/>
      <c r="E14" s="19">
        <f t="shared" si="0"/>
        <v>480644</v>
      </c>
      <c r="F14" s="6"/>
      <c r="G14" s="14">
        <f t="shared" si="1"/>
        <v>0</v>
      </c>
      <c r="H14" s="14">
        <f t="shared" si="2"/>
        <v>0</v>
      </c>
    </row>
    <row r="15" spans="1:8" ht="22.5" customHeight="1">
      <c r="A15" s="5" t="s">
        <v>11</v>
      </c>
      <c r="B15" s="6"/>
      <c r="C15" s="7">
        <v>2503287</v>
      </c>
      <c r="D15" s="7">
        <v>444631</v>
      </c>
      <c r="E15" s="19">
        <f t="shared" si="0"/>
        <v>2058656</v>
      </c>
      <c r="F15" s="7">
        <v>337603</v>
      </c>
      <c r="G15" s="14">
        <f t="shared" si="1"/>
        <v>13.486388096930158</v>
      </c>
      <c r="H15" s="14">
        <f t="shared" si="2"/>
        <v>17.761886671404437</v>
      </c>
    </row>
    <row r="16" spans="1:8" ht="21.75" customHeight="1">
      <c r="A16" s="5" t="s">
        <v>12</v>
      </c>
      <c r="B16" s="6"/>
      <c r="C16" s="7">
        <v>1038215</v>
      </c>
      <c r="D16" s="7">
        <v>487807</v>
      </c>
      <c r="E16" s="19">
        <f t="shared" si="0"/>
        <v>550408</v>
      </c>
      <c r="F16" s="7">
        <v>353032</v>
      </c>
      <c r="G16" s="14">
        <f t="shared" si="1"/>
        <v>34.00374681544767</v>
      </c>
      <c r="H16" s="14">
        <f t="shared" si="2"/>
        <v>46.985162032912257</v>
      </c>
    </row>
    <row r="17" spans="1:8" ht="21" customHeight="1">
      <c r="A17" s="5" t="s">
        <v>13</v>
      </c>
      <c r="B17" s="6"/>
      <c r="C17" s="7">
        <v>462036</v>
      </c>
      <c r="D17" s="6"/>
      <c r="E17" s="19">
        <f t="shared" si="0"/>
        <v>462036</v>
      </c>
      <c r="F17" s="6"/>
      <c r="G17" s="14">
        <f t="shared" si="1"/>
        <v>0</v>
      </c>
      <c r="H17" s="14">
        <f t="shared" si="2"/>
        <v>0</v>
      </c>
    </row>
    <row r="18" spans="1:8" ht="27" customHeight="1">
      <c r="A18" s="5" t="s">
        <v>14</v>
      </c>
      <c r="B18" s="6"/>
      <c r="C18" s="7">
        <v>354750</v>
      </c>
      <c r="D18" s="6"/>
      <c r="E18" s="19">
        <f t="shared" si="0"/>
        <v>354750</v>
      </c>
      <c r="F18" s="6"/>
      <c r="G18" s="14">
        <f t="shared" si="1"/>
        <v>0</v>
      </c>
      <c r="H18" s="14">
        <f t="shared" si="2"/>
        <v>0</v>
      </c>
    </row>
    <row r="19" spans="1:8" ht="38.450000000000003" customHeight="1">
      <c r="A19" s="5" t="s">
        <v>15</v>
      </c>
      <c r="B19" s="6"/>
      <c r="C19" s="7">
        <v>2416641</v>
      </c>
      <c r="D19" s="7">
        <v>2247390</v>
      </c>
      <c r="E19" s="19">
        <f t="shared" si="0"/>
        <v>169251</v>
      </c>
      <c r="F19" s="7">
        <v>147161</v>
      </c>
      <c r="G19" s="14">
        <f t="shared" si="1"/>
        <v>6.0894853641893851</v>
      </c>
      <c r="H19" s="14">
        <f t="shared" si="2"/>
        <v>92.996435962147459</v>
      </c>
    </row>
    <row r="20" spans="1:8" ht="37.9" customHeight="1">
      <c r="A20" s="5" t="s">
        <v>16</v>
      </c>
      <c r="B20" s="6"/>
      <c r="C20" s="7">
        <v>300000</v>
      </c>
      <c r="D20" s="7">
        <v>184000</v>
      </c>
      <c r="E20" s="19">
        <f t="shared" si="0"/>
        <v>116000</v>
      </c>
      <c r="F20" s="7">
        <v>112000</v>
      </c>
      <c r="G20" s="14">
        <f t="shared" si="1"/>
        <v>37.333333333333336</v>
      </c>
      <c r="H20" s="14">
        <f t="shared" si="2"/>
        <v>61.333333333333329</v>
      </c>
    </row>
    <row r="21" spans="1:8" ht="35.450000000000003" customHeight="1">
      <c r="A21" s="5" t="s">
        <v>17</v>
      </c>
      <c r="B21" s="6"/>
      <c r="C21" s="7">
        <v>4672688</v>
      </c>
      <c r="D21" s="6"/>
      <c r="E21" s="19">
        <f t="shared" si="0"/>
        <v>4672688</v>
      </c>
      <c r="F21" s="6"/>
      <c r="G21" s="14">
        <f t="shared" si="1"/>
        <v>0</v>
      </c>
      <c r="H21" s="14">
        <f t="shared" si="2"/>
        <v>0</v>
      </c>
    </row>
    <row r="22" spans="1:8" ht="40.15" customHeight="1">
      <c r="A22" s="5" t="s">
        <v>18</v>
      </c>
      <c r="B22" s="6"/>
      <c r="C22" s="7">
        <v>464654</v>
      </c>
      <c r="D22" s="7">
        <v>464654</v>
      </c>
      <c r="E22" s="19">
        <f t="shared" si="0"/>
        <v>0</v>
      </c>
      <c r="F22" s="7">
        <v>394984</v>
      </c>
      <c r="G22" s="14">
        <f t="shared" si="1"/>
        <v>85.006047510620803</v>
      </c>
      <c r="H22" s="14">
        <f t="shared" si="2"/>
        <v>100</v>
      </c>
    </row>
    <row r="23" spans="1:8" ht="39" customHeight="1">
      <c r="A23" s="5" t="s">
        <v>19</v>
      </c>
      <c r="B23" s="7">
        <v>10549654</v>
      </c>
      <c r="C23" s="7">
        <v>10749792</v>
      </c>
      <c r="D23" s="7">
        <v>3406552</v>
      </c>
      <c r="E23" s="19">
        <f t="shared" si="0"/>
        <v>7343240</v>
      </c>
      <c r="F23" s="7">
        <v>1644208</v>
      </c>
      <c r="G23" s="14">
        <f t="shared" si="1"/>
        <v>15.295254084916248</v>
      </c>
      <c r="H23" s="14">
        <f t="shared" si="2"/>
        <v>31.689468968329805</v>
      </c>
    </row>
    <row r="24" spans="1:8" ht="37.9" customHeight="1">
      <c r="A24" s="5" t="s">
        <v>20</v>
      </c>
      <c r="B24" s="6"/>
      <c r="C24" s="7">
        <v>1093500</v>
      </c>
      <c r="D24" s="7">
        <v>1044212</v>
      </c>
      <c r="E24" s="19">
        <f t="shared" si="0"/>
        <v>49288</v>
      </c>
      <c r="F24" s="7">
        <v>56420</v>
      </c>
      <c r="G24" s="14">
        <f t="shared" si="1"/>
        <v>5.1595793324188381</v>
      </c>
      <c r="H24" s="14">
        <f t="shared" si="2"/>
        <v>95.492638317329664</v>
      </c>
    </row>
    <row r="25" spans="1:8" ht="34.9" customHeight="1">
      <c r="A25" s="5" t="s">
        <v>21</v>
      </c>
      <c r="B25" s="6"/>
      <c r="C25" s="7">
        <v>6284812</v>
      </c>
      <c r="D25" s="7">
        <v>6059342</v>
      </c>
      <c r="E25" s="19">
        <f t="shared" si="0"/>
        <v>225470</v>
      </c>
      <c r="F25" s="7">
        <v>107444</v>
      </c>
      <c r="G25" s="14">
        <f t="shared" si="1"/>
        <v>1.7095817663280939</v>
      </c>
      <c r="H25" s="14">
        <f t="shared" si="2"/>
        <v>96.412462297997138</v>
      </c>
    </row>
    <row r="26" spans="1:8" ht="35.450000000000003" customHeight="1">
      <c r="A26" s="5" t="s">
        <v>22</v>
      </c>
      <c r="B26" s="6"/>
      <c r="C26" s="7">
        <v>1340457</v>
      </c>
      <c r="D26" s="7">
        <v>1340456</v>
      </c>
      <c r="E26" s="19">
        <f t="shared" si="0"/>
        <v>1</v>
      </c>
      <c r="F26" s="7">
        <v>606703</v>
      </c>
      <c r="G26" s="14">
        <f t="shared" si="1"/>
        <v>45.260907287589234</v>
      </c>
      <c r="H26" s="14">
        <f t="shared" si="2"/>
        <v>99.99992539857675</v>
      </c>
    </row>
    <row r="27" spans="1:8" ht="36" customHeight="1">
      <c r="A27" s="5" t="s">
        <v>23</v>
      </c>
      <c r="B27" s="6"/>
      <c r="C27" s="7">
        <v>718369</v>
      </c>
      <c r="D27" s="6"/>
      <c r="E27" s="19">
        <f t="shared" si="0"/>
        <v>718369</v>
      </c>
      <c r="F27" s="6"/>
      <c r="G27" s="14">
        <f t="shared" si="1"/>
        <v>0</v>
      </c>
      <c r="H27" s="14">
        <f t="shared" si="2"/>
        <v>0</v>
      </c>
    </row>
    <row r="28" spans="1:8" ht="36" customHeight="1">
      <c r="A28" s="5" t="s">
        <v>24</v>
      </c>
      <c r="B28" s="7">
        <v>1388806</v>
      </c>
      <c r="C28" s="7">
        <v>1388806</v>
      </c>
      <c r="D28" s="7">
        <v>164782</v>
      </c>
      <c r="E28" s="19">
        <f t="shared" si="0"/>
        <v>1224024</v>
      </c>
      <c r="F28" s="7">
        <v>52590</v>
      </c>
      <c r="G28" s="14">
        <f t="shared" si="1"/>
        <v>3.7867059906135196</v>
      </c>
      <c r="H28" s="14">
        <f t="shared" si="2"/>
        <v>11.865012103922362</v>
      </c>
    </row>
    <row r="29" spans="1:8" ht="34.15" customHeight="1">
      <c r="A29" s="5" t="s">
        <v>25</v>
      </c>
      <c r="B29" s="7">
        <v>3317784</v>
      </c>
      <c r="C29" s="7">
        <v>3749245</v>
      </c>
      <c r="D29" s="7">
        <v>2806829</v>
      </c>
      <c r="E29" s="19">
        <f t="shared" si="0"/>
        <v>942416</v>
      </c>
      <c r="F29" s="7">
        <v>1129457</v>
      </c>
      <c r="G29" s="14">
        <f t="shared" si="1"/>
        <v>30.124918483588033</v>
      </c>
      <c r="H29" s="14">
        <f t="shared" si="2"/>
        <v>74.863845920978761</v>
      </c>
    </row>
    <row r="30" spans="1:8" ht="33" customHeight="1">
      <c r="A30" s="5" t="s">
        <v>26</v>
      </c>
      <c r="B30" s="6"/>
      <c r="C30" s="7">
        <v>612815</v>
      </c>
      <c r="D30" s="7">
        <v>612814</v>
      </c>
      <c r="E30" s="19">
        <f t="shared" si="0"/>
        <v>1</v>
      </c>
      <c r="F30" s="6">
        <v>0</v>
      </c>
      <c r="G30" s="14">
        <f t="shared" si="1"/>
        <v>0</v>
      </c>
      <c r="H30" s="14">
        <f t="shared" si="2"/>
        <v>99.999836818615734</v>
      </c>
    </row>
    <row r="31" spans="1:8" ht="34.15" customHeight="1">
      <c r="A31" s="5" t="s">
        <v>27</v>
      </c>
      <c r="B31" s="6"/>
      <c r="C31" s="7">
        <v>338885</v>
      </c>
      <c r="D31" s="7">
        <v>328440</v>
      </c>
      <c r="E31" s="19">
        <f t="shared" si="0"/>
        <v>10445</v>
      </c>
      <c r="F31" s="7">
        <v>208860</v>
      </c>
      <c r="G31" s="14">
        <f t="shared" si="1"/>
        <v>61.631526919161374</v>
      </c>
      <c r="H31" s="14">
        <f t="shared" si="2"/>
        <v>96.917833483335059</v>
      </c>
    </row>
    <row r="32" spans="1:8" ht="27" customHeight="1">
      <c r="A32" s="5" t="s">
        <v>28</v>
      </c>
      <c r="B32" s="7">
        <v>14687385</v>
      </c>
      <c r="C32" s="7">
        <v>45054180</v>
      </c>
      <c r="D32" s="7">
        <v>15840507</v>
      </c>
      <c r="E32" s="19">
        <f t="shared" si="0"/>
        <v>29213673</v>
      </c>
      <c r="F32" s="7">
        <v>5354764</v>
      </c>
      <c r="G32" s="14">
        <f t="shared" si="1"/>
        <v>11.885165815913195</v>
      </c>
      <c r="H32" s="14">
        <f t="shared" si="2"/>
        <v>35.158795476912466</v>
      </c>
    </row>
    <row r="33" spans="1:8" ht="36.6" customHeight="1">
      <c r="A33" s="5" t="s">
        <v>29</v>
      </c>
      <c r="B33" s="6"/>
      <c r="C33" s="7">
        <v>753774</v>
      </c>
      <c r="D33" s="7">
        <v>255269</v>
      </c>
      <c r="E33" s="19">
        <f t="shared" si="0"/>
        <v>498505</v>
      </c>
      <c r="F33" s="7">
        <v>26943</v>
      </c>
      <c r="G33" s="14">
        <f t="shared" si="1"/>
        <v>3.5744135510113106</v>
      </c>
      <c r="H33" s="14">
        <f t="shared" si="2"/>
        <v>33.865455693616383</v>
      </c>
    </row>
    <row r="34" spans="1:8" ht="50.1" customHeight="1">
      <c r="A34" s="5" t="s">
        <v>30</v>
      </c>
      <c r="B34" s="7">
        <v>1499001</v>
      </c>
      <c r="C34" s="7">
        <v>1499001</v>
      </c>
      <c r="D34" s="6"/>
      <c r="E34" s="19">
        <f t="shared" si="0"/>
        <v>1499001</v>
      </c>
      <c r="F34" s="6"/>
      <c r="G34" s="14">
        <f t="shared" si="1"/>
        <v>0</v>
      </c>
      <c r="H34" s="14">
        <f t="shared" si="2"/>
        <v>0</v>
      </c>
    </row>
    <row r="35" spans="1:8" ht="35.450000000000003" customHeight="1">
      <c r="A35" s="5" t="s">
        <v>31</v>
      </c>
      <c r="B35" s="6"/>
      <c r="C35" s="7">
        <v>98530</v>
      </c>
      <c r="D35" s="7">
        <v>50530</v>
      </c>
      <c r="E35" s="19">
        <f t="shared" si="0"/>
        <v>48000</v>
      </c>
      <c r="F35" s="7">
        <v>9820</v>
      </c>
      <c r="G35" s="14">
        <f t="shared" si="1"/>
        <v>9.9665076626408187</v>
      </c>
      <c r="H35" s="14">
        <f t="shared" si="2"/>
        <v>51.283872932101893</v>
      </c>
    </row>
    <row r="36" spans="1:8" ht="34.9" customHeight="1">
      <c r="A36" s="5" t="s">
        <v>32</v>
      </c>
      <c r="B36" s="6"/>
      <c r="C36" s="7">
        <v>8035040</v>
      </c>
      <c r="D36" s="7">
        <v>7662252</v>
      </c>
      <c r="E36" s="19">
        <f t="shared" si="0"/>
        <v>372788</v>
      </c>
      <c r="F36" s="7">
        <v>455668</v>
      </c>
      <c r="G36" s="14">
        <f t="shared" si="1"/>
        <v>5.6710109719428896</v>
      </c>
      <c r="H36" s="14">
        <f t="shared" si="2"/>
        <v>95.360471136422461</v>
      </c>
    </row>
    <row r="37" spans="1:8" ht="36.6" customHeight="1">
      <c r="A37" s="5" t="s">
        <v>33</v>
      </c>
      <c r="B37" s="6"/>
      <c r="C37" s="7">
        <v>10170</v>
      </c>
      <c r="D37" s="7">
        <v>10170</v>
      </c>
      <c r="E37" s="19">
        <f t="shared" si="0"/>
        <v>0</v>
      </c>
      <c r="F37" s="6">
        <v>0</v>
      </c>
      <c r="G37" s="14">
        <f t="shared" si="1"/>
        <v>0</v>
      </c>
      <c r="H37" s="14">
        <f t="shared" si="2"/>
        <v>100</v>
      </c>
    </row>
    <row r="38" spans="1:8" ht="35.450000000000003" customHeight="1">
      <c r="A38" s="5" t="s">
        <v>34</v>
      </c>
      <c r="B38" s="7">
        <v>16712597</v>
      </c>
      <c r="C38" s="7">
        <v>23376290</v>
      </c>
      <c r="D38" s="7">
        <v>23119649</v>
      </c>
      <c r="E38" s="19">
        <f t="shared" si="0"/>
        <v>256641</v>
      </c>
      <c r="F38" s="7">
        <v>83237</v>
      </c>
      <c r="G38" s="14">
        <f t="shared" si="1"/>
        <v>0.35607446690642525</v>
      </c>
      <c r="H38" s="14">
        <f t="shared" si="2"/>
        <v>98.902131176504056</v>
      </c>
    </row>
    <row r="39" spans="1:8" ht="30.6" customHeight="1">
      <c r="A39" s="5" t="s">
        <v>35</v>
      </c>
      <c r="B39" s="6"/>
      <c r="C39" s="7">
        <v>391471</v>
      </c>
      <c r="D39" s="6"/>
      <c r="E39" s="19">
        <f t="shared" si="0"/>
        <v>391471</v>
      </c>
      <c r="F39" s="6"/>
      <c r="G39" s="14">
        <f t="shared" si="1"/>
        <v>0</v>
      </c>
      <c r="H39" s="14">
        <f t="shared" si="2"/>
        <v>0</v>
      </c>
    </row>
    <row r="40" spans="1:8" ht="45.6" customHeight="1">
      <c r="A40" s="5" t="s">
        <v>36</v>
      </c>
      <c r="B40" s="6"/>
      <c r="C40" s="7">
        <v>11187123</v>
      </c>
      <c r="D40" s="7">
        <v>11187123</v>
      </c>
      <c r="E40" s="19">
        <f t="shared" si="0"/>
        <v>0</v>
      </c>
      <c r="F40" s="6">
        <v>0</v>
      </c>
      <c r="G40" s="14">
        <f t="shared" si="1"/>
        <v>0</v>
      </c>
      <c r="H40" s="14">
        <f t="shared" si="2"/>
        <v>100</v>
      </c>
    </row>
    <row r="41" spans="1:8" ht="42" customHeight="1">
      <c r="A41" s="5" t="s">
        <v>37</v>
      </c>
      <c r="B41" s="7">
        <v>6358502</v>
      </c>
      <c r="C41" s="7">
        <v>6130415</v>
      </c>
      <c r="D41" s="6"/>
      <c r="E41" s="19">
        <f t="shared" si="0"/>
        <v>6130415</v>
      </c>
      <c r="F41" s="6"/>
      <c r="G41" s="14">
        <f t="shared" si="1"/>
        <v>0</v>
      </c>
      <c r="H41" s="14">
        <f t="shared" si="2"/>
        <v>0</v>
      </c>
    </row>
    <row r="42" spans="1:8" ht="35.450000000000003" customHeight="1">
      <c r="A42" s="5" t="s">
        <v>38</v>
      </c>
      <c r="B42" s="6"/>
      <c r="C42" s="7">
        <v>147019</v>
      </c>
      <c r="D42" s="7">
        <v>91646</v>
      </c>
      <c r="E42" s="19">
        <f t="shared" ref="E42:E73" si="3">+C42-D42</f>
        <v>55373</v>
      </c>
      <c r="F42" s="7">
        <v>86356</v>
      </c>
      <c r="G42" s="14">
        <f t="shared" si="1"/>
        <v>58.737986246675597</v>
      </c>
      <c r="H42" s="14">
        <f t="shared" si="2"/>
        <v>62.336160632299233</v>
      </c>
    </row>
    <row r="43" spans="1:8" ht="43.9" customHeight="1">
      <c r="A43" s="5" t="s">
        <v>39</v>
      </c>
      <c r="B43" s="6"/>
      <c r="C43" s="7">
        <v>22439</v>
      </c>
      <c r="D43" s="7">
        <v>22439</v>
      </c>
      <c r="E43" s="19">
        <f t="shared" si="3"/>
        <v>0</v>
      </c>
      <c r="F43" s="7">
        <v>22439</v>
      </c>
      <c r="G43" s="14">
        <f t="shared" si="1"/>
        <v>100</v>
      </c>
      <c r="H43" s="14">
        <f t="shared" si="2"/>
        <v>100</v>
      </c>
    </row>
    <row r="44" spans="1:8" ht="53.45" customHeight="1">
      <c r="A44" s="5" t="s">
        <v>40</v>
      </c>
      <c r="B44" s="6"/>
      <c r="C44" s="7">
        <v>3655326</v>
      </c>
      <c r="D44" s="7">
        <v>3349433</v>
      </c>
      <c r="E44" s="19">
        <f t="shared" si="3"/>
        <v>305893</v>
      </c>
      <c r="F44" s="7">
        <v>828728</v>
      </c>
      <c r="G44" s="14">
        <f t="shared" si="1"/>
        <v>22.671794526671494</v>
      </c>
      <c r="H44" s="14">
        <f t="shared" si="2"/>
        <v>91.631580876780887</v>
      </c>
    </row>
    <row r="45" spans="1:8" ht="33.6" customHeight="1">
      <c r="A45" s="5" t="s">
        <v>41</v>
      </c>
      <c r="B45" s="7">
        <v>5448466</v>
      </c>
      <c r="C45" s="7">
        <v>7896654</v>
      </c>
      <c r="D45" s="7">
        <v>5695174</v>
      </c>
      <c r="E45" s="19">
        <f t="shared" si="3"/>
        <v>2201480</v>
      </c>
      <c r="F45" s="7">
        <v>1452916</v>
      </c>
      <c r="G45" s="14">
        <f t="shared" si="1"/>
        <v>18.399134620815346</v>
      </c>
      <c r="H45" s="14">
        <f t="shared" si="2"/>
        <v>72.12135671640165</v>
      </c>
    </row>
    <row r="46" spans="1:8" ht="28.15" customHeight="1">
      <c r="A46" s="5" t="s">
        <v>42</v>
      </c>
      <c r="B46" s="7">
        <v>450000</v>
      </c>
      <c r="C46" s="6">
        <v>0</v>
      </c>
      <c r="D46" s="6"/>
      <c r="E46" s="19">
        <f t="shared" si="3"/>
        <v>0</v>
      </c>
      <c r="F46" s="6"/>
      <c r="G46" s="14">
        <v>0</v>
      </c>
      <c r="H46" s="14">
        <v>0</v>
      </c>
    </row>
    <row r="47" spans="1:8" ht="33" customHeight="1">
      <c r="A47" s="5" t="s">
        <v>43</v>
      </c>
      <c r="B47" s="6"/>
      <c r="C47" s="7">
        <v>410318</v>
      </c>
      <c r="D47" s="7">
        <v>387040</v>
      </c>
      <c r="E47" s="19">
        <f t="shared" si="3"/>
        <v>23278</v>
      </c>
      <c r="F47" s="7">
        <v>116080</v>
      </c>
      <c r="G47" s="14">
        <f t="shared" ref="G47:G78" si="4">(F47/C47)*100</f>
        <v>28.290252925779519</v>
      </c>
      <c r="H47" s="14">
        <f t="shared" ref="H47:H78" si="5">(D47/C47)*100</f>
        <v>94.326839183267609</v>
      </c>
    </row>
    <row r="48" spans="1:8" ht="37.9" customHeight="1">
      <c r="A48" s="5" t="s">
        <v>44</v>
      </c>
      <c r="B48" s="6"/>
      <c r="C48" s="7">
        <v>9509956</v>
      </c>
      <c r="D48" s="7">
        <v>368443</v>
      </c>
      <c r="E48" s="19">
        <f t="shared" si="3"/>
        <v>9141513</v>
      </c>
      <c r="F48" s="7">
        <v>30800</v>
      </c>
      <c r="G48" s="14">
        <f t="shared" si="4"/>
        <v>0.32387110939314545</v>
      </c>
      <c r="H48" s="14">
        <f t="shared" si="5"/>
        <v>3.8742871155239831</v>
      </c>
    </row>
    <row r="49" spans="1:8" ht="27" customHeight="1">
      <c r="A49" s="5" t="s">
        <v>45</v>
      </c>
      <c r="B49" s="6"/>
      <c r="C49" s="7">
        <v>5632309</v>
      </c>
      <c r="D49" s="7">
        <v>5377843</v>
      </c>
      <c r="E49" s="19">
        <f t="shared" si="3"/>
        <v>254466</v>
      </c>
      <c r="F49" s="7">
        <v>1666692</v>
      </c>
      <c r="G49" s="14">
        <f t="shared" si="4"/>
        <v>29.591629294486506</v>
      </c>
      <c r="H49" s="14">
        <f t="shared" si="5"/>
        <v>95.482030549105161</v>
      </c>
    </row>
    <row r="50" spans="1:8" ht="34.15" customHeight="1">
      <c r="A50" s="5" t="s">
        <v>46</v>
      </c>
      <c r="B50" s="7">
        <v>1000</v>
      </c>
      <c r="C50" s="7">
        <v>1000</v>
      </c>
      <c r="D50" s="6"/>
      <c r="E50" s="19">
        <f t="shared" si="3"/>
        <v>1000</v>
      </c>
      <c r="F50" s="6"/>
      <c r="G50" s="14">
        <f t="shared" si="4"/>
        <v>0</v>
      </c>
      <c r="H50" s="14">
        <f t="shared" si="5"/>
        <v>0</v>
      </c>
    </row>
    <row r="51" spans="1:8" ht="43.15" customHeight="1">
      <c r="A51" s="5" t="s">
        <v>47</v>
      </c>
      <c r="B51" s="7">
        <v>3468964</v>
      </c>
      <c r="C51" s="7">
        <v>5234092</v>
      </c>
      <c r="D51" s="7">
        <v>5014906</v>
      </c>
      <c r="E51" s="19">
        <f t="shared" si="3"/>
        <v>219186</v>
      </c>
      <c r="F51" s="7">
        <v>553378</v>
      </c>
      <c r="G51" s="14">
        <f t="shared" si="4"/>
        <v>10.572569224996426</v>
      </c>
      <c r="H51" s="14">
        <f t="shared" si="5"/>
        <v>95.812339561475028</v>
      </c>
    </row>
    <row r="52" spans="1:8" ht="34.9" customHeight="1">
      <c r="A52" s="5" t="s">
        <v>48</v>
      </c>
      <c r="B52" s="6"/>
      <c r="C52" s="7">
        <v>18558132</v>
      </c>
      <c r="D52" s="7">
        <v>18358132</v>
      </c>
      <c r="E52" s="19">
        <f t="shared" si="3"/>
        <v>200000</v>
      </c>
      <c r="F52" s="7">
        <v>2179596</v>
      </c>
      <c r="G52" s="14">
        <f t="shared" si="4"/>
        <v>11.744694994086689</v>
      </c>
      <c r="H52" s="14">
        <f t="shared" si="5"/>
        <v>98.922305326850775</v>
      </c>
    </row>
    <row r="53" spans="1:8" ht="34.15" customHeight="1">
      <c r="A53" s="5" t="s">
        <v>49</v>
      </c>
      <c r="B53" s="7">
        <v>500000</v>
      </c>
      <c r="C53" s="7">
        <v>6478300</v>
      </c>
      <c r="D53" s="7">
        <v>6228300</v>
      </c>
      <c r="E53" s="19">
        <f t="shared" si="3"/>
        <v>250000</v>
      </c>
      <c r="F53" s="7">
        <v>338176</v>
      </c>
      <c r="G53" s="14">
        <f t="shared" si="4"/>
        <v>5.220134911936773</v>
      </c>
      <c r="H53" s="14">
        <f t="shared" si="5"/>
        <v>96.140962906935457</v>
      </c>
    </row>
    <row r="54" spans="1:8" ht="25.9" customHeight="1">
      <c r="A54" s="5" t="s">
        <v>50</v>
      </c>
      <c r="B54" s="6"/>
      <c r="C54" s="7">
        <v>1425902</v>
      </c>
      <c r="D54" s="7">
        <v>1384193</v>
      </c>
      <c r="E54" s="19">
        <f t="shared" si="3"/>
        <v>41709</v>
      </c>
      <c r="F54" s="7">
        <v>283322</v>
      </c>
      <c r="G54" s="14">
        <f t="shared" si="4"/>
        <v>19.869668462489006</v>
      </c>
      <c r="H54" s="14">
        <f t="shared" si="5"/>
        <v>97.074904165924451</v>
      </c>
    </row>
    <row r="55" spans="1:8" ht="40.15" customHeight="1">
      <c r="A55" s="5" t="s">
        <v>51</v>
      </c>
      <c r="B55" s="7">
        <v>500000</v>
      </c>
      <c r="C55" s="7">
        <v>48445757</v>
      </c>
      <c r="D55" s="7">
        <v>47871857</v>
      </c>
      <c r="E55" s="19">
        <f t="shared" si="3"/>
        <v>573900</v>
      </c>
      <c r="F55" s="7">
        <v>10059122</v>
      </c>
      <c r="G55" s="14">
        <f t="shared" si="4"/>
        <v>20.763680088640168</v>
      </c>
      <c r="H55" s="14">
        <f t="shared" si="5"/>
        <v>98.815376132939775</v>
      </c>
    </row>
    <row r="56" spans="1:8" ht="38.450000000000003" customHeight="1">
      <c r="A56" s="5" t="s">
        <v>52</v>
      </c>
      <c r="B56" s="6"/>
      <c r="C56" s="7">
        <v>3061466</v>
      </c>
      <c r="D56" s="7">
        <v>2886387</v>
      </c>
      <c r="E56" s="19">
        <f t="shared" si="3"/>
        <v>175079</v>
      </c>
      <c r="F56" s="7">
        <v>10269</v>
      </c>
      <c r="G56" s="14">
        <f t="shared" si="4"/>
        <v>0.33542753700351402</v>
      </c>
      <c r="H56" s="14">
        <f t="shared" si="5"/>
        <v>94.281203841558252</v>
      </c>
    </row>
    <row r="57" spans="1:8" ht="36" customHeight="1">
      <c r="A57" s="5" t="s">
        <v>53</v>
      </c>
      <c r="B57" s="7">
        <v>3200150</v>
      </c>
      <c r="C57" s="7">
        <v>3029112</v>
      </c>
      <c r="D57" s="6"/>
      <c r="E57" s="19">
        <f t="shared" si="3"/>
        <v>3029112</v>
      </c>
      <c r="F57" s="6"/>
      <c r="G57" s="14">
        <f t="shared" si="4"/>
        <v>0</v>
      </c>
      <c r="H57" s="14">
        <f t="shared" si="5"/>
        <v>0</v>
      </c>
    </row>
    <row r="58" spans="1:8" ht="50.1" customHeight="1">
      <c r="A58" s="5" t="s">
        <v>54</v>
      </c>
      <c r="B58" s="6"/>
      <c r="C58" s="7">
        <v>1942623</v>
      </c>
      <c r="D58" s="7">
        <v>1616801</v>
      </c>
      <c r="E58" s="19">
        <f t="shared" si="3"/>
        <v>325822</v>
      </c>
      <c r="F58" s="7">
        <v>1163954</v>
      </c>
      <c r="G58" s="14">
        <f t="shared" si="4"/>
        <v>59.9166178924063</v>
      </c>
      <c r="H58" s="14">
        <f t="shared" si="5"/>
        <v>83.227728694656662</v>
      </c>
    </row>
    <row r="59" spans="1:8" ht="58.5" customHeight="1">
      <c r="A59" s="5" t="s">
        <v>55</v>
      </c>
      <c r="B59" s="6"/>
      <c r="C59" s="7">
        <v>5273717</v>
      </c>
      <c r="D59" s="7">
        <v>5097335</v>
      </c>
      <c r="E59" s="19">
        <f t="shared" si="3"/>
        <v>176382</v>
      </c>
      <c r="F59" s="7">
        <v>2057133</v>
      </c>
      <c r="G59" s="14">
        <f t="shared" si="4"/>
        <v>39.007269445819716</v>
      </c>
      <c r="H59" s="14">
        <f t="shared" si="5"/>
        <v>96.655451932669123</v>
      </c>
    </row>
    <row r="60" spans="1:8" ht="56.25" customHeight="1">
      <c r="A60" s="5" t="s">
        <v>56</v>
      </c>
      <c r="B60" s="7">
        <v>13690483</v>
      </c>
      <c r="C60" s="7">
        <v>10907136</v>
      </c>
      <c r="D60" s="7">
        <v>406654</v>
      </c>
      <c r="E60" s="19">
        <f t="shared" si="3"/>
        <v>10500482</v>
      </c>
      <c r="F60" s="7">
        <v>312523</v>
      </c>
      <c r="G60" s="14">
        <f t="shared" si="4"/>
        <v>2.8653076297939255</v>
      </c>
      <c r="H60" s="14">
        <f t="shared" si="5"/>
        <v>3.7283297833638458</v>
      </c>
    </row>
    <row r="61" spans="1:8" ht="39.75" customHeight="1">
      <c r="A61" s="5" t="s">
        <v>57</v>
      </c>
      <c r="B61" s="6"/>
      <c r="C61" s="7">
        <v>4889214</v>
      </c>
      <c r="D61" s="7">
        <v>4648695</v>
      </c>
      <c r="E61" s="19">
        <f t="shared" si="3"/>
        <v>240519</v>
      </c>
      <c r="F61" s="6">
        <v>0</v>
      </c>
      <c r="G61" s="14">
        <f t="shared" si="4"/>
        <v>0</v>
      </c>
      <c r="H61" s="14">
        <f t="shared" si="5"/>
        <v>95.080620320566865</v>
      </c>
    </row>
    <row r="62" spans="1:8" ht="50.1" customHeight="1">
      <c r="A62" s="5" t="s">
        <v>58</v>
      </c>
      <c r="B62" s="6"/>
      <c r="C62" s="7">
        <v>13752497</v>
      </c>
      <c r="D62" s="7">
        <v>13752496</v>
      </c>
      <c r="E62" s="19">
        <f t="shared" si="3"/>
        <v>1</v>
      </c>
      <c r="F62" s="7">
        <v>1793654</v>
      </c>
      <c r="G62" s="14">
        <f t="shared" si="4"/>
        <v>13.042387865999899</v>
      </c>
      <c r="H62" s="14">
        <f t="shared" si="5"/>
        <v>99.999992728593213</v>
      </c>
    </row>
    <row r="63" spans="1:8" ht="38.25" customHeight="1">
      <c r="A63" s="5" t="s">
        <v>59</v>
      </c>
      <c r="B63" s="6"/>
      <c r="C63" s="7">
        <v>90506</v>
      </c>
      <c r="D63" s="7">
        <v>90505</v>
      </c>
      <c r="E63" s="19">
        <f t="shared" si="3"/>
        <v>1</v>
      </c>
      <c r="F63" s="7">
        <v>90505</v>
      </c>
      <c r="G63" s="14">
        <f t="shared" si="4"/>
        <v>99.998895100877291</v>
      </c>
      <c r="H63" s="14">
        <f t="shared" si="5"/>
        <v>99.998895100877291</v>
      </c>
    </row>
    <row r="64" spans="1:8" ht="50.1" customHeight="1">
      <c r="A64" s="5" t="s">
        <v>60</v>
      </c>
      <c r="B64" s="6"/>
      <c r="C64" s="7">
        <v>3469658</v>
      </c>
      <c r="D64" s="7">
        <v>3469658</v>
      </c>
      <c r="E64" s="19">
        <f t="shared" si="3"/>
        <v>0</v>
      </c>
      <c r="F64" s="6">
        <v>0</v>
      </c>
      <c r="G64" s="14">
        <f t="shared" si="4"/>
        <v>0</v>
      </c>
      <c r="H64" s="14">
        <f t="shared" si="5"/>
        <v>100</v>
      </c>
    </row>
    <row r="65" spans="1:8" ht="50.1" customHeight="1">
      <c r="A65" s="5" t="s">
        <v>61</v>
      </c>
      <c r="B65" s="6"/>
      <c r="C65" s="7">
        <v>360018</v>
      </c>
      <c r="D65" s="7">
        <v>360017</v>
      </c>
      <c r="E65" s="19">
        <f t="shared" si="3"/>
        <v>1</v>
      </c>
      <c r="F65" s="7">
        <v>360017</v>
      </c>
      <c r="G65" s="14">
        <f t="shared" si="4"/>
        <v>99.999722236110415</v>
      </c>
      <c r="H65" s="14">
        <f t="shared" si="5"/>
        <v>99.999722236110415</v>
      </c>
    </row>
    <row r="66" spans="1:8" ht="36" customHeight="1">
      <c r="A66" s="5" t="s">
        <v>62</v>
      </c>
      <c r="B66" s="6"/>
      <c r="C66" s="7">
        <v>5640166</v>
      </c>
      <c r="D66" s="7">
        <v>5405169</v>
      </c>
      <c r="E66" s="19">
        <f t="shared" si="3"/>
        <v>234997</v>
      </c>
      <c r="F66" s="7">
        <v>1159823</v>
      </c>
      <c r="G66" s="14">
        <f t="shared" si="4"/>
        <v>20.563632346991206</v>
      </c>
      <c r="H66" s="14">
        <f t="shared" si="5"/>
        <v>95.833509155581581</v>
      </c>
    </row>
    <row r="67" spans="1:8" ht="59.25" customHeight="1">
      <c r="A67" s="5" t="s">
        <v>63</v>
      </c>
      <c r="B67" s="6"/>
      <c r="C67" s="7">
        <v>92000</v>
      </c>
      <c r="D67" s="7">
        <v>92000</v>
      </c>
      <c r="E67" s="19">
        <f t="shared" si="3"/>
        <v>0</v>
      </c>
      <c r="F67" s="7">
        <v>92000</v>
      </c>
      <c r="G67" s="14">
        <f t="shared" si="4"/>
        <v>100</v>
      </c>
      <c r="H67" s="14">
        <f t="shared" si="5"/>
        <v>100</v>
      </c>
    </row>
    <row r="68" spans="1:8" ht="72" customHeight="1">
      <c r="A68" s="5" t="s">
        <v>64</v>
      </c>
      <c r="B68" s="6"/>
      <c r="C68" s="7">
        <v>5797195</v>
      </c>
      <c r="D68" s="7">
        <v>5695244</v>
      </c>
      <c r="E68" s="19">
        <f t="shared" si="3"/>
        <v>101951</v>
      </c>
      <c r="F68" s="7">
        <v>1189151</v>
      </c>
      <c r="G68" s="14">
        <f t="shared" si="4"/>
        <v>20.51252372914832</v>
      </c>
      <c r="H68" s="14">
        <f t="shared" si="5"/>
        <v>98.241373629833049</v>
      </c>
    </row>
    <row r="69" spans="1:8" ht="50.1" customHeight="1">
      <c r="A69" s="5" t="s">
        <v>65</v>
      </c>
      <c r="B69" s="6"/>
      <c r="C69" s="7">
        <v>3478547</v>
      </c>
      <c r="D69" s="7">
        <v>3478546</v>
      </c>
      <c r="E69" s="19">
        <f t="shared" si="3"/>
        <v>1</v>
      </c>
      <c r="F69" s="7">
        <v>1344587</v>
      </c>
      <c r="G69" s="14">
        <f t="shared" si="4"/>
        <v>38.653696500291645</v>
      </c>
      <c r="H69" s="14">
        <f t="shared" si="5"/>
        <v>99.999971252364844</v>
      </c>
    </row>
    <row r="70" spans="1:8" ht="50.1" customHeight="1">
      <c r="A70" s="5" t="s">
        <v>66</v>
      </c>
      <c r="B70" s="6"/>
      <c r="C70" s="7">
        <v>884605</v>
      </c>
      <c r="D70" s="7">
        <v>882599</v>
      </c>
      <c r="E70" s="19">
        <f t="shared" si="3"/>
        <v>2006</v>
      </c>
      <c r="F70" s="7">
        <v>296158</v>
      </c>
      <c r="G70" s="14">
        <f t="shared" si="4"/>
        <v>33.479123450579642</v>
      </c>
      <c r="H70" s="14">
        <f t="shared" si="5"/>
        <v>99.773232120550986</v>
      </c>
    </row>
    <row r="71" spans="1:8" ht="50.1" customHeight="1">
      <c r="A71" s="5" t="s">
        <v>67</v>
      </c>
      <c r="B71" s="6"/>
      <c r="C71" s="7">
        <v>1148</v>
      </c>
      <c r="D71" s="6"/>
      <c r="E71" s="19">
        <f t="shared" si="3"/>
        <v>1148</v>
      </c>
      <c r="F71" s="6"/>
      <c r="G71" s="14">
        <f t="shared" si="4"/>
        <v>0</v>
      </c>
      <c r="H71" s="14">
        <f t="shared" si="5"/>
        <v>0</v>
      </c>
    </row>
    <row r="72" spans="1:8" ht="57.75" customHeight="1">
      <c r="A72" s="5" t="s">
        <v>68</v>
      </c>
      <c r="B72" s="6"/>
      <c r="C72" s="7">
        <v>503535</v>
      </c>
      <c r="D72" s="7">
        <v>85950</v>
      </c>
      <c r="E72" s="19">
        <f t="shared" si="3"/>
        <v>417585</v>
      </c>
      <c r="F72" s="7">
        <v>85950</v>
      </c>
      <c r="G72" s="14">
        <f t="shared" si="4"/>
        <v>17.06931990824868</v>
      </c>
      <c r="H72" s="14">
        <f t="shared" si="5"/>
        <v>17.06931990824868</v>
      </c>
    </row>
    <row r="73" spans="1:8" ht="50.1" customHeight="1">
      <c r="A73" s="5" t="s">
        <v>69</v>
      </c>
      <c r="B73" s="6"/>
      <c r="C73" s="7">
        <v>1422102</v>
      </c>
      <c r="D73" s="7">
        <v>1262346</v>
      </c>
      <c r="E73" s="19">
        <f t="shared" si="3"/>
        <v>159756</v>
      </c>
      <c r="F73" s="7">
        <v>856402</v>
      </c>
      <c r="G73" s="14">
        <f t="shared" si="4"/>
        <v>60.220856169248059</v>
      </c>
      <c r="H73" s="14">
        <f t="shared" si="5"/>
        <v>88.766206643405326</v>
      </c>
    </row>
    <row r="74" spans="1:8" ht="50.1" customHeight="1">
      <c r="A74" s="5" t="s">
        <v>70</v>
      </c>
      <c r="B74" s="6"/>
      <c r="C74" s="7">
        <v>6840552</v>
      </c>
      <c r="D74" s="7">
        <v>5534879</v>
      </c>
      <c r="E74" s="19">
        <f t="shared" ref="E74:E105" si="6">+C74-D74</f>
        <v>1305673</v>
      </c>
      <c r="F74" s="7">
        <v>2656797</v>
      </c>
      <c r="G74" s="14">
        <f t="shared" si="4"/>
        <v>38.838927033958662</v>
      </c>
      <c r="H74" s="14">
        <f t="shared" si="5"/>
        <v>80.912753824545163</v>
      </c>
    </row>
    <row r="75" spans="1:8" ht="50.1" customHeight="1">
      <c r="A75" s="5" t="s">
        <v>71</v>
      </c>
      <c r="B75" s="6"/>
      <c r="C75" s="7">
        <v>4075687</v>
      </c>
      <c r="D75" s="7">
        <v>3357779</v>
      </c>
      <c r="E75" s="19">
        <f t="shared" si="6"/>
        <v>717908</v>
      </c>
      <c r="F75" s="7">
        <v>2359495</v>
      </c>
      <c r="G75" s="14">
        <f t="shared" si="4"/>
        <v>57.891957846615796</v>
      </c>
      <c r="H75" s="14">
        <f t="shared" si="5"/>
        <v>82.3855953609784</v>
      </c>
    </row>
    <row r="76" spans="1:8" ht="50.1" customHeight="1">
      <c r="A76" s="5" t="s">
        <v>72</v>
      </c>
      <c r="B76" s="6"/>
      <c r="C76" s="7">
        <v>2249970</v>
      </c>
      <c r="D76" s="7">
        <v>1795336</v>
      </c>
      <c r="E76" s="19">
        <f t="shared" si="6"/>
        <v>454634</v>
      </c>
      <c r="F76" s="7">
        <v>1194026</v>
      </c>
      <c r="G76" s="14">
        <f t="shared" si="4"/>
        <v>53.068529802619594</v>
      </c>
      <c r="H76" s="14">
        <f t="shared" si="5"/>
        <v>79.793775028111497</v>
      </c>
    </row>
    <row r="77" spans="1:8" ht="50.1" customHeight="1">
      <c r="A77" s="5" t="s">
        <v>73</v>
      </c>
      <c r="B77" s="6"/>
      <c r="C77" s="7">
        <v>5697288</v>
      </c>
      <c r="D77" s="7">
        <v>4595564</v>
      </c>
      <c r="E77" s="19">
        <f t="shared" si="6"/>
        <v>1101724</v>
      </c>
      <c r="F77" s="7">
        <v>2776244</v>
      </c>
      <c r="G77" s="14">
        <f t="shared" si="4"/>
        <v>48.729219937626461</v>
      </c>
      <c r="H77" s="14">
        <f t="shared" si="5"/>
        <v>80.662308101679258</v>
      </c>
    </row>
    <row r="78" spans="1:8" ht="60" customHeight="1">
      <c r="A78" s="5" t="s">
        <v>74</v>
      </c>
      <c r="B78" s="6"/>
      <c r="C78" s="7">
        <v>18183</v>
      </c>
      <c r="D78" s="7">
        <v>18183</v>
      </c>
      <c r="E78" s="19">
        <f t="shared" si="6"/>
        <v>0</v>
      </c>
      <c r="F78" s="7">
        <v>18183</v>
      </c>
      <c r="G78" s="14">
        <f t="shared" si="4"/>
        <v>100</v>
      </c>
      <c r="H78" s="14">
        <f t="shared" si="5"/>
        <v>100</v>
      </c>
    </row>
    <row r="79" spans="1:8" ht="50.1" customHeight="1">
      <c r="A79" s="5" t="s">
        <v>75</v>
      </c>
      <c r="B79" s="6"/>
      <c r="C79" s="7">
        <v>7408784</v>
      </c>
      <c r="D79" s="7">
        <v>6979824</v>
      </c>
      <c r="E79" s="19">
        <f t="shared" si="6"/>
        <v>428960</v>
      </c>
      <c r="F79" s="7">
        <v>2749866</v>
      </c>
      <c r="G79" s="14">
        <f t="shared" ref="G79:G110" si="7">(F79/C79)*100</f>
        <v>37.116293308051631</v>
      </c>
      <c r="H79" s="14">
        <f t="shared" ref="H79:H110" si="8">(D79/C79)*100</f>
        <v>94.210115992044038</v>
      </c>
    </row>
    <row r="80" spans="1:8" ht="50.1" customHeight="1">
      <c r="A80" s="5" t="s">
        <v>76</v>
      </c>
      <c r="B80" s="6"/>
      <c r="C80" s="7">
        <v>3528066</v>
      </c>
      <c r="D80" s="7">
        <v>3528065</v>
      </c>
      <c r="E80" s="19">
        <f t="shared" si="6"/>
        <v>1</v>
      </c>
      <c r="F80" s="7">
        <v>2043268</v>
      </c>
      <c r="G80" s="14">
        <f t="shared" si="7"/>
        <v>57.914676199368152</v>
      </c>
      <c r="H80" s="14">
        <f t="shared" si="8"/>
        <v>99.999971655859042</v>
      </c>
    </row>
    <row r="81" spans="1:8" ht="93.75" customHeight="1">
      <c r="A81" s="5" t="s">
        <v>77</v>
      </c>
      <c r="B81" s="6"/>
      <c r="C81" s="7">
        <v>414587</v>
      </c>
      <c r="D81" s="6"/>
      <c r="E81" s="19">
        <f t="shared" si="6"/>
        <v>414587</v>
      </c>
      <c r="F81" s="6"/>
      <c r="G81" s="14">
        <f t="shared" si="7"/>
        <v>0</v>
      </c>
      <c r="H81" s="14">
        <f t="shared" si="8"/>
        <v>0</v>
      </c>
    </row>
    <row r="82" spans="1:8" ht="50.1" customHeight="1">
      <c r="A82" s="5" t="s">
        <v>78</v>
      </c>
      <c r="B82" s="6"/>
      <c r="C82" s="7">
        <v>107918</v>
      </c>
      <c r="D82" s="7">
        <v>83310</v>
      </c>
      <c r="E82" s="19">
        <f t="shared" si="6"/>
        <v>24608</v>
      </c>
      <c r="F82" s="7">
        <v>82950</v>
      </c>
      <c r="G82" s="14">
        <f t="shared" si="7"/>
        <v>76.863915194870174</v>
      </c>
      <c r="H82" s="14">
        <f t="shared" si="8"/>
        <v>77.197501806927477</v>
      </c>
    </row>
    <row r="83" spans="1:8" ht="50.1" customHeight="1">
      <c r="A83" s="5" t="s">
        <v>79</v>
      </c>
      <c r="B83" s="6"/>
      <c r="C83" s="7">
        <v>830632</v>
      </c>
      <c r="D83" s="7">
        <v>785334</v>
      </c>
      <c r="E83" s="19">
        <f t="shared" si="6"/>
        <v>45298</v>
      </c>
      <c r="F83" s="7">
        <v>721817</v>
      </c>
      <c r="G83" s="14">
        <f t="shared" si="7"/>
        <v>86.899734178312414</v>
      </c>
      <c r="H83" s="14">
        <f t="shared" si="8"/>
        <v>94.546562135819471</v>
      </c>
    </row>
    <row r="84" spans="1:8" ht="50.1" customHeight="1">
      <c r="A84" s="5" t="s">
        <v>80</v>
      </c>
      <c r="B84" s="6"/>
      <c r="C84" s="7">
        <v>3010044</v>
      </c>
      <c r="D84" s="7">
        <v>2853728</v>
      </c>
      <c r="E84" s="19">
        <f t="shared" si="6"/>
        <v>156316</v>
      </c>
      <c r="F84" s="7">
        <v>1234227</v>
      </c>
      <c r="G84" s="14">
        <f t="shared" si="7"/>
        <v>41.003619880639619</v>
      </c>
      <c r="H84" s="14">
        <f t="shared" si="8"/>
        <v>94.806853321745464</v>
      </c>
    </row>
    <row r="85" spans="1:8" ht="50.1" customHeight="1">
      <c r="A85" s="5" t="s">
        <v>81</v>
      </c>
      <c r="B85" s="6"/>
      <c r="C85" s="7">
        <v>8342927</v>
      </c>
      <c r="D85" s="7">
        <v>8342927</v>
      </c>
      <c r="E85" s="19">
        <f t="shared" si="6"/>
        <v>0</v>
      </c>
      <c r="F85" s="6">
        <v>0</v>
      </c>
      <c r="G85" s="14">
        <f t="shared" si="7"/>
        <v>0</v>
      </c>
      <c r="H85" s="14">
        <f t="shared" si="8"/>
        <v>100</v>
      </c>
    </row>
    <row r="86" spans="1:8" ht="50.1" customHeight="1">
      <c r="A86" s="5" t="s">
        <v>82</v>
      </c>
      <c r="B86" s="6"/>
      <c r="C86" s="7">
        <v>5538890</v>
      </c>
      <c r="D86" s="7">
        <v>5180614</v>
      </c>
      <c r="E86" s="19">
        <f t="shared" si="6"/>
        <v>358276</v>
      </c>
      <c r="F86" s="7">
        <v>1022901</v>
      </c>
      <c r="G86" s="14">
        <f t="shared" si="7"/>
        <v>18.467617157950418</v>
      </c>
      <c r="H86" s="14">
        <f t="shared" si="8"/>
        <v>93.53162817820899</v>
      </c>
    </row>
    <row r="87" spans="1:8" ht="50.1" customHeight="1">
      <c r="A87" s="5" t="s">
        <v>83</v>
      </c>
      <c r="B87" s="6"/>
      <c r="C87" s="7">
        <v>3676283</v>
      </c>
      <c r="D87" s="7">
        <v>3538523</v>
      </c>
      <c r="E87" s="19">
        <f t="shared" si="6"/>
        <v>137760</v>
      </c>
      <c r="F87" s="7">
        <v>1581558</v>
      </c>
      <c r="G87" s="14">
        <f t="shared" si="7"/>
        <v>43.020572681700507</v>
      </c>
      <c r="H87" s="14">
        <f t="shared" si="8"/>
        <v>96.252736799642463</v>
      </c>
    </row>
    <row r="88" spans="1:8" ht="58.5" customHeight="1">
      <c r="A88" s="5" t="s">
        <v>84</v>
      </c>
      <c r="B88" s="6"/>
      <c r="C88" s="7">
        <v>4287762</v>
      </c>
      <c r="D88" s="7">
        <v>4287761</v>
      </c>
      <c r="E88" s="19">
        <f t="shared" si="6"/>
        <v>1</v>
      </c>
      <c r="F88" s="6">
        <v>0</v>
      </c>
      <c r="G88" s="14">
        <f t="shared" si="7"/>
        <v>0</v>
      </c>
      <c r="H88" s="14">
        <f t="shared" si="8"/>
        <v>99.999976677810011</v>
      </c>
    </row>
    <row r="89" spans="1:8" ht="50.1" customHeight="1">
      <c r="A89" s="5" t="s">
        <v>85</v>
      </c>
      <c r="B89" s="6"/>
      <c r="C89" s="7">
        <v>8668790</v>
      </c>
      <c r="D89" s="7">
        <v>8274082</v>
      </c>
      <c r="E89" s="19">
        <f t="shared" si="6"/>
        <v>394708</v>
      </c>
      <c r="F89" s="7">
        <v>2138362</v>
      </c>
      <c r="G89" s="14">
        <f t="shared" si="7"/>
        <v>24.66736418808161</v>
      </c>
      <c r="H89" s="14">
        <f t="shared" si="8"/>
        <v>95.446792458924492</v>
      </c>
    </row>
    <row r="90" spans="1:8" ht="82.5" customHeight="1">
      <c r="A90" s="5" t="s">
        <v>86</v>
      </c>
      <c r="B90" s="6"/>
      <c r="C90" s="7">
        <v>2434848</v>
      </c>
      <c r="D90" s="7">
        <v>2222109</v>
      </c>
      <c r="E90" s="19">
        <f t="shared" si="6"/>
        <v>212739</v>
      </c>
      <c r="F90" s="7">
        <v>534810</v>
      </c>
      <c r="G90" s="14">
        <f t="shared" si="7"/>
        <v>21.964820801955604</v>
      </c>
      <c r="H90" s="14">
        <f t="shared" si="8"/>
        <v>91.262740014982455</v>
      </c>
    </row>
    <row r="91" spans="1:8" ht="50.1" customHeight="1">
      <c r="A91" s="5" t="s">
        <v>87</v>
      </c>
      <c r="B91" s="6"/>
      <c r="C91" s="7">
        <v>11161182</v>
      </c>
      <c r="D91" s="7">
        <v>11161182</v>
      </c>
      <c r="E91" s="19">
        <f t="shared" si="6"/>
        <v>0</v>
      </c>
      <c r="F91" s="6">
        <v>0</v>
      </c>
      <c r="G91" s="14">
        <f t="shared" si="7"/>
        <v>0</v>
      </c>
      <c r="H91" s="14">
        <f t="shared" si="8"/>
        <v>100</v>
      </c>
    </row>
    <row r="92" spans="1:8" ht="50.1" customHeight="1">
      <c r="A92" s="5" t="s">
        <v>88</v>
      </c>
      <c r="B92" s="6"/>
      <c r="C92" s="7">
        <v>3073852</v>
      </c>
      <c r="D92" s="7">
        <v>2863369</v>
      </c>
      <c r="E92" s="19">
        <f t="shared" si="6"/>
        <v>210483</v>
      </c>
      <c r="F92" s="7">
        <v>1930776</v>
      </c>
      <c r="G92" s="14">
        <f t="shared" si="7"/>
        <v>62.812913569033256</v>
      </c>
      <c r="H92" s="14">
        <f t="shared" si="8"/>
        <v>93.152467978289138</v>
      </c>
    </row>
    <row r="93" spans="1:8" ht="50.1" customHeight="1">
      <c r="A93" s="5" t="s">
        <v>89</v>
      </c>
      <c r="B93" s="7">
        <v>6000000</v>
      </c>
      <c r="C93" s="7">
        <v>9432960</v>
      </c>
      <c r="D93" s="7">
        <v>5424153</v>
      </c>
      <c r="E93" s="19">
        <f t="shared" si="6"/>
        <v>4008807</v>
      </c>
      <c r="F93" s="7">
        <v>2639722</v>
      </c>
      <c r="G93" s="14">
        <f t="shared" si="7"/>
        <v>27.984026222945925</v>
      </c>
      <c r="H93" s="14">
        <f t="shared" si="8"/>
        <v>57.502130826378995</v>
      </c>
    </row>
    <row r="94" spans="1:8" ht="50.1" customHeight="1">
      <c r="A94" s="5" t="s">
        <v>90</v>
      </c>
      <c r="B94" s="6"/>
      <c r="C94" s="7">
        <v>3901725</v>
      </c>
      <c r="D94" s="7">
        <v>3762364</v>
      </c>
      <c r="E94" s="19">
        <f t="shared" si="6"/>
        <v>139361</v>
      </c>
      <c r="F94" s="7">
        <v>292671</v>
      </c>
      <c r="G94" s="14">
        <f t="shared" si="7"/>
        <v>7.5010668358226171</v>
      </c>
      <c r="H94" s="14">
        <f t="shared" si="8"/>
        <v>96.428220851033842</v>
      </c>
    </row>
    <row r="95" spans="1:8" ht="50.1" customHeight="1">
      <c r="A95" s="5" t="s">
        <v>91</v>
      </c>
      <c r="B95" s="6"/>
      <c r="C95" s="7">
        <v>5059596</v>
      </c>
      <c r="D95" s="7">
        <v>5059596</v>
      </c>
      <c r="E95" s="19">
        <f t="shared" si="6"/>
        <v>0</v>
      </c>
      <c r="F95" s="6">
        <v>0</v>
      </c>
      <c r="G95" s="14">
        <f t="shared" si="7"/>
        <v>0</v>
      </c>
      <c r="H95" s="14">
        <f t="shared" si="8"/>
        <v>100</v>
      </c>
    </row>
    <row r="96" spans="1:8" ht="39" customHeight="1">
      <c r="A96" s="5" t="s">
        <v>92</v>
      </c>
      <c r="B96" s="6"/>
      <c r="C96" s="7">
        <v>6000</v>
      </c>
      <c r="D96" s="7">
        <v>6000</v>
      </c>
      <c r="E96" s="19">
        <f t="shared" si="6"/>
        <v>0</v>
      </c>
      <c r="F96" s="7">
        <v>6000</v>
      </c>
      <c r="G96" s="14">
        <f t="shared" si="7"/>
        <v>100</v>
      </c>
      <c r="H96" s="14">
        <f t="shared" si="8"/>
        <v>100</v>
      </c>
    </row>
    <row r="97" spans="1:8" ht="72" customHeight="1">
      <c r="A97" s="5" t="s">
        <v>93</v>
      </c>
      <c r="B97" s="6"/>
      <c r="C97" s="7">
        <v>11411283</v>
      </c>
      <c r="D97" s="7">
        <v>11411281</v>
      </c>
      <c r="E97" s="19">
        <f t="shared" si="6"/>
        <v>2</v>
      </c>
      <c r="F97" s="7">
        <v>3069241</v>
      </c>
      <c r="G97" s="14">
        <f t="shared" si="7"/>
        <v>26.896546164002764</v>
      </c>
      <c r="H97" s="14">
        <f t="shared" si="8"/>
        <v>99.99998247348698</v>
      </c>
    </row>
    <row r="98" spans="1:8" ht="50.1" customHeight="1">
      <c r="A98" s="5" t="s">
        <v>94</v>
      </c>
      <c r="B98" s="6"/>
      <c r="C98" s="7">
        <v>54760</v>
      </c>
      <c r="D98" s="7">
        <v>54759</v>
      </c>
      <c r="E98" s="19">
        <f t="shared" si="6"/>
        <v>1</v>
      </c>
      <c r="F98" s="7">
        <v>54759</v>
      </c>
      <c r="G98" s="14">
        <f t="shared" si="7"/>
        <v>99.998173849525202</v>
      </c>
      <c r="H98" s="14">
        <f t="shared" si="8"/>
        <v>99.998173849525202</v>
      </c>
    </row>
    <row r="99" spans="1:8" ht="69.75" customHeight="1">
      <c r="A99" s="5" t="s">
        <v>95</v>
      </c>
      <c r="B99" s="6"/>
      <c r="C99" s="7">
        <v>9341515</v>
      </c>
      <c r="D99" s="7">
        <v>9341514</v>
      </c>
      <c r="E99" s="19">
        <f t="shared" si="6"/>
        <v>1</v>
      </c>
      <c r="F99" s="6">
        <v>0</v>
      </c>
      <c r="G99" s="14">
        <f t="shared" si="7"/>
        <v>0</v>
      </c>
      <c r="H99" s="14">
        <f t="shared" si="8"/>
        <v>99.999989295098274</v>
      </c>
    </row>
    <row r="100" spans="1:8" ht="61.5" customHeight="1">
      <c r="A100" s="5" t="s">
        <v>96</v>
      </c>
      <c r="B100" s="6"/>
      <c r="C100" s="7">
        <v>3498627</v>
      </c>
      <c r="D100" s="7">
        <v>1412260</v>
      </c>
      <c r="E100" s="19">
        <f t="shared" si="6"/>
        <v>2086367</v>
      </c>
      <c r="F100" s="7">
        <v>975476</v>
      </c>
      <c r="G100" s="14">
        <f t="shared" si="7"/>
        <v>27.881680442070561</v>
      </c>
      <c r="H100" s="14">
        <f t="shared" si="8"/>
        <v>40.366120766803668</v>
      </c>
    </row>
    <row r="101" spans="1:8" ht="61.5" customHeight="1">
      <c r="A101" s="5" t="s">
        <v>97</v>
      </c>
      <c r="B101" s="6"/>
      <c r="C101" s="7">
        <v>5002113</v>
      </c>
      <c r="D101" s="7">
        <v>4879792</v>
      </c>
      <c r="E101" s="19">
        <f t="shared" si="6"/>
        <v>122321</v>
      </c>
      <c r="F101" s="7">
        <v>1829352</v>
      </c>
      <c r="G101" s="14">
        <f t="shared" si="7"/>
        <v>36.571584848243134</v>
      </c>
      <c r="H101" s="14">
        <f t="shared" si="8"/>
        <v>97.554613420368554</v>
      </c>
    </row>
    <row r="102" spans="1:8" ht="36.75" customHeight="1">
      <c r="A102" s="5" t="s">
        <v>98</v>
      </c>
      <c r="B102" s="6"/>
      <c r="C102" s="7">
        <v>1744327</v>
      </c>
      <c r="D102" s="7">
        <v>1744326</v>
      </c>
      <c r="E102" s="19">
        <f t="shared" si="6"/>
        <v>1</v>
      </c>
      <c r="F102" s="7">
        <v>1699999</v>
      </c>
      <c r="G102" s="14">
        <f t="shared" si="7"/>
        <v>97.458733368227399</v>
      </c>
      <c r="H102" s="14">
        <f t="shared" si="8"/>
        <v>99.999942671299593</v>
      </c>
    </row>
    <row r="103" spans="1:8" ht="50.1" customHeight="1">
      <c r="A103" s="5" t="s">
        <v>99</v>
      </c>
      <c r="B103" s="6"/>
      <c r="C103" s="7">
        <v>81223</v>
      </c>
      <c r="D103" s="6">
        <v>0</v>
      </c>
      <c r="E103" s="19">
        <f t="shared" si="6"/>
        <v>81223</v>
      </c>
      <c r="F103" s="6">
        <v>0</v>
      </c>
      <c r="G103" s="14">
        <f t="shared" si="7"/>
        <v>0</v>
      </c>
      <c r="H103" s="14">
        <f t="shared" si="8"/>
        <v>0</v>
      </c>
    </row>
    <row r="104" spans="1:8" ht="50.1" customHeight="1">
      <c r="A104" s="5" t="s">
        <v>100</v>
      </c>
      <c r="B104" s="6"/>
      <c r="C104" s="7">
        <v>175872</v>
      </c>
      <c r="D104" s="7">
        <v>158700</v>
      </c>
      <c r="E104" s="19">
        <f t="shared" si="6"/>
        <v>17172</v>
      </c>
      <c r="F104" s="6">
        <v>0</v>
      </c>
      <c r="G104" s="14">
        <f t="shared" si="7"/>
        <v>0</v>
      </c>
      <c r="H104" s="14">
        <f t="shared" si="8"/>
        <v>90.236080786026193</v>
      </c>
    </row>
    <row r="105" spans="1:8" ht="37.5" customHeight="1">
      <c r="A105" s="5" t="s">
        <v>101</v>
      </c>
      <c r="B105" s="6"/>
      <c r="C105" s="7">
        <v>248041</v>
      </c>
      <c r="D105" s="6">
        <v>0</v>
      </c>
      <c r="E105" s="19">
        <f t="shared" si="6"/>
        <v>248041</v>
      </c>
      <c r="F105" s="6">
        <v>0</v>
      </c>
      <c r="G105" s="14">
        <f t="shared" si="7"/>
        <v>0</v>
      </c>
      <c r="H105" s="14">
        <f t="shared" si="8"/>
        <v>0</v>
      </c>
    </row>
    <row r="106" spans="1:8" ht="50.1" customHeight="1">
      <c r="A106" s="5" t="s">
        <v>102</v>
      </c>
      <c r="B106" s="6"/>
      <c r="C106" s="7">
        <v>3200000</v>
      </c>
      <c r="D106" s="7">
        <v>1394797</v>
      </c>
      <c r="E106" s="19">
        <f t="shared" ref="E106:E137" si="9">+C106-D106</f>
        <v>1805203</v>
      </c>
      <c r="F106" s="7">
        <v>826790</v>
      </c>
      <c r="G106" s="14">
        <f t="shared" si="7"/>
        <v>25.837187499999999</v>
      </c>
      <c r="H106" s="14">
        <f t="shared" si="8"/>
        <v>43.587406250000001</v>
      </c>
    </row>
    <row r="107" spans="1:8" ht="50.1" customHeight="1">
      <c r="A107" s="5" t="s">
        <v>103</v>
      </c>
      <c r="B107" s="6"/>
      <c r="C107" s="7">
        <v>6624277</v>
      </c>
      <c r="D107" s="7">
        <v>258500</v>
      </c>
      <c r="E107" s="19">
        <f t="shared" si="9"/>
        <v>6365777</v>
      </c>
      <c r="F107" s="7">
        <v>13500</v>
      </c>
      <c r="G107" s="14">
        <f t="shared" si="7"/>
        <v>0.20379582556707701</v>
      </c>
      <c r="H107" s="14">
        <f t="shared" si="8"/>
        <v>3.9023126599325484</v>
      </c>
    </row>
    <row r="108" spans="1:8" ht="60.75" customHeight="1">
      <c r="A108" s="5" t="s">
        <v>104</v>
      </c>
      <c r="B108" s="6"/>
      <c r="C108" s="7">
        <v>377567</v>
      </c>
      <c r="D108" s="7">
        <v>377567</v>
      </c>
      <c r="E108" s="19">
        <f t="shared" si="9"/>
        <v>0</v>
      </c>
      <c r="F108" s="6">
        <v>0</v>
      </c>
      <c r="G108" s="14">
        <f t="shared" si="7"/>
        <v>0</v>
      </c>
      <c r="H108" s="14">
        <f t="shared" si="8"/>
        <v>100</v>
      </c>
    </row>
    <row r="109" spans="1:8" ht="50.1" customHeight="1">
      <c r="A109" s="5" t="s">
        <v>105</v>
      </c>
      <c r="B109" s="6"/>
      <c r="C109" s="7">
        <v>1500000</v>
      </c>
      <c r="D109" s="7">
        <v>649351</v>
      </c>
      <c r="E109" s="19">
        <f t="shared" si="9"/>
        <v>850649</v>
      </c>
      <c r="F109" s="7">
        <v>247400</v>
      </c>
      <c r="G109" s="14">
        <f t="shared" si="7"/>
        <v>16.493333333333332</v>
      </c>
      <c r="H109" s="14">
        <f t="shared" si="8"/>
        <v>43.290066666666668</v>
      </c>
    </row>
    <row r="110" spans="1:8" ht="50.1" customHeight="1">
      <c r="A110" s="5" t="s">
        <v>106</v>
      </c>
      <c r="B110" s="6"/>
      <c r="C110" s="7">
        <v>176442</v>
      </c>
      <c r="D110" s="6">
        <v>0</v>
      </c>
      <c r="E110" s="19">
        <f t="shared" si="9"/>
        <v>176442</v>
      </c>
      <c r="F110" s="6">
        <v>0</v>
      </c>
      <c r="G110" s="14">
        <f t="shared" si="7"/>
        <v>0</v>
      </c>
      <c r="H110" s="14">
        <f t="shared" si="8"/>
        <v>0</v>
      </c>
    </row>
    <row r="111" spans="1:8" ht="59.25" customHeight="1">
      <c r="A111" s="5" t="s">
        <v>107</v>
      </c>
      <c r="B111" s="6"/>
      <c r="C111" s="7">
        <v>326752</v>
      </c>
      <c r="D111" s="7">
        <v>25423</v>
      </c>
      <c r="E111" s="19">
        <f t="shared" si="9"/>
        <v>301329</v>
      </c>
      <c r="F111" s="7">
        <v>25423</v>
      </c>
      <c r="G111" s="14">
        <f t="shared" ref="G111:G142" si="10">(F111/C111)*100</f>
        <v>7.780518558417393</v>
      </c>
      <c r="H111" s="14">
        <f t="shared" ref="H111:H142" si="11">(D111/C111)*100</f>
        <v>7.780518558417393</v>
      </c>
    </row>
    <row r="112" spans="1:8" ht="61.5" customHeight="1">
      <c r="A112" s="5" t="s">
        <v>108</v>
      </c>
      <c r="B112" s="6"/>
      <c r="C112" s="7">
        <v>390000</v>
      </c>
      <c r="D112" s="7">
        <v>390000</v>
      </c>
      <c r="E112" s="19">
        <f t="shared" si="9"/>
        <v>0</v>
      </c>
      <c r="F112" s="7">
        <v>234000</v>
      </c>
      <c r="G112" s="14">
        <f t="shared" si="10"/>
        <v>60</v>
      </c>
      <c r="H112" s="14">
        <f t="shared" si="11"/>
        <v>100</v>
      </c>
    </row>
    <row r="113" spans="1:8" ht="39.75" customHeight="1">
      <c r="A113" s="5" t="s">
        <v>109</v>
      </c>
      <c r="B113" s="6"/>
      <c r="C113" s="7">
        <v>32258</v>
      </c>
      <c r="D113" s="6"/>
      <c r="E113" s="19">
        <f t="shared" si="9"/>
        <v>32258</v>
      </c>
      <c r="F113" s="6"/>
      <c r="G113" s="14">
        <f t="shared" si="10"/>
        <v>0</v>
      </c>
      <c r="H113" s="14">
        <f t="shared" si="11"/>
        <v>0</v>
      </c>
    </row>
    <row r="114" spans="1:8" ht="36.75" customHeight="1">
      <c r="A114" s="5" t="s">
        <v>110</v>
      </c>
      <c r="B114" s="6"/>
      <c r="C114" s="7">
        <v>3064</v>
      </c>
      <c r="D114" s="7">
        <v>2400</v>
      </c>
      <c r="E114" s="19">
        <f t="shared" si="9"/>
        <v>664</v>
      </c>
      <c r="F114" s="7">
        <v>2400</v>
      </c>
      <c r="G114" s="14">
        <f t="shared" si="10"/>
        <v>78.328981723237604</v>
      </c>
      <c r="H114" s="14">
        <f t="shared" si="11"/>
        <v>78.328981723237604</v>
      </c>
    </row>
    <row r="115" spans="1:8" ht="36.75" customHeight="1">
      <c r="A115" s="5" t="s">
        <v>111</v>
      </c>
      <c r="B115" s="6"/>
      <c r="C115" s="7">
        <v>10717</v>
      </c>
      <c r="D115" s="7">
        <v>7940</v>
      </c>
      <c r="E115" s="19">
        <f t="shared" si="9"/>
        <v>2777</v>
      </c>
      <c r="F115" s="7">
        <v>7940</v>
      </c>
      <c r="G115" s="14">
        <f t="shared" si="10"/>
        <v>74.087897732574419</v>
      </c>
      <c r="H115" s="14">
        <f t="shared" si="11"/>
        <v>74.087897732574419</v>
      </c>
    </row>
    <row r="116" spans="1:8" ht="40.5" customHeight="1">
      <c r="A116" s="5" t="s">
        <v>112</v>
      </c>
      <c r="B116" s="6"/>
      <c r="C116" s="7">
        <v>32979</v>
      </c>
      <c r="D116" s="7">
        <v>32978</v>
      </c>
      <c r="E116" s="19">
        <f t="shared" si="9"/>
        <v>1</v>
      </c>
      <c r="F116" s="6">
        <v>0</v>
      </c>
      <c r="G116" s="14">
        <f t="shared" si="10"/>
        <v>0</v>
      </c>
      <c r="H116" s="14">
        <f t="shared" si="11"/>
        <v>99.996967767367124</v>
      </c>
    </row>
    <row r="117" spans="1:8" ht="39" customHeight="1">
      <c r="A117" s="5" t="s">
        <v>113</v>
      </c>
      <c r="B117" s="6"/>
      <c r="C117" s="7">
        <v>32798</v>
      </c>
      <c r="D117" s="7">
        <v>32798</v>
      </c>
      <c r="E117" s="19">
        <f t="shared" si="9"/>
        <v>0</v>
      </c>
      <c r="F117" s="6">
        <v>0</v>
      </c>
      <c r="G117" s="14">
        <f t="shared" si="10"/>
        <v>0</v>
      </c>
      <c r="H117" s="14">
        <f t="shared" si="11"/>
        <v>100</v>
      </c>
    </row>
    <row r="118" spans="1:8" ht="36.75" customHeight="1">
      <c r="A118" s="5" t="s">
        <v>114</v>
      </c>
      <c r="B118" s="6"/>
      <c r="C118" s="7">
        <v>32798</v>
      </c>
      <c r="D118" s="7">
        <v>32798</v>
      </c>
      <c r="E118" s="19">
        <f t="shared" si="9"/>
        <v>0</v>
      </c>
      <c r="F118" s="6">
        <v>0</v>
      </c>
      <c r="G118" s="14">
        <f t="shared" si="10"/>
        <v>0</v>
      </c>
      <c r="H118" s="14">
        <f t="shared" si="11"/>
        <v>100</v>
      </c>
    </row>
    <row r="119" spans="1:8" ht="39.75" customHeight="1">
      <c r="A119" s="5" t="s">
        <v>115</v>
      </c>
      <c r="B119" s="6"/>
      <c r="C119" s="7">
        <v>32798</v>
      </c>
      <c r="D119" s="7">
        <v>32798</v>
      </c>
      <c r="E119" s="19">
        <f t="shared" si="9"/>
        <v>0</v>
      </c>
      <c r="F119" s="6">
        <v>0</v>
      </c>
      <c r="G119" s="14">
        <f t="shared" si="10"/>
        <v>0</v>
      </c>
      <c r="H119" s="14">
        <f t="shared" si="11"/>
        <v>100</v>
      </c>
    </row>
    <row r="120" spans="1:8" ht="50.1" customHeight="1">
      <c r="A120" s="5" t="s">
        <v>116</v>
      </c>
      <c r="B120" s="6"/>
      <c r="C120" s="7">
        <v>6141</v>
      </c>
      <c r="D120" s="7">
        <v>5980</v>
      </c>
      <c r="E120" s="19">
        <f t="shared" si="9"/>
        <v>161</v>
      </c>
      <c r="F120" s="7">
        <v>5980</v>
      </c>
      <c r="G120" s="14">
        <f t="shared" si="10"/>
        <v>97.378277153558059</v>
      </c>
      <c r="H120" s="14">
        <f t="shared" si="11"/>
        <v>97.378277153558059</v>
      </c>
    </row>
    <row r="121" spans="1:8" ht="39.75" customHeight="1">
      <c r="A121" s="5" t="s">
        <v>117</v>
      </c>
      <c r="B121" s="6"/>
      <c r="C121" s="7">
        <v>31779</v>
      </c>
      <c r="D121" s="7">
        <v>31778</v>
      </c>
      <c r="E121" s="19">
        <f t="shared" si="9"/>
        <v>1</v>
      </c>
      <c r="F121" s="6">
        <v>0</v>
      </c>
      <c r="G121" s="14">
        <f t="shared" si="10"/>
        <v>0</v>
      </c>
      <c r="H121" s="14">
        <f t="shared" si="11"/>
        <v>99.996853267881306</v>
      </c>
    </row>
    <row r="122" spans="1:8" ht="37.5" customHeight="1">
      <c r="A122" s="5" t="s">
        <v>118</v>
      </c>
      <c r="B122" s="6"/>
      <c r="C122" s="7">
        <v>31779</v>
      </c>
      <c r="D122" s="7">
        <v>31778</v>
      </c>
      <c r="E122" s="19">
        <f t="shared" si="9"/>
        <v>1</v>
      </c>
      <c r="F122" s="6">
        <v>0</v>
      </c>
      <c r="G122" s="14">
        <f t="shared" si="10"/>
        <v>0</v>
      </c>
      <c r="H122" s="14">
        <f t="shared" si="11"/>
        <v>99.996853267881306</v>
      </c>
    </row>
    <row r="123" spans="1:8" ht="50.1" customHeight="1">
      <c r="A123" s="5" t="s">
        <v>119</v>
      </c>
      <c r="B123" s="6"/>
      <c r="C123" s="7">
        <v>32498</v>
      </c>
      <c r="D123" s="7">
        <v>32498</v>
      </c>
      <c r="E123" s="19">
        <f t="shared" si="9"/>
        <v>0</v>
      </c>
      <c r="F123" s="6">
        <v>0</v>
      </c>
      <c r="G123" s="14">
        <f t="shared" si="10"/>
        <v>0</v>
      </c>
      <c r="H123" s="14">
        <f t="shared" si="11"/>
        <v>100</v>
      </c>
    </row>
    <row r="124" spans="1:8" ht="50.1" customHeight="1">
      <c r="A124" s="5" t="s">
        <v>120</v>
      </c>
      <c r="B124" s="6"/>
      <c r="C124" s="7">
        <v>32258</v>
      </c>
      <c r="D124" s="6"/>
      <c r="E124" s="19">
        <f t="shared" si="9"/>
        <v>32258</v>
      </c>
      <c r="F124" s="6"/>
      <c r="G124" s="14">
        <f t="shared" si="10"/>
        <v>0</v>
      </c>
      <c r="H124" s="14">
        <f t="shared" si="11"/>
        <v>0</v>
      </c>
    </row>
    <row r="125" spans="1:8" ht="39" customHeight="1">
      <c r="A125" s="5" t="s">
        <v>121</v>
      </c>
      <c r="B125" s="6"/>
      <c r="C125" s="7">
        <v>32498</v>
      </c>
      <c r="D125" s="6"/>
      <c r="E125" s="19">
        <f t="shared" si="9"/>
        <v>32498</v>
      </c>
      <c r="F125" s="6"/>
      <c r="G125" s="14">
        <f t="shared" si="10"/>
        <v>0</v>
      </c>
      <c r="H125" s="14">
        <f t="shared" si="11"/>
        <v>0</v>
      </c>
    </row>
    <row r="126" spans="1:8" ht="50.1" customHeight="1">
      <c r="A126" s="5" t="s">
        <v>122</v>
      </c>
      <c r="B126" s="6"/>
      <c r="C126" s="7">
        <v>367245</v>
      </c>
      <c r="D126" s="7">
        <v>367244</v>
      </c>
      <c r="E126" s="19">
        <f t="shared" si="9"/>
        <v>1</v>
      </c>
      <c r="F126" s="6">
        <v>0</v>
      </c>
      <c r="G126" s="14">
        <f t="shared" si="10"/>
        <v>0</v>
      </c>
      <c r="H126" s="14">
        <f t="shared" si="11"/>
        <v>99.999727702215154</v>
      </c>
    </row>
    <row r="127" spans="1:8" ht="59.25" customHeight="1">
      <c r="A127" s="5" t="s">
        <v>123</v>
      </c>
      <c r="B127" s="6"/>
      <c r="C127" s="7">
        <v>418378</v>
      </c>
      <c r="D127" s="7">
        <v>418378</v>
      </c>
      <c r="E127" s="19">
        <f t="shared" si="9"/>
        <v>0</v>
      </c>
      <c r="F127" s="6">
        <v>0</v>
      </c>
      <c r="G127" s="14">
        <f t="shared" si="10"/>
        <v>0</v>
      </c>
      <c r="H127" s="14">
        <f t="shared" si="11"/>
        <v>100</v>
      </c>
    </row>
    <row r="128" spans="1:8" ht="61.5" customHeight="1">
      <c r="A128" s="5" t="s">
        <v>124</v>
      </c>
      <c r="B128" s="6"/>
      <c r="C128" s="7">
        <v>564409</v>
      </c>
      <c r="D128" s="7">
        <v>564408</v>
      </c>
      <c r="E128" s="19">
        <f t="shared" si="9"/>
        <v>1</v>
      </c>
      <c r="F128" s="6">
        <v>0</v>
      </c>
      <c r="G128" s="14">
        <f t="shared" si="10"/>
        <v>0</v>
      </c>
      <c r="H128" s="14">
        <f t="shared" si="11"/>
        <v>99.999822823519821</v>
      </c>
    </row>
    <row r="129" spans="1:8" ht="71.25" customHeight="1">
      <c r="A129" s="5" t="s">
        <v>125</v>
      </c>
      <c r="B129" s="6"/>
      <c r="C129" s="7">
        <v>1768181</v>
      </c>
      <c r="D129" s="7">
        <v>1262064</v>
      </c>
      <c r="E129" s="19">
        <f t="shared" si="9"/>
        <v>506117</v>
      </c>
      <c r="F129" s="7">
        <v>125900</v>
      </c>
      <c r="G129" s="14">
        <f t="shared" si="10"/>
        <v>7.1203117780362977</v>
      </c>
      <c r="H129" s="14">
        <f t="shared" si="11"/>
        <v>71.376403207590172</v>
      </c>
    </row>
    <row r="130" spans="1:8" ht="50.1" customHeight="1">
      <c r="A130" s="5" t="s">
        <v>126</v>
      </c>
      <c r="B130" s="6"/>
      <c r="C130" s="7">
        <v>553655</v>
      </c>
      <c r="D130" s="7">
        <v>469198</v>
      </c>
      <c r="E130" s="19">
        <f t="shared" si="9"/>
        <v>84457</v>
      </c>
      <c r="F130" s="6">
        <v>0</v>
      </c>
      <c r="G130" s="14">
        <f t="shared" si="10"/>
        <v>0</v>
      </c>
      <c r="H130" s="14">
        <f t="shared" si="11"/>
        <v>84.745554542088485</v>
      </c>
    </row>
    <row r="131" spans="1:8" ht="59.25" customHeight="1">
      <c r="A131" s="5" t="s">
        <v>127</v>
      </c>
      <c r="B131" s="6"/>
      <c r="C131" s="7">
        <v>51044</v>
      </c>
      <c r="D131" s="6"/>
      <c r="E131" s="19">
        <f t="shared" si="9"/>
        <v>51044</v>
      </c>
      <c r="F131" s="6"/>
      <c r="G131" s="14">
        <f t="shared" si="10"/>
        <v>0</v>
      </c>
      <c r="H131" s="14">
        <f t="shared" si="11"/>
        <v>0</v>
      </c>
    </row>
    <row r="132" spans="1:8" ht="57.75" customHeight="1">
      <c r="A132" s="5" t="s">
        <v>128</v>
      </c>
      <c r="B132" s="6"/>
      <c r="C132" s="7">
        <v>2000000</v>
      </c>
      <c r="D132" s="6"/>
      <c r="E132" s="19">
        <f t="shared" si="9"/>
        <v>2000000</v>
      </c>
      <c r="F132" s="6"/>
      <c r="G132" s="14">
        <f t="shared" si="10"/>
        <v>0</v>
      </c>
      <c r="H132" s="14">
        <f t="shared" si="11"/>
        <v>0</v>
      </c>
    </row>
    <row r="133" spans="1:8" ht="50.1" customHeight="1">
      <c r="A133" s="5" t="s">
        <v>129</v>
      </c>
      <c r="B133" s="6"/>
      <c r="C133" s="7">
        <v>90000</v>
      </c>
      <c r="D133" s="6"/>
      <c r="E133" s="19">
        <f t="shared" si="9"/>
        <v>90000</v>
      </c>
      <c r="F133" s="6"/>
      <c r="G133" s="14">
        <f t="shared" si="10"/>
        <v>0</v>
      </c>
      <c r="H133" s="14">
        <f t="shared" si="11"/>
        <v>0</v>
      </c>
    </row>
    <row r="134" spans="1:8" ht="85.5" customHeight="1">
      <c r="A134" s="5" t="s">
        <v>130</v>
      </c>
      <c r="B134" s="6"/>
      <c r="C134" s="7">
        <v>2122209</v>
      </c>
      <c r="D134" s="7">
        <v>1538688</v>
      </c>
      <c r="E134" s="19">
        <f t="shared" si="9"/>
        <v>583521</v>
      </c>
      <c r="F134" s="7">
        <v>124600</v>
      </c>
      <c r="G134" s="14">
        <f t="shared" si="10"/>
        <v>5.8712407684634265</v>
      </c>
      <c r="H134" s="14">
        <f t="shared" si="11"/>
        <v>72.504074763607164</v>
      </c>
    </row>
    <row r="135" spans="1:8" ht="50.1" customHeight="1">
      <c r="A135" s="5" t="s">
        <v>131</v>
      </c>
      <c r="B135" s="6"/>
      <c r="C135" s="7">
        <v>6626175</v>
      </c>
      <c r="D135" s="7">
        <v>6192686</v>
      </c>
      <c r="E135" s="19">
        <f t="shared" si="9"/>
        <v>433489</v>
      </c>
      <c r="F135" s="6">
        <v>0</v>
      </c>
      <c r="G135" s="14">
        <f t="shared" si="10"/>
        <v>0</v>
      </c>
      <c r="H135" s="14">
        <f t="shared" si="11"/>
        <v>93.457930102962877</v>
      </c>
    </row>
    <row r="136" spans="1:8" ht="50.1" customHeight="1">
      <c r="A136" s="5" t="s">
        <v>132</v>
      </c>
      <c r="B136" s="6"/>
      <c r="C136" s="7">
        <v>27800</v>
      </c>
      <c r="D136" s="7">
        <v>27800</v>
      </c>
      <c r="E136" s="19">
        <f t="shared" si="9"/>
        <v>0</v>
      </c>
      <c r="F136" s="6">
        <v>0</v>
      </c>
      <c r="G136" s="14">
        <f t="shared" si="10"/>
        <v>0</v>
      </c>
      <c r="H136" s="14">
        <f t="shared" si="11"/>
        <v>100</v>
      </c>
    </row>
    <row r="137" spans="1:8" ht="50.1" customHeight="1">
      <c r="A137" s="5" t="s">
        <v>133</v>
      </c>
      <c r="B137" s="6"/>
      <c r="C137" s="7">
        <v>30000</v>
      </c>
      <c r="D137" s="7">
        <v>30000</v>
      </c>
      <c r="E137" s="19">
        <f t="shared" si="9"/>
        <v>0</v>
      </c>
      <c r="F137" s="6">
        <v>0</v>
      </c>
      <c r="G137" s="14">
        <f t="shared" si="10"/>
        <v>0</v>
      </c>
      <c r="H137" s="14">
        <f t="shared" si="11"/>
        <v>100</v>
      </c>
    </row>
    <row r="138" spans="1:8" ht="50.1" customHeight="1">
      <c r="A138" s="5" t="s">
        <v>134</v>
      </c>
      <c r="B138" s="6"/>
      <c r="C138" s="7">
        <v>3990000</v>
      </c>
      <c r="D138" s="6"/>
      <c r="E138" s="19">
        <f t="shared" ref="E138:E169" si="12">+C138-D138</f>
        <v>3990000</v>
      </c>
      <c r="F138" s="6"/>
      <c r="G138" s="14">
        <f t="shared" si="10"/>
        <v>0</v>
      </c>
      <c r="H138" s="14">
        <f t="shared" si="11"/>
        <v>0</v>
      </c>
    </row>
    <row r="139" spans="1:8" ht="50.1" customHeight="1">
      <c r="A139" s="5" t="s">
        <v>135</v>
      </c>
      <c r="B139" s="6"/>
      <c r="C139" s="7">
        <v>1380390</v>
      </c>
      <c r="D139" s="7">
        <v>1181348</v>
      </c>
      <c r="E139" s="19">
        <f t="shared" si="12"/>
        <v>199042</v>
      </c>
      <c r="F139" s="6">
        <v>0</v>
      </c>
      <c r="G139" s="14">
        <f t="shared" si="10"/>
        <v>0</v>
      </c>
      <c r="H139" s="14">
        <f t="shared" si="11"/>
        <v>85.580741674454316</v>
      </c>
    </row>
    <row r="140" spans="1:8" ht="50.1" customHeight="1">
      <c r="A140" s="5" t="s">
        <v>136</v>
      </c>
      <c r="B140" s="6"/>
      <c r="C140" s="7">
        <v>296078</v>
      </c>
      <c r="D140" s="7">
        <v>296077</v>
      </c>
      <c r="E140" s="19">
        <f t="shared" si="12"/>
        <v>1</v>
      </c>
      <c r="F140" s="6">
        <v>0</v>
      </c>
      <c r="G140" s="14">
        <f t="shared" si="10"/>
        <v>0</v>
      </c>
      <c r="H140" s="14">
        <f t="shared" si="11"/>
        <v>99.999662251163542</v>
      </c>
    </row>
    <row r="141" spans="1:8" ht="50.1" customHeight="1">
      <c r="A141" s="5" t="s">
        <v>137</v>
      </c>
      <c r="B141" s="6"/>
      <c r="C141" s="7">
        <v>67654</v>
      </c>
      <c r="D141" s="6"/>
      <c r="E141" s="19">
        <f t="shared" si="12"/>
        <v>67654</v>
      </c>
      <c r="F141" s="6"/>
      <c r="G141" s="14">
        <f t="shared" si="10"/>
        <v>0</v>
      </c>
      <c r="H141" s="14">
        <f t="shared" si="11"/>
        <v>0</v>
      </c>
    </row>
    <row r="142" spans="1:8" ht="60" customHeight="1">
      <c r="A142" s="5" t="s">
        <v>138</v>
      </c>
      <c r="B142" s="6"/>
      <c r="C142" s="7">
        <v>150000</v>
      </c>
      <c r="D142" s="7">
        <v>55000</v>
      </c>
      <c r="E142" s="19">
        <f t="shared" si="12"/>
        <v>95000</v>
      </c>
      <c r="F142" s="6">
        <v>0</v>
      </c>
      <c r="G142" s="14">
        <f t="shared" si="10"/>
        <v>0</v>
      </c>
      <c r="H142" s="14">
        <f t="shared" si="11"/>
        <v>36.666666666666664</v>
      </c>
    </row>
    <row r="143" spans="1:8" ht="72" customHeight="1">
      <c r="A143" s="5" t="s">
        <v>139</v>
      </c>
      <c r="B143" s="6"/>
      <c r="C143" s="7">
        <v>40978</v>
      </c>
      <c r="D143" s="6"/>
      <c r="E143" s="19">
        <f t="shared" si="12"/>
        <v>40978</v>
      </c>
      <c r="F143" s="6"/>
      <c r="G143" s="14">
        <f t="shared" ref="G143:G174" si="13">(F143/C143)*100</f>
        <v>0</v>
      </c>
      <c r="H143" s="14">
        <f t="shared" ref="H143:H174" si="14">(D143/C143)*100</f>
        <v>0</v>
      </c>
    </row>
    <row r="144" spans="1:8" ht="62.25" customHeight="1">
      <c r="A144" s="5" t="s">
        <v>140</v>
      </c>
      <c r="B144" s="6"/>
      <c r="C144" s="7">
        <v>47237</v>
      </c>
      <c r="D144" s="6"/>
      <c r="E144" s="19">
        <f t="shared" si="12"/>
        <v>47237</v>
      </c>
      <c r="F144" s="6"/>
      <c r="G144" s="14">
        <f t="shared" si="13"/>
        <v>0</v>
      </c>
      <c r="H144" s="14">
        <f t="shared" si="14"/>
        <v>0</v>
      </c>
    </row>
    <row r="145" spans="1:8" ht="60.75" customHeight="1">
      <c r="A145" s="5" t="s">
        <v>141</v>
      </c>
      <c r="B145" s="6"/>
      <c r="C145" s="7">
        <v>101246</v>
      </c>
      <c r="D145" s="6"/>
      <c r="E145" s="19">
        <f t="shared" si="12"/>
        <v>101246</v>
      </c>
      <c r="F145" s="6"/>
      <c r="G145" s="14">
        <f t="shared" si="13"/>
        <v>0</v>
      </c>
      <c r="H145" s="14">
        <f t="shared" si="14"/>
        <v>0</v>
      </c>
    </row>
    <row r="146" spans="1:8" ht="50.1" customHeight="1">
      <c r="A146" s="5" t="s">
        <v>142</v>
      </c>
      <c r="B146" s="6"/>
      <c r="C146" s="7">
        <v>190000</v>
      </c>
      <c r="D146" s="7">
        <v>190000</v>
      </c>
      <c r="E146" s="19">
        <f t="shared" si="12"/>
        <v>0</v>
      </c>
      <c r="F146" s="6">
        <v>0</v>
      </c>
      <c r="G146" s="14">
        <f t="shared" si="13"/>
        <v>0</v>
      </c>
      <c r="H146" s="14">
        <f t="shared" si="14"/>
        <v>100</v>
      </c>
    </row>
    <row r="147" spans="1:8" ht="50.1" customHeight="1">
      <c r="A147" s="5" t="s">
        <v>143</v>
      </c>
      <c r="B147" s="6"/>
      <c r="C147" s="7">
        <v>124400</v>
      </c>
      <c r="D147" s="6"/>
      <c r="E147" s="19">
        <f t="shared" si="12"/>
        <v>124400</v>
      </c>
      <c r="F147" s="6"/>
      <c r="G147" s="14">
        <f t="shared" si="13"/>
        <v>0</v>
      </c>
      <c r="H147" s="14">
        <f t="shared" si="14"/>
        <v>0</v>
      </c>
    </row>
    <row r="148" spans="1:8" ht="50.1" customHeight="1">
      <c r="A148" s="5" t="s">
        <v>144</v>
      </c>
      <c r="B148" s="6"/>
      <c r="C148" s="7">
        <v>50270</v>
      </c>
      <c r="D148" s="7">
        <v>1020</v>
      </c>
      <c r="E148" s="19">
        <f t="shared" si="12"/>
        <v>49250</v>
      </c>
      <c r="F148" s="7">
        <v>1020</v>
      </c>
      <c r="G148" s="14">
        <f t="shared" si="13"/>
        <v>2.0290431668987465</v>
      </c>
      <c r="H148" s="14">
        <f t="shared" si="14"/>
        <v>2.0290431668987465</v>
      </c>
    </row>
    <row r="149" spans="1:8" ht="69.75" customHeight="1">
      <c r="A149" s="5" t="s">
        <v>145</v>
      </c>
      <c r="B149" s="6"/>
      <c r="C149" s="7">
        <v>170000</v>
      </c>
      <c r="D149" s="6"/>
      <c r="E149" s="19">
        <f t="shared" si="12"/>
        <v>170000</v>
      </c>
      <c r="F149" s="6"/>
      <c r="G149" s="14">
        <f t="shared" si="13"/>
        <v>0</v>
      </c>
      <c r="H149" s="14">
        <f t="shared" si="14"/>
        <v>0</v>
      </c>
    </row>
    <row r="150" spans="1:8" ht="50.1" customHeight="1">
      <c r="A150" s="5" t="s">
        <v>146</v>
      </c>
      <c r="B150" s="6"/>
      <c r="C150" s="7">
        <v>32400</v>
      </c>
      <c r="D150" s="7">
        <v>32400</v>
      </c>
      <c r="E150" s="19">
        <f t="shared" si="12"/>
        <v>0</v>
      </c>
      <c r="F150" s="6">
        <v>0</v>
      </c>
      <c r="G150" s="14">
        <f t="shared" si="13"/>
        <v>0</v>
      </c>
      <c r="H150" s="14">
        <f t="shared" si="14"/>
        <v>100</v>
      </c>
    </row>
    <row r="151" spans="1:8" ht="50.1" customHeight="1">
      <c r="A151" s="5" t="s">
        <v>147</v>
      </c>
      <c r="B151" s="6"/>
      <c r="C151" s="7">
        <v>180000</v>
      </c>
      <c r="D151" s="6"/>
      <c r="E151" s="19">
        <f t="shared" si="12"/>
        <v>180000</v>
      </c>
      <c r="F151" s="6"/>
      <c r="G151" s="14">
        <f t="shared" si="13"/>
        <v>0</v>
      </c>
      <c r="H151" s="14">
        <f t="shared" si="14"/>
        <v>0</v>
      </c>
    </row>
    <row r="152" spans="1:8" ht="50.1" customHeight="1">
      <c r="A152" s="5" t="s">
        <v>148</v>
      </c>
      <c r="B152" s="6"/>
      <c r="C152" s="7">
        <v>11843174</v>
      </c>
      <c r="D152" s="7">
        <v>10214327</v>
      </c>
      <c r="E152" s="19">
        <f t="shared" si="12"/>
        <v>1628847</v>
      </c>
      <c r="F152" s="6">
        <v>0</v>
      </c>
      <c r="G152" s="14">
        <f t="shared" si="13"/>
        <v>0</v>
      </c>
      <c r="H152" s="14">
        <f t="shared" si="14"/>
        <v>86.246533235093906</v>
      </c>
    </row>
    <row r="153" spans="1:8" ht="58.5" customHeight="1">
      <c r="A153" s="5" t="s">
        <v>149</v>
      </c>
      <c r="B153" s="6"/>
      <c r="C153" s="7">
        <v>63000</v>
      </c>
      <c r="D153" s="6"/>
      <c r="E153" s="19">
        <f t="shared" si="12"/>
        <v>63000</v>
      </c>
      <c r="F153" s="6"/>
      <c r="G153" s="14">
        <f t="shared" si="13"/>
        <v>0</v>
      </c>
      <c r="H153" s="14">
        <f t="shared" si="14"/>
        <v>0</v>
      </c>
    </row>
    <row r="154" spans="1:8" ht="40.5" customHeight="1">
      <c r="A154" s="5" t="s">
        <v>150</v>
      </c>
      <c r="B154" s="6"/>
      <c r="C154" s="7">
        <v>3256226</v>
      </c>
      <c r="D154" s="7">
        <v>3256225</v>
      </c>
      <c r="E154" s="19">
        <f t="shared" si="12"/>
        <v>1</v>
      </c>
      <c r="F154" s="7">
        <v>3087219</v>
      </c>
      <c r="G154" s="14">
        <f t="shared" si="13"/>
        <v>94.809727580333799</v>
      </c>
      <c r="H154" s="14">
        <f t="shared" si="14"/>
        <v>99.999969289600912</v>
      </c>
    </row>
    <row r="155" spans="1:8" ht="50.1" customHeight="1">
      <c r="A155" s="5" t="s">
        <v>151</v>
      </c>
      <c r="B155" s="6"/>
      <c r="C155" s="7">
        <v>2549642</v>
      </c>
      <c r="D155" s="7">
        <v>2326227</v>
      </c>
      <c r="E155" s="19">
        <f t="shared" si="12"/>
        <v>223415</v>
      </c>
      <c r="F155" s="6">
        <v>0</v>
      </c>
      <c r="G155" s="14">
        <f t="shared" si="13"/>
        <v>0</v>
      </c>
      <c r="H155" s="14">
        <f t="shared" si="14"/>
        <v>91.237397250280623</v>
      </c>
    </row>
    <row r="156" spans="1:8" ht="50.1" customHeight="1">
      <c r="A156" s="5" t="s">
        <v>152</v>
      </c>
      <c r="B156" s="6"/>
      <c r="C156" s="7">
        <v>33200</v>
      </c>
      <c r="D156" s="7">
        <v>33200</v>
      </c>
      <c r="E156" s="19">
        <f t="shared" si="12"/>
        <v>0</v>
      </c>
      <c r="F156" s="6">
        <v>0</v>
      </c>
      <c r="G156" s="14">
        <f t="shared" si="13"/>
        <v>0</v>
      </c>
      <c r="H156" s="14">
        <f t="shared" si="14"/>
        <v>100</v>
      </c>
    </row>
    <row r="157" spans="1:8" ht="50.1" customHeight="1">
      <c r="A157" s="5" t="s">
        <v>153</v>
      </c>
      <c r="B157" s="6"/>
      <c r="C157" s="7">
        <v>826351</v>
      </c>
      <c r="D157" s="7">
        <v>760994</v>
      </c>
      <c r="E157" s="19">
        <f t="shared" si="12"/>
        <v>65357</v>
      </c>
      <c r="F157" s="7">
        <v>230731</v>
      </c>
      <c r="G157" s="14">
        <f t="shared" si="13"/>
        <v>27.921670089344602</v>
      </c>
      <c r="H157" s="14">
        <f t="shared" si="14"/>
        <v>92.0908911588417</v>
      </c>
    </row>
    <row r="158" spans="1:8" ht="50.1" customHeight="1">
      <c r="A158" s="5" t="s">
        <v>154</v>
      </c>
      <c r="B158" s="6"/>
      <c r="C158" s="7">
        <v>65853</v>
      </c>
      <c r="D158" s="6"/>
      <c r="E158" s="19">
        <f t="shared" si="12"/>
        <v>65853</v>
      </c>
      <c r="F158" s="6"/>
      <c r="G158" s="14">
        <f t="shared" si="13"/>
        <v>0</v>
      </c>
      <c r="H158" s="14">
        <f t="shared" si="14"/>
        <v>0</v>
      </c>
    </row>
    <row r="159" spans="1:8" ht="58.5" customHeight="1">
      <c r="A159" s="5" t="s">
        <v>155</v>
      </c>
      <c r="B159" s="6"/>
      <c r="C159" s="7">
        <v>34305</v>
      </c>
      <c r="D159" s="7">
        <v>34305</v>
      </c>
      <c r="E159" s="19">
        <f t="shared" si="12"/>
        <v>0</v>
      </c>
      <c r="F159" s="7">
        <v>34305</v>
      </c>
      <c r="G159" s="14">
        <f t="shared" si="13"/>
        <v>100</v>
      </c>
      <c r="H159" s="14">
        <f t="shared" si="14"/>
        <v>100</v>
      </c>
    </row>
    <row r="160" spans="1:8" ht="71.25" customHeight="1">
      <c r="A160" s="5" t="s">
        <v>156</v>
      </c>
      <c r="B160" s="6"/>
      <c r="C160" s="7">
        <v>6853000</v>
      </c>
      <c r="D160" s="7">
        <v>6689112</v>
      </c>
      <c r="E160" s="19">
        <f t="shared" si="12"/>
        <v>163888</v>
      </c>
      <c r="F160" s="7">
        <v>117250</v>
      </c>
      <c r="G160" s="14">
        <f t="shared" si="13"/>
        <v>1.7109295199182841</v>
      </c>
      <c r="H160" s="14">
        <f t="shared" si="14"/>
        <v>97.608521815263387</v>
      </c>
    </row>
    <row r="161" spans="1:8" ht="73.5" customHeight="1">
      <c r="A161" s="5" t="s">
        <v>157</v>
      </c>
      <c r="B161" s="6"/>
      <c r="C161" s="7">
        <v>8075502</v>
      </c>
      <c r="D161" s="7">
        <v>7279200</v>
      </c>
      <c r="E161" s="19">
        <f t="shared" si="12"/>
        <v>796302</v>
      </c>
      <c r="F161" s="7">
        <v>238000</v>
      </c>
      <c r="G161" s="14">
        <f t="shared" si="13"/>
        <v>2.9471852028517853</v>
      </c>
      <c r="H161" s="14">
        <f t="shared" si="14"/>
        <v>90.139287935288721</v>
      </c>
    </row>
    <row r="162" spans="1:8" ht="57.75" customHeight="1">
      <c r="A162" s="5" t="s">
        <v>158</v>
      </c>
      <c r="B162" s="6"/>
      <c r="C162" s="7">
        <v>398312</v>
      </c>
      <c r="D162" s="7">
        <v>398312</v>
      </c>
      <c r="E162" s="19">
        <f t="shared" si="12"/>
        <v>0</v>
      </c>
      <c r="F162" s="6">
        <v>0</v>
      </c>
      <c r="G162" s="14">
        <f t="shared" si="13"/>
        <v>0</v>
      </c>
      <c r="H162" s="14">
        <f t="shared" si="14"/>
        <v>100</v>
      </c>
    </row>
    <row r="163" spans="1:8" ht="50.1" customHeight="1">
      <c r="A163" s="5" t="s">
        <v>159</v>
      </c>
      <c r="B163" s="6"/>
      <c r="C163" s="7">
        <v>1500000</v>
      </c>
      <c r="D163" s="7">
        <v>1486956</v>
      </c>
      <c r="E163" s="19">
        <f t="shared" si="12"/>
        <v>13044</v>
      </c>
      <c r="F163" s="7">
        <v>1481956</v>
      </c>
      <c r="G163" s="14">
        <f t="shared" si="13"/>
        <v>98.797066666666666</v>
      </c>
      <c r="H163" s="14">
        <f t="shared" si="14"/>
        <v>99.130399999999995</v>
      </c>
    </row>
    <row r="164" spans="1:8" ht="69" customHeight="1">
      <c r="A164" s="5" t="s">
        <v>160</v>
      </c>
      <c r="B164" s="6"/>
      <c r="C164" s="7">
        <v>1215000</v>
      </c>
      <c r="D164" s="6"/>
      <c r="E164" s="19">
        <f t="shared" si="12"/>
        <v>1215000</v>
      </c>
      <c r="F164" s="6"/>
      <c r="G164" s="14">
        <f t="shared" si="13"/>
        <v>0</v>
      </c>
      <c r="H164" s="14">
        <f t="shared" si="14"/>
        <v>0</v>
      </c>
    </row>
    <row r="165" spans="1:8" ht="59.25" customHeight="1">
      <c r="A165" s="5" t="s">
        <v>161</v>
      </c>
      <c r="B165" s="6"/>
      <c r="C165" s="7">
        <v>1215000</v>
      </c>
      <c r="D165" s="7">
        <v>1215000</v>
      </c>
      <c r="E165" s="19">
        <f t="shared" si="12"/>
        <v>0</v>
      </c>
      <c r="F165" s="6">
        <v>0</v>
      </c>
      <c r="G165" s="14">
        <f t="shared" si="13"/>
        <v>0</v>
      </c>
      <c r="H165" s="14">
        <f t="shared" si="14"/>
        <v>100</v>
      </c>
    </row>
    <row r="166" spans="1:8" ht="60.75" customHeight="1">
      <c r="A166" s="5" t="s">
        <v>162</v>
      </c>
      <c r="B166" s="6"/>
      <c r="C166" s="7">
        <v>1215000</v>
      </c>
      <c r="D166" s="7">
        <v>1215000</v>
      </c>
      <c r="E166" s="19">
        <f t="shared" si="12"/>
        <v>0</v>
      </c>
      <c r="F166" s="6">
        <v>0</v>
      </c>
      <c r="G166" s="14">
        <f t="shared" si="13"/>
        <v>0</v>
      </c>
      <c r="H166" s="14">
        <f t="shared" si="14"/>
        <v>100</v>
      </c>
    </row>
    <row r="167" spans="1:8" ht="70.5" customHeight="1">
      <c r="A167" s="5" t="s">
        <v>163</v>
      </c>
      <c r="B167" s="6"/>
      <c r="C167" s="7">
        <v>1215000</v>
      </c>
      <c r="D167" s="7">
        <v>1215000</v>
      </c>
      <c r="E167" s="19">
        <f t="shared" si="12"/>
        <v>0</v>
      </c>
      <c r="F167" s="6">
        <v>0</v>
      </c>
      <c r="G167" s="14">
        <f t="shared" si="13"/>
        <v>0</v>
      </c>
      <c r="H167" s="14">
        <f t="shared" si="14"/>
        <v>100</v>
      </c>
    </row>
    <row r="168" spans="1:8" ht="59.25" customHeight="1">
      <c r="A168" s="5" t="s">
        <v>164</v>
      </c>
      <c r="B168" s="6"/>
      <c r="C168" s="7">
        <v>1215000</v>
      </c>
      <c r="D168" s="7">
        <v>1215000</v>
      </c>
      <c r="E168" s="19">
        <f t="shared" si="12"/>
        <v>0</v>
      </c>
      <c r="F168" s="6">
        <v>0</v>
      </c>
      <c r="G168" s="14">
        <f t="shared" si="13"/>
        <v>0</v>
      </c>
      <c r="H168" s="14">
        <f t="shared" si="14"/>
        <v>100</v>
      </c>
    </row>
    <row r="169" spans="1:8" ht="59.25" customHeight="1">
      <c r="A169" s="5" t="s">
        <v>165</v>
      </c>
      <c r="B169" s="6"/>
      <c r="C169" s="7">
        <v>3211049</v>
      </c>
      <c r="D169" s="7">
        <v>3211048</v>
      </c>
      <c r="E169" s="19">
        <f t="shared" si="12"/>
        <v>1</v>
      </c>
      <c r="F169" s="6">
        <v>0</v>
      </c>
      <c r="G169" s="14">
        <f t="shared" si="13"/>
        <v>0</v>
      </c>
      <c r="H169" s="14">
        <f t="shared" si="14"/>
        <v>99.999968857529112</v>
      </c>
    </row>
    <row r="170" spans="1:8" ht="61.5" customHeight="1">
      <c r="A170" s="5" t="s">
        <v>166</v>
      </c>
      <c r="B170" s="6"/>
      <c r="C170" s="7">
        <v>2739183</v>
      </c>
      <c r="D170" s="7">
        <v>2739183</v>
      </c>
      <c r="E170" s="19">
        <f t="shared" ref="E170:E174" si="15">+C170-D170</f>
        <v>0</v>
      </c>
      <c r="F170" s="6">
        <v>0</v>
      </c>
      <c r="G170" s="14">
        <f t="shared" si="13"/>
        <v>0</v>
      </c>
      <c r="H170" s="14">
        <f t="shared" si="14"/>
        <v>100</v>
      </c>
    </row>
    <row r="171" spans="1:8" ht="60" customHeight="1">
      <c r="A171" s="5" t="s">
        <v>167</v>
      </c>
      <c r="B171" s="6"/>
      <c r="C171" s="7">
        <v>3211049</v>
      </c>
      <c r="D171" s="7">
        <v>3211048</v>
      </c>
      <c r="E171" s="19">
        <f t="shared" si="15"/>
        <v>1</v>
      </c>
      <c r="F171" s="6">
        <v>0</v>
      </c>
      <c r="G171" s="14">
        <f t="shared" si="13"/>
        <v>0</v>
      </c>
      <c r="H171" s="14">
        <f t="shared" si="14"/>
        <v>99.999968857529112</v>
      </c>
    </row>
    <row r="172" spans="1:8" ht="63" customHeight="1">
      <c r="A172" s="5" t="s">
        <v>168</v>
      </c>
      <c r="B172" s="6"/>
      <c r="C172" s="7">
        <v>2739183</v>
      </c>
      <c r="D172" s="7">
        <v>2739183</v>
      </c>
      <c r="E172" s="19">
        <f t="shared" si="15"/>
        <v>0</v>
      </c>
      <c r="F172" s="6">
        <v>0</v>
      </c>
      <c r="G172" s="14">
        <f t="shared" si="13"/>
        <v>0</v>
      </c>
      <c r="H172" s="14">
        <f t="shared" si="14"/>
        <v>100</v>
      </c>
    </row>
    <row r="173" spans="1:8" ht="63" customHeight="1">
      <c r="A173" s="8" t="s">
        <v>169</v>
      </c>
      <c r="B173" s="9"/>
      <c r="C173" s="10">
        <v>2972043</v>
      </c>
      <c r="D173" s="10">
        <v>2972043</v>
      </c>
      <c r="E173" s="20">
        <f t="shared" si="15"/>
        <v>0</v>
      </c>
      <c r="F173" s="9">
        <v>0</v>
      </c>
      <c r="G173" s="15">
        <f t="shared" si="13"/>
        <v>0</v>
      </c>
      <c r="H173" s="15">
        <f t="shared" si="14"/>
        <v>100</v>
      </c>
    </row>
    <row r="174" spans="1:8" ht="21.75" customHeight="1">
      <c r="A174" s="11" t="s">
        <v>0</v>
      </c>
      <c r="B174" s="12">
        <f>SUM(B10:B173)</f>
        <v>431504076</v>
      </c>
      <c r="C174" s="12">
        <f>SUM(C10:C173)</f>
        <v>551266654</v>
      </c>
      <c r="D174" s="12">
        <f>SUM(D10:D173)</f>
        <v>423489624</v>
      </c>
      <c r="E174" s="12">
        <f t="shared" si="15"/>
        <v>127777030</v>
      </c>
      <c r="F174" s="12">
        <f>SUM(F10:F173)</f>
        <v>83839432</v>
      </c>
      <c r="G174" s="16">
        <f t="shared" si="13"/>
        <v>15.208507786868603</v>
      </c>
      <c r="H174" s="16">
        <f t="shared" si="14"/>
        <v>76.821193686785193</v>
      </c>
    </row>
    <row r="182" spans="2:2">
      <c r="B182" s="21"/>
    </row>
  </sheetData>
  <mergeCells count="13">
    <mergeCell ref="A1:H1"/>
    <mergeCell ref="A8:A9"/>
    <mergeCell ref="B8:B9"/>
    <mergeCell ref="C8:C9"/>
    <mergeCell ref="D8:D9"/>
    <mergeCell ref="A3:H3"/>
    <mergeCell ref="A4:H4"/>
    <mergeCell ref="G8:G9"/>
    <mergeCell ref="H8:H9"/>
    <mergeCell ref="F8:F9"/>
    <mergeCell ref="A6:C6"/>
    <mergeCell ref="A7:B7"/>
    <mergeCell ref="E8:E9"/>
  </mergeCells>
  <pageMargins left="0.15748031496062992" right="0.15748031496062992" top="0.59055118110236227" bottom="0.19685039370078741" header="0.51181102362204722" footer="0.51181102362204722"/>
  <pageSetup paperSize="9" scale="70"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52"/>
  <sheetViews>
    <sheetView workbookViewId="0">
      <selection activeCell="P13" sqref="P13"/>
    </sheetView>
  </sheetViews>
  <sheetFormatPr baseColWidth="10" defaultRowHeight="15"/>
  <cols>
    <col min="1" max="1" width="16.5703125" customWidth="1"/>
  </cols>
  <sheetData>
    <row r="1" spans="1:14">
      <c r="A1" s="128" t="s">
        <v>412</v>
      </c>
      <c r="B1" s="128"/>
      <c r="C1" s="128"/>
      <c r="D1" s="128"/>
      <c r="E1" s="128"/>
      <c r="F1" s="128"/>
      <c r="G1" s="128"/>
      <c r="H1" s="128"/>
      <c r="I1" s="128"/>
      <c r="J1" s="128"/>
      <c r="K1" s="128"/>
      <c r="L1" s="128"/>
      <c r="M1" s="128"/>
      <c r="N1" s="128"/>
    </row>
    <row r="2" spans="1:14">
      <c r="A2" s="35" t="s">
        <v>456</v>
      </c>
      <c r="B2" s="128"/>
      <c r="C2" s="128"/>
      <c r="D2" s="128"/>
      <c r="E2" s="128"/>
      <c r="F2" s="128"/>
      <c r="G2" s="128"/>
      <c r="H2" s="128"/>
      <c r="I2" s="128"/>
      <c r="J2" s="128"/>
      <c r="K2" s="128"/>
      <c r="L2" s="128"/>
      <c r="M2" s="128"/>
      <c r="N2" s="128"/>
    </row>
    <row r="3" spans="1:14">
      <c r="A3" s="35" t="s">
        <v>459</v>
      </c>
      <c r="B3" s="35"/>
      <c r="C3" s="35"/>
      <c r="D3" s="35"/>
      <c r="E3" s="35"/>
      <c r="F3" s="35"/>
      <c r="G3" s="35"/>
      <c r="H3" s="35"/>
      <c r="I3" s="35"/>
      <c r="J3" s="35"/>
      <c r="K3" s="35"/>
      <c r="L3" s="35"/>
      <c r="M3" s="35"/>
      <c r="N3" s="35"/>
    </row>
    <row r="4" spans="1:14">
      <c r="A4" s="1295" t="s">
        <v>414</v>
      </c>
      <c r="B4" s="1297" t="s">
        <v>449</v>
      </c>
      <c r="C4" s="1296"/>
      <c r="D4" s="1296"/>
      <c r="E4" s="1296"/>
      <c r="F4" s="1297" t="s">
        <v>452</v>
      </c>
      <c r="G4" s="1296"/>
      <c r="H4" s="1296"/>
      <c r="I4" s="1297" t="s">
        <v>453</v>
      </c>
      <c r="J4" s="1296"/>
      <c r="K4" s="1296"/>
      <c r="L4" s="1296"/>
      <c r="M4" s="1296"/>
      <c r="N4" s="1296"/>
    </row>
    <row r="5" spans="1:14" ht="45" customHeight="1">
      <c r="A5" s="1296"/>
      <c r="B5" s="179">
        <v>2019</v>
      </c>
      <c r="C5" s="179">
        <v>2020</v>
      </c>
      <c r="D5" s="179" t="s">
        <v>450</v>
      </c>
      <c r="E5" s="179" t="s">
        <v>451</v>
      </c>
      <c r="F5" s="179">
        <v>2019</v>
      </c>
      <c r="G5" s="179">
        <v>2020</v>
      </c>
      <c r="H5" s="179" t="s">
        <v>450</v>
      </c>
      <c r="I5" s="179">
        <v>2019</v>
      </c>
      <c r="J5" s="179" t="s">
        <v>273</v>
      </c>
      <c r="K5" s="179" t="s">
        <v>450</v>
      </c>
      <c r="L5" s="179" t="s">
        <v>454</v>
      </c>
      <c r="M5" s="179" t="s">
        <v>451</v>
      </c>
      <c r="N5" s="179" t="s">
        <v>455</v>
      </c>
    </row>
    <row r="6" spans="1:14">
      <c r="A6" s="181"/>
      <c r="B6" s="182"/>
      <c r="C6" s="182"/>
      <c r="D6" s="182"/>
      <c r="E6" s="182"/>
      <c r="F6" s="182"/>
      <c r="G6" s="182"/>
      <c r="H6" s="182"/>
      <c r="I6" s="182"/>
      <c r="J6" s="182"/>
      <c r="K6" s="182"/>
      <c r="L6" s="182"/>
      <c r="M6" s="182"/>
      <c r="N6" s="182"/>
    </row>
    <row r="7" spans="1:14" ht="38.450000000000003" customHeight="1">
      <c r="A7" s="183" t="s">
        <v>415</v>
      </c>
      <c r="B7" s="184"/>
      <c r="C7" s="184"/>
      <c r="D7" s="184"/>
      <c r="E7" s="184"/>
      <c r="F7" s="184"/>
      <c r="G7" s="184"/>
      <c r="H7" s="184"/>
      <c r="I7" s="184"/>
      <c r="J7" s="184"/>
      <c r="K7" s="184"/>
      <c r="L7" s="184"/>
      <c r="M7" s="184"/>
      <c r="N7" s="184"/>
    </row>
    <row r="8" spans="1:14">
      <c r="A8" s="185" t="s">
        <v>416</v>
      </c>
      <c r="B8" s="186"/>
      <c r="C8" s="186"/>
      <c r="D8" s="186"/>
      <c r="E8" s="186"/>
      <c r="F8" s="186"/>
      <c r="G8" s="186"/>
      <c r="H8" s="186"/>
      <c r="I8" s="186"/>
      <c r="J8" s="186"/>
      <c r="K8" s="186"/>
      <c r="L8" s="186"/>
      <c r="M8" s="186"/>
      <c r="N8" s="186"/>
    </row>
    <row r="9" spans="1:14">
      <c r="A9" s="187"/>
      <c r="B9" s="186"/>
      <c r="C9" s="186"/>
      <c r="D9" s="186"/>
      <c r="E9" s="186"/>
      <c r="F9" s="186"/>
      <c r="G9" s="186"/>
      <c r="H9" s="186"/>
      <c r="I9" s="186"/>
      <c r="J9" s="186"/>
      <c r="K9" s="186"/>
      <c r="L9" s="186"/>
      <c r="M9" s="186"/>
      <c r="N9" s="186"/>
    </row>
    <row r="10" spans="1:14">
      <c r="A10" s="183" t="s">
        <v>417</v>
      </c>
      <c r="B10" s="186"/>
      <c r="C10" s="186"/>
      <c r="D10" s="186"/>
      <c r="E10" s="186"/>
      <c r="F10" s="186"/>
      <c r="G10" s="186"/>
      <c r="H10" s="186"/>
      <c r="I10" s="186"/>
      <c r="J10" s="186"/>
      <c r="K10" s="186"/>
      <c r="L10" s="186"/>
      <c r="M10" s="186"/>
      <c r="N10" s="186"/>
    </row>
    <row r="11" spans="1:14">
      <c r="A11" s="188" t="s">
        <v>418</v>
      </c>
      <c r="B11" s="186"/>
      <c r="C11" s="186"/>
      <c r="D11" s="186"/>
      <c r="E11" s="186"/>
      <c r="F11" s="186"/>
      <c r="G11" s="186"/>
      <c r="H11" s="186"/>
      <c r="I11" s="186"/>
      <c r="J11" s="186"/>
      <c r="K11" s="186"/>
      <c r="L11" s="186"/>
      <c r="M11" s="186"/>
      <c r="N11" s="186"/>
    </row>
    <row r="12" spans="1:14">
      <c r="A12" s="188" t="s">
        <v>419</v>
      </c>
      <c r="B12" s="186">
        <v>1032821</v>
      </c>
      <c r="C12" s="186">
        <v>1177771</v>
      </c>
      <c r="D12" s="186">
        <f>+B12-C12</f>
        <v>-144950</v>
      </c>
      <c r="E12" s="186">
        <v>1228702</v>
      </c>
      <c r="F12" s="186">
        <v>1104447</v>
      </c>
      <c r="G12" s="186">
        <v>1174941</v>
      </c>
      <c r="H12" s="186">
        <f>+F12-G12</f>
        <v>-70494</v>
      </c>
      <c r="I12" s="186">
        <v>1111</v>
      </c>
      <c r="J12" s="186">
        <v>1300</v>
      </c>
      <c r="K12" s="186">
        <f>+I12-J12</f>
        <v>-189</v>
      </c>
      <c r="L12" s="186">
        <v>1300</v>
      </c>
      <c r="M12" s="186">
        <v>1500</v>
      </c>
      <c r="N12" s="186"/>
    </row>
    <row r="13" spans="1:14">
      <c r="A13" s="188" t="s">
        <v>420</v>
      </c>
      <c r="B13" s="186">
        <v>43637</v>
      </c>
      <c r="C13" s="186">
        <v>208569</v>
      </c>
      <c r="D13" s="186">
        <f>+B13-C13</f>
        <v>-164932</v>
      </c>
      <c r="E13" s="186">
        <v>213569</v>
      </c>
      <c r="F13" s="186">
        <v>43451</v>
      </c>
      <c r="G13" s="186">
        <v>208569</v>
      </c>
      <c r="H13" s="186">
        <f>+F13-G13</f>
        <v>-165118</v>
      </c>
      <c r="I13" s="186">
        <v>1</v>
      </c>
      <c r="J13" s="186">
        <v>1</v>
      </c>
      <c r="K13" s="186"/>
      <c r="L13" s="186"/>
      <c r="M13" s="186">
        <v>0</v>
      </c>
      <c r="N13" s="186"/>
    </row>
    <row r="14" spans="1:14">
      <c r="A14" s="188" t="s">
        <v>421</v>
      </c>
      <c r="B14" s="186">
        <v>120669</v>
      </c>
      <c r="C14" s="186">
        <v>41198</v>
      </c>
      <c r="D14" s="186">
        <f>+B14-C14</f>
        <v>79471</v>
      </c>
      <c r="E14" s="186">
        <v>41198</v>
      </c>
      <c r="F14" s="186">
        <v>120098</v>
      </c>
      <c r="G14" s="186">
        <v>41198</v>
      </c>
      <c r="H14" s="186">
        <f>+F14-G14</f>
        <v>78900</v>
      </c>
      <c r="I14" s="186"/>
      <c r="J14" s="186"/>
      <c r="K14" s="186"/>
      <c r="L14" s="186"/>
      <c r="M14" s="186"/>
      <c r="N14" s="186"/>
    </row>
    <row r="15" spans="1:14">
      <c r="A15" s="188"/>
      <c r="B15" s="184"/>
      <c r="C15" s="184"/>
      <c r="D15" s="184"/>
      <c r="E15" s="184"/>
      <c r="F15" s="184"/>
      <c r="G15" s="184"/>
      <c r="H15" s="184"/>
      <c r="I15" s="184"/>
      <c r="J15" s="184"/>
      <c r="K15" s="184"/>
      <c r="L15" s="184"/>
      <c r="M15" s="184"/>
      <c r="N15" s="184"/>
    </row>
    <row r="16" spans="1:14">
      <c r="A16" s="183" t="s">
        <v>422</v>
      </c>
      <c r="B16" s="186"/>
      <c r="C16" s="186"/>
      <c r="D16" s="186"/>
      <c r="E16" s="186"/>
      <c r="F16" s="186"/>
      <c r="G16" s="186"/>
      <c r="H16" s="186"/>
      <c r="I16" s="186"/>
      <c r="J16" s="186"/>
      <c r="K16" s="186"/>
      <c r="L16" s="186"/>
      <c r="M16" s="186"/>
      <c r="N16" s="186"/>
    </row>
    <row r="17" spans="1:14">
      <c r="A17" s="188" t="s">
        <v>423</v>
      </c>
      <c r="B17" s="186">
        <v>1862095</v>
      </c>
      <c r="C17" s="186">
        <v>2963511</v>
      </c>
      <c r="D17" s="186">
        <f>+B17-C17</f>
        <v>-1101416</v>
      </c>
      <c r="E17" s="186">
        <v>2031675</v>
      </c>
      <c r="F17" s="186">
        <v>2327241</v>
      </c>
      <c r="G17" s="186">
        <v>3001280</v>
      </c>
      <c r="H17" s="186">
        <f>+F17-G17</f>
        <v>-674039</v>
      </c>
      <c r="I17" s="186">
        <v>21979</v>
      </c>
      <c r="J17" s="186">
        <v>21700</v>
      </c>
      <c r="K17" s="186">
        <f>+I17-J17</f>
        <v>279</v>
      </c>
      <c r="L17" s="186">
        <v>21700</v>
      </c>
      <c r="M17" s="186">
        <v>21700</v>
      </c>
      <c r="N17" s="186">
        <f>+L17-M17</f>
        <v>0</v>
      </c>
    </row>
    <row r="18" spans="1:14">
      <c r="A18" s="188" t="s">
        <v>424</v>
      </c>
      <c r="B18" s="186">
        <v>0</v>
      </c>
      <c r="C18" s="186">
        <v>0</v>
      </c>
      <c r="D18" s="186">
        <v>0</v>
      </c>
      <c r="E18" s="186">
        <v>0</v>
      </c>
      <c r="F18" s="186">
        <v>0</v>
      </c>
      <c r="G18" s="186">
        <v>0</v>
      </c>
      <c r="H18" s="186">
        <v>0</v>
      </c>
      <c r="I18" s="186"/>
      <c r="J18" s="186"/>
      <c r="K18" s="186"/>
      <c r="L18" s="186"/>
      <c r="M18" s="186"/>
      <c r="N18" s="186"/>
    </row>
    <row r="19" spans="1:14">
      <c r="A19" s="188" t="s">
        <v>425</v>
      </c>
      <c r="B19" s="186">
        <v>29094</v>
      </c>
      <c r="C19" s="186">
        <v>82206</v>
      </c>
      <c r="D19" s="186">
        <f>+B19-C19</f>
        <v>-53112</v>
      </c>
      <c r="E19" s="186">
        <v>0</v>
      </c>
      <c r="F19" s="186">
        <v>28961</v>
      </c>
      <c r="G19" s="186">
        <v>81206</v>
      </c>
      <c r="H19" s="186">
        <f>+F19-G19</f>
        <v>-52245</v>
      </c>
      <c r="I19" s="186">
        <v>16071</v>
      </c>
      <c r="J19" s="186">
        <v>15944</v>
      </c>
      <c r="K19" s="186">
        <f>+I19-J19</f>
        <v>127</v>
      </c>
      <c r="L19" s="186">
        <v>15944</v>
      </c>
      <c r="M19" s="186">
        <v>15944</v>
      </c>
      <c r="N19" s="186">
        <f>+L19-M19</f>
        <v>0</v>
      </c>
    </row>
    <row r="20" spans="1:14">
      <c r="A20" s="188" t="s">
        <v>426</v>
      </c>
      <c r="B20" s="186">
        <v>57243</v>
      </c>
      <c r="C20" s="186">
        <v>0</v>
      </c>
      <c r="D20" s="186">
        <f>+B20-C20</f>
        <v>57243</v>
      </c>
      <c r="E20" s="186"/>
      <c r="F20" s="186">
        <v>56974</v>
      </c>
      <c r="G20" s="186"/>
      <c r="H20" s="186"/>
      <c r="I20" s="186">
        <v>714</v>
      </c>
      <c r="J20" s="186">
        <v>0</v>
      </c>
      <c r="K20" s="186">
        <f>+I20-J20</f>
        <v>714</v>
      </c>
      <c r="L20" s="186">
        <v>0</v>
      </c>
      <c r="M20" s="186">
        <v>0</v>
      </c>
      <c r="N20" s="186">
        <f>+L20-M20</f>
        <v>0</v>
      </c>
    </row>
    <row r="21" spans="1:14" ht="45.75">
      <c r="A21" s="188" t="s">
        <v>427</v>
      </c>
      <c r="B21" s="186">
        <v>430291</v>
      </c>
      <c r="C21" s="186">
        <v>863777</v>
      </c>
      <c r="D21" s="186">
        <f>+B21-C21</f>
        <v>-433486</v>
      </c>
      <c r="E21" s="186">
        <v>865777</v>
      </c>
      <c r="F21" s="186">
        <v>859349</v>
      </c>
      <c r="G21" s="186">
        <v>860587</v>
      </c>
      <c r="H21" s="186">
        <f>+F21-G21</f>
        <v>-1238</v>
      </c>
      <c r="I21" s="186">
        <v>10716</v>
      </c>
      <c r="J21" s="186">
        <v>10677</v>
      </c>
      <c r="K21" s="186">
        <f>+I21-J21</f>
        <v>39</v>
      </c>
      <c r="L21" s="186">
        <v>10677</v>
      </c>
      <c r="M21" s="186">
        <v>10677</v>
      </c>
      <c r="N21" s="186">
        <f>+L21-M21</f>
        <v>0</v>
      </c>
    </row>
    <row r="22" spans="1:14">
      <c r="A22" s="188"/>
      <c r="B22" s="186"/>
      <c r="C22" s="186"/>
      <c r="D22" s="186"/>
      <c r="E22" s="186"/>
      <c r="F22" s="186"/>
      <c r="G22" s="186"/>
      <c r="H22" s="186"/>
      <c r="I22" s="186"/>
      <c r="J22" s="186"/>
      <c r="K22" s="186"/>
      <c r="L22" s="186"/>
      <c r="M22" s="186"/>
      <c r="N22" s="186"/>
    </row>
    <row r="23" spans="1:14">
      <c r="A23" s="189" t="s">
        <v>428</v>
      </c>
      <c r="B23" s="186"/>
      <c r="C23" s="186"/>
      <c r="D23" s="186"/>
      <c r="E23" s="186"/>
      <c r="F23" s="186"/>
      <c r="G23" s="186"/>
      <c r="H23" s="186"/>
      <c r="I23" s="186"/>
      <c r="J23" s="186"/>
      <c r="K23" s="186"/>
      <c r="L23" s="186"/>
      <c r="M23" s="186"/>
      <c r="N23" s="186"/>
    </row>
    <row r="24" spans="1:14">
      <c r="A24" s="188" t="s">
        <v>429</v>
      </c>
      <c r="B24" s="186"/>
      <c r="C24" s="186"/>
      <c r="D24" s="186"/>
      <c r="E24" s="186"/>
      <c r="F24" s="186"/>
      <c r="G24" s="186"/>
      <c r="H24" s="186"/>
      <c r="I24" s="186"/>
      <c r="J24" s="186"/>
      <c r="K24" s="186"/>
      <c r="L24" s="186"/>
      <c r="M24" s="186"/>
      <c r="N24" s="186"/>
    </row>
    <row r="25" spans="1:14">
      <c r="A25" s="188" t="s">
        <v>430</v>
      </c>
      <c r="B25" s="186"/>
      <c r="C25" s="186"/>
      <c r="D25" s="186"/>
      <c r="E25" s="186"/>
      <c r="F25" s="186"/>
      <c r="G25" s="186"/>
      <c r="H25" s="186"/>
      <c r="I25" s="186"/>
      <c r="J25" s="186"/>
      <c r="K25" s="186"/>
      <c r="L25" s="186"/>
      <c r="M25" s="186"/>
      <c r="N25" s="186"/>
    </row>
    <row r="26" spans="1:14">
      <c r="A26" s="188" t="s">
        <v>431</v>
      </c>
      <c r="B26" s="186"/>
      <c r="C26" s="186"/>
      <c r="D26" s="186"/>
      <c r="E26" s="186"/>
      <c r="F26" s="186"/>
      <c r="G26" s="186"/>
      <c r="H26" s="186"/>
      <c r="I26" s="186"/>
      <c r="J26" s="186"/>
      <c r="K26" s="186"/>
      <c r="L26" s="186"/>
      <c r="M26" s="186"/>
      <c r="N26" s="186"/>
    </row>
    <row r="27" spans="1:14">
      <c r="A27" s="188"/>
      <c r="B27" s="186"/>
      <c r="C27" s="186"/>
      <c r="D27" s="186"/>
      <c r="E27" s="186"/>
      <c r="F27" s="186"/>
      <c r="G27" s="186"/>
      <c r="H27" s="186"/>
      <c r="I27" s="186"/>
      <c r="J27" s="186"/>
      <c r="K27" s="186"/>
      <c r="L27" s="186"/>
      <c r="M27" s="186"/>
      <c r="N27" s="186"/>
    </row>
    <row r="28" spans="1:14">
      <c r="A28" s="189" t="s">
        <v>432</v>
      </c>
      <c r="B28" s="186"/>
      <c r="C28" s="186"/>
      <c r="D28" s="186"/>
      <c r="E28" s="186"/>
      <c r="F28" s="186"/>
      <c r="G28" s="186"/>
      <c r="H28" s="186"/>
      <c r="I28" s="186"/>
      <c r="J28" s="186"/>
      <c r="K28" s="186"/>
      <c r="L28" s="186"/>
      <c r="M28" s="186"/>
      <c r="N28" s="186"/>
    </row>
    <row r="29" spans="1:14">
      <c r="A29" s="188" t="s">
        <v>433</v>
      </c>
      <c r="B29" s="186"/>
      <c r="C29" s="186"/>
      <c r="D29" s="186"/>
      <c r="E29" s="186"/>
      <c r="F29" s="186"/>
      <c r="G29" s="186"/>
      <c r="H29" s="186"/>
      <c r="I29" s="186"/>
      <c r="J29" s="186"/>
      <c r="K29" s="186"/>
      <c r="L29" s="186"/>
      <c r="M29" s="186"/>
      <c r="N29" s="186"/>
    </row>
    <row r="30" spans="1:14">
      <c r="A30" s="188" t="s">
        <v>430</v>
      </c>
      <c r="B30" s="186"/>
      <c r="C30" s="186"/>
      <c r="D30" s="186"/>
      <c r="E30" s="186"/>
      <c r="F30" s="186"/>
      <c r="G30" s="186"/>
      <c r="H30" s="186"/>
      <c r="I30" s="186"/>
      <c r="J30" s="186"/>
      <c r="K30" s="186"/>
      <c r="L30" s="186"/>
      <c r="M30" s="186"/>
      <c r="N30" s="186"/>
    </row>
    <row r="31" spans="1:14">
      <c r="A31" s="188"/>
      <c r="B31" s="186"/>
      <c r="C31" s="186"/>
      <c r="D31" s="186"/>
      <c r="E31" s="186"/>
      <c r="F31" s="186"/>
      <c r="G31" s="186"/>
      <c r="H31" s="186"/>
      <c r="I31" s="186"/>
      <c r="J31" s="186"/>
      <c r="K31" s="186"/>
      <c r="L31" s="186"/>
      <c r="M31" s="186"/>
      <c r="N31" s="186"/>
    </row>
    <row r="32" spans="1:14">
      <c r="A32" s="189" t="s">
        <v>434</v>
      </c>
      <c r="B32" s="186"/>
      <c r="C32" s="186"/>
      <c r="D32" s="186"/>
      <c r="E32" s="186"/>
      <c r="F32" s="186"/>
      <c r="G32" s="186"/>
      <c r="H32" s="186"/>
      <c r="I32" s="186"/>
      <c r="J32" s="186"/>
      <c r="K32" s="186"/>
      <c r="L32" s="186"/>
      <c r="M32" s="186"/>
      <c r="N32" s="186"/>
    </row>
    <row r="33" spans="1:14">
      <c r="A33" s="188" t="s">
        <v>435</v>
      </c>
      <c r="B33" s="186"/>
      <c r="C33" s="186"/>
      <c r="D33" s="186"/>
      <c r="E33" s="186"/>
      <c r="F33" s="186"/>
      <c r="G33" s="186"/>
      <c r="H33" s="186"/>
      <c r="I33" s="186"/>
      <c r="J33" s="186"/>
      <c r="K33" s="186"/>
      <c r="L33" s="186"/>
      <c r="M33" s="186"/>
      <c r="N33" s="186"/>
    </row>
    <row r="34" spans="1:14">
      <c r="A34" s="188" t="s">
        <v>431</v>
      </c>
      <c r="B34" s="186"/>
      <c r="C34" s="186"/>
      <c r="D34" s="186"/>
      <c r="E34" s="186"/>
      <c r="F34" s="186"/>
      <c r="G34" s="186"/>
      <c r="H34" s="186"/>
      <c r="I34" s="186"/>
      <c r="J34" s="186"/>
      <c r="K34" s="186"/>
      <c r="L34" s="186"/>
      <c r="M34" s="186"/>
      <c r="N34" s="186"/>
    </row>
    <row r="35" spans="1:14">
      <c r="A35" s="188" t="s">
        <v>436</v>
      </c>
      <c r="B35" s="186"/>
      <c r="C35" s="186"/>
      <c r="D35" s="186"/>
      <c r="E35" s="186"/>
      <c r="F35" s="186"/>
      <c r="G35" s="186"/>
      <c r="H35" s="186"/>
      <c r="I35" s="186"/>
      <c r="J35" s="186"/>
      <c r="K35" s="186"/>
      <c r="L35" s="186"/>
      <c r="M35" s="186"/>
      <c r="N35" s="186"/>
    </row>
    <row r="36" spans="1:14">
      <c r="A36" s="188" t="s">
        <v>437</v>
      </c>
      <c r="B36" s="186"/>
      <c r="C36" s="186"/>
      <c r="D36" s="186"/>
      <c r="E36" s="186"/>
      <c r="F36" s="186"/>
      <c r="G36" s="186"/>
      <c r="H36" s="186"/>
      <c r="I36" s="186"/>
      <c r="J36" s="186"/>
      <c r="K36" s="186"/>
      <c r="L36" s="186"/>
      <c r="M36" s="186"/>
      <c r="N36" s="186"/>
    </row>
    <row r="37" spans="1:14">
      <c r="A37" s="188"/>
      <c r="B37" s="186"/>
      <c r="C37" s="186"/>
      <c r="D37" s="186"/>
      <c r="E37" s="186"/>
      <c r="F37" s="186"/>
      <c r="G37" s="186"/>
      <c r="H37" s="186"/>
      <c r="I37" s="186"/>
      <c r="J37" s="186"/>
      <c r="K37" s="186"/>
      <c r="L37" s="186"/>
      <c r="M37" s="186"/>
      <c r="N37" s="186"/>
    </row>
    <row r="38" spans="1:14">
      <c r="A38" s="189" t="s">
        <v>438</v>
      </c>
      <c r="B38" s="186"/>
      <c r="C38" s="186"/>
      <c r="D38" s="186"/>
      <c r="E38" s="186"/>
      <c r="F38" s="186"/>
      <c r="G38" s="186"/>
      <c r="H38" s="186"/>
      <c r="I38" s="186"/>
      <c r="J38" s="186"/>
      <c r="K38" s="186"/>
      <c r="L38" s="186"/>
      <c r="M38" s="186"/>
      <c r="N38" s="186"/>
    </row>
    <row r="39" spans="1:14">
      <c r="A39" s="188" t="s">
        <v>439</v>
      </c>
      <c r="B39" s="186"/>
      <c r="C39" s="186"/>
      <c r="D39" s="186"/>
      <c r="E39" s="186"/>
      <c r="F39" s="186"/>
      <c r="G39" s="186"/>
      <c r="H39" s="186"/>
      <c r="I39" s="186"/>
      <c r="J39" s="186"/>
      <c r="K39" s="186"/>
      <c r="L39" s="186"/>
      <c r="M39" s="186"/>
      <c r="N39" s="186"/>
    </row>
    <row r="40" spans="1:14">
      <c r="A40" s="188" t="s">
        <v>440</v>
      </c>
      <c r="B40" s="186"/>
      <c r="C40" s="186"/>
      <c r="D40" s="186"/>
      <c r="E40" s="186"/>
      <c r="F40" s="186"/>
      <c r="G40" s="186"/>
      <c r="H40" s="186"/>
      <c r="I40" s="186"/>
      <c r="J40" s="186"/>
      <c r="K40" s="186"/>
      <c r="L40" s="186"/>
      <c r="M40" s="186"/>
      <c r="N40" s="186"/>
    </row>
    <row r="41" spans="1:14" ht="34.5">
      <c r="A41" s="188" t="s">
        <v>441</v>
      </c>
      <c r="B41" s="186"/>
      <c r="C41" s="186"/>
      <c r="D41" s="186"/>
      <c r="E41" s="186"/>
      <c r="F41" s="186"/>
      <c r="G41" s="186"/>
      <c r="H41" s="186"/>
      <c r="I41" s="186"/>
      <c r="J41" s="186"/>
      <c r="K41" s="186"/>
      <c r="L41" s="186"/>
      <c r="M41" s="186"/>
      <c r="N41" s="186"/>
    </row>
    <row r="42" spans="1:14" ht="34.5">
      <c r="A42" s="188" t="s">
        <v>442</v>
      </c>
      <c r="B42" s="186"/>
      <c r="C42" s="186"/>
      <c r="D42" s="186"/>
      <c r="E42" s="186"/>
      <c r="F42" s="186"/>
      <c r="G42" s="186"/>
      <c r="H42" s="186"/>
      <c r="I42" s="186"/>
      <c r="J42" s="186"/>
      <c r="K42" s="186"/>
      <c r="L42" s="186"/>
      <c r="M42" s="186"/>
      <c r="N42" s="186"/>
    </row>
    <row r="43" spans="1:14">
      <c r="A43" s="188"/>
      <c r="B43" s="186"/>
      <c r="C43" s="186"/>
      <c r="D43" s="186"/>
      <c r="E43" s="186"/>
      <c r="F43" s="186"/>
      <c r="G43" s="186"/>
      <c r="H43" s="186"/>
      <c r="I43" s="186"/>
      <c r="J43" s="186"/>
      <c r="K43" s="186"/>
      <c r="L43" s="186"/>
      <c r="M43" s="186"/>
      <c r="N43" s="186"/>
    </row>
    <row r="44" spans="1:14">
      <c r="A44" s="189" t="s">
        <v>443</v>
      </c>
      <c r="B44" s="186"/>
      <c r="C44" s="186"/>
      <c r="D44" s="186"/>
      <c r="E44" s="186"/>
      <c r="F44" s="186"/>
      <c r="G44" s="186"/>
      <c r="H44" s="186"/>
      <c r="I44" s="186"/>
      <c r="J44" s="186"/>
      <c r="K44" s="186"/>
      <c r="L44" s="186"/>
      <c r="M44" s="186"/>
      <c r="N44" s="186"/>
    </row>
    <row r="45" spans="1:14">
      <c r="A45" s="188" t="s">
        <v>444</v>
      </c>
      <c r="B45" s="186"/>
      <c r="C45" s="186"/>
      <c r="D45" s="186"/>
      <c r="E45" s="186"/>
      <c r="F45" s="186"/>
      <c r="G45" s="186"/>
      <c r="H45" s="186"/>
      <c r="I45" s="186"/>
      <c r="J45" s="186"/>
      <c r="K45" s="186"/>
      <c r="L45" s="186"/>
      <c r="M45" s="186"/>
      <c r="N45" s="186"/>
    </row>
    <row r="46" spans="1:14" ht="34.5">
      <c r="A46" s="188" t="s">
        <v>445</v>
      </c>
      <c r="B46" s="186"/>
      <c r="C46" s="186"/>
      <c r="D46" s="186"/>
      <c r="E46" s="186"/>
      <c r="F46" s="186"/>
      <c r="G46" s="186"/>
      <c r="H46" s="186"/>
      <c r="I46" s="186"/>
      <c r="J46" s="186"/>
      <c r="K46" s="186"/>
      <c r="L46" s="186"/>
      <c r="M46" s="186"/>
      <c r="N46" s="186"/>
    </row>
    <row r="47" spans="1:14">
      <c r="A47" s="185"/>
      <c r="B47" s="186"/>
      <c r="C47" s="186"/>
      <c r="D47" s="186"/>
      <c r="E47" s="186"/>
      <c r="F47" s="186"/>
      <c r="G47" s="186"/>
      <c r="H47" s="186"/>
      <c r="I47" s="186"/>
      <c r="J47" s="186"/>
      <c r="K47" s="186"/>
      <c r="L47" s="186"/>
      <c r="M47" s="186"/>
      <c r="N47" s="186"/>
    </row>
    <row r="48" spans="1:14">
      <c r="A48" s="185"/>
      <c r="B48" s="186"/>
      <c r="C48" s="186"/>
      <c r="D48" s="186"/>
      <c r="E48" s="186"/>
      <c r="F48" s="186"/>
      <c r="G48" s="186"/>
      <c r="H48" s="186"/>
      <c r="I48" s="186"/>
      <c r="J48" s="186"/>
      <c r="K48" s="186"/>
      <c r="L48" s="186"/>
      <c r="M48" s="186"/>
      <c r="N48" s="186"/>
    </row>
    <row r="49" spans="1:14">
      <c r="A49" s="181" t="s">
        <v>0</v>
      </c>
      <c r="B49" s="184"/>
      <c r="C49" s="184"/>
      <c r="D49" s="184"/>
      <c r="E49" s="184"/>
      <c r="F49" s="184"/>
      <c r="G49" s="184"/>
      <c r="H49" s="184"/>
      <c r="I49" s="184"/>
      <c r="J49" s="184"/>
      <c r="K49" s="184"/>
      <c r="L49" s="184"/>
      <c r="M49" s="184"/>
      <c r="N49" s="184"/>
    </row>
    <row r="50" spans="1:14">
      <c r="A50" s="181" t="s">
        <v>446</v>
      </c>
      <c r="B50" s="184"/>
      <c r="C50" s="184"/>
      <c r="D50" s="184"/>
      <c r="E50" s="184"/>
      <c r="F50" s="184"/>
      <c r="G50" s="184"/>
      <c r="H50" s="184"/>
      <c r="I50" s="184"/>
      <c r="J50" s="184"/>
      <c r="K50" s="184"/>
      <c r="L50" s="184"/>
      <c r="M50" s="184"/>
      <c r="N50" s="184"/>
    </row>
    <row r="51" spans="1:14">
      <c r="A51" s="54" t="s">
        <v>447</v>
      </c>
      <c r="B51" s="54"/>
      <c r="C51" s="54"/>
      <c r="D51" s="54"/>
      <c r="E51" s="54"/>
      <c r="F51" s="54"/>
      <c r="G51" s="54"/>
      <c r="H51" s="54"/>
      <c r="I51" s="54"/>
      <c r="J51" s="54"/>
      <c r="K51" s="54"/>
      <c r="L51" s="54"/>
      <c r="M51" s="54"/>
      <c r="N51" s="54"/>
    </row>
    <row r="52" spans="1:14">
      <c r="A52" s="54" t="s">
        <v>448</v>
      </c>
      <c r="B52" s="54"/>
      <c r="C52" s="54"/>
      <c r="D52" s="54"/>
      <c r="E52" s="54"/>
      <c r="F52" s="54"/>
      <c r="G52" s="54"/>
      <c r="H52" s="54"/>
      <c r="I52" s="54"/>
      <c r="J52" s="54"/>
      <c r="K52" s="54"/>
      <c r="L52" s="54"/>
      <c r="M52" s="54"/>
      <c r="N52" s="54"/>
    </row>
  </sheetData>
  <mergeCells count="4">
    <mergeCell ref="A4:A5"/>
    <mergeCell ref="B4:E4"/>
    <mergeCell ref="F4:H4"/>
    <mergeCell ref="I4:N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53"/>
  <sheetViews>
    <sheetView workbookViewId="0">
      <selection activeCell="P11" sqref="P11:P12"/>
    </sheetView>
  </sheetViews>
  <sheetFormatPr baseColWidth="10" defaultRowHeight="15"/>
  <cols>
    <col min="1" max="1" width="18" customWidth="1"/>
  </cols>
  <sheetData>
    <row r="1" spans="1:14">
      <c r="A1" s="173" t="s">
        <v>412</v>
      </c>
      <c r="B1" s="173"/>
      <c r="C1" s="173"/>
      <c r="D1" s="173"/>
      <c r="E1" s="173"/>
      <c r="F1" s="173"/>
      <c r="G1" s="173"/>
      <c r="H1" s="173"/>
      <c r="I1" s="173"/>
      <c r="J1" s="173"/>
      <c r="K1" s="173"/>
      <c r="L1" s="173"/>
      <c r="M1" s="173"/>
      <c r="N1" s="173"/>
    </row>
    <row r="2" spans="1:14">
      <c r="A2" s="1306" t="s">
        <v>301</v>
      </c>
      <c r="B2" s="1306"/>
      <c r="C2" s="1306"/>
      <c r="D2" s="1306"/>
      <c r="E2" s="173"/>
      <c r="F2" s="173"/>
      <c r="G2" s="173"/>
      <c r="H2" s="173"/>
      <c r="I2" s="173"/>
      <c r="J2" s="173"/>
      <c r="K2" s="173"/>
      <c r="L2" s="173"/>
      <c r="M2" s="173"/>
      <c r="N2" s="173"/>
    </row>
    <row r="3" spans="1:14">
      <c r="A3" s="1307" t="s">
        <v>460</v>
      </c>
      <c r="B3" s="1307"/>
      <c r="C3" s="174"/>
      <c r="D3" s="174"/>
      <c r="E3" s="174"/>
      <c r="F3" s="174"/>
      <c r="G3" s="174"/>
      <c r="H3" s="174"/>
      <c r="I3" s="174"/>
      <c r="J3" s="174"/>
      <c r="K3" s="174"/>
      <c r="L3" s="174"/>
      <c r="M3" s="174"/>
      <c r="N3" s="174"/>
    </row>
    <row r="4" spans="1:14" ht="23.45" customHeight="1">
      <c r="A4" s="1308" t="s">
        <v>414</v>
      </c>
      <c r="B4" s="1304" t="s">
        <v>449</v>
      </c>
      <c r="C4" s="1305"/>
      <c r="D4" s="1305"/>
      <c r="E4" s="1305"/>
      <c r="F4" s="1304" t="s">
        <v>452</v>
      </c>
      <c r="G4" s="1305"/>
      <c r="H4" s="1305"/>
      <c r="I4" s="1304" t="s">
        <v>453</v>
      </c>
      <c r="J4" s="1305"/>
      <c r="K4" s="1305"/>
      <c r="L4" s="1305"/>
      <c r="M4" s="1305"/>
      <c r="N4" s="1305"/>
    </row>
    <row r="5" spans="1:14" ht="45" customHeight="1">
      <c r="A5" s="1305"/>
      <c r="B5" s="190">
        <v>2019</v>
      </c>
      <c r="C5" s="190">
        <v>2020</v>
      </c>
      <c r="D5" s="190" t="s">
        <v>450</v>
      </c>
      <c r="E5" s="190" t="s">
        <v>451</v>
      </c>
      <c r="F5" s="190">
        <v>2019</v>
      </c>
      <c r="G5" s="190">
        <v>2020</v>
      </c>
      <c r="H5" s="190" t="s">
        <v>450</v>
      </c>
      <c r="I5" s="190">
        <v>2019</v>
      </c>
      <c r="J5" s="190" t="s">
        <v>273</v>
      </c>
      <c r="K5" s="190" t="s">
        <v>450</v>
      </c>
      <c r="L5" s="190" t="s">
        <v>454</v>
      </c>
      <c r="M5" s="190" t="s">
        <v>451</v>
      </c>
      <c r="N5" s="190" t="s">
        <v>455</v>
      </c>
    </row>
    <row r="6" spans="1:14">
      <c r="A6" s="191"/>
      <c r="B6" s="192"/>
      <c r="C6" s="192"/>
      <c r="D6" s="192"/>
      <c r="E6" s="192"/>
      <c r="F6" s="192"/>
      <c r="G6" s="192"/>
      <c r="H6" s="192"/>
      <c r="I6" s="193"/>
      <c r="J6" s="193"/>
      <c r="K6" s="193"/>
      <c r="L6" s="193"/>
      <c r="M6" s="193"/>
      <c r="N6" s="193"/>
    </row>
    <row r="7" spans="1:14" ht="34.5">
      <c r="A7" s="194" t="s">
        <v>415</v>
      </c>
      <c r="B7" s="195"/>
      <c r="C7" s="195"/>
      <c r="D7" s="195"/>
      <c r="E7" s="195"/>
      <c r="F7" s="195"/>
      <c r="G7" s="195"/>
      <c r="H7" s="195"/>
      <c r="I7" s="196"/>
      <c r="J7" s="196"/>
      <c r="K7" s="196"/>
      <c r="L7" s="196"/>
      <c r="M7" s="196"/>
      <c r="N7" s="196"/>
    </row>
    <row r="8" spans="1:14">
      <c r="A8" s="197" t="s">
        <v>416</v>
      </c>
      <c r="B8" s="198"/>
      <c r="C8" s="198"/>
      <c r="D8" s="198"/>
      <c r="E8" s="198"/>
      <c r="F8" s="198"/>
      <c r="G8" s="198"/>
      <c r="H8" s="198"/>
      <c r="I8" s="199"/>
      <c r="J8" s="199"/>
      <c r="K8" s="199"/>
      <c r="L8" s="199"/>
      <c r="M8" s="199"/>
      <c r="N8" s="199"/>
    </row>
    <row r="9" spans="1:14">
      <c r="A9" s="200"/>
      <c r="B9" s="198"/>
      <c r="C9" s="198"/>
      <c r="D9" s="198"/>
      <c r="E9" s="198"/>
      <c r="F9" s="198"/>
      <c r="G9" s="198"/>
      <c r="H9" s="198"/>
      <c r="I9" s="199"/>
      <c r="J9" s="199"/>
      <c r="K9" s="199"/>
      <c r="L9" s="199"/>
      <c r="M9" s="199"/>
      <c r="N9" s="199"/>
    </row>
    <row r="10" spans="1:14">
      <c r="A10" s="194" t="s">
        <v>417</v>
      </c>
      <c r="B10" s="198"/>
      <c r="C10" s="198"/>
      <c r="D10" s="198"/>
      <c r="E10" s="198"/>
      <c r="F10" s="198"/>
      <c r="G10" s="198"/>
      <c r="H10" s="198"/>
      <c r="I10" s="199"/>
      <c r="J10" s="199"/>
      <c r="K10" s="199"/>
      <c r="L10" s="199"/>
      <c r="M10" s="199"/>
      <c r="N10" s="199"/>
    </row>
    <row r="11" spans="1:14">
      <c r="A11" s="201" t="s">
        <v>418</v>
      </c>
      <c r="B11" s="198">
        <v>664454</v>
      </c>
      <c r="C11" s="198">
        <v>461778</v>
      </c>
      <c r="D11" s="198">
        <f>B11-C11</f>
        <v>202676</v>
      </c>
      <c r="E11" s="198">
        <v>511121</v>
      </c>
      <c r="F11" s="198">
        <v>1048045</v>
      </c>
      <c r="G11" s="198">
        <v>1572211</v>
      </c>
      <c r="H11" s="198">
        <f t="shared" ref="H11:H14" si="0">F11-G11</f>
        <v>-524166</v>
      </c>
      <c r="I11" s="199">
        <v>1244</v>
      </c>
      <c r="J11" s="199">
        <v>1228</v>
      </c>
      <c r="K11" s="199">
        <f>I11-J11</f>
        <v>16</v>
      </c>
      <c r="L11" s="199">
        <v>1500</v>
      </c>
      <c r="M11" s="199">
        <v>1540</v>
      </c>
      <c r="N11" s="199">
        <f t="shared" ref="N11:N14" si="1">+L11-M11</f>
        <v>-40</v>
      </c>
    </row>
    <row r="12" spans="1:14">
      <c r="A12" s="201" t="s">
        <v>419</v>
      </c>
      <c r="B12" s="198">
        <v>14535604</v>
      </c>
      <c r="C12" s="198">
        <v>15847727</v>
      </c>
      <c r="D12" s="198">
        <f t="shared" ref="D12:D14" si="2">B12-C12</f>
        <v>-1312123</v>
      </c>
      <c r="E12" s="198">
        <v>15641200</v>
      </c>
      <c r="F12" s="198">
        <v>20522116</v>
      </c>
      <c r="G12" s="198">
        <v>20707288</v>
      </c>
      <c r="H12" s="198">
        <f t="shared" si="0"/>
        <v>-185172</v>
      </c>
      <c r="I12" s="199">
        <v>17443</v>
      </c>
      <c r="J12" s="199">
        <v>5434</v>
      </c>
      <c r="K12" s="199">
        <f>I12-J12</f>
        <v>12009</v>
      </c>
      <c r="L12" s="199">
        <v>22248</v>
      </c>
      <c r="M12" s="199">
        <v>32154</v>
      </c>
      <c r="N12" s="199">
        <f t="shared" si="1"/>
        <v>-9906</v>
      </c>
    </row>
    <row r="13" spans="1:14">
      <c r="A13" s="201" t="s">
        <v>420</v>
      </c>
      <c r="B13" s="198">
        <v>7557808</v>
      </c>
      <c r="C13" s="198">
        <v>10631432</v>
      </c>
      <c r="D13" s="198">
        <f t="shared" si="2"/>
        <v>-3073624</v>
      </c>
      <c r="E13" s="198">
        <v>10763582</v>
      </c>
      <c r="F13" s="198">
        <v>14917420</v>
      </c>
      <c r="G13" s="198">
        <v>15584411</v>
      </c>
      <c r="H13" s="198">
        <f t="shared" si="0"/>
        <v>-666991</v>
      </c>
      <c r="I13" s="199">
        <v>6737</v>
      </c>
      <c r="J13" s="199">
        <v>1715</v>
      </c>
      <c r="K13" s="199">
        <f>I13-J13</f>
        <v>5022</v>
      </c>
      <c r="L13" s="199">
        <v>12874</v>
      </c>
      <c r="M13" s="199">
        <v>17030</v>
      </c>
      <c r="N13" s="199">
        <f t="shared" si="1"/>
        <v>-4156</v>
      </c>
    </row>
    <row r="14" spans="1:14">
      <c r="A14" s="201" t="s">
        <v>421</v>
      </c>
      <c r="B14" s="198">
        <v>6977796</v>
      </c>
      <c r="C14" s="198">
        <v>5216295</v>
      </c>
      <c r="D14" s="198">
        <f t="shared" si="2"/>
        <v>1761501</v>
      </c>
      <c r="E14" s="198">
        <v>4877618</v>
      </c>
      <c r="F14" s="198">
        <v>5604696</v>
      </c>
      <c r="G14" s="198">
        <v>5122877</v>
      </c>
      <c r="H14" s="198">
        <f t="shared" si="0"/>
        <v>481819</v>
      </c>
      <c r="I14" s="199">
        <v>10706</v>
      </c>
      <c r="J14" s="199">
        <v>3719</v>
      </c>
      <c r="K14" s="199">
        <f>I14-J14</f>
        <v>6987</v>
      </c>
      <c r="L14" s="199">
        <v>9374</v>
      </c>
      <c r="M14" s="199">
        <v>15124</v>
      </c>
      <c r="N14" s="199">
        <f t="shared" si="1"/>
        <v>-5750</v>
      </c>
    </row>
    <row r="15" spans="1:14">
      <c r="A15" s="201"/>
      <c r="B15" s="195"/>
      <c r="C15" s="195"/>
      <c r="D15" s="195"/>
      <c r="E15" s="195"/>
      <c r="F15" s="195"/>
      <c r="G15" s="195"/>
      <c r="H15" s="195"/>
      <c r="I15" s="196"/>
      <c r="J15" s="196"/>
      <c r="K15" s="196"/>
      <c r="L15" s="196"/>
      <c r="M15" s="196"/>
      <c r="N15" s="196"/>
    </row>
    <row r="16" spans="1:14">
      <c r="A16" s="194" t="s">
        <v>422</v>
      </c>
      <c r="B16" s="198"/>
      <c r="C16" s="198"/>
      <c r="D16" s="198"/>
      <c r="E16" s="198"/>
      <c r="F16" s="198"/>
      <c r="G16" s="198"/>
      <c r="H16" s="198"/>
      <c r="I16" s="199"/>
      <c r="J16" s="199"/>
      <c r="K16" s="199"/>
      <c r="L16" s="199"/>
      <c r="M16" s="199"/>
      <c r="N16" s="199"/>
    </row>
    <row r="17" spans="1:14">
      <c r="A17" s="201" t="s">
        <v>423</v>
      </c>
      <c r="B17" s="198">
        <v>29509582</v>
      </c>
      <c r="C17" s="198">
        <v>19612836</v>
      </c>
      <c r="D17" s="198">
        <f t="shared" ref="D17:D21" si="3">B17-C17</f>
        <v>9896746</v>
      </c>
      <c r="E17" s="198">
        <v>37292782</v>
      </c>
      <c r="F17" s="198">
        <v>40710777</v>
      </c>
      <c r="G17" s="198">
        <v>30972615</v>
      </c>
      <c r="H17" s="198">
        <f>F17-G17</f>
        <v>9738162</v>
      </c>
      <c r="I17" s="199">
        <v>94531</v>
      </c>
      <c r="J17" s="199">
        <v>19359</v>
      </c>
      <c r="K17" s="199">
        <v>74992</v>
      </c>
      <c r="L17" s="199">
        <v>56429</v>
      </c>
      <c r="M17" s="199">
        <v>95845</v>
      </c>
      <c r="N17" s="199">
        <f>+L17-M17</f>
        <v>-39416</v>
      </c>
    </row>
    <row r="18" spans="1:14">
      <c r="A18" s="201" t="s">
        <v>424</v>
      </c>
      <c r="B18" s="198">
        <v>0</v>
      </c>
      <c r="C18" s="198"/>
      <c r="D18" s="198">
        <f t="shared" si="3"/>
        <v>0</v>
      </c>
      <c r="E18" s="198">
        <v>0</v>
      </c>
      <c r="F18" s="198">
        <v>0</v>
      </c>
      <c r="G18" s="198">
        <v>0</v>
      </c>
      <c r="H18" s="198">
        <f t="shared" ref="H18:H21" si="4">F18-G18</f>
        <v>0</v>
      </c>
      <c r="I18" s="199"/>
      <c r="J18" s="199"/>
      <c r="K18" s="199"/>
      <c r="L18" s="199"/>
      <c r="M18" s="199"/>
      <c r="N18" s="199"/>
    </row>
    <row r="19" spans="1:14">
      <c r="A19" s="201" t="s">
        <v>425</v>
      </c>
      <c r="B19" s="198">
        <v>24119010</v>
      </c>
      <c r="C19" s="198">
        <v>15462002</v>
      </c>
      <c r="D19" s="198">
        <f t="shared" si="3"/>
        <v>8657008</v>
      </c>
      <c r="E19" s="198">
        <v>29310182</v>
      </c>
      <c r="F19" s="198">
        <v>33827177</v>
      </c>
      <c r="G19" s="198">
        <v>26030946</v>
      </c>
      <c r="H19" s="198">
        <f t="shared" si="4"/>
        <v>7796231</v>
      </c>
      <c r="I19" s="199">
        <v>45161</v>
      </c>
      <c r="J19" s="199">
        <v>4279</v>
      </c>
      <c r="K19" s="199">
        <f>I19-J19</f>
        <v>40882</v>
      </c>
      <c r="L19" s="199">
        <v>21996</v>
      </c>
      <c r="M19" s="199">
        <v>46065</v>
      </c>
      <c r="N19" s="199">
        <f>+L19-M19</f>
        <v>-24069</v>
      </c>
    </row>
    <row r="20" spans="1:14">
      <c r="A20" s="201" t="s">
        <v>426</v>
      </c>
      <c r="B20" s="198">
        <v>5390572</v>
      </c>
      <c r="C20" s="198">
        <v>4150834</v>
      </c>
      <c r="D20" s="198">
        <f t="shared" si="3"/>
        <v>1239738</v>
      </c>
      <c r="E20" s="198">
        <v>7982600</v>
      </c>
      <c r="F20" s="198">
        <v>6883600</v>
      </c>
      <c r="G20" s="198">
        <v>4941669</v>
      </c>
      <c r="H20" s="198">
        <f t="shared" si="4"/>
        <v>1941931</v>
      </c>
      <c r="I20" s="199">
        <v>49190</v>
      </c>
      <c r="J20" s="199">
        <v>15080</v>
      </c>
      <c r="K20" s="199">
        <f>I20-J20</f>
        <v>34110</v>
      </c>
      <c r="L20" s="199">
        <v>34433</v>
      </c>
      <c r="M20" s="199">
        <v>49780</v>
      </c>
      <c r="N20" s="199">
        <f>+L20-M20</f>
        <v>-15347</v>
      </c>
    </row>
    <row r="21" spans="1:14" ht="34.5">
      <c r="A21" s="201" t="s">
        <v>427</v>
      </c>
      <c r="B21" s="198">
        <v>0</v>
      </c>
      <c r="C21" s="198"/>
      <c r="D21" s="198">
        <f t="shared" si="3"/>
        <v>0</v>
      </c>
      <c r="E21" s="198">
        <v>0</v>
      </c>
      <c r="F21" s="198">
        <v>0</v>
      </c>
      <c r="G21" s="198">
        <v>0</v>
      </c>
      <c r="H21" s="198">
        <f t="shared" si="4"/>
        <v>0</v>
      </c>
      <c r="I21" s="199"/>
      <c r="J21" s="199"/>
      <c r="K21" s="199"/>
      <c r="L21" s="199"/>
      <c r="M21" s="199"/>
      <c r="N21" s="199"/>
    </row>
    <row r="22" spans="1:14">
      <c r="A22" s="201"/>
      <c r="B22" s="198"/>
      <c r="C22" s="198"/>
      <c r="D22" s="198"/>
      <c r="E22" s="198"/>
      <c r="F22" s="198"/>
      <c r="G22" s="198"/>
      <c r="H22" s="198"/>
      <c r="I22" s="199"/>
      <c r="J22" s="199"/>
      <c r="K22" s="199"/>
      <c r="L22" s="199"/>
      <c r="M22" s="199"/>
      <c r="N22" s="199"/>
    </row>
    <row r="23" spans="1:14">
      <c r="A23" s="202" t="s">
        <v>428</v>
      </c>
      <c r="B23" s="198"/>
      <c r="C23" s="198"/>
      <c r="D23" s="198"/>
      <c r="E23" s="198"/>
      <c r="F23" s="198"/>
      <c r="G23" s="198"/>
      <c r="H23" s="198"/>
      <c r="I23" s="199"/>
      <c r="J23" s="199"/>
      <c r="K23" s="199"/>
      <c r="L23" s="199"/>
      <c r="M23" s="199"/>
      <c r="N23" s="199"/>
    </row>
    <row r="24" spans="1:14">
      <c r="A24" s="201" t="s">
        <v>429</v>
      </c>
      <c r="B24" s="198"/>
      <c r="C24" s="198"/>
      <c r="D24" s="198"/>
      <c r="E24" s="198"/>
      <c r="F24" s="198"/>
      <c r="G24" s="198"/>
      <c r="H24" s="198"/>
      <c r="I24" s="199"/>
      <c r="J24" s="199"/>
      <c r="K24" s="199"/>
      <c r="L24" s="199"/>
      <c r="M24" s="199"/>
      <c r="N24" s="199"/>
    </row>
    <row r="25" spans="1:14">
      <c r="A25" s="201" t="s">
        <v>430</v>
      </c>
      <c r="B25" s="198"/>
      <c r="C25" s="198"/>
      <c r="D25" s="198"/>
      <c r="E25" s="198"/>
      <c r="F25" s="198"/>
      <c r="G25" s="198"/>
      <c r="H25" s="198"/>
      <c r="I25" s="199"/>
      <c r="J25" s="199"/>
      <c r="K25" s="199"/>
      <c r="L25" s="199"/>
      <c r="M25" s="199"/>
      <c r="N25" s="199"/>
    </row>
    <row r="26" spans="1:14">
      <c r="A26" s="201" t="s">
        <v>431</v>
      </c>
      <c r="B26" s="198"/>
      <c r="C26" s="198"/>
      <c r="D26" s="198"/>
      <c r="E26" s="198"/>
      <c r="F26" s="198"/>
      <c r="G26" s="198"/>
      <c r="H26" s="198"/>
      <c r="I26" s="199"/>
      <c r="J26" s="199"/>
      <c r="K26" s="199"/>
      <c r="L26" s="199"/>
      <c r="M26" s="199"/>
      <c r="N26" s="199"/>
    </row>
    <row r="27" spans="1:14">
      <c r="A27" s="201"/>
      <c r="B27" s="198"/>
      <c r="C27" s="198"/>
      <c r="D27" s="198"/>
      <c r="E27" s="198"/>
      <c r="F27" s="198"/>
      <c r="G27" s="198"/>
      <c r="H27" s="198"/>
      <c r="I27" s="199"/>
      <c r="J27" s="199"/>
      <c r="K27" s="199"/>
      <c r="L27" s="199"/>
      <c r="M27" s="199"/>
      <c r="N27" s="199"/>
    </row>
    <row r="28" spans="1:14">
      <c r="A28" s="202" t="s">
        <v>432</v>
      </c>
      <c r="B28" s="198"/>
      <c r="C28" s="198"/>
      <c r="D28" s="198"/>
      <c r="E28" s="198"/>
      <c r="F28" s="198"/>
      <c r="G28" s="198"/>
      <c r="H28" s="198"/>
      <c r="I28" s="199"/>
      <c r="J28" s="199"/>
      <c r="K28" s="199"/>
      <c r="L28" s="199"/>
      <c r="M28" s="199"/>
      <c r="N28" s="199"/>
    </row>
    <row r="29" spans="1:14">
      <c r="A29" s="201" t="s">
        <v>433</v>
      </c>
      <c r="B29" s="198"/>
      <c r="C29" s="198"/>
      <c r="D29" s="198"/>
      <c r="E29" s="198"/>
      <c r="F29" s="198"/>
      <c r="G29" s="198"/>
      <c r="H29" s="198"/>
      <c r="I29" s="199"/>
      <c r="J29" s="199"/>
      <c r="K29" s="199"/>
      <c r="L29" s="199"/>
      <c r="M29" s="199"/>
      <c r="N29" s="199"/>
    </row>
    <row r="30" spans="1:14">
      <c r="A30" s="201" t="s">
        <v>430</v>
      </c>
      <c r="B30" s="198"/>
      <c r="C30" s="198"/>
      <c r="D30" s="198"/>
      <c r="E30" s="198"/>
      <c r="F30" s="198"/>
      <c r="G30" s="198"/>
      <c r="H30" s="198"/>
      <c r="I30" s="199"/>
      <c r="J30" s="199"/>
      <c r="K30" s="199"/>
      <c r="L30" s="199"/>
      <c r="M30" s="199"/>
      <c r="N30" s="199"/>
    </row>
    <row r="31" spans="1:14">
      <c r="A31" s="201"/>
      <c r="B31" s="198"/>
      <c r="C31" s="198"/>
      <c r="D31" s="198"/>
      <c r="E31" s="198"/>
      <c r="F31" s="198"/>
      <c r="G31" s="198"/>
      <c r="H31" s="198"/>
      <c r="I31" s="199"/>
      <c r="J31" s="199"/>
      <c r="K31" s="199"/>
      <c r="L31" s="199"/>
      <c r="M31" s="199"/>
      <c r="N31" s="199"/>
    </row>
    <row r="32" spans="1:14">
      <c r="A32" s="202" t="s">
        <v>434</v>
      </c>
      <c r="B32" s="198"/>
      <c r="C32" s="198"/>
      <c r="D32" s="198"/>
      <c r="E32" s="198"/>
      <c r="F32" s="198"/>
      <c r="G32" s="198"/>
      <c r="H32" s="198"/>
      <c r="I32" s="199"/>
      <c r="J32" s="199"/>
      <c r="K32" s="199"/>
      <c r="L32" s="199"/>
      <c r="M32" s="199"/>
      <c r="N32" s="199"/>
    </row>
    <row r="33" spans="1:14">
      <c r="A33" s="201" t="s">
        <v>435</v>
      </c>
      <c r="B33" s="198"/>
      <c r="C33" s="198"/>
      <c r="D33" s="198"/>
      <c r="E33" s="198"/>
      <c r="F33" s="198"/>
      <c r="G33" s="198"/>
      <c r="H33" s="198"/>
      <c r="I33" s="199"/>
      <c r="J33" s="199"/>
      <c r="K33" s="199"/>
      <c r="L33" s="199"/>
      <c r="M33" s="199"/>
      <c r="N33" s="199"/>
    </row>
    <row r="34" spans="1:14">
      <c r="A34" s="201" t="s">
        <v>431</v>
      </c>
      <c r="B34" s="198"/>
      <c r="C34" s="198"/>
      <c r="D34" s="198"/>
      <c r="E34" s="198"/>
      <c r="F34" s="198"/>
      <c r="G34" s="198"/>
      <c r="H34" s="198"/>
      <c r="I34" s="199"/>
      <c r="J34" s="199"/>
      <c r="K34" s="199"/>
      <c r="L34" s="199"/>
      <c r="M34" s="199"/>
      <c r="N34" s="199"/>
    </row>
    <row r="35" spans="1:14">
      <c r="A35" s="201" t="s">
        <v>436</v>
      </c>
      <c r="B35" s="198"/>
      <c r="C35" s="198"/>
      <c r="D35" s="198"/>
      <c r="E35" s="198"/>
      <c r="F35" s="198"/>
      <c r="G35" s="198"/>
      <c r="H35" s="198"/>
      <c r="I35" s="199"/>
      <c r="J35" s="199"/>
      <c r="K35" s="199"/>
      <c r="L35" s="199"/>
      <c r="M35" s="199"/>
      <c r="N35" s="199"/>
    </row>
    <row r="36" spans="1:14">
      <c r="A36" s="201" t="s">
        <v>437</v>
      </c>
      <c r="B36" s="198"/>
      <c r="C36" s="198"/>
      <c r="D36" s="198"/>
      <c r="E36" s="198"/>
      <c r="F36" s="198"/>
      <c r="G36" s="198"/>
      <c r="H36" s="198"/>
      <c r="I36" s="199"/>
      <c r="J36" s="199"/>
      <c r="K36" s="199"/>
      <c r="L36" s="199"/>
      <c r="M36" s="199"/>
      <c r="N36" s="199"/>
    </row>
    <row r="37" spans="1:14">
      <c r="A37" s="201"/>
      <c r="B37" s="198"/>
      <c r="C37" s="198"/>
      <c r="D37" s="198"/>
      <c r="E37" s="198"/>
      <c r="F37" s="198"/>
      <c r="G37" s="198"/>
      <c r="H37" s="198"/>
      <c r="I37" s="199"/>
      <c r="J37" s="199"/>
      <c r="K37" s="199"/>
      <c r="L37" s="199"/>
      <c r="M37" s="199"/>
      <c r="N37" s="199"/>
    </row>
    <row r="38" spans="1:14">
      <c r="A38" s="202" t="s">
        <v>438</v>
      </c>
      <c r="B38" s="198"/>
      <c r="C38" s="198"/>
      <c r="D38" s="198"/>
      <c r="E38" s="198"/>
      <c r="F38" s="198"/>
      <c r="G38" s="198"/>
      <c r="H38" s="198"/>
      <c r="I38" s="199"/>
      <c r="J38" s="199"/>
      <c r="K38" s="199"/>
      <c r="L38" s="199"/>
      <c r="M38" s="199"/>
      <c r="N38" s="199"/>
    </row>
    <row r="39" spans="1:14">
      <c r="A39" s="201" t="s">
        <v>439</v>
      </c>
      <c r="B39" s="198"/>
      <c r="C39" s="198"/>
      <c r="D39" s="198"/>
      <c r="E39" s="198"/>
      <c r="F39" s="198"/>
      <c r="G39" s="198"/>
      <c r="H39" s="198"/>
      <c r="I39" s="199"/>
      <c r="J39" s="199"/>
      <c r="K39" s="199"/>
      <c r="L39" s="199"/>
      <c r="M39" s="199"/>
      <c r="N39" s="199"/>
    </row>
    <row r="40" spans="1:14">
      <c r="A40" s="201" t="s">
        <v>440</v>
      </c>
      <c r="B40" s="198"/>
      <c r="C40" s="198"/>
      <c r="D40" s="198"/>
      <c r="E40" s="198"/>
      <c r="F40" s="198"/>
      <c r="G40" s="198"/>
      <c r="H40" s="198"/>
      <c r="I40" s="199"/>
      <c r="J40" s="199"/>
      <c r="K40" s="199"/>
      <c r="L40" s="199"/>
      <c r="M40" s="199"/>
      <c r="N40" s="199"/>
    </row>
    <row r="41" spans="1:14" ht="23.25">
      <c r="A41" s="201" t="s">
        <v>441</v>
      </c>
      <c r="B41" s="198"/>
      <c r="C41" s="198"/>
      <c r="D41" s="198"/>
      <c r="E41" s="198"/>
      <c r="F41" s="198"/>
      <c r="G41" s="198"/>
      <c r="H41" s="198"/>
      <c r="I41" s="199"/>
      <c r="J41" s="199"/>
      <c r="K41" s="199"/>
      <c r="L41" s="199"/>
      <c r="M41" s="199"/>
      <c r="N41" s="199"/>
    </row>
    <row r="42" spans="1:14" ht="23.25">
      <c r="A42" s="201" t="s">
        <v>442</v>
      </c>
      <c r="B42" s="198"/>
      <c r="C42" s="198"/>
      <c r="D42" s="198"/>
      <c r="E42" s="198"/>
      <c r="F42" s="198"/>
      <c r="G42" s="198"/>
      <c r="H42" s="198"/>
      <c r="I42" s="199"/>
      <c r="J42" s="199"/>
      <c r="K42" s="199"/>
      <c r="L42" s="199"/>
      <c r="M42" s="199"/>
      <c r="N42" s="199"/>
    </row>
    <row r="43" spans="1:14">
      <c r="A43" s="201"/>
      <c r="B43" s="198"/>
      <c r="C43" s="198"/>
      <c r="D43" s="198"/>
      <c r="E43" s="198"/>
      <c r="F43" s="198"/>
      <c r="G43" s="198"/>
      <c r="H43" s="198"/>
      <c r="I43" s="199"/>
      <c r="J43" s="199"/>
      <c r="K43" s="199"/>
      <c r="L43" s="199"/>
      <c r="M43" s="199"/>
      <c r="N43" s="199"/>
    </row>
    <row r="44" spans="1:14">
      <c r="A44" s="202" t="s">
        <v>443</v>
      </c>
      <c r="B44" s="198"/>
      <c r="C44" s="198"/>
      <c r="D44" s="198"/>
      <c r="E44" s="198"/>
      <c r="F44" s="198"/>
      <c r="G44" s="198"/>
      <c r="H44" s="198"/>
      <c r="I44" s="199"/>
      <c r="J44" s="199"/>
      <c r="K44" s="199"/>
      <c r="L44" s="199"/>
      <c r="M44" s="199"/>
      <c r="N44" s="199"/>
    </row>
    <row r="45" spans="1:14">
      <c r="A45" s="201" t="s">
        <v>444</v>
      </c>
      <c r="B45" s="198"/>
      <c r="C45" s="198"/>
      <c r="D45" s="198"/>
      <c r="E45" s="198"/>
      <c r="F45" s="198"/>
      <c r="G45" s="198"/>
      <c r="H45" s="198"/>
      <c r="I45" s="199"/>
      <c r="J45" s="199"/>
      <c r="K45" s="199"/>
      <c r="L45" s="199"/>
      <c r="M45" s="199"/>
      <c r="N45" s="199"/>
    </row>
    <row r="46" spans="1:14" ht="34.5">
      <c r="A46" s="201" t="s">
        <v>445</v>
      </c>
      <c r="B46" s="198"/>
      <c r="C46" s="198"/>
      <c r="D46" s="198"/>
      <c r="E46" s="198"/>
      <c r="F46" s="198"/>
      <c r="G46" s="198"/>
      <c r="H46" s="198"/>
      <c r="I46" s="199"/>
      <c r="J46" s="199"/>
      <c r="K46" s="199"/>
      <c r="L46" s="199"/>
      <c r="M46" s="199"/>
      <c r="N46" s="199"/>
    </row>
    <row r="47" spans="1:14">
      <c r="A47" s="197"/>
      <c r="B47" s="198"/>
      <c r="C47" s="198"/>
      <c r="D47" s="198"/>
      <c r="E47" s="198"/>
      <c r="F47" s="198"/>
      <c r="G47" s="198"/>
      <c r="H47" s="198"/>
      <c r="I47" s="199"/>
      <c r="J47" s="199"/>
      <c r="K47" s="199"/>
      <c r="L47" s="199"/>
      <c r="M47" s="199"/>
      <c r="N47" s="199"/>
    </row>
    <row r="48" spans="1:14">
      <c r="A48" s="197"/>
      <c r="B48" s="199"/>
      <c r="C48" s="199"/>
      <c r="D48" s="199"/>
      <c r="E48" s="199"/>
      <c r="F48" s="199"/>
      <c r="G48" s="199"/>
      <c r="H48" s="199"/>
      <c r="I48" s="199"/>
      <c r="J48" s="199"/>
      <c r="K48" s="199"/>
      <c r="L48" s="199"/>
      <c r="M48" s="199"/>
      <c r="N48" s="199"/>
    </row>
    <row r="49" spans="1:14">
      <c r="A49" s="191" t="s">
        <v>0</v>
      </c>
      <c r="B49" s="196">
        <f>+B11+B12+B17</f>
        <v>44709640</v>
      </c>
      <c r="C49" s="196">
        <f t="shared" ref="C49:H49" si="5">+C11+C12+C17</f>
        <v>35922341</v>
      </c>
      <c r="D49" s="196">
        <f t="shared" si="5"/>
        <v>8787299</v>
      </c>
      <c r="E49" s="196">
        <f t="shared" si="5"/>
        <v>53445103</v>
      </c>
      <c r="F49" s="196">
        <f t="shared" si="5"/>
        <v>62280938</v>
      </c>
      <c r="G49" s="196">
        <f t="shared" si="5"/>
        <v>53252114</v>
      </c>
      <c r="H49" s="196">
        <f t="shared" si="5"/>
        <v>9028824</v>
      </c>
      <c r="I49" s="196"/>
      <c r="J49" s="196"/>
      <c r="K49" s="196"/>
      <c r="L49" s="196"/>
      <c r="M49" s="196"/>
      <c r="N49" s="196"/>
    </row>
    <row r="50" spans="1:14">
      <c r="A50" s="191" t="s">
        <v>446</v>
      </c>
      <c r="B50" s="196"/>
      <c r="C50" s="196"/>
      <c r="D50" s="196"/>
      <c r="E50" s="196"/>
      <c r="F50" s="196"/>
      <c r="G50" s="196"/>
      <c r="H50" s="196"/>
      <c r="I50" s="196"/>
      <c r="J50" s="196"/>
      <c r="K50" s="196"/>
      <c r="L50" s="196"/>
      <c r="M50" s="196"/>
      <c r="N50" s="196"/>
    </row>
    <row r="51" spans="1:14">
      <c r="A51" s="175" t="s">
        <v>447</v>
      </c>
      <c r="B51" s="175"/>
      <c r="C51" s="175"/>
      <c r="D51" s="175"/>
      <c r="E51" s="175"/>
      <c r="F51" s="175"/>
      <c r="G51" s="175"/>
      <c r="H51" s="175"/>
      <c r="I51" s="175"/>
      <c r="J51" s="175"/>
      <c r="K51" s="175"/>
      <c r="L51" s="175"/>
      <c r="M51" s="175"/>
      <c r="N51" s="175"/>
    </row>
    <row r="52" spans="1:14">
      <c r="A52" s="175" t="s">
        <v>448</v>
      </c>
      <c r="B52" s="175"/>
      <c r="C52" s="175"/>
      <c r="D52" s="175"/>
      <c r="E52" s="175"/>
      <c r="F52" s="175"/>
      <c r="G52" s="175"/>
      <c r="H52" s="175"/>
      <c r="I52" s="175"/>
      <c r="J52" s="175"/>
      <c r="K52" s="175"/>
      <c r="L52" s="175"/>
      <c r="M52" s="175"/>
      <c r="N52" s="175"/>
    </row>
    <row r="53" spans="1:14">
      <c r="A53" s="176"/>
      <c r="B53" s="176"/>
      <c r="C53" s="176"/>
      <c r="D53" s="176"/>
      <c r="E53" s="176"/>
      <c r="F53" s="176"/>
      <c r="G53" s="176"/>
      <c r="H53" s="176"/>
      <c r="I53" s="176"/>
      <c r="J53" s="176"/>
      <c r="K53" s="176"/>
      <c r="L53" s="176"/>
      <c r="M53" s="176"/>
      <c r="N53" s="176"/>
    </row>
  </sheetData>
  <mergeCells count="6">
    <mergeCell ref="I4:N4"/>
    <mergeCell ref="A2:D2"/>
    <mergeCell ref="A3:B3"/>
    <mergeCell ref="A4:A5"/>
    <mergeCell ref="B4:E4"/>
    <mergeCell ref="F4:H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25"/>
  <sheetViews>
    <sheetView workbookViewId="0">
      <selection activeCell="G27" sqref="G27"/>
    </sheetView>
  </sheetViews>
  <sheetFormatPr baseColWidth="10" defaultRowHeight="15"/>
  <cols>
    <col min="1" max="1" width="26.140625" customWidth="1"/>
  </cols>
  <sheetData>
    <row r="1" spans="1:17">
      <c r="A1" s="203" t="s">
        <v>461</v>
      </c>
      <c r="B1" s="204"/>
      <c r="C1" s="204"/>
      <c r="D1" s="204"/>
      <c r="E1" s="204"/>
      <c r="F1" s="102"/>
      <c r="G1" s="102"/>
      <c r="H1" s="102"/>
      <c r="I1" s="102"/>
      <c r="J1" s="102"/>
      <c r="K1" s="102"/>
      <c r="L1" s="102"/>
      <c r="M1" s="102"/>
      <c r="N1" s="102"/>
      <c r="O1" s="102"/>
      <c r="P1" s="102"/>
      <c r="Q1" s="102"/>
    </row>
    <row r="2" spans="1:17">
      <c r="A2" s="205" t="s">
        <v>462</v>
      </c>
      <c r="B2" s="205"/>
      <c r="C2" s="205"/>
      <c r="D2" s="205"/>
      <c r="E2" s="205"/>
      <c r="F2" s="205"/>
      <c r="G2" s="205"/>
      <c r="H2" s="205"/>
      <c r="I2" s="205"/>
      <c r="J2" s="205"/>
      <c r="K2" s="205"/>
      <c r="L2" s="205"/>
      <c r="M2" s="205"/>
      <c r="N2" s="205"/>
      <c r="O2" s="205"/>
      <c r="P2" s="205"/>
      <c r="Q2" s="205"/>
    </row>
    <row r="3" spans="1:17">
      <c r="A3" s="1309" t="s">
        <v>463</v>
      </c>
      <c r="B3" s="1310" t="s">
        <v>464</v>
      </c>
      <c r="C3" s="1296"/>
      <c r="D3" s="1296"/>
      <c r="E3" s="1296"/>
      <c r="F3" s="1296"/>
      <c r="G3" s="1296"/>
      <c r="H3" s="1296"/>
      <c r="I3" s="1310" t="s">
        <v>465</v>
      </c>
      <c r="J3" s="1296"/>
      <c r="K3" s="1296"/>
      <c r="L3" s="1296"/>
      <c r="M3" s="1296"/>
      <c r="N3" s="1310" t="s">
        <v>466</v>
      </c>
      <c r="O3" s="1296"/>
      <c r="P3" s="1310" t="s">
        <v>0</v>
      </c>
      <c r="Q3" s="1296"/>
    </row>
    <row r="4" spans="1:17" ht="43.15" customHeight="1">
      <c r="A4" s="1296"/>
      <c r="B4" s="206" t="s">
        <v>467</v>
      </c>
      <c r="C4" s="206" t="s">
        <v>468</v>
      </c>
      <c r="D4" s="206" t="s">
        <v>469</v>
      </c>
      <c r="E4" s="206" t="s">
        <v>470</v>
      </c>
      <c r="F4" s="206" t="s">
        <v>471</v>
      </c>
      <c r="G4" s="206" t="s">
        <v>472</v>
      </c>
      <c r="H4" s="206" t="s">
        <v>473</v>
      </c>
      <c r="I4" s="206" t="s">
        <v>474</v>
      </c>
      <c r="J4" s="206" t="s">
        <v>472</v>
      </c>
      <c r="K4" s="206" t="s">
        <v>475</v>
      </c>
      <c r="L4" s="206" t="s">
        <v>476</v>
      </c>
      <c r="M4" s="206" t="s">
        <v>477</v>
      </c>
      <c r="N4" s="206" t="s">
        <v>478</v>
      </c>
      <c r="O4" s="206" t="s">
        <v>479</v>
      </c>
      <c r="P4" s="206" t="s">
        <v>480</v>
      </c>
      <c r="Q4" s="206" t="s">
        <v>481</v>
      </c>
    </row>
    <row r="5" spans="1:17">
      <c r="A5" s="207"/>
      <c r="B5" s="208"/>
      <c r="C5" s="208"/>
      <c r="D5" s="208"/>
      <c r="E5" s="208"/>
      <c r="F5" s="208"/>
      <c r="G5" s="208"/>
      <c r="H5" s="208"/>
      <c r="I5" s="208"/>
      <c r="J5" s="208"/>
      <c r="K5" s="208"/>
      <c r="L5" s="208"/>
      <c r="M5" s="208"/>
      <c r="N5" s="208"/>
      <c r="O5" s="208"/>
      <c r="P5" s="208"/>
      <c r="Q5" s="207"/>
    </row>
    <row r="6" spans="1:17">
      <c r="A6" s="207" t="s">
        <v>482</v>
      </c>
      <c r="B6" s="208">
        <v>0</v>
      </c>
      <c r="C6" s="208">
        <v>986885280</v>
      </c>
      <c r="D6" s="208">
        <v>67797239</v>
      </c>
      <c r="E6" s="208">
        <v>153643400</v>
      </c>
      <c r="F6" s="208"/>
      <c r="G6" s="208">
        <v>5297417</v>
      </c>
      <c r="H6" s="209">
        <f>SUM(B6:G6)</f>
        <v>1213623336</v>
      </c>
      <c r="I6" s="208"/>
      <c r="J6" s="208"/>
      <c r="K6" s="208">
        <v>14352237</v>
      </c>
      <c r="L6" s="208"/>
      <c r="M6" s="209">
        <f>SUM(I6:L6)</f>
        <v>14352237</v>
      </c>
      <c r="N6" s="208">
        <v>0</v>
      </c>
      <c r="O6" s="209">
        <f>SUM(N6)</f>
        <v>0</v>
      </c>
      <c r="P6" s="208">
        <f>+H6+M6+O6</f>
        <v>1227975573</v>
      </c>
      <c r="Q6" s="210">
        <f>(P6/P24)*100</f>
        <v>70.556194860895943</v>
      </c>
    </row>
    <row r="7" spans="1:17">
      <c r="A7" s="207"/>
      <c r="B7" s="208"/>
      <c r="C7" s="208"/>
      <c r="D7" s="208"/>
      <c r="E7" s="208"/>
      <c r="F7" s="208"/>
      <c r="G7" s="208"/>
      <c r="H7" s="208"/>
      <c r="I7" s="208"/>
      <c r="J7" s="208"/>
      <c r="K7" s="208"/>
      <c r="L7" s="208"/>
      <c r="M7" s="208"/>
      <c r="N7" s="208"/>
      <c r="O7" s="208"/>
      <c r="P7" s="208"/>
      <c r="Q7" s="210"/>
    </row>
    <row r="8" spans="1:17">
      <c r="A8" s="207" t="s">
        <v>483</v>
      </c>
      <c r="B8" s="208">
        <v>0</v>
      </c>
      <c r="C8" s="208">
        <v>12082</v>
      </c>
      <c r="D8" s="208"/>
      <c r="E8" s="208">
        <v>12621039</v>
      </c>
      <c r="F8" s="208"/>
      <c r="G8" s="208">
        <v>256878</v>
      </c>
      <c r="H8" s="209">
        <f>SUM(B8:G8)</f>
        <v>12889999</v>
      </c>
      <c r="I8" s="208">
        <v>0</v>
      </c>
      <c r="J8" s="208">
        <v>0</v>
      </c>
      <c r="K8" s="208">
        <v>0</v>
      </c>
      <c r="L8" s="208">
        <v>0</v>
      </c>
      <c r="M8" s="209">
        <f>SUM(I8:L8)</f>
        <v>0</v>
      </c>
      <c r="N8" s="208">
        <v>0</v>
      </c>
      <c r="O8" s="209">
        <f>SUM(N8)</f>
        <v>0</v>
      </c>
      <c r="P8" s="208">
        <f>+H8+M8</f>
        <v>12889999</v>
      </c>
      <c r="Q8" s="210">
        <f>(P8/P24)*100</f>
        <v>0.74062489612792493</v>
      </c>
    </row>
    <row r="9" spans="1:17">
      <c r="A9" s="207"/>
      <c r="B9" s="208"/>
      <c r="C9" s="208"/>
      <c r="D9" s="208"/>
      <c r="E9" s="208"/>
      <c r="F9" s="208"/>
      <c r="G9" s="208"/>
      <c r="H9" s="208"/>
      <c r="I9" s="208"/>
      <c r="J9" s="208"/>
      <c r="K9" s="208"/>
      <c r="L9" s="208"/>
      <c r="M9" s="208"/>
      <c r="N9" s="208"/>
      <c r="O9" s="208"/>
      <c r="P9" s="208"/>
      <c r="Q9" s="210"/>
    </row>
    <row r="10" spans="1:17">
      <c r="A10" s="207" t="s">
        <v>484</v>
      </c>
      <c r="B10" s="208">
        <v>0</v>
      </c>
      <c r="C10" s="208">
        <v>0</v>
      </c>
      <c r="D10" s="208">
        <v>0</v>
      </c>
      <c r="E10" s="208">
        <v>0</v>
      </c>
      <c r="F10" s="208">
        <v>0</v>
      </c>
      <c r="G10" s="208">
        <v>0</v>
      </c>
      <c r="H10" s="209">
        <f>SUM(C10:G10)</f>
        <v>0</v>
      </c>
      <c r="I10" s="208">
        <v>0</v>
      </c>
      <c r="J10" s="208">
        <v>0</v>
      </c>
      <c r="K10" s="208">
        <v>0</v>
      </c>
      <c r="L10" s="208">
        <v>0</v>
      </c>
      <c r="M10" s="209">
        <f>SUM(I10:L10)</f>
        <v>0</v>
      </c>
      <c r="N10" s="208">
        <v>0</v>
      </c>
      <c r="O10" s="209">
        <f>SUM(N10)</f>
        <v>0</v>
      </c>
      <c r="P10" s="208">
        <f>+H10+M10+O10</f>
        <v>0</v>
      </c>
      <c r="Q10" s="210">
        <v>0</v>
      </c>
    </row>
    <row r="11" spans="1:17">
      <c r="A11" s="207" t="s">
        <v>485</v>
      </c>
      <c r="B11" s="208"/>
      <c r="C11" s="208"/>
      <c r="D11" s="208"/>
      <c r="E11" s="208"/>
      <c r="F11" s="208"/>
      <c r="G11" s="208"/>
      <c r="H11" s="208"/>
      <c r="I11" s="208"/>
      <c r="J11" s="208"/>
      <c r="K11" s="208"/>
      <c r="L11" s="208"/>
      <c r="M11" s="208"/>
      <c r="N11" s="208"/>
      <c r="O11" s="208"/>
      <c r="P11" s="208"/>
      <c r="Q11" s="210"/>
    </row>
    <row r="12" spans="1:17">
      <c r="A12" s="211"/>
      <c r="B12" s="208"/>
      <c r="C12" s="208"/>
      <c r="D12" s="208"/>
      <c r="E12" s="208"/>
      <c r="F12" s="208"/>
      <c r="G12" s="208"/>
      <c r="H12" s="208"/>
      <c r="I12" s="208"/>
      <c r="J12" s="208"/>
      <c r="K12" s="208"/>
      <c r="L12" s="208"/>
      <c r="M12" s="208"/>
      <c r="N12" s="208"/>
      <c r="O12" s="208"/>
      <c r="P12" s="208"/>
      <c r="Q12" s="210"/>
    </row>
    <row r="13" spans="1:17">
      <c r="A13" s="207" t="s">
        <v>486</v>
      </c>
      <c r="B13" s="208">
        <v>0</v>
      </c>
      <c r="C13" s="208">
        <v>0</v>
      </c>
      <c r="D13" s="208">
        <v>0</v>
      </c>
      <c r="E13" s="208">
        <v>94702</v>
      </c>
      <c r="F13" s="208">
        <v>0</v>
      </c>
      <c r="G13" s="208">
        <v>0</v>
      </c>
      <c r="H13" s="209">
        <f>SUM(B13:G13)</f>
        <v>94702</v>
      </c>
      <c r="I13" s="208">
        <v>0</v>
      </c>
      <c r="J13" s="208">
        <v>0</v>
      </c>
      <c r="K13" s="208">
        <v>0</v>
      </c>
      <c r="L13" s="208">
        <v>0</v>
      </c>
      <c r="M13" s="208">
        <f>SUM(I13:L13)</f>
        <v>0</v>
      </c>
      <c r="N13" s="208">
        <v>0</v>
      </c>
      <c r="O13" s="208">
        <f>SUM(N13)</f>
        <v>0</v>
      </c>
      <c r="P13" s="208">
        <f>+H13+M13+O13</f>
        <v>94702</v>
      </c>
      <c r="Q13" s="210">
        <f>(P13/P24)*100</f>
        <v>5.4413238444088888E-3</v>
      </c>
    </row>
    <row r="14" spans="1:17">
      <c r="A14" s="207"/>
      <c r="B14" s="208"/>
      <c r="C14" s="208"/>
      <c r="D14" s="208"/>
      <c r="E14" s="208"/>
      <c r="F14" s="208"/>
      <c r="G14" s="208"/>
      <c r="H14" s="208"/>
      <c r="I14" s="208"/>
      <c r="J14" s="208"/>
      <c r="K14" s="208"/>
      <c r="L14" s="208"/>
      <c r="M14" s="208"/>
      <c r="N14" s="208"/>
      <c r="O14" s="208"/>
      <c r="P14" s="208"/>
      <c r="Q14" s="210"/>
    </row>
    <row r="15" spans="1:17">
      <c r="A15" s="207" t="s">
        <v>487</v>
      </c>
      <c r="B15" s="208"/>
      <c r="C15" s="208"/>
      <c r="D15" s="208"/>
      <c r="E15" s="208"/>
      <c r="F15" s="208"/>
      <c r="G15" s="208"/>
      <c r="H15" s="208"/>
      <c r="I15" s="208"/>
      <c r="J15" s="208"/>
      <c r="K15" s="208"/>
      <c r="L15" s="208"/>
      <c r="M15" s="208"/>
      <c r="N15" s="208"/>
      <c r="O15" s="208"/>
      <c r="P15" s="208"/>
      <c r="Q15" s="210"/>
    </row>
    <row r="16" spans="1:17">
      <c r="A16" s="207"/>
      <c r="B16" s="208"/>
      <c r="C16" s="208"/>
      <c r="D16" s="208"/>
      <c r="E16" s="208"/>
      <c r="F16" s="208"/>
      <c r="G16" s="208"/>
      <c r="H16" s="208"/>
      <c r="I16" s="208"/>
      <c r="J16" s="208"/>
      <c r="K16" s="208"/>
      <c r="L16" s="208"/>
      <c r="M16" s="208"/>
      <c r="N16" s="208"/>
      <c r="O16" s="208"/>
      <c r="P16" s="208"/>
      <c r="Q16" s="210"/>
    </row>
    <row r="17" spans="1:17">
      <c r="A17" s="207" t="s">
        <v>488</v>
      </c>
      <c r="B17" s="208">
        <v>0</v>
      </c>
      <c r="C17" s="208">
        <v>0</v>
      </c>
      <c r="D17" s="208">
        <v>0</v>
      </c>
      <c r="E17" s="208">
        <v>28799747</v>
      </c>
      <c r="F17" s="208">
        <v>0</v>
      </c>
      <c r="G17" s="208">
        <v>0</v>
      </c>
      <c r="H17" s="209">
        <f>SUM(B17:G17)</f>
        <v>28799747</v>
      </c>
      <c r="I17" s="208">
        <v>0</v>
      </c>
      <c r="J17" s="208">
        <v>5190163</v>
      </c>
      <c r="K17" s="208">
        <v>427925419</v>
      </c>
      <c r="L17" s="208">
        <v>0</v>
      </c>
      <c r="M17" s="209">
        <f>SUM(I17:L17)</f>
        <v>433115582</v>
      </c>
      <c r="N17" s="208">
        <v>37546447</v>
      </c>
      <c r="O17" s="209">
        <f>SUM(N17)</f>
        <v>37546447</v>
      </c>
      <c r="P17" s="208">
        <f>SUM(H17+M17+O17)</f>
        <v>499461776</v>
      </c>
      <c r="Q17" s="210">
        <f>(P17/P24)*100</f>
        <v>28.697738919131716</v>
      </c>
    </row>
    <row r="18" spans="1:17">
      <c r="A18" s="207" t="s">
        <v>489</v>
      </c>
      <c r="B18" s="208"/>
      <c r="C18" s="208"/>
      <c r="D18" s="208"/>
      <c r="E18" s="208"/>
      <c r="F18" s="208"/>
      <c r="G18" s="208"/>
      <c r="H18" s="208"/>
      <c r="I18" s="208"/>
      <c r="J18" s="208"/>
      <c r="K18" s="208"/>
      <c r="L18" s="208"/>
      <c r="M18" s="208"/>
      <c r="N18" s="208"/>
      <c r="O18" s="208"/>
      <c r="P18" s="208"/>
      <c r="Q18" s="210"/>
    </row>
    <row r="19" spans="1:17">
      <c r="A19" s="207" t="s">
        <v>490</v>
      </c>
      <c r="B19" s="208"/>
      <c r="C19" s="208"/>
      <c r="D19" s="208"/>
      <c r="E19" s="208"/>
      <c r="F19" s="208"/>
      <c r="G19" s="208"/>
      <c r="H19" s="208"/>
      <c r="I19" s="208"/>
      <c r="J19" s="208"/>
      <c r="K19" s="208"/>
      <c r="L19" s="208"/>
      <c r="M19" s="208"/>
      <c r="N19" s="208"/>
      <c r="O19" s="208"/>
      <c r="P19" s="208"/>
      <c r="Q19" s="210"/>
    </row>
    <row r="20" spans="1:17">
      <c r="A20" s="207" t="s">
        <v>491</v>
      </c>
      <c r="B20" s="208"/>
      <c r="C20" s="208"/>
      <c r="D20" s="208"/>
      <c r="E20" s="208"/>
      <c r="F20" s="208"/>
      <c r="G20" s="208"/>
      <c r="H20" s="208"/>
      <c r="I20" s="208"/>
      <c r="J20" s="208"/>
      <c r="K20" s="208"/>
      <c r="L20" s="208"/>
      <c r="M20" s="208"/>
      <c r="N20" s="208"/>
      <c r="O20" s="208"/>
      <c r="P20" s="208"/>
      <c r="Q20" s="210"/>
    </row>
    <row r="21" spans="1:17">
      <c r="A21" s="207" t="s">
        <v>492</v>
      </c>
      <c r="B21" s="208"/>
      <c r="C21" s="208"/>
      <c r="D21" s="208"/>
      <c r="E21" s="208"/>
      <c r="F21" s="208"/>
      <c r="G21" s="208"/>
      <c r="H21" s="208"/>
      <c r="I21" s="208"/>
      <c r="J21" s="208"/>
      <c r="K21" s="208"/>
      <c r="L21" s="208"/>
      <c r="M21" s="208"/>
      <c r="N21" s="208"/>
      <c r="O21" s="208"/>
      <c r="P21" s="208"/>
      <c r="Q21" s="210"/>
    </row>
    <row r="22" spans="1:17">
      <c r="A22" s="207" t="s">
        <v>493</v>
      </c>
      <c r="B22" s="208"/>
      <c r="C22" s="208"/>
      <c r="D22" s="208"/>
      <c r="E22" s="208"/>
      <c r="F22" s="208"/>
      <c r="G22" s="208"/>
      <c r="H22" s="208"/>
      <c r="I22" s="208"/>
      <c r="J22" s="208"/>
      <c r="K22" s="208"/>
      <c r="L22" s="208"/>
      <c r="M22" s="208"/>
      <c r="N22" s="208"/>
      <c r="O22" s="208"/>
      <c r="P22" s="208"/>
      <c r="Q22" s="210"/>
    </row>
    <row r="23" spans="1:17">
      <c r="A23" s="207"/>
      <c r="B23" s="207"/>
      <c r="C23" s="207"/>
      <c r="D23" s="207"/>
      <c r="E23" s="207"/>
      <c r="F23" s="207"/>
      <c r="G23" s="207"/>
      <c r="H23" s="207"/>
      <c r="I23" s="207"/>
      <c r="J23" s="207"/>
      <c r="K23" s="207"/>
      <c r="L23" s="207"/>
      <c r="M23" s="207"/>
      <c r="N23" s="207"/>
      <c r="O23" s="207"/>
      <c r="P23" s="207"/>
      <c r="Q23" s="210"/>
    </row>
    <row r="24" spans="1:17">
      <c r="A24" s="212" t="s">
        <v>0</v>
      </c>
      <c r="B24" s="213">
        <f>SUM(B6+B8+B10+B13+B17)</f>
        <v>0</v>
      </c>
      <c r="C24" s="213">
        <f t="shared" ref="C24:P24" si="0">SUM(C6+C8+C10+C13+C17)</f>
        <v>986897362</v>
      </c>
      <c r="D24" s="213">
        <f t="shared" si="0"/>
        <v>67797239</v>
      </c>
      <c r="E24" s="213">
        <f t="shared" si="0"/>
        <v>195158888</v>
      </c>
      <c r="F24" s="213">
        <f t="shared" si="0"/>
        <v>0</v>
      </c>
      <c r="G24" s="213">
        <f t="shared" si="0"/>
        <v>5554295</v>
      </c>
      <c r="H24" s="213">
        <f t="shared" si="0"/>
        <v>1255407784</v>
      </c>
      <c r="I24" s="213">
        <f t="shared" si="0"/>
        <v>0</v>
      </c>
      <c r="J24" s="213">
        <f t="shared" si="0"/>
        <v>5190163</v>
      </c>
      <c r="K24" s="213">
        <f t="shared" si="0"/>
        <v>442277656</v>
      </c>
      <c r="L24" s="213">
        <f t="shared" si="0"/>
        <v>0</v>
      </c>
      <c r="M24" s="213">
        <f t="shared" si="0"/>
        <v>447467819</v>
      </c>
      <c r="N24" s="213">
        <f t="shared" si="0"/>
        <v>37546447</v>
      </c>
      <c r="O24" s="213">
        <f t="shared" si="0"/>
        <v>37546447</v>
      </c>
      <c r="P24" s="213">
        <f t="shared" si="0"/>
        <v>1740422050</v>
      </c>
      <c r="Q24" s="214">
        <f>+Q6+Q8+Q10+Q13+Q17</f>
        <v>100</v>
      </c>
    </row>
    <row r="25" spans="1:17">
      <c r="A25" s="99"/>
      <c r="B25" s="102"/>
      <c r="C25" s="102"/>
      <c r="D25" s="102"/>
      <c r="E25" s="102"/>
      <c r="F25" s="102"/>
      <c r="G25" s="102"/>
      <c r="H25" s="102"/>
      <c r="I25" s="102"/>
      <c r="J25" s="102"/>
      <c r="K25" s="102"/>
      <c r="L25" s="102"/>
      <c r="M25" s="102"/>
      <c r="N25" s="102"/>
      <c r="O25" s="102"/>
      <c r="P25" s="102"/>
      <c r="Q25" s="102"/>
    </row>
  </sheetData>
  <mergeCells count="5">
    <mergeCell ref="A3:A4"/>
    <mergeCell ref="B3:H3"/>
    <mergeCell ref="I3:M3"/>
    <mergeCell ref="N3:O3"/>
    <mergeCell ref="P3:Q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108"/>
  <sheetViews>
    <sheetView topLeftCell="A88" workbookViewId="0">
      <selection activeCell="J116" sqref="J116"/>
    </sheetView>
  </sheetViews>
  <sheetFormatPr baseColWidth="10" defaultRowHeight="15"/>
  <cols>
    <col min="1" max="1" width="19.28515625" customWidth="1"/>
    <col min="2" max="2" width="17.28515625" customWidth="1"/>
  </cols>
  <sheetData>
    <row r="1" spans="1:18" ht="15.75" thickBot="1">
      <c r="A1" s="35" t="s">
        <v>494</v>
      </c>
      <c r="B1" s="215"/>
      <c r="C1" s="215"/>
      <c r="D1" s="215"/>
      <c r="E1" s="215"/>
      <c r="F1" s="215"/>
      <c r="G1" s="215"/>
      <c r="H1" s="215"/>
      <c r="I1" s="215"/>
      <c r="J1" s="215"/>
      <c r="K1" s="215"/>
      <c r="L1" s="215"/>
      <c r="M1" s="215"/>
      <c r="N1" s="215"/>
      <c r="O1" s="215"/>
      <c r="P1" s="215"/>
      <c r="Q1" s="215"/>
      <c r="R1" s="215"/>
    </row>
    <row r="2" spans="1:18" ht="22.9" customHeight="1">
      <c r="A2" s="1313" t="s">
        <v>495</v>
      </c>
      <c r="B2" s="1314" t="s">
        <v>496</v>
      </c>
      <c r="C2" s="1315" t="s">
        <v>497</v>
      </c>
      <c r="D2" s="1316"/>
      <c r="E2" s="1316"/>
      <c r="F2" s="1316"/>
      <c r="G2" s="1316"/>
      <c r="H2" s="1316"/>
      <c r="I2" s="1312"/>
      <c r="J2" s="1317" t="s">
        <v>291</v>
      </c>
      <c r="K2" s="1316"/>
      <c r="L2" s="1316"/>
      <c r="M2" s="1316"/>
      <c r="N2" s="1312"/>
      <c r="O2" s="1318" t="s">
        <v>296</v>
      </c>
      <c r="P2" s="1319"/>
      <c r="Q2" s="1311" t="s">
        <v>0</v>
      </c>
      <c r="R2" s="1312"/>
    </row>
    <row r="3" spans="1:18" ht="78.599999999999994" customHeight="1" thickBot="1">
      <c r="A3" s="1280"/>
      <c r="B3" s="1280"/>
      <c r="C3" s="218" t="s">
        <v>498</v>
      </c>
      <c r="D3" s="219" t="s">
        <v>499</v>
      </c>
      <c r="E3" s="219" t="s">
        <v>500</v>
      </c>
      <c r="F3" s="219" t="s">
        <v>501</v>
      </c>
      <c r="G3" s="219" t="s">
        <v>502</v>
      </c>
      <c r="H3" s="219" t="s">
        <v>503</v>
      </c>
      <c r="I3" s="220" t="s">
        <v>307</v>
      </c>
      <c r="J3" s="218" t="s">
        <v>502</v>
      </c>
      <c r="K3" s="219" t="s">
        <v>503</v>
      </c>
      <c r="L3" s="219" t="s">
        <v>504</v>
      </c>
      <c r="M3" s="219" t="s">
        <v>505</v>
      </c>
      <c r="N3" s="221" t="s">
        <v>310</v>
      </c>
      <c r="O3" s="222" t="s">
        <v>506</v>
      </c>
      <c r="P3" s="219" t="s">
        <v>311</v>
      </c>
      <c r="Q3" s="223" t="s">
        <v>507</v>
      </c>
      <c r="R3" s="224" t="s">
        <v>313</v>
      </c>
    </row>
    <row r="4" spans="1:18">
      <c r="A4" s="225" t="s">
        <v>508</v>
      </c>
      <c r="B4" s="226">
        <v>2019</v>
      </c>
      <c r="C4" s="227"/>
      <c r="D4" s="228"/>
      <c r="E4" s="228"/>
      <c r="F4" s="228"/>
      <c r="G4" s="228"/>
      <c r="H4" s="228"/>
      <c r="I4" s="229"/>
      <c r="J4" s="227"/>
      <c r="K4" s="228"/>
      <c r="L4" s="228"/>
      <c r="M4" s="228"/>
      <c r="N4" s="230"/>
      <c r="O4" s="231"/>
      <c r="P4" s="232"/>
      <c r="Q4" s="228"/>
      <c r="R4" s="233"/>
    </row>
    <row r="5" spans="1:18">
      <c r="A5" s="234"/>
      <c r="B5" s="235">
        <v>2020</v>
      </c>
      <c r="C5" s="236"/>
      <c r="D5" s="237"/>
      <c r="E5" s="237"/>
      <c r="F5" s="237"/>
      <c r="G5" s="237"/>
      <c r="H5" s="237"/>
      <c r="I5" s="229"/>
      <c r="J5" s="236"/>
      <c r="K5" s="237"/>
      <c r="L5" s="237"/>
      <c r="M5" s="237"/>
      <c r="N5" s="238"/>
      <c r="O5" s="239"/>
      <c r="P5" s="240"/>
      <c r="Q5" s="237"/>
      <c r="R5" s="241"/>
    </row>
    <row r="6" spans="1:18">
      <c r="A6" s="234"/>
      <c r="B6" s="235">
        <v>2021</v>
      </c>
      <c r="C6" s="242"/>
      <c r="D6" s="243"/>
      <c r="E6" s="243"/>
      <c r="F6" s="243"/>
      <c r="G6" s="243"/>
      <c r="H6" s="243"/>
      <c r="I6" s="229"/>
      <c r="J6" s="242"/>
      <c r="K6" s="243"/>
      <c r="L6" s="243"/>
      <c r="M6" s="243"/>
      <c r="N6" s="238"/>
      <c r="O6" s="239"/>
      <c r="P6" s="240"/>
      <c r="Q6" s="237"/>
      <c r="R6" s="244"/>
    </row>
    <row r="7" spans="1:18" ht="15.75" thickBot="1">
      <c r="A7" s="245"/>
      <c r="B7" s="246" t="s">
        <v>509</v>
      </c>
      <c r="C7" s="247"/>
      <c r="D7" s="248"/>
      <c r="E7" s="248"/>
      <c r="F7" s="248"/>
      <c r="G7" s="248"/>
      <c r="H7" s="248"/>
      <c r="I7" s="249"/>
      <c r="J7" s="247"/>
      <c r="K7" s="248"/>
      <c r="L7" s="248"/>
      <c r="M7" s="248"/>
      <c r="N7" s="250"/>
      <c r="O7" s="251"/>
      <c r="P7" s="252"/>
      <c r="Q7" s="253"/>
      <c r="R7" s="254"/>
    </row>
    <row r="8" spans="1:18">
      <c r="A8" s="255" t="s">
        <v>510</v>
      </c>
      <c r="B8" s="226">
        <v>2019</v>
      </c>
      <c r="C8" s="256"/>
      <c r="D8" s="257"/>
      <c r="E8" s="257"/>
      <c r="F8" s="257"/>
      <c r="G8" s="257"/>
      <c r="H8" s="257"/>
      <c r="I8" s="258"/>
      <c r="J8" s="256"/>
      <c r="K8" s="257"/>
      <c r="L8" s="257"/>
      <c r="M8" s="257"/>
      <c r="N8" s="259"/>
      <c r="O8" s="260"/>
      <c r="P8" s="261"/>
      <c r="Q8" s="257"/>
      <c r="R8" s="262"/>
    </row>
    <row r="9" spans="1:18">
      <c r="A9" s="234"/>
      <c r="B9" s="235">
        <v>2020</v>
      </c>
      <c r="C9" s="236"/>
      <c r="D9" s="237"/>
      <c r="E9" s="237"/>
      <c r="F9" s="237"/>
      <c r="G9" s="237"/>
      <c r="H9" s="237"/>
      <c r="I9" s="229"/>
      <c r="J9" s="236"/>
      <c r="K9" s="237"/>
      <c r="L9" s="237"/>
      <c r="M9" s="237"/>
      <c r="N9" s="238"/>
      <c r="O9" s="239"/>
      <c r="P9" s="240"/>
      <c r="Q9" s="237"/>
      <c r="R9" s="241"/>
    </row>
    <row r="10" spans="1:18">
      <c r="A10" s="234"/>
      <c r="B10" s="235">
        <v>2021</v>
      </c>
      <c r="C10" s="236"/>
      <c r="D10" s="237"/>
      <c r="E10" s="237"/>
      <c r="F10" s="237"/>
      <c r="G10" s="237"/>
      <c r="H10" s="237"/>
      <c r="I10" s="229"/>
      <c r="J10" s="236"/>
      <c r="K10" s="237"/>
      <c r="L10" s="237"/>
      <c r="M10" s="237"/>
      <c r="N10" s="238"/>
      <c r="O10" s="239"/>
      <c r="P10" s="240"/>
      <c r="Q10" s="237"/>
      <c r="R10" s="241"/>
    </row>
    <row r="11" spans="1:18" ht="15.75" thickBot="1">
      <c r="A11" s="263"/>
      <c r="B11" s="246" t="s">
        <v>509</v>
      </c>
      <c r="C11" s="247"/>
      <c r="D11" s="248"/>
      <c r="E11" s="248"/>
      <c r="F11" s="248" t="s">
        <v>511</v>
      </c>
      <c r="G11" s="248"/>
      <c r="H11" s="248"/>
      <c r="I11" s="249"/>
      <c r="J11" s="247"/>
      <c r="K11" s="248"/>
      <c r="L11" s="248"/>
      <c r="M11" s="248"/>
      <c r="N11" s="250"/>
      <c r="O11" s="251"/>
      <c r="P11" s="252"/>
      <c r="Q11" s="253"/>
      <c r="R11" s="264"/>
    </row>
    <row r="12" spans="1:18">
      <c r="A12" s="225" t="s">
        <v>512</v>
      </c>
      <c r="B12" s="226">
        <v>2019</v>
      </c>
      <c r="C12" s="227"/>
      <c r="D12" s="228">
        <v>25463778</v>
      </c>
      <c r="E12" s="228">
        <v>50000</v>
      </c>
      <c r="F12" s="228">
        <v>36219634</v>
      </c>
      <c r="G12" s="228"/>
      <c r="H12" s="228">
        <v>268057</v>
      </c>
      <c r="I12" s="258">
        <f>+C12+D12+E12+F12+G12+H12</f>
        <v>62001469</v>
      </c>
      <c r="J12" s="227"/>
      <c r="K12" s="228"/>
      <c r="L12" s="228">
        <v>14349818</v>
      </c>
      <c r="M12" s="228"/>
      <c r="N12" s="265">
        <f>+J12+K12+L12+M12</f>
        <v>14349818</v>
      </c>
      <c r="O12" s="260"/>
      <c r="P12" s="261"/>
      <c r="Q12" s="266">
        <f>+I12+N12+P12</f>
        <v>76351287</v>
      </c>
      <c r="R12" s="267">
        <v>9.01</v>
      </c>
    </row>
    <row r="13" spans="1:18">
      <c r="A13" s="234"/>
      <c r="B13" s="235">
        <v>2020</v>
      </c>
      <c r="C13" s="236"/>
      <c r="D13" s="237">
        <v>39999805</v>
      </c>
      <c r="E13" s="237"/>
      <c r="F13" s="237">
        <v>50350736</v>
      </c>
      <c r="G13" s="237"/>
      <c r="H13" s="237">
        <v>8279772</v>
      </c>
      <c r="I13" s="258">
        <f t="shared" ref="I13:I14" si="0">+C13+D13+E13+F13+G13+H13</f>
        <v>98630313</v>
      </c>
      <c r="J13" s="236"/>
      <c r="K13" s="237"/>
      <c r="L13" s="237">
        <v>334771252</v>
      </c>
      <c r="M13" s="237"/>
      <c r="N13" s="265">
        <f t="shared" ref="N13:N14" si="1">+J13+K13+L13+M13</f>
        <v>334771252</v>
      </c>
      <c r="O13" s="239"/>
      <c r="P13" s="261"/>
      <c r="Q13" s="266">
        <f t="shared" ref="Q13:Q14" si="2">+I13+N13+P13</f>
        <v>433401565</v>
      </c>
      <c r="R13" s="268">
        <v>51.12</v>
      </c>
    </row>
    <row r="14" spans="1:18">
      <c r="A14" s="234"/>
      <c r="B14" s="235">
        <v>2021</v>
      </c>
      <c r="C14" s="236"/>
      <c r="D14" s="237">
        <v>21704386</v>
      </c>
      <c r="E14" s="237"/>
      <c r="F14" s="237">
        <v>46121550</v>
      </c>
      <c r="G14" s="237"/>
      <c r="H14" s="237">
        <v>8780454</v>
      </c>
      <c r="I14" s="258">
        <f t="shared" si="0"/>
        <v>76606390</v>
      </c>
      <c r="J14" s="236"/>
      <c r="K14" s="237"/>
      <c r="L14" s="237">
        <v>261400790</v>
      </c>
      <c r="M14" s="237"/>
      <c r="N14" s="265">
        <f t="shared" si="1"/>
        <v>261400790</v>
      </c>
      <c r="O14" s="239"/>
      <c r="P14" s="261"/>
      <c r="Q14" s="266">
        <f t="shared" si="2"/>
        <v>338007180</v>
      </c>
      <c r="R14" s="268">
        <v>39.869999999999997</v>
      </c>
    </row>
    <row r="15" spans="1:18" ht="15.75" thickBot="1">
      <c r="A15" s="263"/>
      <c r="B15" s="246" t="s">
        <v>509</v>
      </c>
      <c r="C15" s="247"/>
      <c r="D15" s="269">
        <f>(D14*100)/D13-100</f>
        <v>-45.738770476506076</v>
      </c>
      <c r="E15" s="269">
        <v>0</v>
      </c>
      <c r="F15" s="269">
        <f>(F14*100)/F13-100</f>
        <v>-8.3994521947007854</v>
      </c>
      <c r="G15" s="248"/>
      <c r="H15" s="269">
        <f>(H14*100)/H13-100</f>
        <v>6.0470505709577509</v>
      </c>
      <c r="I15" s="269">
        <f>(I14*100)/I13-100</f>
        <v>-22.329770970107333</v>
      </c>
      <c r="J15" s="247"/>
      <c r="K15" s="248"/>
      <c r="L15" s="269">
        <f>(L14*100)/L13-100</f>
        <v>-21.916595753568473</v>
      </c>
      <c r="M15" s="270"/>
      <c r="N15" s="269">
        <f>(N14*100)/N13-100</f>
        <v>-21.916595753568473</v>
      </c>
      <c r="O15" s="251"/>
      <c r="P15" s="252"/>
      <c r="Q15" s="271">
        <f>(Q14*100)/Q13-100</f>
        <v>-22.010623104233602</v>
      </c>
      <c r="R15" s="272">
        <f>SUM(R12:R14)</f>
        <v>100</v>
      </c>
    </row>
    <row r="16" spans="1:18">
      <c r="A16" s="225" t="s">
        <v>513</v>
      </c>
      <c r="B16" s="226">
        <v>2019</v>
      </c>
      <c r="C16" s="227"/>
      <c r="D16" s="228"/>
      <c r="E16" s="228"/>
      <c r="F16" s="228"/>
      <c r="G16" s="228"/>
      <c r="H16" s="228"/>
      <c r="I16" s="258"/>
      <c r="J16" s="227"/>
      <c r="K16" s="228"/>
      <c r="L16" s="228"/>
      <c r="M16" s="228"/>
      <c r="N16" s="265"/>
      <c r="O16" s="260"/>
      <c r="P16" s="261"/>
      <c r="Q16" s="266"/>
      <c r="R16" s="273"/>
    </row>
    <row r="17" spans="1:18">
      <c r="A17" s="234"/>
      <c r="B17" s="235">
        <v>2020</v>
      </c>
      <c r="C17" s="236"/>
      <c r="D17" s="237"/>
      <c r="E17" s="237"/>
      <c r="F17" s="237"/>
      <c r="G17" s="237"/>
      <c r="H17" s="237"/>
      <c r="I17" s="258"/>
      <c r="J17" s="236"/>
      <c r="K17" s="237"/>
      <c r="L17" s="237"/>
      <c r="M17" s="237"/>
      <c r="N17" s="265"/>
      <c r="O17" s="239"/>
      <c r="P17" s="261"/>
      <c r="Q17" s="266"/>
      <c r="R17" s="268"/>
    </row>
    <row r="18" spans="1:18">
      <c r="A18" s="234"/>
      <c r="B18" s="235">
        <v>2021</v>
      </c>
      <c r="C18" s="236"/>
      <c r="D18" s="237"/>
      <c r="E18" s="237"/>
      <c r="F18" s="237"/>
      <c r="G18" s="237"/>
      <c r="H18" s="237"/>
      <c r="I18" s="258"/>
      <c r="J18" s="236"/>
      <c r="K18" s="237"/>
      <c r="L18" s="237"/>
      <c r="M18" s="237"/>
      <c r="N18" s="265"/>
      <c r="O18" s="239"/>
      <c r="P18" s="261"/>
      <c r="Q18" s="266"/>
      <c r="R18" s="268"/>
    </row>
    <row r="19" spans="1:18" ht="15.75" thickBot="1">
      <c r="A19" s="263"/>
      <c r="B19" s="246" t="s">
        <v>509</v>
      </c>
      <c r="C19" s="247"/>
      <c r="D19" s="248"/>
      <c r="E19" s="248"/>
      <c r="F19" s="248"/>
      <c r="G19" s="248"/>
      <c r="H19" s="248"/>
      <c r="I19" s="249"/>
      <c r="J19" s="247"/>
      <c r="K19" s="248"/>
      <c r="L19" s="248"/>
      <c r="M19" s="248"/>
      <c r="N19" s="249"/>
      <c r="O19" s="251"/>
      <c r="P19" s="252"/>
      <c r="Q19" s="274"/>
      <c r="R19" s="275"/>
    </row>
    <row r="20" spans="1:18">
      <c r="A20" s="225" t="s">
        <v>514</v>
      </c>
      <c r="B20" s="226">
        <v>2019</v>
      </c>
      <c r="C20" s="227"/>
      <c r="D20" s="228"/>
      <c r="E20" s="228">
        <v>1400000</v>
      </c>
      <c r="F20" s="228">
        <v>1875683</v>
      </c>
      <c r="G20" s="228"/>
      <c r="H20" s="228"/>
      <c r="I20" s="258">
        <f>+C20+D20+E20+F20+G20+H20</f>
        <v>3275683</v>
      </c>
      <c r="J20" s="227"/>
      <c r="K20" s="228"/>
      <c r="L20" s="228"/>
      <c r="M20" s="228"/>
      <c r="N20" s="265"/>
      <c r="O20" s="260"/>
      <c r="P20" s="261"/>
      <c r="Q20" s="266">
        <f>+I20+N20+P20</f>
        <v>3275683</v>
      </c>
      <c r="R20" s="268">
        <v>26.68</v>
      </c>
    </row>
    <row r="21" spans="1:18">
      <c r="A21" s="234"/>
      <c r="B21" s="235">
        <v>2020</v>
      </c>
      <c r="C21" s="236"/>
      <c r="D21" s="237"/>
      <c r="E21" s="237">
        <v>1400000</v>
      </c>
      <c r="F21" s="237">
        <v>3100633</v>
      </c>
      <c r="G21" s="237"/>
      <c r="H21" s="237"/>
      <c r="I21" s="258">
        <f t="shared" ref="I21:I22" si="3">+C21+D21+E21+F21+G21+H21</f>
        <v>4500633</v>
      </c>
      <c r="J21" s="236"/>
      <c r="K21" s="237"/>
      <c r="L21" s="237"/>
      <c r="M21" s="237"/>
      <c r="N21" s="265"/>
      <c r="O21" s="239"/>
      <c r="P21" s="261"/>
      <c r="Q21" s="266">
        <f t="shared" ref="Q21:Q22" si="4">+I21+N21+P21</f>
        <v>4500633</v>
      </c>
      <c r="R21" s="268">
        <v>36.659999999999997</v>
      </c>
    </row>
    <row r="22" spans="1:18">
      <c r="A22" s="234"/>
      <c r="B22" s="235">
        <v>2021</v>
      </c>
      <c r="C22" s="236"/>
      <c r="D22" s="237"/>
      <c r="E22" s="237">
        <v>1400000</v>
      </c>
      <c r="F22" s="237">
        <v>3100633</v>
      </c>
      <c r="G22" s="237"/>
      <c r="H22" s="237"/>
      <c r="I22" s="258">
        <f t="shared" si="3"/>
        <v>4500633</v>
      </c>
      <c r="J22" s="236"/>
      <c r="K22" s="237"/>
      <c r="L22" s="237"/>
      <c r="M22" s="237"/>
      <c r="N22" s="265"/>
      <c r="O22" s="239"/>
      <c r="P22" s="261"/>
      <c r="Q22" s="266">
        <f t="shared" si="4"/>
        <v>4500633</v>
      </c>
      <c r="R22" s="268">
        <v>36.659999999999997</v>
      </c>
    </row>
    <row r="23" spans="1:18" ht="15.75" thickBot="1">
      <c r="A23" s="263"/>
      <c r="B23" s="246" t="s">
        <v>509</v>
      </c>
      <c r="C23" s="247"/>
      <c r="D23" s="269"/>
      <c r="E23" s="269">
        <f>(E22*100)/E21-100</f>
        <v>0</v>
      </c>
      <c r="F23" s="269">
        <f>(F22*100)/F21-100</f>
        <v>0</v>
      </c>
      <c r="G23" s="269"/>
      <c r="H23" s="269"/>
      <c r="I23" s="269">
        <f>(I22*100)/I21-100</f>
        <v>0</v>
      </c>
      <c r="J23" s="276"/>
      <c r="K23" s="269"/>
      <c r="L23" s="269"/>
      <c r="M23" s="269"/>
      <c r="N23" s="277"/>
      <c r="O23" s="278"/>
      <c r="P23" s="279"/>
      <c r="Q23" s="271">
        <f>(Q22*100)/Q21-100</f>
        <v>0</v>
      </c>
      <c r="R23" s="272">
        <f>SUM(R20:R22)</f>
        <v>100</v>
      </c>
    </row>
    <row r="24" spans="1:18">
      <c r="A24" s="225" t="s">
        <v>515</v>
      </c>
      <c r="B24" s="226">
        <v>2019</v>
      </c>
      <c r="C24" s="227"/>
      <c r="D24" s="228"/>
      <c r="E24" s="228"/>
      <c r="F24" s="228"/>
      <c r="G24" s="228"/>
      <c r="H24" s="228"/>
      <c r="I24" s="258"/>
      <c r="J24" s="227"/>
      <c r="K24" s="228"/>
      <c r="L24" s="228"/>
      <c r="M24" s="228"/>
      <c r="N24" s="265"/>
      <c r="O24" s="260"/>
      <c r="P24" s="261"/>
      <c r="Q24" s="266"/>
      <c r="R24" s="268"/>
    </row>
    <row r="25" spans="1:18">
      <c r="A25" s="234"/>
      <c r="B25" s="235">
        <v>2020</v>
      </c>
      <c r="C25" s="236"/>
      <c r="D25" s="237"/>
      <c r="E25" s="237"/>
      <c r="F25" s="237"/>
      <c r="G25" s="237"/>
      <c r="H25" s="237"/>
      <c r="I25" s="258"/>
      <c r="J25" s="236"/>
      <c r="K25" s="237"/>
      <c r="L25" s="237"/>
      <c r="M25" s="237"/>
      <c r="N25" s="265"/>
      <c r="O25" s="239"/>
      <c r="P25" s="261"/>
      <c r="Q25" s="266"/>
      <c r="R25" s="268"/>
    </row>
    <row r="26" spans="1:18">
      <c r="A26" s="234"/>
      <c r="B26" s="235">
        <v>2021</v>
      </c>
      <c r="C26" s="236"/>
      <c r="D26" s="237"/>
      <c r="E26" s="237"/>
      <c r="F26" s="237"/>
      <c r="G26" s="237"/>
      <c r="H26" s="237"/>
      <c r="I26" s="258"/>
      <c r="J26" s="236"/>
      <c r="K26" s="237"/>
      <c r="L26" s="237"/>
      <c r="M26" s="237"/>
      <c r="N26" s="265"/>
      <c r="O26" s="239"/>
      <c r="P26" s="261"/>
      <c r="Q26" s="266"/>
      <c r="R26" s="268"/>
    </row>
    <row r="27" spans="1:18" ht="15.75" thickBot="1">
      <c r="A27" s="263"/>
      <c r="B27" s="246" t="s">
        <v>509</v>
      </c>
      <c r="C27" s="247"/>
      <c r="D27" s="248"/>
      <c r="E27" s="248"/>
      <c r="F27" s="248"/>
      <c r="G27" s="248"/>
      <c r="H27" s="248"/>
      <c r="I27" s="249"/>
      <c r="J27" s="247"/>
      <c r="K27" s="248"/>
      <c r="L27" s="248"/>
      <c r="M27" s="248"/>
      <c r="N27" s="249"/>
      <c r="O27" s="251"/>
      <c r="P27" s="252"/>
      <c r="Q27" s="274"/>
      <c r="R27" s="275"/>
    </row>
    <row r="28" spans="1:18">
      <c r="A28" s="225" t="s">
        <v>516</v>
      </c>
      <c r="B28" s="226">
        <v>2019</v>
      </c>
      <c r="C28" s="227"/>
      <c r="D28" s="228">
        <v>304432</v>
      </c>
      <c r="E28" s="228"/>
      <c r="F28" s="228">
        <v>1207360</v>
      </c>
      <c r="G28" s="228"/>
      <c r="H28" s="228"/>
      <c r="I28" s="258">
        <f>+C28+D28+E28+F28+G28+H28</f>
        <v>1511792</v>
      </c>
      <c r="J28" s="227"/>
      <c r="K28" s="228"/>
      <c r="L28" s="228"/>
      <c r="M28" s="228"/>
      <c r="N28" s="265"/>
      <c r="O28" s="260"/>
      <c r="P28" s="261"/>
      <c r="Q28" s="266">
        <f>+I28+N28+P28</f>
        <v>1511792</v>
      </c>
      <c r="R28" s="268">
        <v>45.45</v>
      </c>
    </row>
    <row r="29" spans="1:18">
      <c r="A29" s="234"/>
      <c r="B29" s="235">
        <v>2020</v>
      </c>
      <c r="C29" s="236"/>
      <c r="D29" s="237">
        <v>359850</v>
      </c>
      <c r="E29" s="237"/>
      <c r="F29" s="237">
        <v>677331</v>
      </c>
      <c r="G29" s="237"/>
      <c r="H29" s="237"/>
      <c r="I29" s="258">
        <f t="shared" ref="I29:I30" si="5">+C29+D29+E29+F29+G29+H29</f>
        <v>1037181</v>
      </c>
      <c r="J29" s="236"/>
      <c r="K29" s="237"/>
      <c r="L29" s="237"/>
      <c r="M29" s="237"/>
      <c r="N29" s="265"/>
      <c r="O29" s="239"/>
      <c r="P29" s="261"/>
      <c r="Q29" s="266">
        <f t="shared" ref="Q29:Q30" si="6">+I29+N29+P29</f>
        <v>1037181</v>
      </c>
      <c r="R29" s="268">
        <v>31.18</v>
      </c>
    </row>
    <row r="30" spans="1:18">
      <c r="A30" s="234"/>
      <c r="B30" s="235">
        <v>2021</v>
      </c>
      <c r="C30" s="236"/>
      <c r="D30" s="237">
        <v>359850</v>
      </c>
      <c r="E30" s="237"/>
      <c r="F30" s="237">
        <v>413037</v>
      </c>
      <c r="G30" s="237"/>
      <c r="H30" s="237">
        <v>4332</v>
      </c>
      <c r="I30" s="258">
        <f t="shared" si="5"/>
        <v>777219</v>
      </c>
      <c r="J30" s="236"/>
      <c r="K30" s="237"/>
      <c r="L30" s="237"/>
      <c r="M30" s="237"/>
      <c r="N30" s="265"/>
      <c r="O30" s="239"/>
      <c r="P30" s="261"/>
      <c r="Q30" s="266">
        <f t="shared" si="6"/>
        <v>777219</v>
      </c>
      <c r="R30" s="268">
        <v>23.37</v>
      </c>
    </row>
    <row r="31" spans="1:18" ht="15.75" thickBot="1">
      <c r="A31" s="263"/>
      <c r="B31" s="246" t="s">
        <v>509</v>
      </c>
      <c r="C31" s="247"/>
      <c r="D31" s="269">
        <f>(D30*100)/D29-100</f>
        <v>0</v>
      </c>
      <c r="E31" s="269"/>
      <c r="F31" s="269">
        <f>(F30*100)/F29-100</f>
        <v>-39.019917883575388</v>
      </c>
      <c r="G31" s="269"/>
      <c r="H31" s="269">
        <v>100</v>
      </c>
      <c r="I31" s="269">
        <f>(I30*100)/I29-100</f>
        <v>-25.064284825888635</v>
      </c>
      <c r="J31" s="276"/>
      <c r="K31" s="269"/>
      <c r="L31" s="269"/>
      <c r="M31" s="269"/>
      <c r="N31" s="277"/>
      <c r="O31" s="278"/>
      <c r="P31" s="279"/>
      <c r="Q31" s="271">
        <f>(Q30*100)/Q29-100</f>
        <v>-25.064284825888635</v>
      </c>
      <c r="R31" s="272">
        <f>SUM(R28:R30)</f>
        <v>100</v>
      </c>
    </row>
    <row r="32" spans="1:18">
      <c r="A32" s="225" t="s">
        <v>517</v>
      </c>
      <c r="B32" s="226">
        <v>2019</v>
      </c>
      <c r="C32" s="227"/>
      <c r="D32" s="228">
        <v>360000</v>
      </c>
      <c r="E32" s="228"/>
      <c r="F32" s="228">
        <v>770904</v>
      </c>
      <c r="G32" s="228"/>
      <c r="H32" s="228"/>
      <c r="I32" s="258">
        <f>+C32+D32+E32+F32+G32+H32</f>
        <v>1130904</v>
      </c>
      <c r="J32" s="227"/>
      <c r="K32" s="228"/>
      <c r="L32" s="228">
        <v>517300</v>
      </c>
      <c r="M32" s="228"/>
      <c r="N32" s="265">
        <f>+J32+K32+L32+M32</f>
        <v>517300</v>
      </c>
      <c r="O32" s="260"/>
      <c r="P32" s="261"/>
      <c r="Q32" s="266">
        <f>+I32+N32+P32</f>
        <v>1648204</v>
      </c>
      <c r="R32" s="280">
        <v>51.9</v>
      </c>
    </row>
    <row r="33" spans="1:18">
      <c r="A33" s="234"/>
      <c r="B33" s="235">
        <v>2020</v>
      </c>
      <c r="C33" s="236"/>
      <c r="D33" s="237">
        <v>391437</v>
      </c>
      <c r="E33" s="237"/>
      <c r="F33" s="237">
        <v>508610</v>
      </c>
      <c r="G33" s="237"/>
      <c r="H33" s="237"/>
      <c r="I33" s="258">
        <f t="shared" ref="I33:I34" si="7">+C33+D33+E33+F33+G33+H33</f>
        <v>900047</v>
      </c>
      <c r="J33" s="236"/>
      <c r="K33" s="237"/>
      <c r="L33" s="237"/>
      <c r="M33" s="237"/>
      <c r="N33" s="265"/>
      <c r="O33" s="239"/>
      <c r="P33" s="261"/>
      <c r="Q33" s="266">
        <f t="shared" ref="Q33:Q34" si="8">+I33+N33+P33</f>
        <v>900047</v>
      </c>
      <c r="R33" s="280">
        <v>28.35</v>
      </c>
    </row>
    <row r="34" spans="1:18">
      <c r="A34" s="234"/>
      <c r="B34" s="235">
        <v>2021</v>
      </c>
      <c r="C34" s="236"/>
      <c r="D34" s="237">
        <v>403983</v>
      </c>
      <c r="E34" s="237"/>
      <c r="F34" s="237">
        <v>222978</v>
      </c>
      <c r="G34" s="237"/>
      <c r="H34" s="237"/>
      <c r="I34" s="258">
        <f t="shared" si="7"/>
        <v>626961</v>
      </c>
      <c r="J34" s="236"/>
      <c r="K34" s="237"/>
      <c r="L34" s="237"/>
      <c r="M34" s="237"/>
      <c r="N34" s="265"/>
      <c r="O34" s="239"/>
      <c r="P34" s="261"/>
      <c r="Q34" s="266">
        <f t="shared" si="8"/>
        <v>626961</v>
      </c>
      <c r="R34" s="280">
        <v>19.75</v>
      </c>
    </row>
    <row r="35" spans="1:18" ht="15.75" thickBot="1">
      <c r="A35" s="263"/>
      <c r="B35" s="246" t="s">
        <v>509</v>
      </c>
      <c r="C35" s="247"/>
      <c r="D35" s="269">
        <f>(D34*100)/D33-100</f>
        <v>3.20511346653484</v>
      </c>
      <c r="E35" s="269"/>
      <c r="F35" s="269">
        <f>(F34*100)/F33-100</f>
        <v>-56.159336230117376</v>
      </c>
      <c r="G35" s="269"/>
      <c r="H35" s="269"/>
      <c r="I35" s="269">
        <f>(I34*100)/I33-100</f>
        <v>-30.341304398548075</v>
      </c>
      <c r="J35" s="276"/>
      <c r="K35" s="269"/>
      <c r="L35" s="269"/>
      <c r="M35" s="269"/>
      <c r="N35" s="277"/>
      <c r="O35" s="278"/>
      <c r="P35" s="279"/>
      <c r="Q35" s="271">
        <f>(Q34*100)/Q33-100</f>
        <v>-30.341304398548075</v>
      </c>
      <c r="R35" s="272">
        <f>SUM(R32:R34)</f>
        <v>100</v>
      </c>
    </row>
    <row r="36" spans="1:18">
      <c r="A36" s="225" t="s">
        <v>518</v>
      </c>
      <c r="B36" s="226">
        <v>2019</v>
      </c>
      <c r="C36" s="227"/>
      <c r="D36" s="228"/>
      <c r="E36" s="228"/>
      <c r="F36" s="228">
        <v>711838</v>
      </c>
      <c r="G36" s="228"/>
      <c r="H36" s="228"/>
      <c r="I36" s="229">
        <f>+C36+D36+E36+F36+G36+H36</f>
        <v>711838</v>
      </c>
      <c r="J36" s="227"/>
      <c r="K36" s="228"/>
      <c r="L36" s="228">
        <v>22000</v>
      </c>
      <c r="M36" s="228"/>
      <c r="N36" s="265">
        <f>+J36+K36+L36+M36</f>
        <v>22000</v>
      </c>
      <c r="O36" s="260"/>
      <c r="P36" s="261"/>
      <c r="Q36" s="266">
        <f>+I36+N36+P36</f>
        <v>733838</v>
      </c>
      <c r="R36" s="280">
        <v>2.35</v>
      </c>
    </row>
    <row r="37" spans="1:18">
      <c r="A37" s="234"/>
      <c r="B37" s="235">
        <v>2020</v>
      </c>
      <c r="C37" s="236"/>
      <c r="D37" s="237"/>
      <c r="E37" s="237"/>
      <c r="F37" s="237">
        <v>877151</v>
      </c>
      <c r="G37" s="237"/>
      <c r="H37" s="237"/>
      <c r="I37" s="229">
        <f t="shared" ref="I37:I38" si="9">+C37+D37+E37+F37+G37+H37</f>
        <v>877151</v>
      </c>
      <c r="J37" s="236"/>
      <c r="K37" s="237"/>
      <c r="L37" s="237"/>
      <c r="M37" s="237"/>
      <c r="N37" s="265"/>
      <c r="O37" s="239"/>
      <c r="P37" s="261"/>
      <c r="Q37" s="266">
        <f t="shared" ref="Q37:Q38" si="10">+I37+N37+P37</f>
        <v>877151</v>
      </c>
      <c r="R37" s="280">
        <v>2.8</v>
      </c>
    </row>
    <row r="38" spans="1:18">
      <c r="A38" s="234"/>
      <c r="B38" s="235">
        <v>2021</v>
      </c>
      <c r="C38" s="236"/>
      <c r="D38" s="237"/>
      <c r="E38" s="237"/>
      <c r="F38" s="237">
        <v>137856</v>
      </c>
      <c r="G38" s="237"/>
      <c r="H38" s="237"/>
      <c r="I38" s="229">
        <f t="shared" si="9"/>
        <v>137856</v>
      </c>
      <c r="J38" s="236"/>
      <c r="K38" s="237"/>
      <c r="L38" s="237">
        <v>29559111</v>
      </c>
      <c r="M38" s="237"/>
      <c r="N38" s="265">
        <f t="shared" ref="N38" si="11">+J38+K38+L38+M38</f>
        <v>29559111</v>
      </c>
      <c r="O38" s="239"/>
      <c r="P38" s="261"/>
      <c r="Q38" s="266">
        <f t="shared" si="10"/>
        <v>29696967</v>
      </c>
      <c r="R38" s="280">
        <v>94.85</v>
      </c>
    </row>
    <row r="39" spans="1:18" ht="15.75" thickBot="1">
      <c r="A39" s="263"/>
      <c r="B39" s="246" t="s">
        <v>509</v>
      </c>
      <c r="C39" s="247"/>
      <c r="D39" s="248"/>
      <c r="E39" s="248"/>
      <c r="F39" s="269">
        <f>(F38*100)/F37-100</f>
        <v>-84.283663816150238</v>
      </c>
      <c r="G39" s="281"/>
      <c r="H39" s="281"/>
      <c r="I39" s="269">
        <f>(I38*100)/I37-100</f>
        <v>-84.283663816150238</v>
      </c>
      <c r="J39" s="276"/>
      <c r="K39" s="269"/>
      <c r="L39" s="269">
        <v>100</v>
      </c>
      <c r="M39" s="281"/>
      <c r="N39" s="277">
        <v>100</v>
      </c>
      <c r="O39" s="282"/>
      <c r="P39" s="279"/>
      <c r="Q39" s="271">
        <f>(Q38*100)/Q37-100</f>
        <v>3285.6162735948542</v>
      </c>
      <c r="R39" s="272">
        <f>SUM(R36:R38)</f>
        <v>100</v>
      </c>
    </row>
    <row r="40" spans="1:18">
      <c r="A40" s="225" t="s">
        <v>519</v>
      </c>
      <c r="B40" s="226">
        <v>2019</v>
      </c>
      <c r="C40" s="227"/>
      <c r="D40" s="228">
        <v>2290765</v>
      </c>
      <c r="E40" s="228">
        <v>12990</v>
      </c>
      <c r="F40" s="228">
        <v>2718744</v>
      </c>
      <c r="G40" s="228"/>
      <c r="H40" s="228"/>
      <c r="I40" s="258">
        <f>+C40+D40+E40+F40+G40+H40</f>
        <v>5022499</v>
      </c>
      <c r="J40" s="227"/>
      <c r="K40" s="228"/>
      <c r="L40" s="228">
        <v>3177659</v>
      </c>
      <c r="M40" s="228">
        <v>3957855</v>
      </c>
      <c r="N40" s="265">
        <f>+J40+K40+L40+M40</f>
        <v>7135514</v>
      </c>
      <c r="O40" s="260"/>
      <c r="P40" s="261"/>
      <c r="Q40" s="266">
        <f>+I40+N40+P40</f>
        <v>12158013</v>
      </c>
      <c r="R40" s="268">
        <v>17.8</v>
      </c>
    </row>
    <row r="41" spans="1:18">
      <c r="A41" s="234"/>
      <c r="B41" s="235">
        <v>2020</v>
      </c>
      <c r="C41" s="236"/>
      <c r="D41" s="237">
        <v>2405967</v>
      </c>
      <c r="E41" s="237">
        <v>25000</v>
      </c>
      <c r="F41" s="237">
        <v>3711511</v>
      </c>
      <c r="G41" s="237"/>
      <c r="H41" s="237"/>
      <c r="I41" s="258">
        <f t="shared" ref="I41:I42" si="12">+C41+D41+E41+F41+G41+H41</f>
        <v>6142478</v>
      </c>
      <c r="J41" s="236"/>
      <c r="K41" s="237"/>
      <c r="L41" s="237">
        <v>7499001</v>
      </c>
      <c r="M41" s="237"/>
      <c r="N41" s="265">
        <f t="shared" ref="N41:N42" si="13">+J41+K41+L41+M41</f>
        <v>7499001</v>
      </c>
      <c r="O41" s="239"/>
      <c r="P41" s="261"/>
      <c r="Q41" s="266">
        <f t="shared" ref="Q41:Q42" si="14">+I41+N41+P41</f>
        <v>13641479</v>
      </c>
      <c r="R41" s="268">
        <v>19.97</v>
      </c>
    </row>
    <row r="42" spans="1:18">
      <c r="A42" s="234"/>
      <c r="B42" s="235">
        <v>2021</v>
      </c>
      <c r="C42" s="236"/>
      <c r="D42" s="237">
        <v>2178028</v>
      </c>
      <c r="E42" s="237">
        <v>25000</v>
      </c>
      <c r="F42" s="237">
        <v>6681119</v>
      </c>
      <c r="G42" s="237"/>
      <c r="H42" s="237"/>
      <c r="I42" s="258">
        <f t="shared" si="12"/>
        <v>8884147</v>
      </c>
      <c r="J42" s="236"/>
      <c r="K42" s="237"/>
      <c r="L42" s="237">
        <v>33628254</v>
      </c>
      <c r="M42" s="237"/>
      <c r="N42" s="265">
        <f t="shared" si="13"/>
        <v>33628254</v>
      </c>
      <c r="O42" s="239"/>
      <c r="P42" s="261"/>
      <c r="Q42" s="266">
        <f t="shared" si="14"/>
        <v>42512401</v>
      </c>
      <c r="R42" s="268">
        <v>62.23</v>
      </c>
    </row>
    <row r="43" spans="1:18" ht="15.75" thickBot="1">
      <c r="A43" s="263"/>
      <c r="B43" s="246" t="s">
        <v>509</v>
      </c>
      <c r="C43" s="247"/>
      <c r="D43" s="269">
        <f>(D42*100)/D41-100</f>
        <v>-9.4739038399113582</v>
      </c>
      <c r="E43" s="269">
        <f>(E42*100)/E41-100</f>
        <v>0</v>
      </c>
      <c r="F43" s="269">
        <f>(F42*100)/F41-100</f>
        <v>80.010755727249631</v>
      </c>
      <c r="G43" s="269"/>
      <c r="H43" s="269"/>
      <c r="I43" s="269">
        <f>(I42*100)/I41-100</f>
        <v>44.634575817772571</v>
      </c>
      <c r="J43" s="276"/>
      <c r="K43" s="269"/>
      <c r="L43" s="269">
        <f>(L42*100)/L41-100</f>
        <v>348.43645173537118</v>
      </c>
      <c r="M43" s="269">
        <v>0</v>
      </c>
      <c r="N43" s="269">
        <f>(N42*100)/N41-100</f>
        <v>348.43645173537118</v>
      </c>
      <c r="O43" s="278"/>
      <c r="P43" s="279"/>
      <c r="Q43" s="271">
        <f>(Q42*100)/Q41-100</f>
        <v>211.64070259537107</v>
      </c>
      <c r="R43" s="272">
        <f>SUM(R40:R42)</f>
        <v>100</v>
      </c>
    </row>
    <row r="44" spans="1:18">
      <c r="A44" s="225" t="s">
        <v>520</v>
      </c>
      <c r="B44" s="226">
        <v>2019</v>
      </c>
      <c r="C44" s="227"/>
      <c r="D44" s="228">
        <v>1470925</v>
      </c>
      <c r="E44" s="228"/>
      <c r="F44" s="228">
        <v>1599746</v>
      </c>
      <c r="G44" s="228"/>
      <c r="H44" s="228">
        <v>14888</v>
      </c>
      <c r="I44" s="258">
        <f>+C44+D44+E44+F44+G44+H44</f>
        <v>3085559</v>
      </c>
      <c r="J44" s="227"/>
      <c r="K44" s="228"/>
      <c r="L44" s="228">
        <v>99750</v>
      </c>
      <c r="M44" s="228">
        <v>2474979</v>
      </c>
      <c r="N44" s="265">
        <f>+J44+K44+L44+M44</f>
        <v>2574729</v>
      </c>
      <c r="O44" s="260"/>
      <c r="P44" s="261"/>
      <c r="Q44" s="266">
        <f>+I44+N44+P44</f>
        <v>5660288</v>
      </c>
      <c r="R44" s="280">
        <v>55.34</v>
      </c>
    </row>
    <row r="45" spans="1:18">
      <c r="A45" s="234"/>
      <c r="B45" s="235">
        <v>2020</v>
      </c>
      <c r="C45" s="236"/>
      <c r="D45" s="237">
        <v>1666523</v>
      </c>
      <c r="E45" s="237"/>
      <c r="F45" s="237">
        <v>980978</v>
      </c>
      <c r="G45" s="237"/>
      <c r="H45" s="237">
        <v>31601</v>
      </c>
      <c r="I45" s="258">
        <f t="shared" ref="I45:I46" si="15">+C45+D45+E45+F45+G45+H45</f>
        <v>2679102</v>
      </c>
      <c r="J45" s="236"/>
      <c r="K45" s="237"/>
      <c r="L45" s="237">
        <v>7103</v>
      </c>
      <c r="M45" s="237"/>
      <c r="N45" s="265">
        <f t="shared" ref="N45:N46" si="16">+J45+K45+L45+M45</f>
        <v>7103</v>
      </c>
      <c r="O45" s="239"/>
      <c r="P45" s="261"/>
      <c r="Q45" s="266">
        <f t="shared" ref="Q45:Q46" si="17">+I45+N45+P45</f>
        <v>2686205</v>
      </c>
      <c r="R45" s="280">
        <v>26.27</v>
      </c>
    </row>
    <row r="46" spans="1:18">
      <c r="A46" s="234"/>
      <c r="B46" s="235">
        <v>2021</v>
      </c>
      <c r="C46" s="236"/>
      <c r="D46" s="237">
        <v>1666523</v>
      </c>
      <c r="E46" s="237"/>
      <c r="F46" s="237">
        <v>213893</v>
      </c>
      <c r="G46" s="237"/>
      <c r="H46" s="237"/>
      <c r="I46" s="258">
        <f t="shared" si="15"/>
        <v>1880416</v>
      </c>
      <c r="J46" s="236"/>
      <c r="K46" s="237"/>
      <c r="L46" s="237"/>
      <c r="M46" s="237"/>
      <c r="N46" s="265">
        <f t="shared" si="16"/>
        <v>0</v>
      </c>
      <c r="O46" s="239"/>
      <c r="P46" s="261"/>
      <c r="Q46" s="266">
        <f t="shared" si="17"/>
        <v>1880416</v>
      </c>
      <c r="R46" s="280">
        <v>18.39</v>
      </c>
    </row>
    <row r="47" spans="1:18" ht="15.75" thickBot="1">
      <c r="A47" s="263"/>
      <c r="B47" s="246" t="s">
        <v>509</v>
      </c>
      <c r="C47" s="247"/>
      <c r="D47" s="269">
        <f>(D46*100)/D45-100</f>
        <v>0</v>
      </c>
      <c r="E47" s="269"/>
      <c r="F47" s="269">
        <f>(F46*100)/F45-100</f>
        <v>-78.195943232162193</v>
      </c>
      <c r="G47" s="269"/>
      <c r="H47" s="269">
        <f>(H46*100)/H45-100</f>
        <v>-100</v>
      </c>
      <c r="I47" s="269">
        <f>(I46*100)/I45-100</f>
        <v>-29.811705564028543</v>
      </c>
      <c r="J47" s="276"/>
      <c r="K47" s="269"/>
      <c r="L47" s="269">
        <f>(L46*100)/L45-100</f>
        <v>-100</v>
      </c>
      <c r="M47" s="269">
        <v>0</v>
      </c>
      <c r="N47" s="269">
        <f>(N46*100)/N45-100</f>
        <v>-100</v>
      </c>
      <c r="O47" s="278"/>
      <c r="P47" s="279"/>
      <c r="Q47" s="271">
        <f>(Q46*100)/Q45-100</f>
        <v>-29.997301025052067</v>
      </c>
      <c r="R47" s="272">
        <f>SUM(R44:R46)</f>
        <v>100</v>
      </c>
    </row>
    <row r="48" spans="1:18">
      <c r="A48" s="225" t="s">
        <v>521</v>
      </c>
      <c r="B48" s="226">
        <v>2019</v>
      </c>
      <c r="C48" s="227"/>
      <c r="D48" s="228"/>
      <c r="E48" s="228"/>
      <c r="F48" s="228"/>
      <c r="G48" s="228"/>
      <c r="H48" s="228"/>
      <c r="I48" s="258"/>
      <c r="J48" s="227"/>
      <c r="K48" s="228"/>
      <c r="L48" s="228">
        <v>1471041</v>
      </c>
      <c r="M48" s="228"/>
      <c r="N48" s="265">
        <f>+J48+K48+L48+M48</f>
        <v>1471041</v>
      </c>
      <c r="O48" s="260"/>
      <c r="P48" s="261"/>
      <c r="Q48" s="266">
        <f>+I48+N48+P48</f>
        <v>1471041</v>
      </c>
      <c r="R48" s="268">
        <v>98.66</v>
      </c>
    </row>
    <row r="49" spans="1:18">
      <c r="A49" s="234"/>
      <c r="B49" s="235">
        <v>2020</v>
      </c>
      <c r="C49" s="236"/>
      <c r="D49" s="237"/>
      <c r="E49" s="237"/>
      <c r="F49" s="237"/>
      <c r="G49" s="237"/>
      <c r="H49" s="237"/>
      <c r="I49" s="258"/>
      <c r="J49" s="236"/>
      <c r="K49" s="237"/>
      <c r="L49" s="237">
        <v>20000</v>
      </c>
      <c r="M49" s="237"/>
      <c r="N49" s="265">
        <f t="shared" ref="N49:N50" si="18">+J49+K49+L49+M49</f>
        <v>20000</v>
      </c>
      <c r="O49" s="239"/>
      <c r="P49" s="261"/>
      <c r="Q49" s="266">
        <f t="shared" ref="Q49:Q50" si="19">+I49+N49+P49</f>
        <v>20000</v>
      </c>
      <c r="R49" s="268">
        <v>1.34</v>
      </c>
    </row>
    <row r="50" spans="1:18">
      <c r="A50" s="234"/>
      <c r="B50" s="235">
        <v>2021</v>
      </c>
      <c r="C50" s="236"/>
      <c r="D50" s="237"/>
      <c r="E50" s="237"/>
      <c r="F50" s="237"/>
      <c r="G50" s="237"/>
      <c r="H50" s="237"/>
      <c r="I50" s="258"/>
      <c r="J50" s="236"/>
      <c r="K50" s="237"/>
      <c r="L50" s="237"/>
      <c r="M50" s="237"/>
      <c r="N50" s="265">
        <f t="shared" si="18"/>
        <v>0</v>
      </c>
      <c r="O50" s="239"/>
      <c r="P50" s="261"/>
      <c r="Q50" s="266">
        <f t="shared" si="19"/>
        <v>0</v>
      </c>
      <c r="R50" s="268"/>
    </row>
    <row r="51" spans="1:18" ht="15.75" thickBot="1">
      <c r="A51" s="263"/>
      <c r="B51" s="246" t="s">
        <v>509</v>
      </c>
      <c r="C51" s="276"/>
      <c r="D51" s="269">
        <v>0</v>
      </c>
      <c r="E51" s="269"/>
      <c r="F51" s="269"/>
      <c r="G51" s="269"/>
      <c r="H51" s="269"/>
      <c r="I51" s="277"/>
      <c r="J51" s="276"/>
      <c r="K51" s="269"/>
      <c r="L51" s="269">
        <f>(L50*100)/L49-100</f>
        <v>-100</v>
      </c>
      <c r="M51" s="269"/>
      <c r="N51" s="269">
        <f>(N50*100)/N49-100</f>
        <v>-100</v>
      </c>
      <c r="O51" s="278"/>
      <c r="P51" s="279"/>
      <c r="Q51" s="271">
        <f>(Q50*100)/Q49-100</f>
        <v>-100</v>
      </c>
      <c r="R51" s="272">
        <f>SUM(R48:R50)</f>
        <v>100</v>
      </c>
    </row>
    <row r="52" spans="1:18">
      <c r="A52" s="225" t="s">
        <v>522</v>
      </c>
      <c r="B52" s="226">
        <v>2019</v>
      </c>
      <c r="C52" s="227"/>
      <c r="D52" s="228">
        <v>297902</v>
      </c>
      <c r="E52" s="228"/>
      <c r="F52" s="228">
        <v>1047308</v>
      </c>
      <c r="G52" s="228"/>
      <c r="H52" s="228">
        <v>30000</v>
      </c>
      <c r="I52" s="258">
        <f>+C52+D52+E52+F52+G52+H52</f>
        <v>1375210</v>
      </c>
      <c r="J52" s="227"/>
      <c r="K52" s="228"/>
      <c r="L52" s="228"/>
      <c r="M52" s="228"/>
      <c r="N52" s="265"/>
      <c r="O52" s="260"/>
      <c r="P52" s="261"/>
      <c r="Q52" s="266">
        <f>+I52+N52+P52</f>
        <v>1375210</v>
      </c>
      <c r="R52" s="268">
        <v>45.18</v>
      </c>
    </row>
    <row r="53" spans="1:18">
      <c r="A53" s="234"/>
      <c r="B53" s="235">
        <v>2020</v>
      </c>
      <c r="C53" s="236"/>
      <c r="D53" s="237">
        <v>136757</v>
      </c>
      <c r="E53" s="237"/>
      <c r="F53" s="237">
        <v>894910</v>
      </c>
      <c r="G53" s="237"/>
      <c r="H53" s="237"/>
      <c r="I53" s="258">
        <f t="shared" ref="I53:I54" si="20">+C53+D53+E53+F53+G53+H53</f>
        <v>1031667</v>
      </c>
      <c r="J53" s="236"/>
      <c r="K53" s="237"/>
      <c r="L53" s="237"/>
      <c r="M53" s="237"/>
      <c r="N53" s="265"/>
      <c r="O53" s="239"/>
      <c r="P53" s="261"/>
      <c r="Q53" s="266">
        <f t="shared" ref="Q53:Q54" si="21">+I53+N53+P53</f>
        <v>1031667</v>
      </c>
      <c r="R53" s="268">
        <v>33.89</v>
      </c>
    </row>
    <row r="54" spans="1:18">
      <c r="A54" s="234"/>
      <c r="B54" s="235">
        <v>2021</v>
      </c>
      <c r="C54" s="236"/>
      <c r="D54" s="237">
        <v>142595</v>
      </c>
      <c r="E54" s="237"/>
      <c r="F54" s="237">
        <v>481094</v>
      </c>
      <c r="G54" s="237"/>
      <c r="H54" s="237"/>
      <c r="I54" s="258">
        <f t="shared" si="20"/>
        <v>623689</v>
      </c>
      <c r="J54" s="236"/>
      <c r="K54" s="237"/>
      <c r="L54" s="237">
        <v>13390</v>
      </c>
      <c r="M54" s="237"/>
      <c r="N54" s="265">
        <f t="shared" ref="N54" si="22">+J54+K54+L54+M54</f>
        <v>13390</v>
      </c>
      <c r="O54" s="239"/>
      <c r="P54" s="261"/>
      <c r="Q54" s="266">
        <f t="shared" si="21"/>
        <v>637079</v>
      </c>
      <c r="R54" s="268">
        <v>20.93</v>
      </c>
    </row>
    <row r="55" spans="1:18" ht="15.75" thickBot="1">
      <c r="A55" s="263"/>
      <c r="B55" s="246" t="s">
        <v>509</v>
      </c>
      <c r="C55" s="247"/>
      <c r="D55" s="269">
        <f>(D54*100)/D53-100</f>
        <v>4.2688856877527286</v>
      </c>
      <c r="E55" s="269"/>
      <c r="F55" s="269">
        <f>(F54*100)/F53-100</f>
        <v>-46.241074521460256</v>
      </c>
      <c r="G55" s="269"/>
      <c r="H55" s="269"/>
      <c r="I55" s="269">
        <f>(I54*100)/I53-100</f>
        <v>-39.545512263162436</v>
      </c>
      <c r="J55" s="276"/>
      <c r="K55" s="269"/>
      <c r="L55" s="269">
        <v>100</v>
      </c>
      <c r="M55" s="269"/>
      <c r="N55" s="269">
        <v>100</v>
      </c>
      <c r="O55" s="278"/>
      <c r="P55" s="279"/>
      <c r="Q55" s="271">
        <f>(Q54*100)/Q53-100</f>
        <v>-38.247612844066936</v>
      </c>
      <c r="R55" s="272">
        <f>SUM(R52:R54)</f>
        <v>100</v>
      </c>
    </row>
    <row r="56" spans="1:18">
      <c r="A56" s="225" t="s">
        <v>523</v>
      </c>
      <c r="B56" s="226">
        <v>2019</v>
      </c>
      <c r="C56" s="227"/>
      <c r="D56" s="228"/>
      <c r="E56" s="228"/>
      <c r="F56" s="228"/>
      <c r="G56" s="228"/>
      <c r="H56" s="228"/>
      <c r="I56" s="258"/>
      <c r="J56" s="227"/>
      <c r="K56" s="228"/>
      <c r="L56" s="228"/>
      <c r="M56" s="228"/>
      <c r="N56" s="265"/>
      <c r="O56" s="260"/>
      <c r="P56" s="261"/>
      <c r="Q56" s="266"/>
      <c r="R56" s="268"/>
    </row>
    <row r="57" spans="1:18">
      <c r="A57" s="234"/>
      <c r="B57" s="235">
        <v>2020</v>
      </c>
      <c r="C57" s="236"/>
      <c r="D57" s="237"/>
      <c r="E57" s="237"/>
      <c r="F57" s="237"/>
      <c r="G57" s="237"/>
      <c r="H57" s="237"/>
      <c r="I57" s="258"/>
      <c r="J57" s="236"/>
      <c r="K57" s="237"/>
      <c r="L57" s="237"/>
      <c r="M57" s="237"/>
      <c r="N57" s="265"/>
      <c r="O57" s="239"/>
      <c r="P57" s="261"/>
      <c r="Q57" s="266"/>
      <c r="R57" s="268"/>
    </row>
    <row r="58" spans="1:18">
      <c r="A58" s="234"/>
      <c r="B58" s="235">
        <v>2021</v>
      </c>
      <c r="C58" s="236"/>
      <c r="D58" s="237"/>
      <c r="E58" s="237"/>
      <c r="F58" s="237"/>
      <c r="G58" s="237"/>
      <c r="H58" s="237"/>
      <c r="I58" s="258"/>
      <c r="J58" s="236"/>
      <c r="K58" s="237"/>
      <c r="L58" s="237"/>
      <c r="M58" s="237"/>
      <c r="N58" s="265"/>
      <c r="O58" s="239"/>
      <c r="P58" s="261"/>
      <c r="Q58" s="266"/>
      <c r="R58" s="268"/>
    </row>
    <row r="59" spans="1:18" ht="15.75" thickBot="1">
      <c r="A59" s="263"/>
      <c r="B59" s="246" t="s">
        <v>509</v>
      </c>
      <c r="C59" s="247"/>
      <c r="D59" s="248"/>
      <c r="E59" s="248"/>
      <c r="F59" s="248"/>
      <c r="G59" s="248"/>
      <c r="H59" s="248"/>
      <c r="I59" s="249"/>
      <c r="J59" s="247"/>
      <c r="K59" s="248"/>
      <c r="L59" s="248"/>
      <c r="M59" s="248"/>
      <c r="N59" s="249"/>
      <c r="O59" s="251"/>
      <c r="P59" s="252"/>
      <c r="Q59" s="274"/>
      <c r="R59" s="275"/>
    </row>
    <row r="60" spans="1:18">
      <c r="A60" s="225" t="s">
        <v>524</v>
      </c>
      <c r="B60" s="226">
        <v>2019</v>
      </c>
      <c r="C60" s="227"/>
      <c r="D60" s="228">
        <v>1637690</v>
      </c>
      <c r="E60" s="228">
        <v>10722</v>
      </c>
      <c r="F60" s="228">
        <v>5647319</v>
      </c>
      <c r="G60" s="228"/>
      <c r="H60" s="228"/>
      <c r="I60" s="258">
        <f>+C60+D60+E60+F60+G60+H60</f>
        <v>7295731</v>
      </c>
      <c r="J60" s="227"/>
      <c r="K60" s="228"/>
      <c r="L60" s="228">
        <v>69460760</v>
      </c>
      <c r="M60" s="228"/>
      <c r="N60" s="265">
        <f>+J60+K60+L60+M60</f>
        <v>69460760</v>
      </c>
      <c r="O60" s="260"/>
      <c r="P60" s="261"/>
      <c r="Q60" s="266">
        <f>+I60+N60+P60</f>
        <v>76756491</v>
      </c>
      <c r="R60" s="268">
        <v>39.22</v>
      </c>
    </row>
    <row r="61" spans="1:18">
      <c r="A61" s="234"/>
      <c r="B61" s="235">
        <v>2020</v>
      </c>
      <c r="C61" s="236"/>
      <c r="D61" s="237">
        <v>2044320</v>
      </c>
      <c r="E61" s="237">
        <v>17381</v>
      </c>
      <c r="F61" s="237">
        <v>9996433</v>
      </c>
      <c r="G61" s="237"/>
      <c r="H61" s="237"/>
      <c r="I61" s="258">
        <f t="shared" ref="I61:I62" si="23">+C61+D61+E61+F61+G61+H61</f>
        <v>12058134</v>
      </c>
      <c r="J61" s="236"/>
      <c r="K61" s="237"/>
      <c r="L61" s="237">
        <v>38752050</v>
      </c>
      <c r="M61" s="237"/>
      <c r="N61" s="265">
        <f t="shared" ref="N61:N62" si="24">+J61+K61+L61+M61</f>
        <v>38752050</v>
      </c>
      <c r="O61" s="239"/>
      <c r="P61" s="261"/>
      <c r="Q61" s="266">
        <f t="shared" ref="Q61:Q62" si="25">+I61+N61+P61</f>
        <v>50810184</v>
      </c>
      <c r="R61" s="268">
        <v>25.96</v>
      </c>
    </row>
    <row r="62" spans="1:18">
      <c r="A62" s="234"/>
      <c r="B62" s="235">
        <v>2021</v>
      </c>
      <c r="C62" s="236"/>
      <c r="D62" s="237">
        <v>1558432</v>
      </c>
      <c r="E62" s="237">
        <v>17381</v>
      </c>
      <c r="F62" s="237">
        <v>7399288</v>
      </c>
      <c r="G62" s="237"/>
      <c r="H62" s="237"/>
      <c r="I62" s="258">
        <f t="shared" si="23"/>
        <v>8975101</v>
      </c>
      <c r="J62" s="236"/>
      <c r="K62" s="237"/>
      <c r="L62" s="237">
        <v>59185597</v>
      </c>
      <c r="M62" s="237"/>
      <c r="N62" s="265">
        <f t="shared" si="24"/>
        <v>59185597</v>
      </c>
      <c r="O62" s="239"/>
      <c r="P62" s="261"/>
      <c r="Q62" s="266">
        <f t="shared" si="25"/>
        <v>68160698</v>
      </c>
      <c r="R62" s="268">
        <v>34.82</v>
      </c>
    </row>
    <row r="63" spans="1:18" ht="15.75" thickBot="1">
      <c r="A63" s="263"/>
      <c r="B63" s="246" t="s">
        <v>509</v>
      </c>
      <c r="C63" s="247"/>
      <c r="D63" s="269">
        <f>(D62*100)/D61-100</f>
        <v>-23.767707599593024</v>
      </c>
      <c r="E63" s="269">
        <f>(E62*100)/E61-100</f>
        <v>0</v>
      </c>
      <c r="F63" s="269">
        <f>(F62*100)/F61-100</f>
        <v>-25.98071732186871</v>
      </c>
      <c r="G63" s="269"/>
      <c r="H63" s="269"/>
      <c r="I63" s="269">
        <f>(I62*100)/I61-100</f>
        <v>-25.568077117073003</v>
      </c>
      <c r="J63" s="276"/>
      <c r="K63" s="269"/>
      <c r="L63" s="269">
        <f>(L62*100)/L61-100</f>
        <v>52.728944662282373</v>
      </c>
      <c r="M63" s="269"/>
      <c r="N63" s="269">
        <f>(N62*100)/N61-100</f>
        <v>52.728944662282373</v>
      </c>
      <c r="O63" s="278"/>
      <c r="P63" s="279"/>
      <c r="Q63" s="271">
        <f>(Q62*100)/Q61-100</f>
        <v>34.147709443445422</v>
      </c>
      <c r="R63" s="272">
        <f>SUM(R60:R62)</f>
        <v>100</v>
      </c>
    </row>
    <row r="64" spans="1:18">
      <c r="A64" s="225" t="s">
        <v>525</v>
      </c>
      <c r="B64" s="226">
        <v>2019</v>
      </c>
      <c r="C64" s="227"/>
      <c r="D64" s="228"/>
      <c r="E64" s="228"/>
      <c r="F64" s="228">
        <v>286198</v>
      </c>
      <c r="G64" s="228"/>
      <c r="H64" s="228"/>
      <c r="I64" s="258">
        <f>+C64+D64+E64+F64+G64+H64</f>
        <v>286198</v>
      </c>
      <c r="J64" s="227"/>
      <c r="K64" s="228"/>
      <c r="L64" s="228">
        <v>2200</v>
      </c>
      <c r="M64" s="228"/>
      <c r="N64" s="265">
        <f>+J64+K64+L64+M64</f>
        <v>2200</v>
      </c>
      <c r="O64" s="260"/>
      <c r="P64" s="261"/>
      <c r="Q64" s="266">
        <f>+I64+N64+P65</f>
        <v>288398</v>
      </c>
      <c r="R64" s="226">
        <v>56.76</v>
      </c>
    </row>
    <row r="65" spans="1:18">
      <c r="A65" s="234"/>
      <c r="B65" s="235">
        <v>2020</v>
      </c>
      <c r="C65" s="236"/>
      <c r="D65" s="237"/>
      <c r="E65" s="237"/>
      <c r="F65" s="237">
        <v>125870</v>
      </c>
      <c r="G65" s="237"/>
      <c r="H65" s="237"/>
      <c r="I65" s="258">
        <f t="shared" ref="I65:I66" si="26">+C65+D65+E65+F65+G65+H65</f>
        <v>125870</v>
      </c>
      <c r="J65" s="236"/>
      <c r="K65" s="237"/>
      <c r="L65" s="237"/>
      <c r="M65" s="237"/>
      <c r="N65" s="265"/>
      <c r="O65" s="239"/>
      <c r="P65" s="261"/>
      <c r="Q65" s="266">
        <f t="shared" ref="Q65:Q66" si="27">+I65+N65+P66</f>
        <v>125870</v>
      </c>
      <c r="R65" s="235">
        <v>24.77</v>
      </c>
    </row>
    <row r="66" spans="1:18">
      <c r="A66" s="234"/>
      <c r="B66" s="235">
        <v>2021</v>
      </c>
      <c r="C66" s="236"/>
      <c r="D66" s="237"/>
      <c r="E66" s="237"/>
      <c r="F66" s="237">
        <v>93870</v>
      </c>
      <c r="G66" s="237"/>
      <c r="H66" s="237"/>
      <c r="I66" s="258">
        <f t="shared" si="26"/>
        <v>93870</v>
      </c>
      <c r="J66" s="236"/>
      <c r="K66" s="237"/>
      <c r="L66" s="237"/>
      <c r="M66" s="237"/>
      <c r="N66" s="265"/>
      <c r="O66" s="239"/>
      <c r="P66" s="261"/>
      <c r="Q66" s="266">
        <f t="shared" si="27"/>
        <v>93870</v>
      </c>
      <c r="R66" s="273">
        <v>18.47</v>
      </c>
    </row>
    <row r="67" spans="1:18" ht="15.75" thickBot="1">
      <c r="A67" s="263"/>
      <c r="B67" s="246" t="s">
        <v>509</v>
      </c>
      <c r="C67" s="247"/>
      <c r="D67" s="269"/>
      <c r="E67" s="269"/>
      <c r="F67" s="269">
        <f>(F66*100)/F65-100</f>
        <v>-25.423055533486931</v>
      </c>
      <c r="G67" s="269"/>
      <c r="H67" s="269"/>
      <c r="I67" s="269">
        <f>(I66*100)/I65-100</f>
        <v>-25.423055533486931</v>
      </c>
      <c r="J67" s="276"/>
      <c r="K67" s="269"/>
      <c r="L67" s="269">
        <v>0</v>
      </c>
      <c r="M67" s="269"/>
      <c r="N67" s="277">
        <v>0</v>
      </c>
      <c r="O67" s="278"/>
      <c r="P67" s="279"/>
      <c r="Q67" s="271">
        <f>(Q66*100)/Q65-100</f>
        <v>-25.423055533486931</v>
      </c>
      <c r="R67" s="272">
        <f>SUM(R64:R66)</f>
        <v>100</v>
      </c>
    </row>
    <row r="68" spans="1:18">
      <c r="A68" s="225" t="s">
        <v>526</v>
      </c>
      <c r="B68" s="226">
        <v>2019</v>
      </c>
      <c r="C68" s="227"/>
      <c r="D68" s="228"/>
      <c r="E68" s="228"/>
      <c r="F68" s="228">
        <v>955340</v>
      </c>
      <c r="G68" s="228"/>
      <c r="H68" s="228"/>
      <c r="I68" s="258">
        <f>+C68+D68+E68+F68+G68+H68</f>
        <v>955340</v>
      </c>
      <c r="J68" s="227"/>
      <c r="K68" s="228"/>
      <c r="L68" s="228"/>
      <c r="M68" s="228"/>
      <c r="N68" s="265"/>
      <c r="O68" s="260"/>
      <c r="P68" s="261"/>
      <c r="Q68" s="266">
        <f>+I68+N68+P68</f>
        <v>955340</v>
      </c>
      <c r="R68" s="268">
        <v>6.13</v>
      </c>
    </row>
    <row r="69" spans="1:18">
      <c r="A69" s="234"/>
      <c r="B69" s="235">
        <v>2020</v>
      </c>
      <c r="C69" s="236"/>
      <c r="D69" s="237"/>
      <c r="E69" s="237"/>
      <c r="F69" s="237">
        <v>2827483</v>
      </c>
      <c r="G69" s="237"/>
      <c r="H69" s="237">
        <v>1195</v>
      </c>
      <c r="I69" s="258">
        <f t="shared" ref="I69:I70" si="28">+C69+D69+E69+F69+G69+H69</f>
        <v>2828678</v>
      </c>
      <c r="J69" s="236"/>
      <c r="K69" s="237"/>
      <c r="L69" s="237"/>
      <c r="M69" s="237"/>
      <c r="N69" s="265"/>
      <c r="O69" s="239"/>
      <c r="P69" s="261"/>
      <c r="Q69" s="266">
        <f t="shared" ref="Q69:Q70" si="29">+I69+N69+P69</f>
        <v>2828678</v>
      </c>
      <c r="R69" s="268">
        <v>18.14</v>
      </c>
    </row>
    <row r="70" spans="1:18">
      <c r="A70" s="234"/>
      <c r="B70" s="235">
        <v>2021</v>
      </c>
      <c r="C70" s="236"/>
      <c r="D70" s="237"/>
      <c r="E70" s="237"/>
      <c r="F70" s="237">
        <v>200062</v>
      </c>
      <c r="G70" s="237"/>
      <c r="H70" s="237"/>
      <c r="I70" s="258">
        <f t="shared" si="28"/>
        <v>200062</v>
      </c>
      <c r="J70" s="236"/>
      <c r="K70" s="237"/>
      <c r="L70" s="237">
        <v>11607927</v>
      </c>
      <c r="M70" s="237"/>
      <c r="N70" s="265">
        <f t="shared" ref="N70" si="30">+J70+K70+L70+M70</f>
        <v>11607927</v>
      </c>
      <c r="O70" s="239"/>
      <c r="P70" s="261"/>
      <c r="Q70" s="266">
        <f t="shared" si="29"/>
        <v>11807989</v>
      </c>
      <c r="R70" s="268">
        <v>75.73</v>
      </c>
    </row>
    <row r="71" spans="1:18" ht="15.75" thickBot="1">
      <c r="A71" s="263"/>
      <c r="B71" s="246" t="s">
        <v>509</v>
      </c>
      <c r="C71" s="247"/>
      <c r="D71" s="281"/>
      <c r="E71" s="269"/>
      <c r="F71" s="269">
        <f>(F70*100)/F69-100</f>
        <v>-92.924378325174729</v>
      </c>
      <c r="G71" s="269"/>
      <c r="H71" s="269">
        <f>(H70*100)/H69-100</f>
        <v>-100</v>
      </c>
      <c r="I71" s="269">
        <f>(I70*100)/I69-100</f>
        <v>-92.927367484033184</v>
      </c>
      <c r="J71" s="276"/>
      <c r="K71" s="269"/>
      <c r="L71" s="269">
        <v>100</v>
      </c>
      <c r="M71" s="269"/>
      <c r="N71" s="277">
        <v>100</v>
      </c>
      <c r="O71" s="278"/>
      <c r="P71" s="279"/>
      <c r="Q71" s="283">
        <f>(Q70*100)/Q69-100</f>
        <v>317.43842883495398</v>
      </c>
      <c r="R71" s="272">
        <f>SUM(R68:R70)</f>
        <v>100</v>
      </c>
    </row>
    <row r="72" spans="1:18">
      <c r="A72" s="225" t="s">
        <v>527</v>
      </c>
      <c r="B72" s="226">
        <v>2019</v>
      </c>
      <c r="C72" s="227"/>
      <c r="D72" s="228"/>
      <c r="E72" s="228"/>
      <c r="F72" s="228">
        <v>1504754</v>
      </c>
      <c r="G72" s="228"/>
      <c r="H72" s="228"/>
      <c r="I72" s="258">
        <f>+C72+D72+E72+F72+G72+H72</f>
        <v>1504754</v>
      </c>
      <c r="J72" s="227"/>
      <c r="K72" s="228"/>
      <c r="L72" s="228">
        <v>658806</v>
      </c>
      <c r="M72" s="228"/>
      <c r="N72" s="265">
        <f>+J72+K72+L72+M72</f>
        <v>658806</v>
      </c>
      <c r="O72" s="260"/>
      <c r="P72" s="261"/>
      <c r="Q72" s="266">
        <f>+I72+N72+P72</f>
        <v>2163560</v>
      </c>
      <c r="R72" s="268">
        <v>37.89</v>
      </c>
    </row>
    <row r="73" spans="1:18">
      <c r="A73" s="234"/>
      <c r="B73" s="235">
        <v>2020</v>
      </c>
      <c r="C73" s="236"/>
      <c r="D73" s="237"/>
      <c r="E73" s="237"/>
      <c r="F73" s="237">
        <v>854353</v>
      </c>
      <c r="G73" s="237"/>
      <c r="H73" s="237"/>
      <c r="I73" s="258">
        <f t="shared" ref="I73:I74" si="31">+C73+D73+E73+F73+G73+H73</f>
        <v>854353</v>
      </c>
      <c r="J73" s="236"/>
      <c r="K73" s="237"/>
      <c r="L73" s="237">
        <v>928575</v>
      </c>
      <c r="M73" s="237"/>
      <c r="N73" s="265">
        <f t="shared" ref="N73:N74" si="32">+J73+K73+L73+M73</f>
        <v>928575</v>
      </c>
      <c r="O73" s="239"/>
      <c r="P73" s="261"/>
      <c r="Q73" s="266">
        <f t="shared" ref="Q73:Q74" si="33">+I73+N73+P73</f>
        <v>1782928</v>
      </c>
      <c r="R73" s="268">
        <v>31.23</v>
      </c>
    </row>
    <row r="74" spans="1:18">
      <c r="A74" s="234"/>
      <c r="B74" s="235">
        <v>2021</v>
      </c>
      <c r="C74" s="236"/>
      <c r="D74" s="237"/>
      <c r="E74" s="237"/>
      <c r="F74" s="237">
        <v>824353</v>
      </c>
      <c r="G74" s="237"/>
      <c r="H74" s="237"/>
      <c r="I74" s="258">
        <f t="shared" si="31"/>
        <v>824353</v>
      </c>
      <c r="J74" s="236"/>
      <c r="K74" s="237"/>
      <c r="L74" s="237">
        <v>938575</v>
      </c>
      <c r="M74" s="237"/>
      <c r="N74" s="265">
        <f t="shared" si="32"/>
        <v>938575</v>
      </c>
      <c r="O74" s="239"/>
      <c r="P74" s="261"/>
      <c r="Q74" s="266">
        <f t="shared" si="33"/>
        <v>1762928</v>
      </c>
      <c r="R74" s="268">
        <v>30.88</v>
      </c>
    </row>
    <row r="75" spans="1:18" ht="15.75" thickBot="1">
      <c r="A75" s="263"/>
      <c r="B75" s="246" t="s">
        <v>509</v>
      </c>
      <c r="C75" s="247"/>
      <c r="D75" s="269"/>
      <c r="E75" s="269"/>
      <c r="F75" s="269">
        <f>(F74*100)/F73-100</f>
        <v>-3.5114291165361351</v>
      </c>
      <c r="G75" s="269"/>
      <c r="H75" s="269"/>
      <c r="I75" s="269">
        <f>(I74*100)/I73-100</f>
        <v>-3.5114291165361351</v>
      </c>
      <c r="J75" s="276"/>
      <c r="K75" s="269"/>
      <c r="L75" s="269">
        <f>(L74*100)/L73-100</f>
        <v>1.0769189349271784</v>
      </c>
      <c r="M75" s="269"/>
      <c r="N75" s="269">
        <f>(N74*100)/N73-100</f>
        <v>1.0769189349271784</v>
      </c>
      <c r="O75" s="278"/>
      <c r="P75" s="279"/>
      <c r="Q75" s="271">
        <f>(Q74*100)/Q73-100</f>
        <v>-1.1217502894115796</v>
      </c>
      <c r="R75" s="272">
        <f>SUM(R72:R74)</f>
        <v>100</v>
      </c>
    </row>
    <row r="76" spans="1:18">
      <c r="A76" s="225" t="s">
        <v>528</v>
      </c>
      <c r="B76" s="226">
        <v>2019</v>
      </c>
      <c r="C76" s="227"/>
      <c r="D76" s="228">
        <v>216184</v>
      </c>
      <c r="E76" s="228"/>
      <c r="F76" s="228">
        <v>1662024</v>
      </c>
      <c r="G76" s="228"/>
      <c r="H76" s="228"/>
      <c r="I76" s="258">
        <f>+C76+D76+E76+F76+G76+H76</f>
        <v>1878208</v>
      </c>
      <c r="J76" s="227"/>
      <c r="K76" s="228"/>
      <c r="L76" s="228">
        <v>24000</v>
      </c>
      <c r="M76" s="228"/>
      <c r="N76" s="265">
        <f>+J76+K76+L76+M76</f>
        <v>24000</v>
      </c>
      <c r="O76" s="260"/>
      <c r="P76" s="261"/>
      <c r="Q76" s="266">
        <f>+I76+N76+P76</f>
        <v>1902208</v>
      </c>
      <c r="R76" s="268">
        <v>41.74</v>
      </c>
    </row>
    <row r="77" spans="1:18">
      <c r="A77" s="234"/>
      <c r="B77" s="235">
        <v>2020</v>
      </c>
      <c r="C77" s="236"/>
      <c r="D77" s="237">
        <v>240544</v>
      </c>
      <c r="E77" s="237"/>
      <c r="F77" s="237">
        <v>1145440</v>
      </c>
      <c r="G77" s="237"/>
      <c r="H77" s="237"/>
      <c r="I77" s="258">
        <f t="shared" ref="I77:I78" si="34">+C77+D77+E77+F77+G77+H77</f>
        <v>1385984</v>
      </c>
      <c r="J77" s="236"/>
      <c r="K77" s="237"/>
      <c r="L77" s="237"/>
      <c r="M77" s="237"/>
      <c r="N77" s="265"/>
      <c r="O77" s="239"/>
      <c r="P77" s="261"/>
      <c r="Q77" s="266">
        <f t="shared" ref="Q77:Q78" si="35">+I77+N77+P77</f>
        <v>1385984</v>
      </c>
      <c r="R77" s="268">
        <v>30.41</v>
      </c>
    </row>
    <row r="78" spans="1:18">
      <c r="A78" s="234"/>
      <c r="B78" s="235">
        <v>2021</v>
      </c>
      <c r="C78" s="236"/>
      <c r="D78" s="237">
        <v>256698</v>
      </c>
      <c r="E78" s="237"/>
      <c r="F78" s="237">
        <v>1012323</v>
      </c>
      <c r="G78" s="237"/>
      <c r="H78" s="237"/>
      <c r="I78" s="258">
        <f t="shared" si="34"/>
        <v>1269021</v>
      </c>
      <c r="J78" s="236"/>
      <c r="K78" s="237"/>
      <c r="L78" s="237"/>
      <c r="M78" s="237"/>
      <c r="N78" s="265"/>
      <c r="O78" s="239"/>
      <c r="P78" s="261"/>
      <c r="Q78" s="266">
        <f t="shared" si="35"/>
        <v>1269021</v>
      </c>
      <c r="R78" s="268">
        <v>27.85</v>
      </c>
    </row>
    <row r="79" spans="1:18" ht="15.75" thickBot="1">
      <c r="A79" s="263"/>
      <c r="B79" s="246" t="s">
        <v>509</v>
      </c>
      <c r="C79" s="247"/>
      <c r="D79" s="269">
        <f>(D78*100)/D77-100</f>
        <v>6.7156112810961872</v>
      </c>
      <c r="E79" s="269"/>
      <c r="F79" s="269">
        <f>(F78*100)/F77-100</f>
        <v>-11.621472971085353</v>
      </c>
      <c r="G79" s="269"/>
      <c r="H79" s="269"/>
      <c r="I79" s="269">
        <f>(I78*100)/I77-100</f>
        <v>-8.4389863086442602</v>
      </c>
      <c r="J79" s="276"/>
      <c r="K79" s="269"/>
      <c r="L79" s="269">
        <v>0</v>
      </c>
      <c r="M79" s="269"/>
      <c r="N79" s="269">
        <v>0</v>
      </c>
      <c r="O79" s="278"/>
      <c r="P79" s="279"/>
      <c r="Q79" s="271">
        <f>(Q78*100)/Q77-100</f>
        <v>-8.4389863086442602</v>
      </c>
      <c r="R79" s="272">
        <f>SUM(R76:R78)</f>
        <v>100</v>
      </c>
    </row>
    <row r="80" spans="1:18">
      <c r="A80" s="225" t="s">
        <v>529</v>
      </c>
      <c r="B80" s="226">
        <v>2019</v>
      </c>
      <c r="C80" s="227"/>
      <c r="D80" s="228">
        <v>171413347</v>
      </c>
      <c r="E80" s="228">
        <v>128292</v>
      </c>
      <c r="F80" s="228">
        <v>88505989</v>
      </c>
      <c r="G80" s="228"/>
      <c r="H80" s="228">
        <v>2385184</v>
      </c>
      <c r="I80" s="258">
        <f>+C80+D80+E80+F80+G80+H80</f>
        <v>262432812</v>
      </c>
      <c r="J80" s="227"/>
      <c r="K80" s="228"/>
      <c r="L80" s="228">
        <v>130497969</v>
      </c>
      <c r="M80" s="228"/>
      <c r="N80" s="265">
        <f>+J80+K80+L80+M80</f>
        <v>130497969</v>
      </c>
      <c r="O80" s="260"/>
      <c r="P80" s="261"/>
      <c r="Q80" s="266">
        <f>+I80+N80+P80</f>
        <v>392930781</v>
      </c>
      <c r="R80" s="268">
        <v>38.86</v>
      </c>
    </row>
    <row r="81" spans="1:18">
      <c r="A81" s="234"/>
      <c r="B81" s="235">
        <v>2020</v>
      </c>
      <c r="C81" s="236"/>
      <c r="D81" s="237">
        <v>191964911</v>
      </c>
      <c r="E81" s="237">
        <v>89759</v>
      </c>
      <c r="F81" s="237">
        <v>108106563</v>
      </c>
      <c r="G81" s="237"/>
      <c r="H81" s="237">
        <v>1909726</v>
      </c>
      <c r="I81" s="258">
        <f t="shared" ref="I81:I82" si="36">+C81+D81+E81+F81+G81+H81</f>
        <v>302070959</v>
      </c>
      <c r="J81" s="236"/>
      <c r="K81" s="237"/>
      <c r="L81" s="237">
        <v>15796210</v>
      </c>
      <c r="M81" s="237"/>
      <c r="N81" s="265">
        <f t="shared" ref="N81:N82" si="37">+J81+K81+L81+M81</f>
        <v>15796210</v>
      </c>
      <c r="O81" s="239"/>
      <c r="P81" s="261"/>
      <c r="Q81" s="266">
        <f t="shared" ref="Q81:Q82" si="38">+I81+N81+P81</f>
        <v>317867169</v>
      </c>
      <c r="R81" s="268">
        <v>31.43</v>
      </c>
    </row>
    <row r="82" spans="1:18">
      <c r="A82" s="234"/>
      <c r="B82" s="235">
        <v>2021</v>
      </c>
      <c r="C82" s="236"/>
      <c r="D82" s="237">
        <v>199086173</v>
      </c>
      <c r="E82" s="237">
        <v>84759</v>
      </c>
      <c r="F82" s="237">
        <v>99366262</v>
      </c>
      <c r="G82" s="237"/>
      <c r="H82" s="237">
        <v>1906162</v>
      </c>
      <c r="I82" s="258">
        <f t="shared" si="36"/>
        <v>300443356</v>
      </c>
      <c r="J82" s="236"/>
      <c r="K82" s="237"/>
      <c r="L82" s="237"/>
      <c r="M82" s="237"/>
      <c r="N82" s="265">
        <f t="shared" si="37"/>
        <v>0</v>
      </c>
      <c r="O82" s="239"/>
      <c r="P82" s="261"/>
      <c r="Q82" s="266">
        <f t="shared" si="38"/>
        <v>300443356</v>
      </c>
      <c r="R82" s="268">
        <v>29.71</v>
      </c>
    </row>
    <row r="83" spans="1:18" ht="15.75" thickBot="1">
      <c r="A83" s="263"/>
      <c r="B83" s="246" t="s">
        <v>509</v>
      </c>
      <c r="C83" s="247"/>
      <c r="D83" s="269">
        <f>(D82*100)/D81-100</f>
        <v>3.7096685862553329</v>
      </c>
      <c r="E83" s="269">
        <f>(E82*100)/E81-100</f>
        <v>-5.5704720418008264</v>
      </c>
      <c r="F83" s="269">
        <f>(F82*100)/F81-100</f>
        <v>-8.0848939763259295</v>
      </c>
      <c r="G83" s="269"/>
      <c r="H83" s="269">
        <f>(H82*100)/H81-100</f>
        <v>-0.18662363082452771</v>
      </c>
      <c r="I83" s="269">
        <f>(I82*100)/I81-100</f>
        <v>-0.53881478887879553</v>
      </c>
      <c r="J83" s="276"/>
      <c r="K83" s="269"/>
      <c r="L83" s="269">
        <f>(L82*100)/L81-100</f>
        <v>-100</v>
      </c>
      <c r="M83" s="269"/>
      <c r="N83" s="269">
        <f>(N82*100)/N81-100</f>
        <v>-100</v>
      </c>
      <c r="O83" s="278"/>
      <c r="P83" s="279"/>
      <c r="Q83" s="271">
        <f>(Q82*100)/Q81-100</f>
        <v>-5.4814761319373559</v>
      </c>
      <c r="R83" s="272">
        <f>SUM(R80:R82)</f>
        <v>100</v>
      </c>
    </row>
    <row r="84" spans="1:18">
      <c r="A84" s="225" t="s">
        <v>530</v>
      </c>
      <c r="B84" s="226">
        <v>2019</v>
      </c>
      <c r="C84" s="227"/>
      <c r="D84" s="228"/>
      <c r="E84" s="228"/>
      <c r="F84" s="228"/>
      <c r="G84" s="228"/>
      <c r="H84" s="228"/>
      <c r="I84" s="258"/>
      <c r="J84" s="227"/>
      <c r="K84" s="228"/>
      <c r="L84" s="228">
        <v>13700000</v>
      </c>
      <c r="M84" s="228"/>
      <c r="N84" s="265">
        <f>+J84+K84+L84+M84</f>
        <v>13700000</v>
      </c>
      <c r="O84" s="260"/>
      <c r="P84" s="261"/>
      <c r="Q84" s="266">
        <f>+I84+N84+P84</f>
        <v>13700000</v>
      </c>
      <c r="R84" s="268">
        <v>80.5</v>
      </c>
    </row>
    <row r="85" spans="1:18">
      <c r="A85" s="234"/>
      <c r="B85" s="235">
        <v>2020</v>
      </c>
      <c r="C85" s="236"/>
      <c r="D85" s="237"/>
      <c r="E85" s="237"/>
      <c r="F85" s="237"/>
      <c r="G85" s="237"/>
      <c r="H85" s="237"/>
      <c r="I85" s="258"/>
      <c r="J85" s="236"/>
      <c r="K85" s="237"/>
      <c r="L85" s="237">
        <v>3317784</v>
      </c>
      <c r="M85" s="237"/>
      <c r="N85" s="265">
        <f t="shared" ref="N85" si="39">+J85+K85+L85+M85</f>
        <v>3317784</v>
      </c>
      <c r="O85" s="239"/>
      <c r="P85" s="261"/>
      <c r="Q85" s="266">
        <f t="shared" ref="Q85" si="40">+I85+N85+P85</f>
        <v>3317784</v>
      </c>
      <c r="R85" s="268">
        <v>19.5</v>
      </c>
    </row>
    <row r="86" spans="1:18">
      <c r="A86" s="234"/>
      <c r="B86" s="235">
        <v>2021</v>
      </c>
      <c r="C86" s="236"/>
      <c r="D86" s="237"/>
      <c r="E86" s="237"/>
      <c r="F86" s="237"/>
      <c r="G86" s="237"/>
      <c r="H86" s="237"/>
      <c r="I86" s="258"/>
      <c r="J86" s="236"/>
      <c r="K86" s="237"/>
      <c r="L86" s="237"/>
      <c r="M86" s="237"/>
      <c r="N86" s="265"/>
      <c r="O86" s="239"/>
      <c r="P86" s="261"/>
      <c r="Q86" s="266"/>
      <c r="R86" s="268"/>
    </row>
    <row r="87" spans="1:18" ht="15.75" thickBot="1">
      <c r="A87" s="263"/>
      <c r="B87" s="246" t="s">
        <v>509</v>
      </c>
      <c r="C87" s="247"/>
      <c r="D87" s="269"/>
      <c r="E87" s="269"/>
      <c r="F87" s="269"/>
      <c r="G87" s="269"/>
      <c r="H87" s="269"/>
      <c r="I87" s="277"/>
      <c r="J87" s="276"/>
      <c r="K87" s="269"/>
      <c r="L87" s="269">
        <f>(L86*100)/L85-100</f>
        <v>-100</v>
      </c>
      <c r="M87" s="269"/>
      <c r="N87" s="269">
        <f>(N86*100)/N85-100</f>
        <v>-100</v>
      </c>
      <c r="O87" s="278"/>
      <c r="P87" s="279"/>
      <c r="Q87" s="271">
        <f>(Q86*100)/Q85-100</f>
        <v>-100</v>
      </c>
      <c r="R87" s="272">
        <f>SUM(R84:R86)</f>
        <v>100</v>
      </c>
    </row>
    <row r="88" spans="1:18">
      <c r="A88" s="225" t="s">
        <v>531</v>
      </c>
      <c r="B88" s="226">
        <v>2019</v>
      </c>
      <c r="C88" s="227"/>
      <c r="D88" s="228">
        <v>739252585</v>
      </c>
      <c r="E88" s="228">
        <v>398000</v>
      </c>
      <c r="F88" s="228">
        <v>73489411</v>
      </c>
      <c r="G88" s="228"/>
      <c r="H88" s="228">
        <v>222530</v>
      </c>
      <c r="I88" s="258">
        <f>+C88+D88+E88+F88+G88+H88</f>
        <v>813362526</v>
      </c>
      <c r="J88" s="227"/>
      <c r="K88" s="228"/>
      <c r="L88" s="228">
        <v>80752285</v>
      </c>
      <c r="M88" s="228"/>
      <c r="N88" s="265">
        <f>+J88+K88+L88+M88</f>
        <v>80752285</v>
      </c>
      <c r="O88" s="260"/>
      <c r="P88" s="261"/>
      <c r="Q88" s="266">
        <f>+I88+N88+P88</f>
        <v>894114811</v>
      </c>
      <c r="R88" s="268">
        <v>33.83</v>
      </c>
    </row>
    <row r="89" spans="1:18">
      <c r="A89" s="234"/>
      <c r="B89" s="235">
        <v>2020</v>
      </c>
      <c r="C89" s="236"/>
      <c r="D89" s="237">
        <v>814601482</v>
      </c>
      <c r="E89" s="237">
        <v>398000</v>
      </c>
      <c r="F89" s="237">
        <v>71210868</v>
      </c>
      <c r="G89" s="237"/>
      <c r="H89" s="237">
        <v>222530</v>
      </c>
      <c r="I89" s="258">
        <f t="shared" ref="I89:I90" si="41">+C89+D89+E89+F89+G89+H89</f>
        <v>886432880</v>
      </c>
      <c r="J89" s="236"/>
      <c r="K89" s="237"/>
      <c r="L89" s="237">
        <v>35726679</v>
      </c>
      <c r="M89" s="237"/>
      <c r="N89" s="265">
        <f t="shared" ref="N89:N90" si="42">+J89+K89+L89+M89</f>
        <v>35726679</v>
      </c>
      <c r="O89" s="239"/>
      <c r="P89" s="261"/>
      <c r="Q89" s="266">
        <f t="shared" ref="Q89:Q90" si="43">+I89+N89+P89</f>
        <v>922159559</v>
      </c>
      <c r="R89" s="268">
        <v>34.89</v>
      </c>
    </row>
    <row r="90" spans="1:18">
      <c r="A90" s="234"/>
      <c r="B90" s="235">
        <v>2021</v>
      </c>
      <c r="C90" s="236"/>
      <c r="D90" s="237">
        <v>758502042</v>
      </c>
      <c r="E90" s="237">
        <v>157000</v>
      </c>
      <c r="F90" s="237">
        <v>26554114</v>
      </c>
      <c r="G90" s="237"/>
      <c r="H90" s="237"/>
      <c r="I90" s="258">
        <f t="shared" si="41"/>
        <v>785213156</v>
      </c>
      <c r="J90" s="236"/>
      <c r="K90" s="237"/>
      <c r="L90" s="237">
        <v>41574598</v>
      </c>
      <c r="M90" s="237"/>
      <c r="N90" s="265">
        <f t="shared" si="42"/>
        <v>41574598</v>
      </c>
      <c r="O90" s="239"/>
      <c r="P90" s="261"/>
      <c r="Q90" s="266">
        <f t="shared" si="43"/>
        <v>826787754</v>
      </c>
      <c r="R90" s="268">
        <v>31.28</v>
      </c>
    </row>
    <row r="91" spans="1:18" ht="15.75" thickBot="1">
      <c r="A91" s="263"/>
      <c r="B91" s="246" t="s">
        <v>509</v>
      </c>
      <c r="C91" s="247"/>
      <c r="D91" s="269">
        <f>(D90*100)/D89-100</f>
        <v>-6.8867343406085268</v>
      </c>
      <c r="E91" s="269">
        <f>(E90*100)/E89-100</f>
        <v>-60.552763819095475</v>
      </c>
      <c r="F91" s="269">
        <f>(F90*100)/F89-100</f>
        <v>-62.71058794003185</v>
      </c>
      <c r="G91" s="269"/>
      <c r="H91" s="269">
        <f>(H90*100)/H89-100</f>
        <v>-100</v>
      </c>
      <c r="I91" s="269">
        <f>(I90*100)/I89-100</f>
        <v>-11.418769123275297</v>
      </c>
      <c r="J91" s="276"/>
      <c r="K91" s="269"/>
      <c r="L91" s="269">
        <f>(L90*100)/L89-100</f>
        <v>16.368493136459733</v>
      </c>
      <c r="M91" s="269"/>
      <c r="N91" s="269">
        <f>(N90*100)/N89-100</f>
        <v>16.368493136459733</v>
      </c>
      <c r="O91" s="278"/>
      <c r="P91" s="279"/>
      <c r="Q91" s="271">
        <f>(Q90*100)/Q89-100</f>
        <v>-10.342223758263941</v>
      </c>
      <c r="R91" s="272">
        <f>SUM(R88:R90)</f>
        <v>100</v>
      </c>
    </row>
    <row r="92" spans="1:18">
      <c r="A92" s="225" t="s">
        <v>532</v>
      </c>
      <c r="B92" s="226">
        <v>2019</v>
      </c>
      <c r="C92" s="227"/>
      <c r="D92" s="228">
        <v>1393657</v>
      </c>
      <c r="E92" s="228"/>
      <c r="F92" s="228">
        <v>5236665</v>
      </c>
      <c r="G92" s="228"/>
      <c r="H92" s="228">
        <v>5078679</v>
      </c>
      <c r="I92" s="258">
        <f>+C92+D92+E92+F92+G92+H92</f>
        <v>11709001</v>
      </c>
      <c r="J92" s="227"/>
      <c r="K92" s="228"/>
      <c r="L92" s="228"/>
      <c r="M92" s="228"/>
      <c r="N92" s="265"/>
      <c r="O92" s="260"/>
      <c r="P92" s="261"/>
      <c r="Q92" s="266">
        <f>+I92+N92+P92</f>
        <v>11709001</v>
      </c>
      <c r="R92" s="268">
        <v>44.64</v>
      </c>
    </row>
    <row r="93" spans="1:18">
      <c r="A93" s="234"/>
      <c r="B93" s="235">
        <v>2020</v>
      </c>
      <c r="C93" s="236"/>
      <c r="D93" s="237">
        <v>1038652</v>
      </c>
      <c r="E93" s="237"/>
      <c r="F93" s="237">
        <v>3125596</v>
      </c>
      <c r="G93" s="237"/>
      <c r="H93" s="237">
        <v>2609737</v>
      </c>
      <c r="I93" s="258">
        <f t="shared" ref="I93:I94" si="44">+C93+D93+E93+F93+G93+H93</f>
        <v>6773985</v>
      </c>
      <c r="J93" s="236"/>
      <c r="K93" s="237"/>
      <c r="L93" s="237"/>
      <c r="M93" s="237"/>
      <c r="N93" s="265"/>
      <c r="O93" s="239"/>
      <c r="P93" s="261"/>
      <c r="Q93" s="266">
        <f t="shared" ref="Q93:Q94" si="45">+I93+N93+P93</f>
        <v>6773985</v>
      </c>
      <c r="R93" s="268">
        <v>25.83</v>
      </c>
    </row>
    <row r="94" spans="1:18">
      <c r="A94" s="234"/>
      <c r="B94" s="235">
        <v>2021</v>
      </c>
      <c r="C94" s="236"/>
      <c r="D94" s="237">
        <v>1038652</v>
      </c>
      <c r="E94" s="237"/>
      <c r="F94" s="237">
        <v>2336456</v>
      </c>
      <c r="G94" s="237"/>
      <c r="H94" s="237"/>
      <c r="I94" s="258">
        <f t="shared" si="44"/>
        <v>3375108</v>
      </c>
      <c r="J94" s="236"/>
      <c r="K94" s="237"/>
      <c r="L94" s="237">
        <v>4369414</v>
      </c>
      <c r="M94" s="237"/>
      <c r="N94" s="265">
        <f t="shared" ref="N94" si="46">+J94+K94+L94+M94</f>
        <v>4369414</v>
      </c>
      <c r="O94" s="239"/>
      <c r="P94" s="261"/>
      <c r="Q94" s="266">
        <f t="shared" si="45"/>
        <v>7744522</v>
      </c>
      <c r="R94" s="268">
        <v>29.53</v>
      </c>
    </row>
    <row r="95" spans="1:18" ht="15.75" thickBot="1">
      <c r="A95" s="263"/>
      <c r="B95" s="246" t="s">
        <v>509</v>
      </c>
      <c r="C95" s="247"/>
      <c r="D95" s="269">
        <f>(D94*100)/D93-100</f>
        <v>0</v>
      </c>
      <c r="E95" s="269"/>
      <c r="F95" s="269">
        <f>(F94*100)/F93-100</f>
        <v>-25.247664765375944</v>
      </c>
      <c r="G95" s="269"/>
      <c r="H95" s="269">
        <f>(H94*100)/H93-100</f>
        <v>-100</v>
      </c>
      <c r="I95" s="269">
        <f>(I94*100)/I93-100</f>
        <v>-50.17544325828888</v>
      </c>
      <c r="J95" s="276"/>
      <c r="K95" s="269"/>
      <c r="L95" s="269">
        <v>100</v>
      </c>
      <c r="M95" s="269"/>
      <c r="N95" s="269">
        <v>100</v>
      </c>
      <c r="O95" s="278"/>
      <c r="P95" s="279"/>
      <c r="Q95" s="271">
        <f>(Q94*100)/Q93-100</f>
        <v>14.327415841635315</v>
      </c>
      <c r="R95" s="272">
        <f>SUM(R92:R94)</f>
        <v>100</v>
      </c>
    </row>
    <row r="96" spans="1:18">
      <c r="A96" s="225" t="s">
        <v>533</v>
      </c>
      <c r="B96" s="226">
        <v>2019</v>
      </c>
      <c r="C96" s="227"/>
      <c r="D96" s="228"/>
      <c r="E96" s="228">
        <v>69095745</v>
      </c>
      <c r="F96" s="228"/>
      <c r="G96" s="228"/>
      <c r="H96" s="228"/>
      <c r="I96" s="258">
        <f>+C96+D96+E96+F96+G96+H96</f>
        <v>69095745</v>
      </c>
      <c r="J96" s="227"/>
      <c r="K96" s="228"/>
      <c r="L96" s="228"/>
      <c r="M96" s="228"/>
      <c r="N96" s="265"/>
      <c r="O96" s="260"/>
      <c r="P96" s="261"/>
      <c r="Q96" s="266">
        <f>+I96+N96+P96</f>
        <v>69095745</v>
      </c>
      <c r="R96" s="268">
        <v>33.450000000000003</v>
      </c>
    </row>
    <row r="97" spans="1:18">
      <c r="A97" s="234"/>
      <c r="B97" s="235">
        <v>2020</v>
      </c>
      <c r="C97" s="236"/>
      <c r="D97" s="237"/>
      <c r="E97" s="237">
        <v>71265984</v>
      </c>
      <c r="F97" s="237"/>
      <c r="G97" s="237"/>
      <c r="H97" s="237">
        <v>53500</v>
      </c>
      <c r="I97" s="258">
        <f t="shared" ref="I97:I98" si="47">+C97+D97+E97+F97+G97+H97</f>
        <v>71319484</v>
      </c>
      <c r="J97" s="236"/>
      <c r="K97" s="237"/>
      <c r="L97" s="237"/>
      <c r="M97" s="237"/>
      <c r="N97" s="265"/>
      <c r="O97" s="239"/>
      <c r="P97" s="261"/>
      <c r="Q97" s="266">
        <f t="shared" ref="Q97:Q98" si="48">+I97+N97+P97</f>
        <v>71319484</v>
      </c>
      <c r="R97" s="268">
        <v>34.520000000000003</v>
      </c>
    </row>
    <row r="98" spans="1:18">
      <c r="A98" s="234"/>
      <c r="B98" s="235">
        <v>2021</v>
      </c>
      <c r="C98" s="236"/>
      <c r="D98" s="237"/>
      <c r="E98" s="237">
        <v>66113099</v>
      </c>
      <c r="F98" s="237"/>
      <c r="G98" s="237"/>
      <c r="H98" s="237">
        <v>53500</v>
      </c>
      <c r="I98" s="258">
        <f t="shared" si="47"/>
        <v>66166599</v>
      </c>
      <c r="J98" s="236"/>
      <c r="K98" s="237"/>
      <c r="L98" s="237"/>
      <c r="M98" s="237"/>
      <c r="N98" s="265"/>
      <c r="O98" s="239"/>
      <c r="P98" s="261"/>
      <c r="Q98" s="266">
        <f t="shared" si="48"/>
        <v>66166599</v>
      </c>
      <c r="R98" s="268">
        <v>32.03</v>
      </c>
    </row>
    <row r="99" spans="1:18" ht="15.75" thickBot="1">
      <c r="A99" s="263"/>
      <c r="B99" s="246" t="s">
        <v>509</v>
      </c>
      <c r="C99" s="247"/>
      <c r="D99" s="269"/>
      <c r="E99" s="269">
        <f>(E98*100)/E97-100</f>
        <v>-7.2304972313298919</v>
      </c>
      <c r="F99" s="269"/>
      <c r="G99" s="269"/>
      <c r="H99" s="269">
        <f>(H98*100)/H97-100</f>
        <v>0</v>
      </c>
      <c r="I99" s="269">
        <f>(I98*100)/I97-100</f>
        <v>-7.2250733053536891</v>
      </c>
      <c r="J99" s="276"/>
      <c r="K99" s="269"/>
      <c r="L99" s="269"/>
      <c r="M99" s="269"/>
      <c r="N99" s="277"/>
      <c r="O99" s="278"/>
      <c r="P99" s="279"/>
      <c r="Q99" s="271">
        <f>(Q98*100)/Q97-100</f>
        <v>-7.2250733053536891</v>
      </c>
      <c r="R99" s="272">
        <f>SUM(R96:R98)</f>
        <v>100</v>
      </c>
    </row>
    <row r="100" spans="1:18">
      <c r="A100" s="225" t="s">
        <v>534</v>
      </c>
      <c r="B100" s="226">
        <v>2019</v>
      </c>
      <c r="C100" s="227"/>
      <c r="D100" s="228"/>
      <c r="E100" s="228"/>
      <c r="F100" s="228"/>
      <c r="G100" s="228"/>
      <c r="H100" s="228"/>
      <c r="I100" s="258"/>
      <c r="J100" s="227"/>
      <c r="K100" s="228"/>
      <c r="L100" s="228"/>
      <c r="M100" s="228"/>
      <c r="N100" s="265"/>
      <c r="O100" s="260">
        <v>26219447</v>
      </c>
      <c r="P100" s="261">
        <f>SUM(O100)</f>
        <v>26219447</v>
      </c>
      <c r="Q100" s="266">
        <f>+I100+N100+P100</f>
        <v>26219447</v>
      </c>
      <c r="R100" s="268">
        <v>51.77</v>
      </c>
    </row>
    <row r="101" spans="1:18">
      <c r="A101" s="234"/>
      <c r="B101" s="235">
        <v>2020</v>
      </c>
      <c r="C101" s="236"/>
      <c r="D101" s="237"/>
      <c r="E101" s="237"/>
      <c r="F101" s="237"/>
      <c r="G101" s="237"/>
      <c r="H101" s="237"/>
      <c r="I101" s="258"/>
      <c r="J101" s="236"/>
      <c r="K101" s="237"/>
      <c r="L101" s="237"/>
      <c r="M101" s="237"/>
      <c r="N101" s="265"/>
      <c r="O101" s="239">
        <v>24424700</v>
      </c>
      <c r="P101" s="240">
        <f>SUM(O101)</f>
        <v>24424700</v>
      </c>
      <c r="Q101" s="266">
        <f t="shared" ref="Q101:Q102" si="49">+I101+N101+P101</f>
        <v>24424700</v>
      </c>
      <c r="R101" s="268">
        <v>48.23</v>
      </c>
    </row>
    <row r="102" spans="1:18" ht="15.75" thickBot="1">
      <c r="A102" s="234"/>
      <c r="B102" s="235">
        <v>2021</v>
      </c>
      <c r="C102" s="236"/>
      <c r="D102" s="237"/>
      <c r="E102" s="237"/>
      <c r="F102" s="237"/>
      <c r="G102" s="237"/>
      <c r="H102" s="237"/>
      <c r="I102" s="258"/>
      <c r="J102" s="236"/>
      <c r="K102" s="237"/>
      <c r="L102" s="237"/>
      <c r="M102" s="237"/>
      <c r="N102" s="265"/>
      <c r="O102" s="239">
        <v>0</v>
      </c>
      <c r="P102" s="284">
        <v>0</v>
      </c>
      <c r="Q102" s="266">
        <f t="shared" si="49"/>
        <v>0</v>
      </c>
      <c r="R102" s="285"/>
    </row>
    <row r="103" spans="1:18" ht="15.75" thickBot="1">
      <c r="A103" s="263"/>
      <c r="B103" s="246" t="s">
        <v>509</v>
      </c>
      <c r="C103" s="247"/>
      <c r="D103" s="248"/>
      <c r="E103" s="248"/>
      <c r="F103" s="269"/>
      <c r="G103" s="269"/>
      <c r="H103" s="269"/>
      <c r="I103" s="277"/>
      <c r="J103" s="276"/>
      <c r="K103" s="269"/>
      <c r="L103" s="269"/>
      <c r="M103" s="269"/>
      <c r="N103" s="277"/>
      <c r="O103" s="278">
        <f>(O102*100)/O101-100</f>
        <v>-100</v>
      </c>
      <c r="P103" s="278">
        <f>(P102*100)/P101-100</f>
        <v>-100</v>
      </c>
      <c r="Q103" s="278">
        <f>(Q102*100)/Q101-100</f>
        <v>-100</v>
      </c>
      <c r="R103" s="286">
        <f>SUM(R100:S102)</f>
        <v>100</v>
      </c>
    </row>
    <row r="104" spans="1:18">
      <c r="A104" s="287" t="s">
        <v>0</v>
      </c>
      <c r="B104" s="226">
        <v>2019</v>
      </c>
      <c r="C104" s="256"/>
      <c r="D104" s="257">
        <f t="shared" ref="D104:E106" si="50">+D12+D16+D20+D24+D28+D32+D36+D40+D44+D48+D52+D56+D60+D64+D68+D72+D76+D80+D84+D88+D92+D96+D100</f>
        <v>944101265</v>
      </c>
      <c r="E104" s="257">
        <f t="shared" si="50"/>
        <v>71095749</v>
      </c>
      <c r="F104" s="257">
        <f>+F12+F20+F24+F28+F32+F36+F40+F44+F48+F52+F56+F60+F64+F68+F72+F76+F80+F84+F88+F92+F96+F100</f>
        <v>223438917</v>
      </c>
      <c r="G104" s="257"/>
      <c r="H104" s="257">
        <f>+H12+H16+H20+H24+H28+H32+H36+H40+H44+H48+H52+H56+H60+H64+H68+H72+H76+H80+H84+H88+H92+H96+H100</f>
        <v>7999338</v>
      </c>
      <c r="I104" s="258">
        <f>+I12+I16+I20+I24+I28+I32+I36+I40+I44+I48+I52+I56+I60+I64+I68+I72+I76+I80+I84+I88+I92+I96+I100</f>
        <v>1246635269</v>
      </c>
      <c r="J104" s="256"/>
      <c r="K104" s="257"/>
      <c r="L104" s="257">
        <f t="shared" ref="L104:O105" si="51">+L12+L16+L20+L24+L28+L32+L36+L40+L44+L48+L52+L56+L60+L64+L68+L72+L76+L80+L84+L88+L92+L96+L100</f>
        <v>314733588</v>
      </c>
      <c r="M104" s="257">
        <f t="shared" si="51"/>
        <v>6432834</v>
      </c>
      <c r="N104" s="265">
        <f t="shared" si="51"/>
        <v>321166422</v>
      </c>
      <c r="O104" s="260">
        <f t="shared" si="51"/>
        <v>26219447</v>
      </c>
      <c r="P104" s="261">
        <f>P100</f>
        <v>26219447</v>
      </c>
      <c r="Q104" s="261">
        <f>+Q12+Q16+Q20+Q24+Q28+Q32+Q36+Q40+Q44+Q48+Q52+Q56+Q60+Q64+Q68+Q72+Q76+Q80+Q84+Q88+Q92+Q96+Q100</f>
        <v>1594021138</v>
      </c>
      <c r="R104" s="288">
        <f>(Q104/Q107)*100</f>
        <v>30.905125101953956</v>
      </c>
    </row>
    <row r="105" spans="1:18">
      <c r="A105" s="289"/>
      <c r="B105" s="235">
        <v>2020</v>
      </c>
      <c r="C105" s="236"/>
      <c r="D105" s="237">
        <f t="shared" si="50"/>
        <v>1054850248</v>
      </c>
      <c r="E105" s="237">
        <f t="shared" si="50"/>
        <v>73196124</v>
      </c>
      <c r="F105" s="237">
        <f>+F13+F21+F29+F33+F37+F41+F45+F49+F53+F57+F61+F65+F69+F73+F77+F81+F85+F89+F93+F97+F101</f>
        <v>258494466</v>
      </c>
      <c r="G105" s="237"/>
      <c r="H105" s="237">
        <f>+H13+H17+H21+H25+H29+H33+H37+H41+H45+H49+H53+H57+H61+H65+H69+H73+H77+H81+H85+H89+H93+H97+H101</f>
        <v>13108061</v>
      </c>
      <c r="I105" s="229">
        <f>+I13+I21+I25+I29+I33+I37+I41+I45+I49+I53+I57+I61+I65+I69+I73+I77+I81+I89+I93+I97+I101</f>
        <v>1399648899</v>
      </c>
      <c r="J105" s="236"/>
      <c r="K105" s="237"/>
      <c r="L105" s="237">
        <f t="shared" si="51"/>
        <v>436818654</v>
      </c>
      <c r="M105" s="237">
        <f t="shared" si="51"/>
        <v>0</v>
      </c>
      <c r="N105" s="290">
        <f t="shared" si="51"/>
        <v>436818654</v>
      </c>
      <c r="O105" s="239">
        <f t="shared" si="51"/>
        <v>24424700</v>
      </c>
      <c r="P105" s="240">
        <f>P101</f>
        <v>24424700</v>
      </c>
      <c r="Q105" s="240">
        <f>+Q13+Q17+Q21+Q25+Q29+Q33+Q37+Q41+Q45+Q49+Q53+Q57+Q61+Q65+Q69+Q73+Q77+Q81+Q85+Q89+Q93+Q97+Q101</f>
        <v>1860892253</v>
      </c>
      <c r="R105" s="291">
        <f>(Q105/Q107)*100</f>
        <v>36.079263009260018</v>
      </c>
    </row>
    <row r="106" spans="1:18">
      <c r="A106" s="289"/>
      <c r="B106" s="235">
        <v>2021</v>
      </c>
      <c r="C106" s="236"/>
      <c r="D106" s="237">
        <f t="shared" si="50"/>
        <v>986897362</v>
      </c>
      <c r="E106" s="237">
        <f t="shared" si="50"/>
        <v>67797239</v>
      </c>
      <c r="F106" s="237">
        <f>+F14+F18+F22+F26+F30+F34+F38+F42+F46+F50+F54+F58+F62+F66+F70+F74+F78+F82+F86+F90+F94+F98+F102</f>
        <v>195158888</v>
      </c>
      <c r="G106" s="237"/>
      <c r="H106" s="237">
        <f>+H14+H18+H22+H26+H30+H34+H38+H42+H46+H50+H54+H58+H62+H66+H70+H74+H78+H82+H86+H90+H94+H98+H102</f>
        <v>10744448</v>
      </c>
      <c r="I106" s="229">
        <f>+I14+I18+I22+I26+I30+I34+I38+I42+I46+I50+I54+I58+I62+I66+I70+I74+I78+I82+I86+I90+I94+I98+I102</f>
        <v>1260597937</v>
      </c>
      <c r="J106" s="236"/>
      <c r="K106" s="237"/>
      <c r="L106" s="237">
        <f>+L14+L18+L22+L26+L30+L34+L38+L42+L46+L50+L54+L58+L62+L66+L70+L74+L78+L82+L86+L90+L94+L98+L102</f>
        <v>442277656</v>
      </c>
      <c r="M106" s="237">
        <f>+M14+M18+M22+M26+M30+M34+M38+M42+M46+M50+M54+M58+M62+M66+M70+M74+M78+M82+M86+M90+M94+M98+M102</f>
        <v>0</v>
      </c>
      <c r="N106" s="290">
        <f>+N14+N18+N22+N26+N30+N34+N38+N42+N46+N50+N54+N58+N62+N66+N70+N74+N78+N82+N86+N90+N94+N98+N102</f>
        <v>442277656</v>
      </c>
      <c r="O106" s="239">
        <f>+O14+O18+O22+O26+O30+O34+O38+O42+O46+O50+O54+O58+O62+O70+O74+O78+O82+O86+O90+O94+O98+O102</f>
        <v>0</v>
      </c>
      <c r="P106" s="284">
        <f>+P14+P18+P22+P26+P30+P34+P38+P42+P46+P50+P54+P58+P62+P70+P74+P78+P82+P86+P90+P94+P98+P102</f>
        <v>0</v>
      </c>
      <c r="Q106" s="240">
        <f>+Q14+Q18+Q22+Q26+Q30+Q34+Q38+Q42+Q46+Q50+Q54+Q58+Q62+Q66+Q70+Q74+Q78+Q82+Q86+Q90+Q94+Q98+Q102</f>
        <v>1702875593</v>
      </c>
      <c r="R106" s="291">
        <f>(Q106/Q107)*100</f>
        <v>33.015611888786026</v>
      </c>
    </row>
    <row r="107" spans="1:18" ht="15.75" thickBot="1">
      <c r="A107" s="263"/>
      <c r="B107" s="246" t="s">
        <v>509</v>
      </c>
      <c r="C107" s="247">
        <f>SUM(C4:C106)</f>
        <v>0</v>
      </c>
      <c r="D107" s="292">
        <f>SUM(D104:D106)</f>
        <v>2985848875</v>
      </c>
      <c r="E107" s="292">
        <f>SUM(E104:E106)</f>
        <v>212089112</v>
      </c>
      <c r="F107" s="292">
        <f>SUM(F104:F106)</f>
        <v>677092271</v>
      </c>
      <c r="G107" s="292"/>
      <c r="H107" s="292">
        <f>SUM(H104:H106)</f>
        <v>31851847</v>
      </c>
      <c r="I107" s="293">
        <f>SUM(I104:I106)</f>
        <v>3906882105</v>
      </c>
      <c r="J107" s="292"/>
      <c r="K107" s="292"/>
      <c r="L107" s="292">
        <f>SUM(L104:L106)</f>
        <v>1193829898</v>
      </c>
      <c r="M107" s="292">
        <f>+M12+M16+M20+M24+M28+M32+M36+M40+M44+M48+M52+M56+M60+M64+M68+M72+M76+M80+M84+M88+M92+M96+M100</f>
        <v>6432834</v>
      </c>
      <c r="N107" s="292">
        <f>SUM(N104:N106)</f>
        <v>1200262732</v>
      </c>
      <c r="O107" s="292">
        <f>+O104+O105+O106</f>
        <v>50644147</v>
      </c>
      <c r="P107" s="292">
        <f>SUM(P104:P106)</f>
        <v>50644147</v>
      </c>
      <c r="Q107" s="292">
        <f>SUM(Q104:Q106)</f>
        <v>5157788984</v>
      </c>
      <c r="R107" s="294">
        <f>SUM(R104:R106)</f>
        <v>100</v>
      </c>
    </row>
    <row r="108" spans="1:18">
      <c r="A108" s="295"/>
      <c r="B108" s="295"/>
      <c r="C108" s="295"/>
      <c r="D108" s="295"/>
      <c r="E108" s="295"/>
      <c r="F108" s="295"/>
      <c r="G108" s="295"/>
      <c r="H108" s="295"/>
      <c r="I108" s="295"/>
      <c r="J108" s="295"/>
      <c r="K108" s="295"/>
      <c r="L108" s="295"/>
      <c r="M108" s="295"/>
      <c r="N108" s="295"/>
      <c r="O108" s="295"/>
      <c r="P108" s="295"/>
      <c r="Q108" s="295"/>
      <c r="R108" s="295"/>
    </row>
  </sheetData>
  <mergeCells count="6">
    <mergeCell ref="Q2:R2"/>
    <mergeCell ref="A2:A3"/>
    <mergeCell ref="B2:B3"/>
    <mergeCell ref="C2:I2"/>
    <mergeCell ref="J2:N2"/>
    <mergeCell ref="O2:P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526"/>
  <sheetViews>
    <sheetView topLeftCell="A481" workbookViewId="0">
      <selection activeCell="A495" sqref="A495:W526"/>
    </sheetView>
  </sheetViews>
  <sheetFormatPr baseColWidth="10" defaultRowHeight="15"/>
  <cols>
    <col min="1" max="1" width="16.42578125" customWidth="1"/>
    <col min="11" max="11" width="13.42578125" customWidth="1"/>
    <col min="12" max="12" width="16" customWidth="1"/>
  </cols>
  <sheetData>
    <row r="1" spans="1:23" ht="15.75">
      <c r="A1" s="296" t="s">
        <v>535</v>
      </c>
      <c r="B1" s="297"/>
      <c r="C1" s="297"/>
      <c r="D1" s="297"/>
      <c r="E1" s="297"/>
      <c r="F1" s="297"/>
      <c r="G1" s="297"/>
      <c r="H1" s="297"/>
      <c r="I1" s="297"/>
      <c r="J1" s="297"/>
      <c r="K1" s="297"/>
      <c r="L1" s="297"/>
      <c r="M1" s="297"/>
      <c r="N1" s="297"/>
      <c r="O1" s="297"/>
      <c r="P1" s="297"/>
      <c r="Q1" s="297"/>
      <c r="R1" s="297"/>
      <c r="S1" s="297"/>
      <c r="T1" s="297"/>
      <c r="U1" s="297"/>
      <c r="V1" s="297"/>
      <c r="W1" s="297"/>
    </row>
    <row r="2" spans="1:23" ht="15.75">
      <c r="A2" s="296" t="s">
        <v>494</v>
      </c>
      <c r="B2" s="297"/>
      <c r="C2" s="297"/>
      <c r="D2" s="297"/>
      <c r="E2" s="297"/>
      <c r="F2" s="297"/>
      <c r="G2" s="297"/>
      <c r="H2" s="297"/>
      <c r="I2" s="297"/>
      <c r="J2" s="297"/>
      <c r="K2" s="297"/>
      <c r="L2" s="297"/>
      <c r="M2" s="297"/>
      <c r="N2" s="297"/>
      <c r="O2" s="297"/>
      <c r="P2" s="297"/>
      <c r="Q2" s="297"/>
      <c r="R2" s="297"/>
      <c r="S2" s="297"/>
      <c r="T2" s="297"/>
      <c r="U2" s="297"/>
      <c r="V2" s="297"/>
      <c r="W2" s="297"/>
    </row>
    <row r="3" spans="1:23" ht="15.75">
      <c r="A3" s="298" t="s">
        <v>536</v>
      </c>
      <c r="B3" s="299"/>
      <c r="C3" s="299"/>
      <c r="D3" s="299"/>
      <c r="E3" s="299"/>
      <c r="F3" s="299"/>
      <c r="G3" s="299"/>
      <c r="H3" s="299"/>
      <c r="I3" s="299"/>
      <c r="J3" s="299"/>
      <c r="K3" s="299"/>
      <c r="L3" s="299"/>
      <c r="M3" s="299"/>
      <c r="N3" s="299"/>
      <c r="O3" s="299"/>
      <c r="P3" s="299"/>
      <c r="Q3" s="299"/>
      <c r="R3" s="299"/>
      <c r="S3" s="299"/>
      <c r="T3" s="299"/>
      <c r="U3" s="299"/>
      <c r="V3" s="299"/>
      <c r="W3" s="299"/>
    </row>
    <row r="4" spans="1:23" ht="15.75" thickBot="1">
      <c r="A4" s="405" t="s">
        <v>537</v>
      </c>
      <c r="B4" s="405"/>
      <c r="C4" s="405"/>
      <c r="D4" s="405"/>
      <c r="E4" s="300"/>
      <c r="F4" s="300"/>
      <c r="G4" s="300"/>
      <c r="H4" s="300"/>
      <c r="I4" s="300"/>
      <c r="J4" s="300"/>
      <c r="K4" s="300"/>
      <c r="L4" s="301"/>
      <c r="M4" s="300"/>
      <c r="N4" s="300"/>
      <c r="O4" s="300"/>
      <c r="P4" s="300"/>
      <c r="Q4" s="300"/>
      <c r="R4" s="300"/>
      <c r="S4" s="300"/>
      <c r="T4" s="300"/>
      <c r="U4" s="300"/>
      <c r="V4" s="300"/>
      <c r="W4" s="301"/>
    </row>
    <row r="5" spans="1:23">
      <c r="A5" s="306" t="s">
        <v>538</v>
      </c>
      <c r="B5" s="1320" t="s">
        <v>539</v>
      </c>
      <c r="C5" s="1316"/>
      <c r="D5" s="1316"/>
      <c r="E5" s="1316"/>
      <c r="F5" s="1316"/>
      <c r="G5" s="1316"/>
      <c r="H5" s="1316"/>
      <c r="I5" s="1316"/>
      <c r="J5" s="1316"/>
      <c r="K5" s="1316"/>
      <c r="L5" s="1312"/>
      <c r="M5" s="1320" t="s">
        <v>540</v>
      </c>
      <c r="N5" s="1316"/>
      <c r="O5" s="1316"/>
      <c r="P5" s="1316"/>
      <c r="Q5" s="1316"/>
      <c r="R5" s="1316"/>
      <c r="S5" s="1316"/>
      <c r="T5" s="1316"/>
      <c r="U5" s="1316"/>
      <c r="V5" s="1316"/>
      <c r="W5" s="1312"/>
    </row>
    <row r="6" spans="1:23" ht="60.75">
      <c r="A6" s="307" t="s">
        <v>541</v>
      </c>
      <c r="B6" s="308" t="s">
        <v>542</v>
      </c>
      <c r="C6" s="308" t="s">
        <v>543</v>
      </c>
      <c r="D6" s="309" t="s">
        <v>544</v>
      </c>
      <c r="E6" s="309" t="s">
        <v>545</v>
      </c>
      <c r="F6" s="309" t="s">
        <v>546</v>
      </c>
      <c r="G6" s="309" t="s">
        <v>547</v>
      </c>
      <c r="H6" s="309" t="s">
        <v>548</v>
      </c>
      <c r="I6" s="309" t="s">
        <v>549</v>
      </c>
      <c r="J6" s="310" t="s">
        <v>550</v>
      </c>
      <c r="K6" s="311" t="s">
        <v>551</v>
      </c>
      <c r="L6" s="312" t="s">
        <v>552</v>
      </c>
      <c r="M6" s="308" t="s">
        <v>542</v>
      </c>
      <c r="N6" s="308" t="s">
        <v>543</v>
      </c>
      <c r="O6" s="309" t="s">
        <v>544</v>
      </c>
      <c r="P6" s="309" t="s">
        <v>545</v>
      </c>
      <c r="Q6" s="309" t="s">
        <v>546</v>
      </c>
      <c r="R6" s="309" t="s">
        <v>547</v>
      </c>
      <c r="S6" s="309" t="s">
        <v>548</v>
      </c>
      <c r="T6" s="309" t="s">
        <v>549</v>
      </c>
      <c r="U6" s="310" t="s">
        <v>550</v>
      </c>
      <c r="V6" s="311" t="s">
        <v>551</v>
      </c>
      <c r="W6" s="312" t="s">
        <v>553</v>
      </c>
    </row>
    <row r="7" spans="1:23">
      <c r="A7" s="313"/>
      <c r="B7" s="300"/>
      <c r="C7" s="300"/>
      <c r="D7" s="300"/>
      <c r="E7" s="300"/>
      <c r="F7" s="300"/>
      <c r="G7" s="300"/>
      <c r="H7" s="300"/>
      <c r="I7" s="300"/>
      <c r="J7" s="300"/>
      <c r="K7" s="300"/>
      <c r="L7" s="314"/>
      <c r="M7" s="300"/>
      <c r="N7" s="300"/>
      <c r="O7" s="300"/>
      <c r="P7" s="300"/>
      <c r="Q7" s="300"/>
      <c r="R7" s="300"/>
      <c r="S7" s="300"/>
      <c r="T7" s="300"/>
      <c r="U7" s="300"/>
      <c r="V7" s="300"/>
      <c r="W7" s="314"/>
    </row>
    <row r="8" spans="1:23">
      <c r="A8" s="315" t="s">
        <v>554</v>
      </c>
      <c r="B8" s="303"/>
      <c r="C8" s="303"/>
      <c r="D8" s="303"/>
      <c r="E8" s="303"/>
      <c r="F8" s="303"/>
      <c r="G8" s="303"/>
      <c r="H8" s="303"/>
      <c r="I8" s="303"/>
      <c r="J8" s="303"/>
      <c r="K8" s="303"/>
      <c r="L8" s="316"/>
      <c r="M8" s="303"/>
      <c r="N8" s="303"/>
      <c r="O8" s="303"/>
      <c r="P8" s="303"/>
      <c r="Q8" s="303"/>
      <c r="R8" s="303"/>
      <c r="S8" s="303"/>
      <c r="T8" s="303"/>
      <c r="U8" s="303"/>
      <c r="V8" s="303"/>
      <c r="W8" s="316"/>
    </row>
    <row r="9" spans="1:23">
      <c r="A9" s="313" t="s">
        <v>555</v>
      </c>
      <c r="B9" s="300"/>
      <c r="C9" s="300"/>
      <c r="D9" s="300"/>
      <c r="E9" s="300"/>
      <c r="F9" s="300"/>
      <c r="G9" s="300"/>
      <c r="H9" s="300"/>
      <c r="I9" s="300"/>
      <c r="J9" s="300"/>
      <c r="K9" s="300">
        <f>SUM(B9:J9)</f>
        <v>0</v>
      </c>
      <c r="L9" s="314"/>
      <c r="M9" s="300"/>
      <c r="N9" s="300"/>
      <c r="O9" s="300"/>
      <c r="P9" s="300"/>
      <c r="Q9" s="300"/>
      <c r="R9" s="300"/>
      <c r="S9" s="300"/>
      <c r="T9" s="300"/>
      <c r="U9" s="300"/>
      <c r="V9" s="300"/>
      <c r="W9" s="314"/>
    </row>
    <row r="10" spans="1:23">
      <c r="A10" s="313" t="s">
        <v>556</v>
      </c>
      <c r="B10" s="300"/>
      <c r="C10" s="300"/>
      <c r="D10" s="300">
        <v>49044.9</v>
      </c>
      <c r="E10" s="300"/>
      <c r="F10" s="300"/>
      <c r="G10" s="300"/>
      <c r="H10" s="300"/>
      <c r="I10" s="300"/>
      <c r="J10" s="300"/>
      <c r="K10" s="300">
        <f t="shared" ref="K10:K14" si="0">SUM(B10:J10)</f>
        <v>49044.9</v>
      </c>
      <c r="L10" s="314"/>
      <c r="M10" s="300"/>
      <c r="N10" s="300"/>
      <c r="O10" s="300">
        <v>49044.9</v>
      </c>
      <c r="P10" s="300"/>
      <c r="Q10" s="300"/>
      <c r="R10" s="300"/>
      <c r="S10" s="300"/>
      <c r="T10" s="300"/>
      <c r="U10" s="300"/>
      <c r="V10" s="300">
        <f t="shared" ref="V10:V14" si="1">SUM(M10:U10)</f>
        <v>49044.9</v>
      </c>
      <c r="W10" s="314"/>
    </row>
    <row r="11" spans="1:23">
      <c r="A11" s="313" t="s">
        <v>557</v>
      </c>
      <c r="B11" s="300"/>
      <c r="C11" s="300"/>
      <c r="D11" s="300">
        <v>256449</v>
      </c>
      <c r="E11" s="300"/>
      <c r="F11" s="300"/>
      <c r="G11" s="300"/>
      <c r="H11" s="300"/>
      <c r="I11" s="300"/>
      <c r="J11" s="300"/>
      <c r="K11" s="300">
        <f t="shared" si="0"/>
        <v>256449</v>
      </c>
      <c r="L11" s="314"/>
      <c r="M11" s="300"/>
      <c r="N11" s="300"/>
      <c r="O11" s="300">
        <v>256449</v>
      </c>
      <c r="P11" s="300"/>
      <c r="Q11" s="300"/>
      <c r="R11" s="300"/>
      <c r="S11" s="300"/>
      <c r="T11" s="300"/>
      <c r="U11" s="300"/>
      <c r="V11" s="300">
        <f t="shared" si="1"/>
        <v>256449</v>
      </c>
      <c r="W11" s="314"/>
    </row>
    <row r="12" spans="1:23">
      <c r="A12" s="313" t="s">
        <v>558</v>
      </c>
      <c r="B12" s="300">
        <v>88949.98</v>
      </c>
      <c r="C12" s="300"/>
      <c r="D12" s="300"/>
      <c r="E12" s="300"/>
      <c r="F12" s="300"/>
      <c r="G12" s="300"/>
      <c r="H12" s="300"/>
      <c r="I12" s="300"/>
      <c r="J12" s="300"/>
      <c r="K12" s="300">
        <f t="shared" si="0"/>
        <v>88949.98</v>
      </c>
      <c r="L12" s="314"/>
      <c r="M12" s="300">
        <v>88949.98</v>
      </c>
      <c r="N12" s="300"/>
      <c r="O12" s="300"/>
      <c r="P12" s="300"/>
      <c r="Q12" s="300"/>
      <c r="R12" s="300"/>
      <c r="S12" s="300"/>
      <c r="T12" s="300"/>
      <c r="U12" s="300"/>
      <c r="V12" s="300">
        <f t="shared" si="1"/>
        <v>88949.98</v>
      </c>
      <c r="W12" s="314"/>
    </row>
    <row r="13" spans="1:23">
      <c r="A13" s="313" t="s">
        <v>559</v>
      </c>
      <c r="B13" s="300">
        <v>214043.6</v>
      </c>
      <c r="C13" s="300"/>
      <c r="D13" s="300"/>
      <c r="E13" s="300"/>
      <c r="F13" s="300"/>
      <c r="G13" s="300"/>
      <c r="H13" s="300"/>
      <c r="I13" s="300"/>
      <c r="J13" s="300"/>
      <c r="K13" s="300">
        <f t="shared" si="0"/>
        <v>214043.6</v>
      </c>
      <c r="L13" s="314"/>
      <c r="M13" s="300">
        <v>214043.6</v>
      </c>
      <c r="N13" s="300"/>
      <c r="O13" s="300"/>
      <c r="P13" s="300"/>
      <c r="Q13" s="300"/>
      <c r="R13" s="300"/>
      <c r="S13" s="300"/>
      <c r="T13" s="300"/>
      <c r="U13" s="300"/>
      <c r="V13" s="300">
        <f t="shared" si="1"/>
        <v>214043.6</v>
      </c>
      <c r="W13" s="314"/>
    </row>
    <row r="14" spans="1:23">
      <c r="A14" s="313" t="s">
        <v>560</v>
      </c>
      <c r="B14" s="300">
        <v>12445.78</v>
      </c>
      <c r="C14" s="300"/>
      <c r="D14" s="300"/>
      <c r="E14" s="300"/>
      <c r="F14" s="300"/>
      <c r="G14" s="300"/>
      <c r="H14" s="300"/>
      <c r="I14" s="300"/>
      <c r="J14" s="300"/>
      <c r="K14" s="300">
        <f t="shared" si="0"/>
        <v>12445.78</v>
      </c>
      <c r="L14" s="314"/>
      <c r="M14" s="300">
        <v>12445.78</v>
      </c>
      <c r="N14" s="300"/>
      <c r="O14" s="300"/>
      <c r="P14" s="300"/>
      <c r="Q14" s="300"/>
      <c r="R14" s="300"/>
      <c r="S14" s="300"/>
      <c r="T14" s="300"/>
      <c r="U14" s="300"/>
      <c r="V14" s="300">
        <f t="shared" si="1"/>
        <v>12445.78</v>
      </c>
      <c r="W14" s="314"/>
    </row>
    <row r="15" spans="1:23">
      <c r="A15" s="317"/>
      <c r="B15" s="300"/>
      <c r="C15" s="300"/>
      <c r="D15" s="300"/>
      <c r="E15" s="300"/>
      <c r="F15" s="300"/>
      <c r="G15" s="300"/>
      <c r="H15" s="300"/>
      <c r="I15" s="300"/>
      <c r="J15" s="300"/>
      <c r="K15" s="300"/>
      <c r="L15" s="314"/>
      <c r="M15" s="300"/>
      <c r="N15" s="300"/>
      <c r="O15" s="300"/>
      <c r="P15" s="300"/>
      <c r="Q15" s="300"/>
      <c r="R15" s="300"/>
      <c r="S15" s="300"/>
      <c r="T15" s="300"/>
      <c r="U15" s="300"/>
      <c r="V15" s="300"/>
      <c r="W15" s="314"/>
    </row>
    <row r="16" spans="1:23">
      <c r="A16" s="315" t="s">
        <v>561</v>
      </c>
      <c r="B16" s="303"/>
      <c r="C16" s="303"/>
      <c r="D16" s="303"/>
      <c r="E16" s="303"/>
      <c r="F16" s="303"/>
      <c r="G16" s="303"/>
      <c r="H16" s="303"/>
      <c r="I16" s="303"/>
      <c r="J16" s="303"/>
      <c r="K16" s="303"/>
      <c r="L16" s="316"/>
      <c r="M16" s="303"/>
      <c r="N16" s="303"/>
      <c r="O16" s="303"/>
      <c r="P16" s="303"/>
      <c r="Q16" s="303"/>
      <c r="R16" s="303"/>
      <c r="S16" s="303"/>
      <c r="T16" s="303"/>
      <c r="U16" s="303"/>
      <c r="V16" s="303"/>
      <c r="W16" s="316"/>
    </row>
    <row r="17" spans="1:23">
      <c r="A17" s="313" t="s">
        <v>562</v>
      </c>
      <c r="B17" s="300">
        <v>94029.92</v>
      </c>
      <c r="C17" s="300"/>
      <c r="D17" s="300">
        <v>286431</v>
      </c>
      <c r="E17" s="300"/>
      <c r="F17" s="300"/>
      <c r="G17" s="300"/>
      <c r="H17" s="300"/>
      <c r="I17" s="300"/>
      <c r="J17" s="300"/>
      <c r="K17" s="300">
        <f t="shared" ref="K17:K19" si="2">SUM(B17:J17)</f>
        <v>380460.92</v>
      </c>
      <c r="L17" s="314"/>
      <c r="M17" s="300">
        <v>94029.92</v>
      </c>
      <c r="N17" s="300"/>
      <c r="O17" s="300">
        <v>286431</v>
      </c>
      <c r="P17" s="300"/>
      <c r="Q17" s="300"/>
      <c r="R17" s="300"/>
      <c r="S17" s="300"/>
      <c r="T17" s="300"/>
      <c r="U17" s="300"/>
      <c r="V17" s="300">
        <f t="shared" ref="V17:V19" si="3">SUM(M17:U17)</f>
        <v>380460.92</v>
      </c>
      <c r="W17" s="314"/>
    </row>
    <row r="18" spans="1:23">
      <c r="A18" s="313" t="s">
        <v>563</v>
      </c>
      <c r="B18" s="300"/>
      <c r="C18" s="300"/>
      <c r="D18" s="300"/>
      <c r="E18" s="300"/>
      <c r="F18" s="300"/>
      <c r="G18" s="300"/>
      <c r="H18" s="300"/>
      <c r="I18" s="300"/>
      <c r="J18" s="300"/>
      <c r="K18" s="300">
        <f t="shared" si="2"/>
        <v>0</v>
      </c>
      <c r="L18" s="314"/>
      <c r="M18" s="300"/>
      <c r="N18" s="300"/>
      <c r="O18" s="300"/>
      <c r="P18" s="300"/>
      <c r="Q18" s="300"/>
      <c r="R18" s="300"/>
      <c r="S18" s="300"/>
      <c r="T18" s="300"/>
      <c r="U18" s="300"/>
      <c r="V18" s="300">
        <f t="shared" si="3"/>
        <v>0</v>
      </c>
      <c r="W18" s="314"/>
    </row>
    <row r="19" spans="1:23">
      <c r="A19" s="313" t="s">
        <v>564</v>
      </c>
      <c r="B19" s="300">
        <v>66936.479999999996</v>
      </c>
      <c r="C19" s="300"/>
      <c r="D19" s="300"/>
      <c r="E19" s="300"/>
      <c r="F19" s="300"/>
      <c r="G19" s="300"/>
      <c r="H19" s="300"/>
      <c r="I19" s="300"/>
      <c r="J19" s="300"/>
      <c r="K19" s="300">
        <f t="shared" si="2"/>
        <v>66936.479999999996</v>
      </c>
      <c r="L19" s="314"/>
      <c r="M19" s="300">
        <v>66936.479999999996</v>
      </c>
      <c r="N19" s="300"/>
      <c r="O19" s="300"/>
      <c r="P19" s="300"/>
      <c r="Q19" s="300"/>
      <c r="R19" s="300"/>
      <c r="S19" s="300"/>
      <c r="T19" s="300"/>
      <c r="U19" s="300"/>
      <c r="V19" s="300">
        <f t="shared" si="3"/>
        <v>66936.479999999996</v>
      </c>
      <c r="W19" s="314"/>
    </row>
    <row r="20" spans="1:23">
      <c r="A20" s="313"/>
      <c r="B20" s="300"/>
      <c r="C20" s="300"/>
      <c r="D20" s="300"/>
      <c r="E20" s="300"/>
      <c r="F20" s="300"/>
      <c r="G20" s="300"/>
      <c r="H20" s="300"/>
      <c r="I20" s="300"/>
      <c r="J20" s="300"/>
      <c r="K20" s="300"/>
      <c r="L20" s="314"/>
      <c r="M20" s="300"/>
      <c r="N20" s="300"/>
      <c r="O20" s="300"/>
      <c r="P20" s="300"/>
      <c r="Q20" s="300"/>
      <c r="R20" s="300"/>
      <c r="S20" s="300"/>
      <c r="T20" s="300"/>
      <c r="U20" s="300"/>
      <c r="V20" s="300"/>
      <c r="W20" s="314"/>
    </row>
    <row r="21" spans="1:23">
      <c r="A21" s="315" t="s">
        <v>565</v>
      </c>
      <c r="B21" s="303"/>
      <c r="C21" s="303"/>
      <c r="D21" s="303"/>
      <c r="E21" s="303"/>
      <c r="F21" s="303"/>
      <c r="G21" s="303"/>
      <c r="H21" s="303"/>
      <c r="I21" s="303"/>
      <c r="J21" s="303"/>
      <c r="K21" s="303"/>
      <c r="L21" s="316"/>
      <c r="M21" s="303"/>
      <c r="N21" s="303"/>
      <c r="O21" s="303"/>
      <c r="P21" s="303"/>
      <c r="Q21" s="303"/>
      <c r="R21" s="303"/>
      <c r="S21" s="303"/>
      <c r="T21" s="303"/>
      <c r="U21" s="303"/>
      <c r="V21" s="303"/>
      <c r="W21" s="316"/>
    </row>
    <row r="22" spans="1:23">
      <c r="A22" s="313" t="s">
        <v>566</v>
      </c>
      <c r="B22" s="300">
        <v>387784.08</v>
      </c>
      <c r="C22" s="300"/>
      <c r="D22" s="300">
        <v>136399.79999999999</v>
      </c>
      <c r="E22" s="300"/>
      <c r="F22" s="300"/>
      <c r="G22" s="300"/>
      <c r="H22" s="300"/>
      <c r="I22" s="300"/>
      <c r="J22" s="300"/>
      <c r="K22" s="300">
        <f t="shared" ref="K22:K24" si="4">SUM(B22:J22)</f>
        <v>524183.88</v>
      </c>
      <c r="L22" s="314"/>
      <c r="M22" s="300">
        <v>387784.08</v>
      </c>
      <c r="N22" s="300"/>
      <c r="O22" s="300">
        <v>136399.79999999999</v>
      </c>
      <c r="P22" s="300"/>
      <c r="Q22" s="300"/>
      <c r="R22" s="300"/>
      <c r="S22" s="300"/>
      <c r="T22" s="300"/>
      <c r="U22" s="300"/>
      <c r="V22" s="300">
        <f t="shared" ref="V22:V24" si="5">SUM(M22:U22)</f>
        <v>524183.88</v>
      </c>
      <c r="W22" s="314"/>
    </row>
    <row r="23" spans="1:23">
      <c r="A23" s="313" t="s">
        <v>567</v>
      </c>
      <c r="B23" s="300">
        <v>96526.98</v>
      </c>
      <c r="C23" s="300"/>
      <c r="D23" s="300"/>
      <c r="E23" s="300"/>
      <c r="F23" s="300"/>
      <c r="G23" s="300"/>
      <c r="H23" s="300"/>
      <c r="I23" s="300"/>
      <c r="J23" s="300"/>
      <c r="K23" s="300">
        <f t="shared" si="4"/>
        <v>96526.98</v>
      </c>
      <c r="L23" s="314"/>
      <c r="M23" s="300">
        <v>96526.98</v>
      </c>
      <c r="N23" s="300"/>
      <c r="O23" s="300"/>
      <c r="P23" s="300"/>
      <c r="Q23" s="300"/>
      <c r="R23" s="300"/>
      <c r="S23" s="300"/>
      <c r="T23" s="300"/>
      <c r="U23" s="300"/>
      <c r="V23" s="300">
        <f t="shared" si="5"/>
        <v>96526.98</v>
      </c>
      <c r="W23" s="314"/>
    </row>
    <row r="24" spans="1:23">
      <c r="A24" s="313" t="s">
        <v>568</v>
      </c>
      <c r="B24" s="300"/>
      <c r="C24" s="300"/>
      <c r="D24" s="300"/>
      <c r="E24" s="300"/>
      <c r="F24" s="300"/>
      <c r="G24" s="300"/>
      <c r="H24" s="300"/>
      <c r="I24" s="300"/>
      <c r="J24" s="300"/>
      <c r="K24" s="300">
        <f t="shared" si="4"/>
        <v>0</v>
      </c>
      <c r="L24" s="314"/>
      <c r="M24" s="300"/>
      <c r="N24" s="300"/>
      <c r="O24" s="300"/>
      <c r="P24" s="300"/>
      <c r="Q24" s="300"/>
      <c r="R24" s="300"/>
      <c r="S24" s="300"/>
      <c r="T24" s="300"/>
      <c r="U24" s="300"/>
      <c r="V24" s="300">
        <f t="shared" si="5"/>
        <v>0</v>
      </c>
      <c r="W24" s="314"/>
    </row>
    <row r="25" spans="1:23">
      <c r="A25" s="313"/>
      <c r="B25" s="300"/>
      <c r="C25" s="300"/>
      <c r="D25" s="300"/>
      <c r="E25" s="300"/>
      <c r="F25" s="300"/>
      <c r="G25" s="300"/>
      <c r="H25" s="300"/>
      <c r="I25" s="300"/>
      <c r="J25" s="300"/>
      <c r="K25" s="300"/>
      <c r="L25" s="314"/>
      <c r="M25" s="300"/>
      <c r="N25" s="300"/>
      <c r="O25" s="300"/>
      <c r="P25" s="300"/>
      <c r="Q25" s="300"/>
      <c r="R25" s="300"/>
      <c r="S25" s="300"/>
      <c r="T25" s="300"/>
      <c r="U25" s="300"/>
      <c r="V25" s="300"/>
      <c r="W25" s="314"/>
    </row>
    <row r="26" spans="1:23">
      <c r="A26" s="315" t="s">
        <v>569</v>
      </c>
      <c r="B26" s="303"/>
      <c r="C26" s="303"/>
      <c r="D26" s="303"/>
      <c r="E26" s="303"/>
      <c r="F26" s="303"/>
      <c r="G26" s="303"/>
      <c r="H26" s="303"/>
      <c r="I26" s="303"/>
      <c r="J26" s="303"/>
      <c r="K26" s="303"/>
      <c r="L26" s="316"/>
      <c r="M26" s="303"/>
      <c r="N26" s="303"/>
      <c r="O26" s="303"/>
      <c r="P26" s="303"/>
      <c r="Q26" s="303"/>
      <c r="R26" s="303"/>
      <c r="S26" s="303"/>
      <c r="T26" s="303"/>
      <c r="U26" s="303"/>
      <c r="V26" s="303"/>
      <c r="W26" s="316"/>
    </row>
    <row r="27" spans="1:23">
      <c r="A27" s="313" t="s">
        <v>570</v>
      </c>
      <c r="B27" s="300"/>
      <c r="C27" s="300"/>
      <c r="D27" s="300">
        <v>55243.38</v>
      </c>
      <c r="E27" s="300"/>
      <c r="F27" s="300"/>
      <c r="G27" s="300"/>
      <c r="H27" s="300"/>
      <c r="I27" s="300"/>
      <c r="J27" s="300"/>
      <c r="K27" s="300">
        <f t="shared" ref="K27:K29" si="6">SUM(B27:J27)</f>
        <v>55243.38</v>
      </c>
      <c r="L27" s="314"/>
      <c r="M27" s="300"/>
      <c r="N27" s="300"/>
      <c r="O27" s="300">
        <v>55243.38</v>
      </c>
      <c r="P27" s="300"/>
      <c r="Q27" s="300"/>
      <c r="R27" s="300"/>
      <c r="S27" s="300"/>
      <c r="T27" s="300"/>
      <c r="U27" s="300"/>
      <c r="V27" s="300">
        <f t="shared" ref="V27:V29" si="7">SUM(M27:U27)</f>
        <v>55243.38</v>
      </c>
      <c r="W27" s="314"/>
    </row>
    <row r="28" spans="1:23">
      <c r="A28" s="313" t="s">
        <v>571</v>
      </c>
      <c r="B28" s="300"/>
      <c r="C28" s="300"/>
      <c r="D28" s="300"/>
      <c r="E28" s="300"/>
      <c r="F28" s="300"/>
      <c r="G28" s="300"/>
      <c r="H28" s="300"/>
      <c r="I28" s="300"/>
      <c r="J28" s="300"/>
      <c r="K28" s="300">
        <f t="shared" si="6"/>
        <v>0</v>
      </c>
      <c r="L28" s="314"/>
      <c r="M28" s="300"/>
      <c r="N28" s="300"/>
      <c r="O28" s="300"/>
      <c r="P28" s="300"/>
      <c r="Q28" s="300"/>
      <c r="R28" s="300"/>
      <c r="S28" s="300"/>
      <c r="T28" s="300"/>
      <c r="U28" s="300"/>
      <c r="V28" s="300">
        <f t="shared" si="7"/>
        <v>0</v>
      </c>
      <c r="W28" s="314"/>
    </row>
    <row r="29" spans="1:23">
      <c r="A29" s="313" t="s">
        <v>572</v>
      </c>
      <c r="B29" s="300"/>
      <c r="C29" s="300"/>
      <c r="D29" s="300"/>
      <c r="E29" s="300"/>
      <c r="F29" s="300"/>
      <c r="G29" s="300"/>
      <c r="H29" s="300"/>
      <c r="I29" s="300"/>
      <c r="J29" s="300"/>
      <c r="K29" s="300">
        <f t="shared" si="6"/>
        <v>0</v>
      </c>
      <c r="L29" s="314"/>
      <c r="M29" s="300"/>
      <c r="N29" s="300"/>
      <c r="O29" s="300"/>
      <c r="P29" s="300"/>
      <c r="Q29" s="300"/>
      <c r="R29" s="300"/>
      <c r="S29" s="300"/>
      <c r="T29" s="300"/>
      <c r="U29" s="300"/>
      <c r="V29" s="300">
        <f t="shared" si="7"/>
        <v>0</v>
      </c>
      <c r="W29" s="314"/>
    </row>
    <row r="30" spans="1:23" ht="15.75" thickBot="1">
      <c r="A30" s="313"/>
      <c r="B30" s="300"/>
      <c r="C30" s="300"/>
      <c r="D30" s="300"/>
      <c r="E30" s="300"/>
      <c r="F30" s="300"/>
      <c r="G30" s="300"/>
      <c r="H30" s="300"/>
      <c r="I30" s="300"/>
      <c r="J30" s="300"/>
      <c r="K30" s="300"/>
      <c r="L30" s="314"/>
      <c r="M30" s="300"/>
      <c r="N30" s="300"/>
      <c r="O30" s="300"/>
      <c r="P30" s="300"/>
      <c r="Q30" s="300"/>
      <c r="R30" s="300"/>
      <c r="S30" s="300"/>
      <c r="T30" s="300"/>
      <c r="U30" s="300"/>
      <c r="V30" s="300"/>
      <c r="W30" s="314"/>
    </row>
    <row r="31" spans="1:23" ht="15.75" thickBot="1">
      <c r="A31" s="318" t="s">
        <v>573</v>
      </c>
      <c r="B31" s="319"/>
      <c r="C31" s="319"/>
      <c r="D31" s="319"/>
      <c r="E31" s="319"/>
      <c r="F31" s="319"/>
      <c r="G31" s="319"/>
      <c r="H31" s="319"/>
      <c r="I31" s="319"/>
      <c r="J31" s="319"/>
      <c r="K31" s="319"/>
      <c r="L31" s="320"/>
      <c r="M31" s="319"/>
      <c r="N31" s="319"/>
      <c r="O31" s="319"/>
      <c r="P31" s="319"/>
      <c r="Q31" s="319"/>
      <c r="R31" s="319"/>
      <c r="S31" s="319"/>
      <c r="T31" s="319"/>
      <c r="U31" s="319"/>
      <c r="V31" s="319"/>
      <c r="W31" s="320"/>
    </row>
    <row r="32" spans="1:23">
      <c r="A32" s="304" t="s">
        <v>574</v>
      </c>
      <c r="B32" s="215"/>
      <c r="C32" s="215"/>
      <c r="D32" s="215"/>
      <c r="E32" s="215"/>
      <c r="F32" s="215"/>
      <c r="G32" s="215"/>
      <c r="H32" s="215"/>
      <c r="I32" s="215"/>
      <c r="J32" s="215"/>
      <c r="K32" s="215"/>
      <c r="L32" s="215"/>
      <c r="M32" s="215"/>
      <c r="N32" s="215"/>
      <c r="O32" s="215"/>
      <c r="P32" s="295"/>
      <c r="Q32" s="305"/>
      <c r="R32" s="34"/>
      <c r="S32" s="34"/>
      <c r="T32" s="295"/>
      <c r="U32" s="295"/>
      <c r="V32" s="295"/>
      <c r="W32" s="295"/>
    </row>
    <row r="33" spans="1:23">
      <c r="A33" s="300" t="s">
        <v>575</v>
      </c>
      <c r="B33" s="300"/>
      <c r="C33" s="300"/>
      <c r="D33" s="300"/>
      <c r="E33" s="300"/>
      <c r="F33" s="300"/>
      <c r="G33" s="300"/>
      <c r="H33" s="300"/>
      <c r="I33" s="300"/>
      <c r="J33" s="300"/>
      <c r="K33" s="300"/>
      <c r="L33" s="300"/>
      <c r="M33" s="300"/>
      <c r="N33" s="300"/>
      <c r="O33" s="300"/>
      <c r="P33" s="295"/>
      <c r="Q33" s="305"/>
      <c r="R33" s="34"/>
      <c r="S33" s="34"/>
      <c r="T33" s="34"/>
      <c r="U33" s="34"/>
      <c r="V33" s="295"/>
      <c r="W33" s="295"/>
    </row>
    <row r="34" spans="1:23">
      <c r="A34" s="300" t="s">
        <v>576</v>
      </c>
      <c r="B34" s="300"/>
      <c r="C34" s="300"/>
      <c r="D34" s="300"/>
      <c r="E34" s="300"/>
      <c r="F34" s="300"/>
      <c r="G34" s="300"/>
      <c r="H34" s="300"/>
      <c r="I34" s="300"/>
      <c r="J34" s="300"/>
      <c r="K34" s="300"/>
      <c r="L34" s="300"/>
      <c r="M34" s="300"/>
      <c r="N34" s="300"/>
      <c r="O34" s="300"/>
      <c r="P34" s="295"/>
      <c r="Q34" s="305"/>
      <c r="R34" s="34"/>
      <c r="S34" s="34"/>
      <c r="T34" s="34"/>
      <c r="U34" s="34"/>
      <c r="V34" s="295"/>
      <c r="W34" s="295"/>
    </row>
    <row r="35" spans="1:23">
      <c r="A35" s="300" t="s">
        <v>577</v>
      </c>
      <c r="B35" s="300"/>
      <c r="C35" s="300"/>
      <c r="D35" s="300"/>
      <c r="E35" s="300"/>
      <c r="F35" s="300"/>
      <c r="G35" s="300"/>
      <c r="H35" s="300"/>
      <c r="I35" s="300"/>
      <c r="J35" s="300"/>
      <c r="K35" s="300"/>
      <c r="L35" s="300"/>
      <c r="M35" s="300"/>
      <c r="N35" s="300"/>
      <c r="O35" s="300"/>
      <c r="P35" s="300"/>
      <c r="Q35" s="300"/>
      <c r="R35" s="300"/>
      <c r="S35" s="300"/>
      <c r="T35" s="300"/>
      <c r="U35" s="300"/>
      <c r="V35" s="300"/>
      <c r="W35" s="300"/>
    </row>
    <row r="39" spans="1:23" ht="15.75">
      <c r="A39" s="296" t="s">
        <v>535</v>
      </c>
      <c r="B39" s="297"/>
      <c r="C39" s="297"/>
      <c r="D39" s="297"/>
      <c r="E39" s="297"/>
      <c r="F39" s="297"/>
      <c r="G39" s="297"/>
      <c r="H39" s="297"/>
      <c r="I39" s="297"/>
      <c r="J39" s="297"/>
      <c r="K39" s="297"/>
      <c r="L39" s="297"/>
      <c r="M39" s="297"/>
      <c r="N39" s="297"/>
      <c r="O39" s="297"/>
      <c r="P39" s="297"/>
      <c r="Q39" s="297"/>
      <c r="R39" s="297"/>
      <c r="S39" s="297"/>
      <c r="T39" s="297"/>
      <c r="U39" s="297"/>
      <c r="V39" s="297"/>
      <c r="W39" s="297"/>
    </row>
    <row r="40" spans="1:23" ht="15.75">
      <c r="A40" s="1330" t="s">
        <v>578</v>
      </c>
      <c r="B40" s="1330"/>
      <c r="C40" s="1330"/>
      <c r="D40" s="299"/>
      <c r="E40" s="299"/>
      <c r="F40" s="299"/>
      <c r="G40" s="299"/>
      <c r="H40" s="299"/>
      <c r="I40" s="299"/>
      <c r="J40" s="299"/>
      <c r="K40" s="299"/>
      <c r="L40" s="299"/>
      <c r="M40" s="299"/>
      <c r="N40" s="299"/>
      <c r="O40" s="299"/>
      <c r="P40" s="299"/>
      <c r="Q40" s="299"/>
      <c r="R40" s="299"/>
      <c r="S40" s="299"/>
      <c r="T40" s="299"/>
      <c r="U40" s="299"/>
      <c r="V40" s="299"/>
      <c r="W40" s="299"/>
    </row>
    <row r="41" spans="1:23" ht="15.75" thickBot="1">
      <c r="A41" s="343" t="s">
        <v>579</v>
      </c>
      <c r="B41" s="343"/>
      <c r="C41" s="300"/>
      <c r="D41" s="300"/>
      <c r="E41" s="300"/>
      <c r="F41" s="300"/>
      <c r="G41" s="300"/>
      <c r="H41" s="300"/>
      <c r="I41" s="300"/>
      <c r="J41" s="300"/>
      <c r="K41" s="300"/>
      <c r="L41" s="301"/>
      <c r="M41" s="300"/>
      <c r="N41" s="300"/>
      <c r="O41" s="300"/>
      <c r="P41" s="300"/>
      <c r="Q41" s="300"/>
      <c r="R41" s="300"/>
      <c r="S41" s="300"/>
      <c r="T41" s="300"/>
      <c r="U41" s="300"/>
      <c r="V41" s="300"/>
      <c r="W41" s="301"/>
    </row>
    <row r="42" spans="1:23">
      <c r="A42" s="306" t="s">
        <v>538</v>
      </c>
      <c r="B42" s="1320" t="s">
        <v>539</v>
      </c>
      <c r="C42" s="1316"/>
      <c r="D42" s="1316"/>
      <c r="E42" s="1316"/>
      <c r="F42" s="1316"/>
      <c r="G42" s="1316"/>
      <c r="H42" s="1316"/>
      <c r="I42" s="1316"/>
      <c r="J42" s="1316"/>
      <c r="K42" s="1316"/>
      <c r="L42" s="1312"/>
      <c r="M42" s="1320" t="s">
        <v>540</v>
      </c>
      <c r="N42" s="1316"/>
      <c r="O42" s="1316"/>
      <c r="P42" s="1316"/>
      <c r="Q42" s="1316"/>
      <c r="R42" s="1316"/>
      <c r="S42" s="1316"/>
      <c r="T42" s="1316"/>
      <c r="U42" s="1316"/>
      <c r="V42" s="1316"/>
      <c r="W42" s="1312"/>
    </row>
    <row r="43" spans="1:23" ht="60.75">
      <c r="A43" s="307" t="s">
        <v>541</v>
      </c>
      <c r="B43" s="308" t="s">
        <v>542</v>
      </c>
      <c r="C43" s="308" t="s">
        <v>543</v>
      </c>
      <c r="D43" s="309" t="s">
        <v>544</v>
      </c>
      <c r="E43" s="309" t="s">
        <v>545</v>
      </c>
      <c r="F43" s="309" t="s">
        <v>546</v>
      </c>
      <c r="G43" s="309" t="s">
        <v>547</v>
      </c>
      <c r="H43" s="309" t="s">
        <v>548</v>
      </c>
      <c r="I43" s="309" t="s">
        <v>549</v>
      </c>
      <c r="J43" s="310" t="s">
        <v>550</v>
      </c>
      <c r="K43" s="311" t="s">
        <v>551</v>
      </c>
      <c r="L43" s="312" t="s">
        <v>552</v>
      </c>
      <c r="M43" s="308" t="s">
        <v>542</v>
      </c>
      <c r="N43" s="308" t="s">
        <v>543</v>
      </c>
      <c r="O43" s="309" t="s">
        <v>544</v>
      </c>
      <c r="P43" s="309" t="s">
        <v>545</v>
      </c>
      <c r="Q43" s="309" t="s">
        <v>546</v>
      </c>
      <c r="R43" s="309" t="s">
        <v>547</v>
      </c>
      <c r="S43" s="309" t="s">
        <v>548</v>
      </c>
      <c r="T43" s="309" t="s">
        <v>549</v>
      </c>
      <c r="U43" s="310" t="s">
        <v>550</v>
      </c>
      <c r="V43" s="311" t="s">
        <v>551</v>
      </c>
      <c r="W43" s="312" t="s">
        <v>553</v>
      </c>
    </row>
    <row r="44" spans="1:23">
      <c r="A44" s="313"/>
      <c r="B44" s="321"/>
      <c r="C44" s="300"/>
      <c r="D44" s="300"/>
      <c r="E44" s="300"/>
      <c r="F44" s="300"/>
      <c r="G44" s="300"/>
      <c r="H44" s="300"/>
      <c r="I44" s="300"/>
      <c r="J44" s="322"/>
      <c r="K44" s="323"/>
      <c r="L44" s="324"/>
      <c r="M44" s="300"/>
      <c r="N44" s="300"/>
      <c r="O44" s="300"/>
      <c r="P44" s="300"/>
      <c r="Q44" s="300"/>
      <c r="R44" s="300"/>
      <c r="S44" s="300"/>
      <c r="T44" s="300"/>
      <c r="U44" s="322"/>
      <c r="V44" s="325"/>
      <c r="W44" s="314"/>
    </row>
    <row r="45" spans="1:23">
      <c r="A45" s="315" t="s">
        <v>554</v>
      </c>
      <c r="B45" s="302"/>
      <c r="C45" s="303"/>
      <c r="D45" s="303"/>
      <c r="E45" s="303"/>
      <c r="F45" s="303"/>
      <c r="G45" s="303"/>
      <c r="H45" s="303"/>
      <c r="I45" s="303"/>
      <c r="J45" s="326"/>
      <c r="K45" s="327"/>
      <c r="L45" s="328"/>
      <c r="M45" s="303"/>
      <c r="N45" s="303"/>
      <c r="O45" s="303"/>
      <c r="P45" s="303"/>
      <c r="Q45" s="303"/>
      <c r="R45" s="303"/>
      <c r="S45" s="303"/>
      <c r="T45" s="303"/>
      <c r="U45" s="326"/>
      <c r="V45" s="329"/>
      <c r="W45" s="316"/>
    </row>
    <row r="46" spans="1:23">
      <c r="A46" s="313" t="s">
        <v>556</v>
      </c>
      <c r="B46" s="321">
        <v>1</v>
      </c>
      <c r="C46" s="300"/>
      <c r="D46" s="300"/>
      <c r="E46" s="300"/>
      <c r="F46" s="300"/>
      <c r="G46" s="300"/>
      <c r="H46" s="300"/>
      <c r="I46" s="300"/>
      <c r="J46" s="330"/>
      <c r="K46" s="331">
        <f>+B46</f>
        <v>1</v>
      </c>
      <c r="L46" s="332">
        <v>18786.32</v>
      </c>
      <c r="M46" s="321">
        <v>1</v>
      </c>
      <c r="N46" s="300"/>
      <c r="O46" s="321"/>
      <c r="P46" s="300"/>
      <c r="Q46" s="300"/>
      <c r="R46" s="300"/>
      <c r="S46" s="300"/>
      <c r="T46" s="300"/>
      <c r="U46" s="330"/>
      <c r="V46" s="333">
        <f>+M46</f>
        <v>1</v>
      </c>
      <c r="W46" s="334">
        <f>+L46</f>
        <v>18786.32</v>
      </c>
    </row>
    <row r="47" spans="1:23">
      <c r="A47" s="313" t="s">
        <v>558</v>
      </c>
      <c r="B47" s="321">
        <v>6</v>
      </c>
      <c r="C47" s="300"/>
      <c r="D47" s="300"/>
      <c r="E47" s="300"/>
      <c r="F47" s="300"/>
      <c r="G47" s="300"/>
      <c r="H47" s="300"/>
      <c r="I47" s="300"/>
      <c r="J47" s="330"/>
      <c r="K47" s="331">
        <f t="shared" ref="K47:K48" si="8">+B47</f>
        <v>6</v>
      </c>
      <c r="L47" s="332">
        <v>105557.51999999999</v>
      </c>
      <c r="M47" s="321">
        <v>6</v>
      </c>
      <c r="N47" s="300"/>
      <c r="O47" s="321"/>
      <c r="P47" s="300"/>
      <c r="Q47" s="300"/>
      <c r="R47" s="300"/>
      <c r="S47" s="300"/>
      <c r="T47" s="300"/>
      <c r="U47" s="330"/>
      <c r="V47" s="333">
        <f t="shared" ref="V47:V48" si="9">+M47</f>
        <v>6</v>
      </c>
      <c r="W47" s="334">
        <f>+L47</f>
        <v>105557.51999999999</v>
      </c>
    </row>
    <row r="48" spans="1:23">
      <c r="A48" s="313" t="s">
        <v>559</v>
      </c>
      <c r="B48" s="321">
        <v>1</v>
      </c>
      <c r="C48" s="300"/>
      <c r="D48" s="300"/>
      <c r="E48" s="300"/>
      <c r="F48" s="300"/>
      <c r="G48" s="300"/>
      <c r="H48" s="300"/>
      <c r="I48" s="300"/>
      <c r="J48" s="330"/>
      <c r="K48" s="331">
        <f t="shared" si="8"/>
        <v>1</v>
      </c>
      <c r="L48" s="332">
        <v>16516.579999999998</v>
      </c>
      <c r="M48" s="321">
        <v>1</v>
      </c>
      <c r="N48" s="300"/>
      <c r="O48" s="321"/>
      <c r="P48" s="300"/>
      <c r="Q48" s="300"/>
      <c r="R48" s="300"/>
      <c r="S48" s="300"/>
      <c r="T48" s="300"/>
      <c r="U48" s="330"/>
      <c r="V48" s="333">
        <f t="shared" si="9"/>
        <v>1</v>
      </c>
      <c r="W48" s="334">
        <f>+L48</f>
        <v>16516.579999999998</v>
      </c>
    </row>
    <row r="49" spans="1:23">
      <c r="A49" s="315" t="s">
        <v>561</v>
      </c>
      <c r="B49" s="302"/>
      <c r="C49" s="303"/>
      <c r="D49" s="303"/>
      <c r="E49" s="303"/>
      <c r="F49" s="303"/>
      <c r="G49" s="303"/>
      <c r="H49" s="303"/>
      <c r="I49" s="303"/>
      <c r="J49" s="326"/>
      <c r="K49" s="327"/>
      <c r="L49" s="335"/>
      <c r="M49" s="302"/>
      <c r="N49" s="303"/>
      <c r="O49" s="302"/>
      <c r="P49" s="303"/>
      <c r="Q49" s="303"/>
      <c r="R49" s="303"/>
      <c r="S49" s="303"/>
      <c r="T49" s="303"/>
      <c r="U49" s="326"/>
      <c r="V49" s="329"/>
      <c r="W49" s="336"/>
    </row>
    <row r="50" spans="1:23">
      <c r="A50" s="313" t="s">
        <v>562</v>
      </c>
      <c r="B50" s="321">
        <v>1</v>
      </c>
      <c r="C50" s="300"/>
      <c r="D50" s="300">
        <v>14</v>
      </c>
      <c r="E50" s="300"/>
      <c r="F50" s="300"/>
      <c r="G50" s="300"/>
      <c r="H50" s="300"/>
      <c r="I50" s="300"/>
      <c r="J50" s="330"/>
      <c r="K50" s="331">
        <f>+D50+B50</f>
        <v>15</v>
      </c>
      <c r="L50" s="332">
        <f>15319.52+(51800*6)+(2438.1*6)</f>
        <v>340748.12</v>
      </c>
      <c r="M50" s="321">
        <v>1</v>
      </c>
      <c r="N50" s="300"/>
      <c r="O50" s="321">
        <v>14</v>
      </c>
      <c r="P50" s="300"/>
      <c r="Q50" s="300"/>
      <c r="R50" s="300"/>
      <c r="S50" s="300"/>
      <c r="T50" s="300"/>
      <c r="U50" s="330"/>
      <c r="V50" s="333">
        <f>+O50+M50</f>
        <v>15</v>
      </c>
      <c r="W50" s="334">
        <f>+L50</f>
        <v>340748.12</v>
      </c>
    </row>
    <row r="51" spans="1:23">
      <c r="A51" s="315" t="s">
        <v>565</v>
      </c>
      <c r="B51" s="302"/>
      <c r="C51" s="303"/>
      <c r="D51" s="303"/>
      <c r="E51" s="303"/>
      <c r="F51" s="303"/>
      <c r="G51" s="303"/>
      <c r="H51" s="303"/>
      <c r="I51" s="303"/>
      <c r="J51" s="326"/>
      <c r="K51" s="327"/>
      <c r="L51" s="335"/>
      <c r="M51" s="302"/>
      <c r="N51" s="303"/>
      <c r="O51" s="302"/>
      <c r="P51" s="303"/>
      <c r="Q51" s="303"/>
      <c r="R51" s="303"/>
      <c r="S51" s="303"/>
      <c r="T51" s="303"/>
      <c r="U51" s="326"/>
      <c r="V51" s="329"/>
      <c r="W51" s="336"/>
    </row>
    <row r="52" spans="1:23">
      <c r="A52" s="313" t="s">
        <v>566</v>
      </c>
      <c r="B52" s="321">
        <v>16</v>
      </c>
      <c r="C52" s="300"/>
      <c r="D52" s="300">
        <v>22</v>
      </c>
      <c r="E52" s="300"/>
      <c r="F52" s="300"/>
      <c r="G52" s="300"/>
      <c r="H52" s="300"/>
      <c r="I52" s="300"/>
      <c r="J52" s="330"/>
      <c r="K52" s="331">
        <f>+D52+B52</f>
        <v>38</v>
      </c>
      <c r="L52" s="332">
        <f>+(225560.96)+(45650*6)+(3241.35*6)</f>
        <v>518909.05999999994</v>
      </c>
      <c r="M52" s="321">
        <v>16</v>
      </c>
      <c r="N52" s="300"/>
      <c r="O52" s="321">
        <v>22</v>
      </c>
      <c r="P52" s="300"/>
      <c r="Q52" s="300"/>
      <c r="R52" s="300"/>
      <c r="S52" s="300"/>
      <c r="T52" s="300"/>
      <c r="U52" s="330"/>
      <c r="V52" s="333">
        <f>+O52+M52</f>
        <v>38</v>
      </c>
      <c r="W52" s="334">
        <f>+L52</f>
        <v>518909.05999999994</v>
      </c>
    </row>
    <row r="53" spans="1:23">
      <c r="A53" s="315" t="s">
        <v>569</v>
      </c>
      <c r="B53" s="302"/>
      <c r="C53" s="303"/>
      <c r="D53" s="303"/>
      <c r="E53" s="303"/>
      <c r="F53" s="303"/>
      <c r="G53" s="303"/>
      <c r="H53" s="303"/>
      <c r="I53" s="303"/>
      <c r="J53" s="326"/>
      <c r="K53" s="327"/>
      <c r="L53" s="335"/>
      <c r="M53" s="302"/>
      <c r="N53" s="303"/>
      <c r="O53" s="302"/>
      <c r="P53" s="303"/>
      <c r="Q53" s="303"/>
      <c r="R53" s="303"/>
      <c r="S53" s="303"/>
      <c r="T53" s="303"/>
      <c r="U53" s="326"/>
      <c r="V53" s="329"/>
      <c r="W53" s="336"/>
    </row>
    <row r="54" spans="1:23" ht="15.75" thickBot="1">
      <c r="A54" s="313"/>
      <c r="B54" s="321">
        <v>0</v>
      </c>
      <c r="C54" s="300"/>
      <c r="D54" s="300">
        <v>21</v>
      </c>
      <c r="E54" s="300"/>
      <c r="F54" s="300"/>
      <c r="G54" s="300"/>
      <c r="H54" s="300"/>
      <c r="I54" s="300"/>
      <c r="J54" s="330"/>
      <c r="K54" s="331">
        <f>+D54+B54</f>
        <v>21</v>
      </c>
      <c r="L54" s="332">
        <f>(34700*6)+(4536.45*6)</f>
        <v>235418.7</v>
      </c>
      <c r="M54" s="321">
        <v>1</v>
      </c>
      <c r="N54" s="300"/>
      <c r="O54" s="321">
        <v>21</v>
      </c>
      <c r="P54" s="300"/>
      <c r="Q54" s="300"/>
      <c r="R54" s="300"/>
      <c r="S54" s="300"/>
      <c r="T54" s="300"/>
      <c r="U54" s="330"/>
      <c r="V54" s="333">
        <f>+O54+M54</f>
        <v>22</v>
      </c>
      <c r="W54" s="334">
        <f>+L54+11755.1</f>
        <v>247173.80000000002</v>
      </c>
    </row>
    <row r="55" spans="1:23" ht="15.75" thickBot="1">
      <c r="A55" s="318" t="s">
        <v>573</v>
      </c>
      <c r="B55" s="337">
        <f>SUM(B44:B54)</f>
        <v>25</v>
      </c>
      <c r="C55" s="319"/>
      <c r="D55" s="319">
        <f>SUM(D44:D54)</f>
        <v>57</v>
      </c>
      <c r="E55" s="319"/>
      <c r="F55" s="319"/>
      <c r="G55" s="319"/>
      <c r="H55" s="319"/>
      <c r="I55" s="319"/>
      <c r="J55" s="338"/>
      <c r="K55" s="339">
        <f>SUM(K44:K54)</f>
        <v>82</v>
      </c>
      <c r="L55" s="340">
        <f>SUM(L44:L54)</f>
        <v>1235936.2999999998</v>
      </c>
      <c r="M55" s="337">
        <f>SUM(M44:M54)</f>
        <v>26</v>
      </c>
      <c r="N55" s="319"/>
      <c r="O55" s="337">
        <f>SUM(O44:O54)</f>
        <v>57</v>
      </c>
      <c r="P55" s="319"/>
      <c r="Q55" s="319"/>
      <c r="R55" s="319"/>
      <c r="S55" s="319"/>
      <c r="T55" s="319"/>
      <c r="U55" s="338"/>
      <c r="V55" s="341">
        <f>SUM(V45:V54)</f>
        <v>83</v>
      </c>
      <c r="W55" s="342">
        <f>SUM(W46:W54)</f>
        <v>1247691.3999999999</v>
      </c>
    </row>
    <row r="56" spans="1:23">
      <c r="A56" s="304" t="s">
        <v>574</v>
      </c>
      <c r="B56" s="215"/>
      <c r="C56" s="215"/>
      <c r="D56" s="215"/>
      <c r="E56" s="215"/>
      <c r="F56" s="215"/>
      <c r="G56" s="215"/>
      <c r="H56" s="215"/>
      <c r="I56" s="215"/>
      <c r="J56" s="215"/>
      <c r="K56" s="215"/>
      <c r="L56" s="215"/>
      <c r="M56" s="215"/>
      <c r="N56" s="215"/>
      <c r="O56" s="215"/>
      <c r="P56" s="295"/>
      <c r="Q56" s="305"/>
      <c r="R56" s="34"/>
      <c r="S56" s="34"/>
      <c r="T56" s="295"/>
      <c r="U56" s="295"/>
      <c r="V56" s="295"/>
      <c r="W56" s="295"/>
    </row>
    <row r="60" spans="1:23" ht="15.75">
      <c r="A60" s="296" t="s">
        <v>535</v>
      </c>
      <c r="B60" s="297"/>
      <c r="C60" s="297"/>
      <c r="D60" s="297"/>
      <c r="E60" s="297"/>
      <c r="F60" s="297"/>
      <c r="G60" s="297"/>
      <c r="H60" s="297"/>
      <c r="I60" s="297"/>
      <c r="J60" s="297"/>
      <c r="K60" s="297"/>
      <c r="L60" s="297"/>
      <c r="M60" s="297"/>
      <c r="N60" s="297"/>
      <c r="O60" s="297"/>
      <c r="P60" s="297"/>
      <c r="Q60" s="297"/>
      <c r="R60" s="297"/>
      <c r="S60" s="297"/>
      <c r="T60" s="297"/>
      <c r="U60" s="297"/>
      <c r="V60" s="297"/>
      <c r="W60" s="297"/>
    </row>
    <row r="61" spans="1:23" ht="15.75">
      <c r="A61" s="296" t="s">
        <v>494</v>
      </c>
      <c r="B61" s="297"/>
      <c r="C61" s="297"/>
      <c r="D61" s="297"/>
      <c r="E61" s="297"/>
      <c r="F61" s="297"/>
      <c r="G61" s="297"/>
      <c r="H61" s="297"/>
      <c r="I61" s="297"/>
      <c r="J61" s="297"/>
      <c r="K61" s="297"/>
      <c r="L61" s="297"/>
      <c r="M61" s="297"/>
      <c r="N61" s="297"/>
      <c r="O61" s="297"/>
      <c r="P61" s="297"/>
      <c r="Q61" s="297"/>
      <c r="R61" s="297"/>
      <c r="S61" s="297"/>
      <c r="T61" s="297"/>
      <c r="U61" s="297"/>
      <c r="V61" s="297"/>
      <c r="W61" s="297"/>
    </row>
    <row r="62" spans="1:23" ht="15.75">
      <c r="A62" s="298" t="s">
        <v>536</v>
      </c>
      <c r="B62" s="299"/>
      <c r="C62" s="299"/>
      <c r="D62" s="299"/>
      <c r="E62" s="299"/>
      <c r="F62" s="299"/>
      <c r="G62" s="299"/>
      <c r="H62" s="299"/>
      <c r="I62" s="299"/>
      <c r="J62" s="299"/>
      <c r="K62" s="299"/>
      <c r="L62" s="299"/>
      <c r="M62" s="299"/>
      <c r="N62" s="299"/>
      <c r="O62" s="299"/>
      <c r="P62" s="299"/>
      <c r="Q62" s="299"/>
      <c r="R62" s="299"/>
      <c r="S62" s="299"/>
      <c r="T62" s="299"/>
      <c r="U62" s="299"/>
      <c r="V62" s="299"/>
      <c r="W62" s="299"/>
    </row>
    <row r="63" spans="1:23" ht="15.75" thickBot="1">
      <c r="A63" s="405" t="s">
        <v>690</v>
      </c>
      <c r="B63" s="300"/>
      <c r="C63" s="300"/>
      <c r="D63" s="300"/>
      <c r="E63" s="300"/>
      <c r="F63" s="300"/>
      <c r="G63" s="300"/>
      <c r="H63" s="300"/>
      <c r="I63" s="300"/>
      <c r="J63" s="300"/>
      <c r="K63" s="300"/>
      <c r="L63" s="301"/>
      <c r="M63" s="300"/>
      <c r="N63" s="300"/>
      <c r="O63" s="300"/>
      <c r="P63" s="300"/>
      <c r="Q63" s="300"/>
      <c r="R63" s="300"/>
      <c r="S63" s="300"/>
      <c r="T63" s="300"/>
      <c r="U63" s="300"/>
      <c r="V63" s="300"/>
      <c r="W63" s="301"/>
    </row>
    <row r="64" spans="1:23">
      <c r="A64" s="306" t="s">
        <v>538</v>
      </c>
      <c r="B64" s="1320" t="s">
        <v>539</v>
      </c>
      <c r="C64" s="1316"/>
      <c r="D64" s="1316"/>
      <c r="E64" s="1316"/>
      <c r="F64" s="1316"/>
      <c r="G64" s="1316"/>
      <c r="H64" s="1316"/>
      <c r="I64" s="1316"/>
      <c r="J64" s="1316"/>
      <c r="K64" s="1316"/>
      <c r="L64" s="1312"/>
      <c r="M64" s="1320" t="s">
        <v>540</v>
      </c>
      <c r="N64" s="1316"/>
      <c r="O64" s="1316"/>
      <c r="P64" s="1316"/>
      <c r="Q64" s="1316"/>
      <c r="R64" s="1316"/>
      <c r="S64" s="1316"/>
      <c r="T64" s="1316"/>
      <c r="U64" s="1316"/>
      <c r="V64" s="1316"/>
      <c r="W64" s="1312"/>
    </row>
    <row r="65" spans="1:23" ht="60.75">
      <c r="A65" s="307" t="s">
        <v>541</v>
      </c>
      <c r="B65" s="308" t="s">
        <v>542</v>
      </c>
      <c r="C65" s="308" t="s">
        <v>543</v>
      </c>
      <c r="D65" s="309" t="s">
        <v>544</v>
      </c>
      <c r="E65" s="309" t="s">
        <v>545</v>
      </c>
      <c r="F65" s="309" t="s">
        <v>546</v>
      </c>
      <c r="G65" s="309" t="s">
        <v>547</v>
      </c>
      <c r="H65" s="309" t="s">
        <v>548</v>
      </c>
      <c r="I65" s="309" t="s">
        <v>549</v>
      </c>
      <c r="J65" s="310" t="s">
        <v>550</v>
      </c>
      <c r="K65" s="311" t="s">
        <v>551</v>
      </c>
      <c r="L65" s="312" t="s">
        <v>552</v>
      </c>
      <c r="M65" s="308" t="s">
        <v>542</v>
      </c>
      <c r="N65" s="308" t="s">
        <v>543</v>
      </c>
      <c r="O65" s="309" t="s">
        <v>544</v>
      </c>
      <c r="P65" s="309" t="s">
        <v>545</v>
      </c>
      <c r="Q65" s="309" t="s">
        <v>546</v>
      </c>
      <c r="R65" s="309" t="s">
        <v>547</v>
      </c>
      <c r="S65" s="309" t="s">
        <v>548</v>
      </c>
      <c r="T65" s="309" t="s">
        <v>549</v>
      </c>
      <c r="U65" s="310" t="s">
        <v>550</v>
      </c>
      <c r="V65" s="311" t="s">
        <v>551</v>
      </c>
      <c r="W65" s="312" t="s">
        <v>553</v>
      </c>
    </row>
    <row r="66" spans="1:23">
      <c r="A66" s="313"/>
      <c r="B66" s="300"/>
      <c r="C66" s="300"/>
      <c r="D66" s="300"/>
      <c r="E66" s="300"/>
      <c r="F66" s="300"/>
      <c r="G66" s="300"/>
      <c r="H66" s="300"/>
      <c r="I66" s="300"/>
      <c r="J66" s="300"/>
      <c r="K66" s="300"/>
      <c r="L66" s="314"/>
      <c r="M66" s="300"/>
      <c r="N66" s="300"/>
      <c r="O66" s="300"/>
      <c r="P66" s="300"/>
      <c r="Q66" s="300"/>
      <c r="R66" s="300"/>
      <c r="S66" s="300"/>
      <c r="T66" s="300"/>
      <c r="U66" s="300"/>
      <c r="V66" s="300"/>
      <c r="W66" s="314"/>
    </row>
    <row r="67" spans="1:23">
      <c r="A67" s="315" t="s">
        <v>554</v>
      </c>
      <c r="B67" s="303"/>
      <c r="C67" s="303"/>
      <c r="D67" s="303"/>
      <c r="E67" s="303"/>
      <c r="F67" s="303"/>
      <c r="G67" s="303"/>
      <c r="H67" s="303"/>
      <c r="I67" s="303"/>
      <c r="J67" s="303"/>
      <c r="K67" s="303"/>
      <c r="L67" s="344"/>
      <c r="M67" s="303"/>
      <c r="N67" s="303"/>
      <c r="O67" s="303"/>
      <c r="P67" s="303"/>
      <c r="Q67" s="303"/>
      <c r="R67" s="303"/>
      <c r="S67" s="303"/>
      <c r="T67" s="303"/>
      <c r="U67" s="303"/>
      <c r="V67" s="303"/>
      <c r="W67" s="303"/>
    </row>
    <row r="68" spans="1:23">
      <c r="A68" s="313" t="s">
        <v>556</v>
      </c>
      <c r="B68" s="300">
        <v>1</v>
      </c>
      <c r="C68" s="300"/>
      <c r="D68" s="300"/>
      <c r="E68" s="300"/>
      <c r="F68" s="300"/>
      <c r="G68" s="300"/>
      <c r="H68" s="300"/>
      <c r="I68" s="300"/>
      <c r="J68" s="300"/>
      <c r="K68" s="300">
        <v>1</v>
      </c>
      <c r="L68" s="334">
        <v>83650.600000000006</v>
      </c>
      <c r="M68" s="300">
        <v>1</v>
      </c>
      <c r="N68" s="300"/>
      <c r="O68" s="300"/>
      <c r="P68" s="300"/>
      <c r="Q68" s="300"/>
      <c r="R68" s="300"/>
      <c r="S68" s="300"/>
      <c r="T68" s="300"/>
      <c r="U68" s="300"/>
      <c r="V68" s="300">
        <v>1</v>
      </c>
      <c r="W68" s="345">
        <f>+L68*0.05+L68</f>
        <v>87833.13</v>
      </c>
    </row>
    <row r="69" spans="1:23">
      <c r="A69" s="313" t="s">
        <v>557</v>
      </c>
      <c r="B69" s="300">
        <v>4</v>
      </c>
      <c r="C69" s="300"/>
      <c r="D69" s="300"/>
      <c r="E69" s="300"/>
      <c r="F69" s="300"/>
      <c r="G69" s="300"/>
      <c r="H69" s="300"/>
      <c r="I69" s="300"/>
      <c r="J69" s="300"/>
      <c r="K69" s="300">
        <v>4</v>
      </c>
      <c r="L69" s="334">
        <v>283008.64000000001</v>
      </c>
      <c r="M69" s="300">
        <v>4</v>
      </c>
      <c r="N69" s="300"/>
      <c r="O69" s="300"/>
      <c r="P69" s="300"/>
      <c r="Q69" s="300"/>
      <c r="R69" s="300"/>
      <c r="S69" s="300"/>
      <c r="T69" s="300"/>
      <c r="U69" s="300"/>
      <c r="V69" s="300">
        <v>4</v>
      </c>
      <c r="W69" s="345">
        <f t="shared" ref="W69:W130" si="10">+L69*0.05+L69</f>
        <v>297159.07200000004</v>
      </c>
    </row>
    <row r="70" spans="1:23">
      <c r="A70" s="313" t="s">
        <v>558</v>
      </c>
      <c r="B70" s="300">
        <v>6</v>
      </c>
      <c r="C70" s="300"/>
      <c r="D70" s="300"/>
      <c r="E70" s="300"/>
      <c r="F70" s="300"/>
      <c r="G70" s="300"/>
      <c r="H70" s="300"/>
      <c r="I70" s="300"/>
      <c r="J70" s="300"/>
      <c r="K70" s="300">
        <v>6</v>
      </c>
      <c r="L70" s="334">
        <v>229265.52</v>
      </c>
      <c r="M70" s="300">
        <v>6</v>
      </c>
      <c r="N70" s="300"/>
      <c r="O70" s="300"/>
      <c r="P70" s="300"/>
      <c r="Q70" s="300"/>
      <c r="R70" s="300"/>
      <c r="S70" s="300"/>
      <c r="T70" s="300"/>
      <c r="U70" s="300"/>
      <c r="V70" s="300">
        <v>6</v>
      </c>
      <c r="W70" s="345">
        <f t="shared" si="10"/>
        <v>240728.796</v>
      </c>
    </row>
    <row r="71" spans="1:23">
      <c r="A71" s="313" t="s">
        <v>559</v>
      </c>
      <c r="B71" s="300">
        <v>3</v>
      </c>
      <c r="C71" s="300"/>
      <c r="D71" s="300"/>
      <c r="E71" s="300"/>
      <c r="F71" s="300"/>
      <c r="G71" s="300"/>
      <c r="H71" s="300"/>
      <c r="I71" s="300"/>
      <c r="J71" s="300"/>
      <c r="K71" s="300">
        <v>3</v>
      </c>
      <c r="L71" s="334">
        <v>90859.44</v>
      </c>
      <c r="M71" s="300">
        <v>3</v>
      </c>
      <c r="N71" s="300"/>
      <c r="O71" s="300"/>
      <c r="P71" s="300"/>
      <c r="Q71" s="300"/>
      <c r="R71" s="300"/>
      <c r="S71" s="300"/>
      <c r="T71" s="300"/>
      <c r="U71" s="300"/>
      <c r="V71" s="300">
        <v>3</v>
      </c>
      <c r="W71" s="345">
        <f t="shared" si="10"/>
        <v>95402.411999999997</v>
      </c>
    </row>
    <row r="72" spans="1:23">
      <c r="A72" s="313" t="s">
        <v>560</v>
      </c>
      <c r="B72" s="300">
        <v>4</v>
      </c>
      <c r="C72" s="300"/>
      <c r="D72" s="300"/>
      <c r="E72" s="300"/>
      <c r="F72" s="300"/>
      <c r="G72" s="300"/>
      <c r="H72" s="300"/>
      <c r="I72" s="300"/>
      <c r="J72" s="300"/>
      <c r="K72" s="300">
        <v>4</v>
      </c>
      <c r="L72" s="334">
        <v>118141.6</v>
      </c>
      <c r="M72" s="300">
        <v>4</v>
      </c>
      <c r="N72" s="300"/>
      <c r="O72" s="300"/>
      <c r="P72" s="300"/>
      <c r="Q72" s="300"/>
      <c r="R72" s="300"/>
      <c r="S72" s="300"/>
      <c r="T72" s="300"/>
      <c r="U72" s="300"/>
      <c r="V72" s="300">
        <v>4</v>
      </c>
      <c r="W72" s="345">
        <f t="shared" si="10"/>
        <v>124048.68000000001</v>
      </c>
    </row>
    <row r="73" spans="1:23">
      <c r="A73" s="315" t="s">
        <v>561</v>
      </c>
      <c r="B73" s="303"/>
      <c r="C73" s="303"/>
      <c r="D73" s="303"/>
      <c r="E73" s="303"/>
      <c r="F73" s="303"/>
      <c r="G73" s="303"/>
      <c r="H73" s="303"/>
      <c r="I73" s="303"/>
      <c r="J73" s="303"/>
      <c r="K73" s="303"/>
      <c r="L73" s="303"/>
      <c r="M73" s="303"/>
      <c r="N73" s="303"/>
      <c r="O73" s="303"/>
      <c r="P73" s="303"/>
      <c r="Q73" s="303"/>
      <c r="R73" s="303"/>
      <c r="S73" s="303"/>
      <c r="T73" s="303"/>
      <c r="U73" s="303"/>
      <c r="V73" s="303"/>
      <c r="W73" s="303"/>
    </row>
    <row r="74" spans="1:23">
      <c r="A74" s="313" t="s">
        <v>580</v>
      </c>
      <c r="B74" s="300">
        <v>2</v>
      </c>
      <c r="C74" s="300"/>
      <c r="D74" s="300"/>
      <c r="E74" s="300"/>
      <c r="F74" s="300"/>
      <c r="G74" s="300"/>
      <c r="H74" s="300"/>
      <c r="I74" s="300"/>
      <c r="J74" s="300"/>
      <c r="K74" s="300">
        <f t="shared" ref="K74:K86" si="11">SUM(B74:J74)</f>
        <v>2</v>
      </c>
      <c r="L74" s="334">
        <v>54852.08</v>
      </c>
      <c r="M74" s="300">
        <v>2</v>
      </c>
      <c r="N74" s="300"/>
      <c r="O74" s="300"/>
      <c r="P74" s="300"/>
      <c r="Q74" s="300"/>
      <c r="R74" s="300"/>
      <c r="S74" s="300"/>
      <c r="T74" s="300"/>
      <c r="U74" s="300"/>
      <c r="V74" s="300">
        <f t="shared" ref="V74:V130" si="12">SUM(M74:U74)</f>
        <v>2</v>
      </c>
      <c r="W74" s="345">
        <f t="shared" si="10"/>
        <v>57594.684000000001</v>
      </c>
    </row>
    <row r="75" spans="1:23">
      <c r="A75" s="313" t="s">
        <v>564</v>
      </c>
      <c r="B75" s="300">
        <v>33</v>
      </c>
      <c r="C75" s="300"/>
      <c r="D75" s="300"/>
      <c r="E75" s="300"/>
      <c r="F75" s="300"/>
      <c r="G75" s="300"/>
      <c r="H75" s="300"/>
      <c r="I75" s="300"/>
      <c r="J75" s="300"/>
      <c r="K75" s="300">
        <f t="shared" si="11"/>
        <v>33</v>
      </c>
      <c r="L75" s="334">
        <v>881762.64</v>
      </c>
      <c r="M75" s="300">
        <v>33</v>
      </c>
      <c r="N75" s="300"/>
      <c r="O75" s="300"/>
      <c r="P75" s="300"/>
      <c r="Q75" s="300"/>
      <c r="R75" s="300"/>
      <c r="S75" s="300"/>
      <c r="T75" s="300"/>
      <c r="U75" s="300"/>
      <c r="V75" s="300">
        <f t="shared" si="12"/>
        <v>33</v>
      </c>
      <c r="W75" s="345">
        <f t="shared" si="10"/>
        <v>925850.772</v>
      </c>
    </row>
    <row r="76" spans="1:23">
      <c r="A76" s="315" t="s">
        <v>565</v>
      </c>
      <c r="B76" s="303"/>
      <c r="C76" s="303"/>
      <c r="D76" s="303"/>
      <c r="E76" s="303"/>
      <c r="F76" s="303"/>
      <c r="G76" s="303"/>
      <c r="H76" s="303"/>
      <c r="I76" s="303"/>
      <c r="J76" s="303"/>
      <c r="K76" s="303"/>
      <c r="L76" s="303"/>
      <c r="M76" s="303"/>
      <c r="N76" s="303"/>
      <c r="O76" s="303"/>
      <c r="P76" s="303"/>
      <c r="Q76" s="303"/>
      <c r="R76" s="303"/>
      <c r="S76" s="303"/>
      <c r="T76" s="303"/>
      <c r="U76" s="303"/>
      <c r="V76" s="303"/>
      <c r="W76" s="303"/>
    </row>
    <row r="77" spans="1:23">
      <c r="A77" s="313" t="s">
        <v>566</v>
      </c>
      <c r="B77" s="300">
        <v>110</v>
      </c>
      <c r="C77" s="300"/>
      <c r="D77" s="300"/>
      <c r="E77" s="300"/>
      <c r="F77" s="300"/>
      <c r="G77" s="300"/>
      <c r="H77" s="300"/>
      <c r="I77" s="300"/>
      <c r="J77" s="300"/>
      <c r="K77" s="300">
        <f t="shared" si="11"/>
        <v>110</v>
      </c>
      <c r="L77" s="334">
        <v>2803354.4</v>
      </c>
      <c r="M77" s="300">
        <v>110</v>
      </c>
      <c r="N77" s="300"/>
      <c r="O77" s="300"/>
      <c r="P77" s="300"/>
      <c r="Q77" s="300"/>
      <c r="R77" s="300"/>
      <c r="S77" s="300"/>
      <c r="T77" s="300"/>
      <c r="U77" s="300"/>
      <c r="V77" s="300">
        <f t="shared" si="12"/>
        <v>110</v>
      </c>
      <c r="W77" s="345">
        <f t="shared" si="10"/>
        <v>2943522.12</v>
      </c>
    </row>
    <row r="78" spans="1:23">
      <c r="A78" s="313" t="s">
        <v>567</v>
      </c>
      <c r="B78" s="300">
        <v>3</v>
      </c>
      <c r="C78" s="300"/>
      <c r="D78" s="300"/>
      <c r="E78" s="300"/>
      <c r="F78" s="300"/>
      <c r="G78" s="300"/>
      <c r="H78" s="300"/>
      <c r="I78" s="300"/>
      <c r="J78" s="300"/>
      <c r="K78" s="300">
        <f t="shared" si="11"/>
        <v>3</v>
      </c>
      <c r="L78" s="334">
        <v>76147.679999999993</v>
      </c>
      <c r="M78" s="300">
        <v>3</v>
      </c>
      <c r="N78" s="300"/>
      <c r="O78" s="300"/>
      <c r="P78" s="300"/>
      <c r="Q78" s="300"/>
      <c r="R78" s="300"/>
      <c r="S78" s="300"/>
      <c r="T78" s="300"/>
      <c r="U78" s="300"/>
      <c r="V78" s="300">
        <f t="shared" si="12"/>
        <v>3</v>
      </c>
      <c r="W78" s="345">
        <f t="shared" si="10"/>
        <v>79955.063999999998</v>
      </c>
    </row>
    <row r="79" spans="1:23">
      <c r="A79" s="313" t="s">
        <v>581</v>
      </c>
      <c r="B79" s="300">
        <v>20</v>
      </c>
      <c r="C79" s="300"/>
      <c r="D79" s="300"/>
      <c r="E79" s="300"/>
      <c r="F79" s="300"/>
      <c r="G79" s="300"/>
      <c r="H79" s="300"/>
      <c r="I79" s="300"/>
      <c r="J79" s="300"/>
      <c r="K79" s="300">
        <f t="shared" si="11"/>
        <v>20</v>
      </c>
      <c r="L79" s="334">
        <v>505596.8</v>
      </c>
      <c r="M79" s="300">
        <v>20</v>
      </c>
      <c r="N79" s="300"/>
      <c r="O79" s="300"/>
      <c r="P79" s="300"/>
      <c r="Q79" s="300"/>
      <c r="R79" s="300"/>
      <c r="S79" s="300"/>
      <c r="T79" s="300"/>
      <c r="U79" s="300"/>
      <c r="V79" s="300">
        <f t="shared" si="12"/>
        <v>20</v>
      </c>
      <c r="W79" s="345">
        <f t="shared" si="10"/>
        <v>530876.64</v>
      </c>
    </row>
    <row r="80" spans="1:23">
      <c r="A80" s="313" t="s">
        <v>582</v>
      </c>
      <c r="B80" s="300">
        <v>43</v>
      </c>
      <c r="C80" s="300"/>
      <c r="D80" s="300"/>
      <c r="E80" s="300"/>
      <c r="F80" s="300"/>
      <c r="G80" s="300"/>
      <c r="H80" s="300"/>
      <c r="I80" s="300"/>
      <c r="J80" s="300"/>
      <c r="K80" s="300">
        <f t="shared" si="11"/>
        <v>43</v>
      </c>
      <c r="L80" s="334">
        <v>1084200.28</v>
      </c>
      <c r="M80" s="300">
        <v>43</v>
      </c>
      <c r="N80" s="300"/>
      <c r="O80" s="300"/>
      <c r="P80" s="300"/>
      <c r="Q80" s="300"/>
      <c r="R80" s="300"/>
      <c r="S80" s="300"/>
      <c r="T80" s="300"/>
      <c r="U80" s="300"/>
      <c r="V80" s="300">
        <f t="shared" si="12"/>
        <v>43</v>
      </c>
      <c r="W80" s="345">
        <f t="shared" si="10"/>
        <v>1138410.294</v>
      </c>
    </row>
    <row r="81" spans="1:23">
      <c r="A81" s="313" t="s">
        <v>568</v>
      </c>
      <c r="B81" s="300">
        <v>125</v>
      </c>
      <c r="C81" s="300"/>
      <c r="D81" s="300"/>
      <c r="E81" s="300"/>
      <c r="F81" s="300"/>
      <c r="G81" s="300"/>
      <c r="H81" s="300"/>
      <c r="I81" s="300"/>
      <c r="J81" s="300"/>
      <c r="K81" s="300">
        <f t="shared" si="11"/>
        <v>125</v>
      </c>
      <c r="L81" s="334">
        <v>3147060</v>
      </c>
      <c r="M81" s="300">
        <v>125</v>
      </c>
      <c r="N81" s="300"/>
      <c r="O81" s="300"/>
      <c r="P81" s="300"/>
      <c r="Q81" s="300"/>
      <c r="R81" s="300"/>
      <c r="S81" s="300"/>
      <c r="T81" s="300"/>
      <c r="U81" s="300"/>
      <c r="V81" s="300">
        <f t="shared" si="12"/>
        <v>125</v>
      </c>
      <c r="W81" s="345">
        <f t="shared" si="10"/>
        <v>3304413</v>
      </c>
    </row>
    <row r="82" spans="1:23">
      <c r="A82" s="313" t="s">
        <v>583</v>
      </c>
      <c r="B82" s="300">
        <v>3</v>
      </c>
      <c r="C82" s="300"/>
      <c r="D82" s="300"/>
      <c r="E82" s="300"/>
      <c r="F82" s="300"/>
      <c r="G82" s="300"/>
      <c r="H82" s="300"/>
      <c r="I82" s="300"/>
      <c r="J82" s="300"/>
      <c r="K82" s="300">
        <f t="shared" si="11"/>
        <v>3</v>
      </c>
      <c r="L82" s="334">
        <v>75513.72</v>
      </c>
      <c r="M82" s="300">
        <v>3</v>
      </c>
      <c r="N82" s="300"/>
      <c r="O82" s="300"/>
      <c r="P82" s="300"/>
      <c r="Q82" s="300"/>
      <c r="R82" s="300"/>
      <c r="S82" s="300"/>
      <c r="T82" s="300"/>
      <c r="U82" s="300"/>
      <c r="V82" s="300">
        <f t="shared" si="12"/>
        <v>3</v>
      </c>
      <c r="W82" s="345">
        <f t="shared" si="10"/>
        <v>79289.406000000003</v>
      </c>
    </row>
    <row r="83" spans="1:23">
      <c r="A83" s="315" t="s">
        <v>569</v>
      </c>
      <c r="B83" s="303"/>
      <c r="C83" s="303"/>
      <c r="D83" s="303"/>
      <c r="E83" s="303"/>
      <c r="F83" s="303"/>
      <c r="G83" s="303"/>
      <c r="H83" s="303"/>
      <c r="I83" s="303"/>
      <c r="J83" s="303"/>
      <c r="K83" s="303"/>
      <c r="L83" s="303"/>
      <c r="M83" s="303"/>
      <c r="N83" s="303"/>
      <c r="O83" s="303"/>
      <c r="P83" s="303"/>
      <c r="Q83" s="303"/>
      <c r="R83" s="303"/>
      <c r="S83" s="303"/>
      <c r="T83" s="303"/>
      <c r="U83" s="303"/>
      <c r="V83" s="303"/>
      <c r="W83" s="303"/>
    </row>
    <row r="84" spans="1:23">
      <c r="A84" s="313" t="s">
        <v>570</v>
      </c>
      <c r="B84" s="300">
        <v>35</v>
      </c>
      <c r="C84" s="300"/>
      <c r="D84" s="300"/>
      <c r="E84" s="300"/>
      <c r="F84" s="300"/>
      <c r="G84" s="300"/>
      <c r="H84" s="300"/>
      <c r="I84" s="300"/>
      <c r="J84" s="300"/>
      <c r="K84" s="300">
        <f t="shared" si="11"/>
        <v>35</v>
      </c>
      <c r="L84" s="334">
        <v>873492.2</v>
      </c>
      <c r="M84" s="300">
        <v>35</v>
      </c>
      <c r="N84" s="300"/>
      <c r="O84" s="300"/>
      <c r="P84" s="300"/>
      <c r="Q84" s="300"/>
      <c r="R84" s="300"/>
      <c r="S84" s="300"/>
      <c r="T84" s="300"/>
      <c r="U84" s="300"/>
      <c r="V84" s="300">
        <f t="shared" si="12"/>
        <v>35</v>
      </c>
      <c r="W84" s="345">
        <f t="shared" si="10"/>
        <v>917166.80999999994</v>
      </c>
    </row>
    <row r="85" spans="1:23">
      <c r="A85" s="313" t="s">
        <v>584</v>
      </c>
      <c r="B85" s="300">
        <v>56</v>
      </c>
      <c r="C85" s="300"/>
      <c r="D85" s="300"/>
      <c r="E85" s="300"/>
      <c r="F85" s="300"/>
      <c r="G85" s="300"/>
      <c r="H85" s="300"/>
      <c r="I85" s="300"/>
      <c r="J85" s="300"/>
      <c r="K85" s="300">
        <f t="shared" si="11"/>
        <v>56</v>
      </c>
      <c r="L85" s="334">
        <v>1392151.04</v>
      </c>
      <c r="M85" s="300">
        <v>56</v>
      </c>
      <c r="N85" s="300"/>
      <c r="O85" s="300"/>
      <c r="P85" s="300"/>
      <c r="Q85" s="300"/>
      <c r="R85" s="300"/>
      <c r="S85" s="300"/>
      <c r="T85" s="300"/>
      <c r="U85" s="300"/>
      <c r="V85" s="300">
        <f t="shared" si="12"/>
        <v>56</v>
      </c>
      <c r="W85" s="345">
        <f t="shared" si="10"/>
        <v>1461758.5919999999</v>
      </c>
    </row>
    <row r="86" spans="1:23">
      <c r="A86" s="313" t="s">
        <v>585</v>
      </c>
      <c r="B86" s="300">
        <v>11</v>
      </c>
      <c r="C86" s="300"/>
      <c r="D86" s="300"/>
      <c r="E86" s="300"/>
      <c r="F86" s="300"/>
      <c r="G86" s="300"/>
      <c r="H86" s="300"/>
      <c r="I86" s="300"/>
      <c r="J86" s="300"/>
      <c r="K86" s="300">
        <f t="shared" si="11"/>
        <v>11</v>
      </c>
      <c r="L86" s="334">
        <v>271321.15999999997</v>
      </c>
      <c r="M86" s="300">
        <v>11</v>
      </c>
      <c r="N86" s="300"/>
      <c r="O86" s="300"/>
      <c r="P86" s="300"/>
      <c r="Q86" s="300"/>
      <c r="R86" s="300"/>
      <c r="S86" s="300"/>
      <c r="T86" s="300"/>
      <c r="U86" s="300"/>
      <c r="V86" s="300">
        <f t="shared" si="12"/>
        <v>11</v>
      </c>
      <c r="W86" s="345">
        <f t="shared" si="10"/>
        <v>284887.21799999999</v>
      </c>
    </row>
    <row r="87" spans="1:23">
      <c r="A87" s="313" t="s">
        <v>572</v>
      </c>
      <c r="B87" s="300">
        <v>957</v>
      </c>
      <c r="C87" s="300"/>
      <c r="D87" s="300"/>
      <c r="E87" s="300"/>
      <c r="F87" s="300"/>
      <c r="G87" s="300"/>
      <c r="H87" s="300"/>
      <c r="I87" s="300"/>
      <c r="J87" s="300"/>
      <c r="K87" s="300">
        <f t="shared" ref="K87:K130" si="13">SUM(B87:J87)</f>
        <v>957</v>
      </c>
      <c r="L87" s="334">
        <v>23512035.359999999</v>
      </c>
      <c r="M87" s="300">
        <v>957</v>
      </c>
      <c r="N87" s="300"/>
      <c r="O87" s="300"/>
      <c r="P87" s="300"/>
      <c r="Q87" s="300"/>
      <c r="R87" s="300"/>
      <c r="S87" s="300"/>
      <c r="T87" s="300"/>
      <c r="U87" s="300"/>
      <c r="V87" s="300">
        <f t="shared" si="12"/>
        <v>957</v>
      </c>
      <c r="W87" s="345">
        <f t="shared" si="10"/>
        <v>24687637.127999999</v>
      </c>
    </row>
    <row r="88" spans="1:23">
      <c r="A88" s="315" t="s">
        <v>586</v>
      </c>
      <c r="B88" s="303"/>
      <c r="C88" s="303"/>
      <c r="D88" s="303"/>
      <c r="E88" s="303"/>
      <c r="F88" s="303"/>
      <c r="G88" s="303"/>
      <c r="H88" s="303"/>
      <c r="I88" s="303"/>
      <c r="J88" s="303"/>
      <c r="K88" s="303"/>
      <c r="L88" s="303"/>
      <c r="M88" s="303"/>
      <c r="N88" s="303"/>
      <c r="O88" s="303"/>
      <c r="P88" s="303"/>
      <c r="Q88" s="303"/>
      <c r="R88" s="303"/>
      <c r="S88" s="303"/>
      <c r="T88" s="303"/>
      <c r="U88" s="303"/>
      <c r="V88" s="303"/>
      <c r="W88" s="303"/>
    </row>
    <row r="89" spans="1:23">
      <c r="A89" s="313" t="s">
        <v>564</v>
      </c>
      <c r="B89" s="300">
        <v>1</v>
      </c>
      <c r="C89" s="300"/>
      <c r="D89" s="300"/>
      <c r="E89" s="300"/>
      <c r="F89" s="300"/>
      <c r="G89" s="300"/>
      <c r="H89" s="300"/>
      <c r="I89" s="300"/>
      <c r="J89" s="300"/>
      <c r="K89" s="300">
        <f t="shared" si="13"/>
        <v>1</v>
      </c>
      <c r="L89" s="334">
        <v>27426.04</v>
      </c>
      <c r="M89" s="300">
        <v>1</v>
      </c>
      <c r="N89" s="300"/>
      <c r="O89" s="300"/>
      <c r="P89" s="300"/>
      <c r="Q89" s="300"/>
      <c r="R89" s="300"/>
      <c r="S89" s="300"/>
      <c r="T89" s="300"/>
      <c r="U89" s="300"/>
      <c r="V89" s="300">
        <f t="shared" si="12"/>
        <v>1</v>
      </c>
      <c r="W89" s="345">
        <f t="shared" si="10"/>
        <v>28797.342000000001</v>
      </c>
    </row>
    <row r="90" spans="1:23">
      <c r="A90" s="315" t="s">
        <v>587</v>
      </c>
      <c r="B90" s="303"/>
      <c r="C90" s="303"/>
      <c r="D90" s="303"/>
      <c r="E90" s="303"/>
      <c r="F90" s="303"/>
      <c r="G90" s="303"/>
      <c r="H90" s="303"/>
      <c r="I90" s="303"/>
      <c r="J90" s="303"/>
      <c r="K90" s="303"/>
      <c r="L90" s="303"/>
      <c r="M90" s="303"/>
      <c r="N90" s="303"/>
      <c r="O90" s="303"/>
      <c r="P90" s="303"/>
      <c r="Q90" s="303"/>
      <c r="R90" s="303"/>
      <c r="S90" s="303"/>
      <c r="T90" s="303"/>
      <c r="U90" s="303"/>
      <c r="V90" s="303"/>
      <c r="W90" s="303"/>
    </row>
    <row r="91" spans="1:23">
      <c r="A91" s="313" t="s">
        <v>568</v>
      </c>
      <c r="B91" s="300">
        <v>3</v>
      </c>
      <c r="C91" s="300"/>
      <c r="D91" s="300"/>
      <c r="E91" s="300"/>
      <c r="F91" s="300"/>
      <c r="G91" s="300"/>
      <c r="H91" s="300"/>
      <c r="I91" s="300"/>
      <c r="J91" s="300"/>
      <c r="K91" s="300">
        <f t="shared" si="13"/>
        <v>3</v>
      </c>
      <c r="L91" s="334">
        <v>77690.16</v>
      </c>
      <c r="M91" s="300">
        <v>3</v>
      </c>
      <c r="N91" s="300"/>
      <c r="O91" s="300"/>
      <c r="P91" s="300"/>
      <c r="Q91" s="300"/>
      <c r="R91" s="300"/>
      <c r="S91" s="300"/>
      <c r="T91" s="300"/>
      <c r="U91" s="300"/>
      <c r="V91" s="300">
        <f t="shared" si="12"/>
        <v>3</v>
      </c>
      <c r="W91" s="345">
        <f t="shared" si="10"/>
        <v>81574.668000000005</v>
      </c>
    </row>
    <row r="92" spans="1:23">
      <c r="A92" s="315" t="s">
        <v>588</v>
      </c>
      <c r="B92" s="303"/>
      <c r="C92" s="303"/>
      <c r="D92" s="303"/>
      <c r="E92" s="303"/>
      <c r="F92" s="303"/>
      <c r="G92" s="303"/>
      <c r="H92" s="303"/>
      <c r="I92" s="303"/>
      <c r="J92" s="303"/>
      <c r="K92" s="303"/>
      <c r="L92" s="303"/>
      <c r="M92" s="303"/>
      <c r="N92" s="303"/>
      <c r="O92" s="303"/>
      <c r="P92" s="303"/>
      <c r="Q92" s="303"/>
      <c r="R92" s="303"/>
      <c r="S92" s="303"/>
      <c r="T92" s="303"/>
      <c r="U92" s="303"/>
      <c r="V92" s="303"/>
      <c r="W92" s="303"/>
    </row>
    <row r="93" spans="1:23">
      <c r="A93" s="313" t="s">
        <v>572</v>
      </c>
      <c r="B93" s="300">
        <v>3</v>
      </c>
      <c r="C93" s="300"/>
      <c r="D93" s="300"/>
      <c r="E93" s="300"/>
      <c r="F93" s="300"/>
      <c r="G93" s="300"/>
      <c r="H93" s="300"/>
      <c r="I93" s="300"/>
      <c r="J93" s="300"/>
      <c r="K93" s="300">
        <f t="shared" si="13"/>
        <v>3</v>
      </c>
      <c r="L93" s="334">
        <v>74890.92</v>
      </c>
      <c r="M93" s="300">
        <v>3</v>
      </c>
      <c r="N93" s="300"/>
      <c r="O93" s="300"/>
      <c r="P93" s="300"/>
      <c r="Q93" s="300"/>
      <c r="R93" s="300"/>
      <c r="S93" s="300"/>
      <c r="T93" s="300"/>
      <c r="U93" s="300"/>
      <c r="V93" s="300">
        <f t="shared" si="12"/>
        <v>3</v>
      </c>
      <c r="W93" s="345">
        <f t="shared" si="10"/>
        <v>78635.466</v>
      </c>
    </row>
    <row r="94" spans="1:23">
      <c r="A94" s="315" t="s">
        <v>589</v>
      </c>
      <c r="B94" s="303"/>
      <c r="C94" s="303"/>
      <c r="D94" s="303"/>
      <c r="E94" s="303"/>
      <c r="F94" s="303"/>
      <c r="G94" s="303"/>
      <c r="H94" s="303"/>
      <c r="I94" s="303"/>
      <c r="J94" s="303"/>
      <c r="K94" s="303"/>
      <c r="L94" s="303"/>
      <c r="M94" s="303"/>
      <c r="N94" s="303"/>
      <c r="O94" s="303"/>
      <c r="P94" s="303"/>
      <c r="Q94" s="303"/>
      <c r="R94" s="303"/>
      <c r="S94" s="303"/>
      <c r="T94" s="303"/>
      <c r="U94" s="303"/>
      <c r="V94" s="303"/>
      <c r="W94" s="303"/>
    </row>
    <row r="95" spans="1:23">
      <c r="A95" s="313" t="s">
        <v>590</v>
      </c>
      <c r="B95" s="300">
        <v>3</v>
      </c>
      <c r="C95" s="300"/>
      <c r="D95" s="300"/>
      <c r="E95" s="300"/>
      <c r="F95" s="300"/>
      <c r="G95" s="300"/>
      <c r="H95" s="300"/>
      <c r="I95" s="300"/>
      <c r="J95" s="300"/>
      <c r="K95" s="300">
        <f t="shared" si="13"/>
        <v>3</v>
      </c>
      <c r="L95" s="334">
        <v>49390.92</v>
      </c>
      <c r="M95" s="300">
        <v>3</v>
      </c>
      <c r="N95" s="300"/>
      <c r="O95" s="300"/>
      <c r="P95" s="300"/>
      <c r="Q95" s="300"/>
      <c r="R95" s="300"/>
      <c r="S95" s="300"/>
      <c r="T95" s="300"/>
      <c r="U95" s="300"/>
      <c r="V95" s="300">
        <f t="shared" si="12"/>
        <v>3</v>
      </c>
      <c r="W95" s="345">
        <f t="shared" si="10"/>
        <v>51860.466</v>
      </c>
    </row>
    <row r="96" spans="1:23">
      <c r="A96" s="315" t="s">
        <v>591</v>
      </c>
      <c r="B96" s="303"/>
      <c r="C96" s="303"/>
      <c r="D96" s="303"/>
      <c r="E96" s="303"/>
      <c r="F96" s="303"/>
      <c r="G96" s="303"/>
      <c r="H96" s="303"/>
      <c r="I96" s="303"/>
      <c r="J96" s="303"/>
      <c r="K96" s="303"/>
      <c r="L96" s="303"/>
      <c r="M96" s="303"/>
      <c r="N96" s="303"/>
      <c r="O96" s="303"/>
      <c r="P96" s="303"/>
      <c r="Q96" s="303"/>
      <c r="R96" s="303"/>
      <c r="S96" s="303"/>
      <c r="T96" s="303"/>
      <c r="U96" s="303"/>
      <c r="V96" s="303"/>
      <c r="W96" s="303"/>
    </row>
    <row r="97" spans="1:23">
      <c r="A97" s="313" t="s">
        <v>592</v>
      </c>
      <c r="B97" s="300">
        <v>3</v>
      </c>
      <c r="C97" s="300"/>
      <c r="D97" s="300"/>
      <c r="E97" s="300"/>
      <c r="F97" s="300"/>
      <c r="G97" s="300"/>
      <c r="H97" s="300"/>
      <c r="I97" s="300"/>
      <c r="J97" s="300"/>
      <c r="K97" s="300">
        <f t="shared" si="13"/>
        <v>3</v>
      </c>
      <c r="L97" s="334">
        <v>130426.32</v>
      </c>
      <c r="M97" s="300">
        <v>3</v>
      </c>
      <c r="N97" s="300"/>
      <c r="O97" s="300"/>
      <c r="P97" s="300"/>
      <c r="Q97" s="300"/>
      <c r="R97" s="300"/>
      <c r="S97" s="300"/>
      <c r="T97" s="300"/>
      <c r="U97" s="300"/>
      <c r="V97" s="300">
        <f t="shared" si="12"/>
        <v>3</v>
      </c>
      <c r="W97" s="345">
        <f t="shared" si="10"/>
        <v>136947.636</v>
      </c>
    </row>
    <row r="98" spans="1:23">
      <c r="A98" s="315" t="s">
        <v>593</v>
      </c>
      <c r="B98" s="303"/>
      <c r="C98" s="303"/>
      <c r="D98" s="303"/>
      <c r="E98" s="303"/>
      <c r="F98" s="303"/>
      <c r="G98" s="303"/>
      <c r="H98" s="303"/>
      <c r="I98" s="303"/>
      <c r="J98" s="303"/>
      <c r="K98" s="303"/>
      <c r="L98" s="303"/>
      <c r="M98" s="303"/>
      <c r="N98" s="303"/>
      <c r="O98" s="303"/>
      <c r="P98" s="303"/>
      <c r="Q98" s="303"/>
      <c r="R98" s="303"/>
      <c r="S98" s="303"/>
      <c r="T98" s="303"/>
      <c r="U98" s="303"/>
      <c r="V98" s="303"/>
      <c r="W98" s="303"/>
    </row>
    <row r="99" spans="1:23">
      <c r="A99" s="313" t="s">
        <v>594</v>
      </c>
      <c r="B99" s="300">
        <v>20</v>
      </c>
      <c r="C99" s="300"/>
      <c r="D99" s="300"/>
      <c r="E99" s="300"/>
      <c r="F99" s="300"/>
      <c r="G99" s="300"/>
      <c r="H99" s="300"/>
      <c r="I99" s="300"/>
      <c r="J99" s="300"/>
      <c r="K99" s="300">
        <f t="shared" si="13"/>
        <v>20</v>
      </c>
      <c r="L99" s="334">
        <v>1589612.36</v>
      </c>
      <c r="M99" s="300">
        <v>20</v>
      </c>
      <c r="N99" s="300"/>
      <c r="O99" s="300"/>
      <c r="P99" s="300"/>
      <c r="Q99" s="300"/>
      <c r="R99" s="300"/>
      <c r="S99" s="300"/>
      <c r="T99" s="300"/>
      <c r="U99" s="300"/>
      <c r="V99" s="300">
        <f t="shared" si="12"/>
        <v>20</v>
      </c>
      <c r="W99" s="345">
        <f t="shared" si="10"/>
        <v>1669092.9780000001</v>
      </c>
    </row>
    <row r="100" spans="1:23">
      <c r="A100" s="313" t="s">
        <v>595</v>
      </c>
      <c r="B100" s="300">
        <v>170</v>
      </c>
      <c r="C100" s="300"/>
      <c r="D100" s="300"/>
      <c r="E100" s="300"/>
      <c r="F100" s="300"/>
      <c r="G100" s="300"/>
      <c r="H100" s="300"/>
      <c r="I100" s="300"/>
      <c r="J100" s="300"/>
      <c r="K100" s="300">
        <f t="shared" si="13"/>
        <v>170</v>
      </c>
      <c r="L100" s="334">
        <v>11834516.960000001</v>
      </c>
      <c r="M100" s="300">
        <v>170</v>
      </c>
      <c r="N100" s="300"/>
      <c r="O100" s="300"/>
      <c r="P100" s="300"/>
      <c r="Q100" s="300"/>
      <c r="R100" s="300"/>
      <c r="S100" s="300"/>
      <c r="T100" s="300"/>
      <c r="U100" s="300"/>
      <c r="V100" s="300">
        <f t="shared" si="12"/>
        <v>170</v>
      </c>
      <c r="W100" s="345">
        <f t="shared" si="10"/>
        <v>12426242.808</v>
      </c>
    </row>
    <row r="101" spans="1:23">
      <c r="A101" s="313" t="s">
        <v>596</v>
      </c>
      <c r="B101" s="300">
        <v>300</v>
      </c>
      <c r="C101" s="300"/>
      <c r="D101" s="300"/>
      <c r="E101" s="300"/>
      <c r="F101" s="300"/>
      <c r="G101" s="300"/>
      <c r="H101" s="300"/>
      <c r="I101" s="300"/>
      <c r="J101" s="300"/>
      <c r="K101" s="300">
        <f t="shared" si="13"/>
        <v>300</v>
      </c>
      <c r="L101" s="334">
        <v>18893197.48</v>
      </c>
      <c r="M101" s="300">
        <v>300</v>
      </c>
      <c r="N101" s="300"/>
      <c r="O101" s="300"/>
      <c r="P101" s="300"/>
      <c r="Q101" s="300"/>
      <c r="R101" s="300"/>
      <c r="S101" s="300"/>
      <c r="T101" s="300"/>
      <c r="U101" s="300"/>
      <c r="V101" s="300">
        <f t="shared" si="12"/>
        <v>300</v>
      </c>
      <c r="W101" s="345">
        <f t="shared" si="10"/>
        <v>19837857.354000002</v>
      </c>
    </row>
    <row r="102" spans="1:23">
      <c r="A102" s="313" t="s">
        <v>597</v>
      </c>
      <c r="B102" s="300">
        <v>241</v>
      </c>
      <c r="C102" s="300"/>
      <c r="D102" s="300"/>
      <c r="E102" s="300"/>
      <c r="F102" s="300"/>
      <c r="G102" s="300"/>
      <c r="H102" s="300"/>
      <c r="I102" s="300"/>
      <c r="J102" s="300"/>
      <c r="K102" s="300">
        <f t="shared" si="13"/>
        <v>241</v>
      </c>
      <c r="L102" s="334">
        <v>14471662</v>
      </c>
      <c r="M102" s="300">
        <v>241</v>
      </c>
      <c r="N102" s="300"/>
      <c r="O102" s="300"/>
      <c r="P102" s="300"/>
      <c r="Q102" s="300"/>
      <c r="R102" s="300"/>
      <c r="S102" s="300"/>
      <c r="T102" s="300"/>
      <c r="U102" s="300"/>
      <c r="V102" s="300">
        <f t="shared" si="12"/>
        <v>241</v>
      </c>
      <c r="W102" s="345">
        <f t="shared" si="10"/>
        <v>15195245.1</v>
      </c>
    </row>
    <row r="103" spans="1:23">
      <c r="A103" s="313" t="s">
        <v>598</v>
      </c>
      <c r="B103" s="300">
        <v>70</v>
      </c>
      <c r="C103" s="300"/>
      <c r="D103" s="300"/>
      <c r="E103" s="300"/>
      <c r="F103" s="300"/>
      <c r="G103" s="300"/>
      <c r="H103" s="300"/>
      <c r="I103" s="300"/>
      <c r="J103" s="300"/>
      <c r="K103" s="300">
        <f t="shared" si="13"/>
        <v>70</v>
      </c>
      <c r="L103" s="334">
        <v>3901385.68</v>
      </c>
      <c r="M103" s="300">
        <v>70</v>
      </c>
      <c r="N103" s="300"/>
      <c r="O103" s="300"/>
      <c r="P103" s="300"/>
      <c r="Q103" s="300"/>
      <c r="R103" s="300"/>
      <c r="S103" s="300"/>
      <c r="T103" s="300"/>
      <c r="U103" s="300"/>
      <c r="V103" s="300">
        <f t="shared" si="12"/>
        <v>70</v>
      </c>
      <c r="W103" s="345">
        <f t="shared" si="10"/>
        <v>4096454.9640000002</v>
      </c>
    </row>
    <row r="104" spans="1:23">
      <c r="A104" s="313" t="s">
        <v>599</v>
      </c>
      <c r="B104" s="300">
        <v>24</v>
      </c>
      <c r="C104" s="300"/>
      <c r="D104" s="300"/>
      <c r="E104" s="300"/>
      <c r="F104" s="300"/>
      <c r="G104" s="300"/>
      <c r="H104" s="300"/>
      <c r="I104" s="300"/>
      <c r="J104" s="300"/>
      <c r="K104" s="300">
        <f t="shared" si="13"/>
        <v>24</v>
      </c>
      <c r="L104" s="334">
        <v>1107272.6399999999</v>
      </c>
      <c r="M104" s="300">
        <v>24</v>
      </c>
      <c r="N104" s="300"/>
      <c r="O104" s="300"/>
      <c r="P104" s="300"/>
      <c r="Q104" s="300"/>
      <c r="R104" s="300"/>
      <c r="S104" s="300"/>
      <c r="T104" s="300"/>
      <c r="U104" s="300"/>
      <c r="V104" s="300">
        <f t="shared" si="12"/>
        <v>24</v>
      </c>
      <c r="W104" s="345">
        <f t="shared" si="10"/>
        <v>1162636.2719999999</v>
      </c>
    </row>
    <row r="105" spans="1:23">
      <c r="A105" s="313" t="s">
        <v>600</v>
      </c>
      <c r="B105" s="300">
        <v>1</v>
      </c>
      <c r="C105" s="300"/>
      <c r="D105" s="300"/>
      <c r="E105" s="300"/>
      <c r="F105" s="300"/>
      <c r="G105" s="300"/>
      <c r="H105" s="300"/>
      <c r="I105" s="300"/>
      <c r="J105" s="300"/>
      <c r="K105" s="300">
        <f t="shared" si="13"/>
        <v>1</v>
      </c>
      <c r="L105" s="334">
        <v>57696.28</v>
      </c>
      <c r="M105" s="300">
        <v>1</v>
      </c>
      <c r="N105" s="300"/>
      <c r="O105" s="300"/>
      <c r="P105" s="300"/>
      <c r="Q105" s="300"/>
      <c r="R105" s="300"/>
      <c r="S105" s="300"/>
      <c r="T105" s="300"/>
      <c r="U105" s="300"/>
      <c r="V105" s="300">
        <f t="shared" si="12"/>
        <v>1</v>
      </c>
      <c r="W105" s="345">
        <f t="shared" si="10"/>
        <v>60581.093999999997</v>
      </c>
    </row>
    <row r="106" spans="1:23">
      <c r="A106" s="313" t="s">
        <v>601</v>
      </c>
      <c r="B106" s="300">
        <v>3</v>
      </c>
      <c r="C106" s="300"/>
      <c r="D106" s="300"/>
      <c r="E106" s="300"/>
      <c r="F106" s="300"/>
      <c r="G106" s="300"/>
      <c r="H106" s="300"/>
      <c r="I106" s="300"/>
      <c r="J106" s="300"/>
      <c r="K106" s="300">
        <f t="shared" si="13"/>
        <v>3</v>
      </c>
      <c r="L106" s="334">
        <v>131017.8</v>
      </c>
      <c r="M106" s="300">
        <v>3</v>
      </c>
      <c r="N106" s="300"/>
      <c r="O106" s="300"/>
      <c r="P106" s="300"/>
      <c r="Q106" s="300"/>
      <c r="R106" s="300"/>
      <c r="S106" s="300"/>
      <c r="T106" s="300"/>
      <c r="U106" s="300"/>
      <c r="V106" s="300">
        <f t="shared" si="12"/>
        <v>3</v>
      </c>
      <c r="W106" s="345">
        <f t="shared" si="10"/>
        <v>137568.69</v>
      </c>
    </row>
    <row r="107" spans="1:23">
      <c r="A107" s="313" t="s">
        <v>602</v>
      </c>
      <c r="B107" s="300">
        <v>21</v>
      </c>
      <c r="C107" s="300"/>
      <c r="D107" s="300"/>
      <c r="E107" s="300"/>
      <c r="F107" s="300"/>
      <c r="G107" s="300"/>
      <c r="H107" s="300"/>
      <c r="I107" s="300"/>
      <c r="J107" s="300"/>
      <c r="K107" s="300">
        <f t="shared" si="13"/>
        <v>21</v>
      </c>
      <c r="L107" s="334">
        <v>818322.72</v>
      </c>
      <c r="M107" s="300">
        <v>21</v>
      </c>
      <c r="N107" s="300"/>
      <c r="O107" s="300"/>
      <c r="P107" s="300"/>
      <c r="Q107" s="300"/>
      <c r="R107" s="300"/>
      <c r="S107" s="300"/>
      <c r="T107" s="300"/>
      <c r="U107" s="300"/>
      <c r="V107" s="300">
        <f t="shared" si="12"/>
        <v>21</v>
      </c>
      <c r="W107" s="345">
        <f t="shared" si="10"/>
        <v>859238.85599999991</v>
      </c>
    </row>
    <row r="108" spans="1:23">
      <c r="A108" s="313" t="s">
        <v>603</v>
      </c>
      <c r="B108" s="300">
        <v>29</v>
      </c>
      <c r="C108" s="300"/>
      <c r="D108" s="300"/>
      <c r="E108" s="300"/>
      <c r="F108" s="300"/>
      <c r="G108" s="300"/>
      <c r="H108" s="300"/>
      <c r="I108" s="300"/>
      <c r="J108" s="300"/>
      <c r="K108" s="300">
        <f t="shared" si="13"/>
        <v>29</v>
      </c>
      <c r="L108" s="334">
        <v>1036557.68</v>
      </c>
      <c r="M108" s="300">
        <v>29</v>
      </c>
      <c r="N108" s="300"/>
      <c r="O108" s="300"/>
      <c r="P108" s="300"/>
      <c r="Q108" s="300"/>
      <c r="R108" s="300"/>
      <c r="S108" s="300"/>
      <c r="T108" s="300"/>
      <c r="U108" s="300"/>
      <c r="V108" s="300">
        <f t="shared" si="12"/>
        <v>29</v>
      </c>
      <c r="W108" s="345">
        <f t="shared" si="10"/>
        <v>1088385.564</v>
      </c>
    </row>
    <row r="109" spans="1:23">
      <c r="A109" s="313" t="s">
        <v>604</v>
      </c>
      <c r="B109" s="300">
        <v>12</v>
      </c>
      <c r="C109" s="300"/>
      <c r="D109" s="300"/>
      <c r="E109" s="300"/>
      <c r="F109" s="300"/>
      <c r="G109" s="300"/>
      <c r="H109" s="300"/>
      <c r="I109" s="300"/>
      <c r="J109" s="300"/>
      <c r="K109" s="300">
        <f t="shared" si="13"/>
        <v>12</v>
      </c>
      <c r="L109" s="334">
        <v>388657.32</v>
      </c>
      <c r="M109" s="300">
        <v>12</v>
      </c>
      <c r="N109" s="300"/>
      <c r="O109" s="300"/>
      <c r="P109" s="300"/>
      <c r="Q109" s="300"/>
      <c r="R109" s="300"/>
      <c r="S109" s="300"/>
      <c r="T109" s="300"/>
      <c r="U109" s="300"/>
      <c r="V109" s="300">
        <f t="shared" si="12"/>
        <v>12</v>
      </c>
      <c r="W109" s="345">
        <f t="shared" si="10"/>
        <v>408090.18599999999</v>
      </c>
    </row>
    <row r="110" spans="1:23">
      <c r="A110" s="313" t="s">
        <v>605</v>
      </c>
      <c r="B110" s="300">
        <v>15</v>
      </c>
      <c r="C110" s="300"/>
      <c r="D110" s="300"/>
      <c r="E110" s="300"/>
      <c r="F110" s="300"/>
      <c r="G110" s="300"/>
      <c r="H110" s="300"/>
      <c r="I110" s="300"/>
      <c r="J110" s="300"/>
      <c r="K110" s="300">
        <f t="shared" si="13"/>
        <v>15</v>
      </c>
      <c r="L110" s="334">
        <v>826317</v>
      </c>
      <c r="M110" s="300">
        <v>15</v>
      </c>
      <c r="N110" s="300"/>
      <c r="O110" s="300"/>
      <c r="P110" s="300"/>
      <c r="Q110" s="300"/>
      <c r="R110" s="300"/>
      <c r="S110" s="300"/>
      <c r="T110" s="300"/>
      <c r="U110" s="300"/>
      <c r="V110" s="300">
        <f t="shared" si="12"/>
        <v>15</v>
      </c>
      <c r="W110" s="345">
        <f t="shared" si="10"/>
        <v>867632.85</v>
      </c>
    </row>
    <row r="111" spans="1:23">
      <c r="A111" s="313" t="s">
        <v>606</v>
      </c>
      <c r="B111" s="300">
        <v>113</v>
      </c>
      <c r="C111" s="300"/>
      <c r="D111" s="300"/>
      <c r="E111" s="300"/>
      <c r="F111" s="300"/>
      <c r="G111" s="300"/>
      <c r="H111" s="300"/>
      <c r="I111" s="300"/>
      <c r="J111" s="300"/>
      <c r="K111" s="300">
        <f t="shared" si="13"/>
        <v>113</v>
      </c>
      <c r="L111" s="334">
        <v>5303524.88</v>
      </c>
      <c r="M111" s="300">
        <v>113</v>
      </c>
      <c r="N111" s="300"/>
      <c r="O111" s="300"/>
      <c r="P111" s="300"/>
      <c r="Q111" s="300"/>
      <c r="R111" s="300"/>
      <c r="S111" s="300"/>
      <c r="T111" s="300"/>
      <c r="U111" s="300"/>
      <c r="V111" s="300">
        <f t="shared" si="12"/>
        <v>113</v>
      </c>
      <c r="W111" s="345">
        <f t="shared" si="10"/>
        <v>5568701.1239999998</v>
      </c>
    </row>
    <row r="112" spans="1:23">
      <c r="A112" s="313" t="s">
        <v>607</v>
      </c>
      <c r="B112" s="300">
        <v>467</v>
      </c>
      <c r="C112" s="300"/>
      <c r="D112" s="300"/>
      <c r="E112" s="300"/>
      <c r="F112" s="300"/>
      <c r="G112" s="300"/>
      <c r="H112" s="300"/>
      <c r="I112" s="300"/>
      <c r="J112" s="300"/>
      <c r="K112" s="300">
        <f t="shared" si="13"/>
        <v>467</v>
      </c>
      <c r="L112" s="334">
        <v>19011900.199999999</v>
      </c>
      <c r="M112" s="300">
        <v>467</v>
      </c>
      <c r="N112" s="300"/>
      <c r="O112" s="300"/>
      <c r="P112" s="300"/>
      <c r="Q112" s="300"/>
      <c r="R112" s="300"/>
      <c r="S112" s="300"/>
      <c r="T112" s="300"/>
      <c r="U112" s="300"/>
      <c r="V112" s="300">
        <f t="shared" si="12"/>
        <v>467</v>
      </c>
      <c r="W112" s="345">
        <f t="shared" si="10"/>
        <v>19962495.210000001</v>
      </c>
    </row>
    <row r="113" spans="1:23">
      <c r="A113" s="313" t="s">
        <v>608</v>
      </c>
      <c r="B113" s="300">
        <v>1381</v>
      </c>
      <c r="C113" s="300"/>
      <c r="D113" s="300"/>
      <c r="E113" s="300"/>
      <c r="F113" s="300"/>
      <c r="G113" s="300"/>
      <c r="H113" s="300"/>
      <c r="I113" s="300"/>
      <c r="J113" s="300"/>
      <c r="K113" s="300">
        <f t="shared" si="13"/>
        <v>1381</v>
      </c>
      <c r="L113" s="334">
        <v>51249446.439999998</v>
      </c>
      <c r="M113" s="300">
        <v>1381</v>
      </c>
      <c r="N113" s="300"/>
      <c r="O113" s="300"/>
      <c r="P113" s="300"/>
      <c r="Q113" s="300"/>
      <c r="R113" s="300"/>
      <c r="S113" s="300"/>
      <c r="T113" s="300"/>
      <c r="U113" s="300"/>
      <c r="V113" s="300">
        <f t="shared" si="12"/>
        <v>1381</v>
      </c>
      <c r="W113" s="345">
        <f t="shared" si="10"/>
        <v>53811918.761999995</v>
      </c>
    </row>
    <row r="114" spans="1:23">
      <c r="A114" s="313" t="s">
        <v>609</v>
      </c>
      <c r="B114" s="300">
        <v>1893</v>
      </c>
      <c r="C114" s="300"/>
      <c r="D114" s="300"/>
      <c r="E114" s="300"/>
      <c r="F114" s="300"/>
      <c r="G114" s="300"/>
      <c r="H114" s="300"/>
      <c r="I114" s="300"/>
      <c r="J114" s="300"/>
      <c r="K114" s="300">
        <f t="shared" si="13"/>
        <v>1893</v>
      </c>
      <c r="L114" s="334">
        <v>66022345.68</v>
      </c>
      <c r="M114" s="300">
        <v>1893</v>
      </c>
      <c r="N114" s="300"/>
      <c r="O114" s="300"/>
      <c r="P114" s="300"/>
      <c r="Q114" s="300"/>
      <c r="R114" s="300"/>
      <c r="S114" s="300"/>
      <c r="T114" s="300"/>
      <c r="U114" s="300"/>
      <c r="V114" s="300">
        <f t="shared" si="12"/>
        <v>1893</v>
      </c>
      <c r="W114" s="345">
        <f t="shared" si="10"/>
        <v>69323462.964000002</v>
      </c>
    </row>
    <row r="115" spans="1:23">
      <c r="A115" s="313" t="s">
        <v>610</v>
      </c>
      <c r="B115" s="300">
        <v>1211</v>
      </c>
      <c r="C115" s="300"/>
      <c r="D115" s="300"/>
      <c r="E115" s="300"/>
      <c r="F115" s="300"/>
      <c r="G115" s="300"/>
      <c r="H115" s="300"/>
      <c r="I115" s="300"/>
      <c r="J115" s="300"/>
      <c r="K115" s="300">
        <f t="shared" si="13"/>
        <v>1211</v>
      </c>
      <c r="L115" s="334">
        <v>37997669.600000001</v>
      </c>
      <c r="M115" s="300">
        <v>1211</v>
      </c>
      <c r="N115" s="300"/>
      <c r="O115" s="300"/>
      <c r="P115" s="300"/>
      <c r="Q115" s="300"/>
      <c r="R115" s="300"/>
      <c r="S115" s="300"/>
      <c r="T115" s="300"/>
      <c r="U115" s="300"/>
      <c r="V115" s="300">
        <f t="shared" si="12"/>
        <v>1211</v>
      </c>
      <c r="W115" s="345">
        <f t="shared" si="10"/>
        <v>39897553.079999998</v>
      </c>
    </row>
    <row r="116" spans="1:23">
      <c r="A116" s="313" t="s">
        <v>611</v>
      </c>
      <c r="B116" s="300">
        <v>2</v>
      </c>
      <c r="C116" s="300"/>
      <c r="D116" s="300"/>
      <c r="E116" s="300"/>
      <c r="F116" s="300"/>
      <c r="G116" s="300"/>
      <c r="H116" s="300"/>
      <c r="I116" s="300"/>
      <c r="J116" s="300"/>
      <c r="K116" s="300">
        <f t="shared" si="13"/>
        <v>2</v>
      </c>
      <c r="L116" s="334">
        <v>113020.4</v>
      </c>
      <c r="M116" s="300">
        <v>2</v>
      </c>
      <c r="N116" s="300"/>
      <c r="O116" s="300"/>
      <c r="P116" s="300"/>
      <c r="Q116" s="300"/>
      <c r="R116" s="300"/>
      <c r="S116" s="300"/>
      <c r="T116" s="300"/>
      <c r="U116" s="300"/>
      <c r="V116" s="300">
        <f t="shared" si="12"/>
        <v>2</v>
      </c>
      <c r="W116" s="345">
        <f t="shared" si="10"/>
        <v>118671.42</v>
      </c>
    </row>
    <row r="117" spans="1:23">
      <c r="A117" s="313" t="s">
        <v>612</v>
      </c>
      <c r="B117" s="300">
        <v>1</v>
      </c>
      <c r="C117" s="300"/>
      <c r="D117" s="300"/>
      <c r="E117" s="300"/>
      <c r="F117" s="300"/>
      <c r="G117" s="300"/>
      <c r="H117" s="300"/>
      <c r="I117" s="300"/>
      <c r="J117" s="300"/>
      <c r="K117" s="300">
        <f t="shared" si="13"/>
        <v>1</v>
      </c>
      <c r="L117" s="334">
        <v>83653.600000000006</v>
      </c>
      <c r="M117" s="300">
        <v>1</v>
      </c>
      <c r="N117" s="300"/>
      <c r="O117" s="300"/>
      <c r="P117" s="300"/>
      <c r="Q117" s="300"/>
      <c r="R117" s="300"/>
      <c r="S117" s="300"/>
      <c r="T117" s="300"/>
      <c r="U117" s="300"/>
      <c r="V117" s="300">
        <f t="shared" si="12"/>
        <v>1</v>
      </c>
      <c r="W117" s="345">
        <f t="shared" si="10"/>
        <v>87836.28</v>
      </c>
    </row>
    <row r="118" spans="1:23">
      <c r="A118" s="315" t="s">
        <v>613</v>
      </c>
      <c r="B118" s="303"/>
      <c r="C118" s="303"/>
      <c r="D118" s="303"/>
      <c r="E118" s="303"/>
      <c r="F118" s="303"/>
      <c r="G118" s="303"/>
      <c r="H118" s="303"/>
      <c r="I118" s="303"/>
      <c r="J118" s="303"/>
      <c r="K118" s="303"/>
      <c r="L118" s="303"/>
      <c r="M118" s="303"/>
      <c r="N118" s="303"/>
      <c r="O118" s="303"/>
      <c r="P118" s="303"/>
      <c r="Q118" s="303"/>
      <c r="R118" s="303"/>
      <c r="S118" s="303"/>
      <c r="T118" s="303"/>
      <c r="U118" s="303"/>
      <c r="V118" s="303"/>
      <c r="W118" s="303"/>
    </row>
    <row r="119" spans="1:23">
      <c r="A119" s="313" t="s">
        <v>614</v>
      </c>
      <c r="B119" s="300">
        <v>3</v>
      </c>
      <c r="C119" s="300"/>
      <c r="D119" s="300"/>
      <c r="E119" s="300"/>
      <c r="F119" s="300"/>
      <c r="G119" s="300"/>
      <c r="H119" s="300"/>
      <c r="I119" s="300"/>
      <c r="J119" s="300"/>
      <c r="K119" s="300">
        <f t="shared" si="13"/>
        <v>3</v>
      </c>
      <c r="L119" s="334">
        <v>118663.56</v>
      </c>
      <c r="M119" s="300">
        <v>3</v>
      </c>
      <c r="N119" s="300"/>
      <c r="O119" s="300"/>
      <c r="P119" s="300"/>
      <c r="Q119" s="300"/>
      <c r="R119" s="300"/>
      <c r="S119" s="300"/>
      <c r="T119" s="300"/>
      <c r="U119" s="300"/>
      <c r="V119" s="300">
        <f t="shared" si="12"/>
        <v>3</v>
      </c>
      <c r="W119" s="345">
        <f t="shared" si="10"/>
        <v>124596.738</v>
      </c>
    </row>
    <row r="120" spans="1:23">
      <c r="A120" s="313" t="s">
        <v>615</v>
      </c>
      <c r="B120" s="300">
        <v>2335</v>
      </c>
      <c r="C120" s="300"/>
      <c r="D120" s="300"/>
      <c r="E120" s="300"/>
      <c r="F120" s="300"/>
      <c r="G120" s="300"/>
      <c r="H120" s="300"/>
      <c r="I120" s="300"/>
      <c r="J120" s="300"/>
      <c r="K120" s="300">
        <f t="shared" si="13"/>
        <v>2335</v>
      </c>
      <c r="L120" s="334">
        <v>77416933.200000003</v>
      </c>
      <c r="M120" s="300">
        <v>2335</v>
      </c>
      <c r="N120" s="300"/>
      <c r="O120" s="300"/>
      <c r="P120" s="300"/>
      <c r="Q120" s="300"/>
      <c r="R120" s="300"/>
      <c r="S120" s="300"/>
      <c r="T120" s="300"/>
      <c r="U120" s="300"/>
      <c r="V120" s="300">
        <f t="shared" si="12"/>
        <v>2335</v>
      </c>
      <c r="W120" s="345">
        <f t="shared" si="10"/>
        <v>81287779.859999999</v>
      </c>
    </row>
    <row r="121" spans="1:23">
      <c r="A121" s="315" t="s">
        <v>616</v>
      </c>
      <c r="B121" s="303"/>
      <c r="C121" s="303"/>
      <c r="D121" s="303"/>
      <c r="E121" s="303"/>
      <c r="F121" s="303"/>
      <c r="G121" s="303"/>
      <c r="H121" s="303"/>
      <c r="I121" s="303"/>
      <c r="J121" s="303"/>
      <c r="K121" s="303"/>
      <c r="L121" s="303"/>
      <c r="M121" s="303"/>
      <c r="N121" s="303"/>
      <c r="O121" s="303"/>
      <c r="P121" s="303"/>
      <c r="Q121" s="303"/>
      <c r="R121" s="303"/>
      <c r="S121" s="303"/>
      <c r="T121" s="303"/>
      <c r="U121" s="303"/>
      <c r="V121" s="303"/>
      <c r="W121" s="303"/>
    </row>
    <row r="122" spans="1:23">
      <c r="A122" s="313" t="s">
        <v>617</v>
      </c>
      <c r="B122" s="300">
        <v>646</v>
      </c>
      <c r="C122" s="300"/>
      <c r="D122" s="300"/>
      <c r="E122" s="300"/>
      <c r="F122" s="300"/>
      <c r="G122" s="300"/>
      <c r="H122" s="300"/>
      <c r="I122" s="300"/>
      <c r="J122" s="300"/>
      <c r="K122" s="300">
        <f t="shared" si="13"/>
        <v>646</v>
      </c>
      <c r="L122" s="334">
        <v>12380442.4</v>
      </c>
      <c r="M122" s="300">
        <v>646</v>
      </c>
      <c r="N122" s="300"/>
      <c r="O122" s="300"/>
      <c r="P122" s="300"/>
      <c r="Q122" s="300"/>
      <c r="R122" s="300"/>
      <c r="S122" s="300"/>
      <c r="T122" s="300"/>
      <c r="U122" s="300"/>
      <c r="V122" s="300">
        <f t="shared" si="12"/>
        <v>646</v>
      </c>
      <c r="W122" s="345">
        <f t="shared" si="10"/>
        <v>12999464.52</v>
      </c>
    </row>
    <row r="123" spans="1:23">
      <c r="A123" s="315" t="s">
        <v>618</v>
      </c>
      <c r="B123" s="303"/>
      <c r="C123" s="303"/>
      <c r="D123" s="303"/>
      <c r="E123" s="303"/>
      <c r="F123" s="303"/>
      <c r="G123" s="303"/>
      <c r="H123" s="303"/>
      <c r="I123" s="303"/>
      <c r="J123" s="303"/>
      <c r="K123" s="303"/>
      <c r="L123" s="303"/>
      <c r="M123" s="303"/>
      <c r="N123" s="303"/>
      <c r="O123" s="303"/>
      <c r="P123" s="303"/>
      <c r="Q123" s="303"/>
      <c r="R123" s="303"/>
      <c r="S123" s="303"/>
      <c r="T123" s="303"/>
      <c r="U123" s="303"/>
      <c r="V123" s="303"/>
      <c r="W123" s="303"/>
    </row>
    <row r="124" spans="1:23">
      <c r="A124" s="313" t="s">
        <v>597</v>
      </c>
      <c r="B124" s="300">
        <v>59</v>
      </c>
      <c r="C124" s="300"/>
      <c r="D124" s="300"/>
      <c r="E124" s="300"/>
      <c r="F124" s="300"/>
      <c r="G124" s="300"/>
      <c r="H124" s="300"/>
      <c r="I124" s="300"/>
      <c r="J124" s="300"/>
      <c r="K124" s="300">
        <f t="shared" si="13"/>
        <v>59</v>
      </c>
      <c r="L124" s="334">
        <v>3130863.32</v>
      </c>
      <c r="M124" s="300">
        <v>59</v>
      </c>
      <c r="N124" s="300"/>
      <c r="O124" s="300"/>
      <c r="P124" s="300"/>
      <c r="Q124" s="300"/>
      <c r="R124" s="300"/>
      <c r="S124" s="300"/>
      <c r="T124" s="300"/>
      <c r="U124" s="300"/>
      <c r="V124" s="300">
        <f t="shared" si="12"/>
        <v>59</v>
      </c>
      <c r="W124" s="345">
        <f t="shared" si="10"/>
        <v>3287406.486</v>
      </c>
    </row>
    <row r="125" spans="1:23">
      <c r="A125" s="313" t="s">
        <v>598</v>
      </c>
      <c r="B125" s="300">
        <v>51</v>
      </c>
      <c r="C125" s="300"/>
      <c r="D125" s="300"/>
      <c r="E125" s="300"/>
      <c r="F125" s="300"/>
      <c r="G125" s="300"/>
      <c r="H125" s="300"/>
      <c r="I125" s="300"/>
      <c r="J125" s="300"/>
      <c r="K125" s="300">
        <f t="shared" si="13"/>
        <v>51</v>
      </c>
      <c r="L125" s="334">
        <v>2041307.16</v>
      </c>
      <c r="M125" s="300">
        <v>51</v>
      </c>
      <c r="N125" s="300"/>
      <c r="O125" s="300"/>
      <c r="P125" s="300"/>
      <c r="Q125" s="300"/>
      <c r="R125" s="300"/>
      <c r="S125" s="300"/>
      <c r="T125" s="300"/>
      <c r="U125" s="300"/>
      <c r="V125" s="300">
        <f t="shared" si="12"/>
        <v>51</v>
      </c>
      <c r="W125" s="345">
        <f t="shared" si="10"/>
        <v>2143372.5180000002</v>
      </c>
    </row>
    <row r="126" spans="1:23">
      <c r="A126" s="313" t="s">
        <v>599</v>
      </c>
      <c r="B126" s="300">
        <v>103</v>
      </c>
      <c r="C126" s="300"/>
      <c r="D126" s="300"/>
      <c r="E126" s="300"/>
      <c r="F126" s="300"/>
      <c r="G126" s="300"/>
      <c r="H126" s="300"/>
      <c r="I126" s="300"/>
      <c r="J126" s="300"/>
      <c r="K126" s="300">
        <f t="shared" si="13"/>
        <v>103</v>
      </c>
      <c r="L126" s="334">
        <v>3668434.6</v>
      </c>
      <c r="M126" s="300">
        <v>103</v>
      </c>
      <c r="N126" s="300"/>
      <c r="O126" s="300"/>
      <c r="P126" s="300"/>
      <c r="Q126" s="300"/>
      <c r="R126" s="300"/>
      <c r="S126" s="300"/>
      <c r="T126" s="300"/>
      <c r="U126" s="300"/>
      <c r="V126" s="300">
        <f t="shared" si="12"/>
        <v>103</v>
      </c>
      <c r="W126" s="345">
        <f t="shared" si="10"/>
        <v>3851856.33</v>
      </c>
    </row>
    <row r="127" spans="1:23">
      <c r="A127" s="315" t="s">
        <v>619</v>
      </c>
      <c r="B127" s="303"/>
      <c r="C127" s="303"/>
      <c r="D127" s="303"/>
      <c r="E127" s="303"/>
      <c r="F127" s="303"/>
      <c r="G127" s="303"/>
      <c r="H127" s="303"/>
      <c r="I127" s="303"/>
      <c r="J127" s="303"/>
      <c r="K127" s="303"/>
      <c r="L127" s="303"/>
      <c r="M127" s="303"/>
      <c r="N127" s="303"/>
      <c r="O127" s="303"/>
      <c r="P127" s="303"/>
      <c r="Q127" s="303"/>
      <c r="R127" s="303"/>
      <c r="S127" s="303"/>
      <c r="T127" s="303"/>
      <c r="U127" s="303"/>
      <c r="V127" s="303"/>
      <c r="W127" s="303"/>
    </row>
    <row r="128" spans="1:23">
      <c r="A128" s="313" t="s">
        <v>620</v>
      </c>
      <c r="B128" s="300"/>
      <c r="C128" s="300"/>
      <c r="D128" s="300">
        <v>80</v>
      </c>
      <c r="E128" s="300"/>
      <c r="F128" s="300"/>
      <c r="G128" s="300"/>
      <c r="H128" s="300"/>
      <c r="I128" s="300"/>
      <c r="J128" s="300"/>
      <c r="K128" s="300">
        <f t="shared" si="13"/>
        <v>80</v>
      </c>
      <c r="L128" s="334">
        <v>2631876.6</v>
      </c>
      <c r="M128" s="300"/>
      <c r="N128" s="300"/>
      <c r="O128" s="300">
        <v>80</v>
      </c>
      <c r="P128" s="300"/>
      <c r="Q128" s="300"/>
      <c r="R128" s="300"/>
      <c r="S128" s="300"/>
      <c r="T128" s="300"/>
      <c r="U128" s="300"/>
      <c r="V128" s="300">
        <f t="shared" si="12"/>
        <v>80</v>
      </c>
      <c r="W128" s="345">
        <f t="shared" si="10"/>
        <v>2763470.43</v>
      </c>
    </row>
    <row r="129" spans="1:23">
      <c r="A129" s="313" t="s">
        <v>621</v>
      </c>
      <c r="B129" s="300"/>
      <c r="C129" s="300"/>
      <c r="D129" s="300">
        <v>301</v>
      </c>
      <c r="E129" s="300"/>
      <c r="F129" s="300"/>
      <c r="G129" s="300"/>
      <c r="H129" s="300"/>
      <c r="I129" s="300"/>
      <c r="J129" s="300"/>
      <c r="K129" s="300">
        <f t="shared" si="13"/>
        <v>301</v>
      </c>
      <c r="L129" s="334">
        <v>9485581.8000000007</v>
      </c>
      <c r="M129" s="300"/>
      <c r="N129" s="300"/>
      <c r="O129" s="300">
        <v>301</v>
      </c>
      <c r="P129" s="300"/>
      <c r="Q129" s="300"/>
      <c r="R129" s="300"/>
      <c r="S129" s="300"/>
      <c r="T129" s="300"/>
      <c r="U129" s="300"/>
      <c r="V129" s="300">
        <f t="shared" si="12"/>
        <v>301</v>
      </c>
      <c r="W129" s="345">
        <f t="shared" si="10"/>
        <v>9959860.8900000006</v>
      </c>
    </row>
    <row r="130" spans="1:23" ht="15.75" thickBot="1">
      <c r="A130" s="313" t="s">
        <v>622</v>
      </c>
      <c r="B130" s="300"/>
      <c r="C130" s="300"/>
      <c r="D130" s="300">
        <v>4</v>
      </c>
      <c r="E130" s="300"/>
      <c r="F130" s="300"/>
      <c r="G130" s="300"/>
      <c r="H130" s="300"/>
      <c r="I130" s="300"/>
      <c r="J130" s="300"/>
      <c r="K130" s="300">
        <f t="shared" si="13"/>
        <v>4</v>
      </c>
      <c r="L130" s="334">
        <v>140359.20000000001</v>
      </c>
      <c r="M130" s="300"/>
      <c r="N130" s="300"/>
      <c r="O130" s="300">
        <v>4</v>
      </c>
      <c r="P130" s="300"/>
      <c r="Q130" s="300"/>
      <c r="R130" s="300"/>
      <c r="S130" s="300"/>
      <c r="T130" s="300"/>
      <c r="U130" s="300"/>
      <c r="V130" s="300">
        <f t="shared" si="12"/>
        <v>4</v>
      </c>
      <c r="W130" s="345">
        <f t="shared" si="10"/>
        <v>147377.16</v>
      </c>
    </row>
    <row r="131" spans="1:23" ht="15.75" thickBot="1">
      <c r="A131" s="318" t="s">
        <v>573</v>
      </c>
      <c r="B131" s="346">
        <f>SUM(B67:B130)</f>
        <v>10600</v>
      </c>
      <c r="C131" s="346"/>
      <c r="D131" s="346">
        <f>SUM(D67:D130)</f>
        <v>385</v>
      </c>
      <c r="E131" s="346"/>
      <c r="F131" s="346"/>
      <c r="G131" s="346"/>
      <c r="H131" s="346"/>
      <c r="I131" s="346"/>
      <c r="J131" s="346"/>
      <c r="K131" s="346">
        <f>SUM(K67:K130)</f>
        <v>10985</v>
      </c>
      <c r="L131" s="347">
        <f>SUM(L68:L130)</f>
        <v>381694476.08000004</v>
      </c>
      <c r="M131" s="346">
        <f>SUM(M67:M130)</f>
        <v>10600</v>
      </c>
      <c r="N131" s="346"/>
      <c r="O131" s="346">
        <f>SUM(O67:O130)</f>
        <v>385</v>
      </c>
      <c r="P131" s="346"/>
      <c r="Q131" s="346"/>
      <c r="R131" s="346"/>
      <c r="S131" s="346"/>
      <c r="T131" s="346"/>
      <c r="U131" s="346"/>
      <c r="V131" s="346">
        <f>SUM(V67:V130)</f>
        <v>10985</v>
      </c>
      <c r="W131" s="347">
        <f>SUM(W68:W130)</f>
        <v>400779199.88399994</v>
      </c>
    </row>
    <row r="132" spans="1:23">
      <c r="A132" s="304" t="s">
        <v>574</v>
      </c>
      <c r="B132" s="215"/>
      <c r="C132" s="215"/>
      <c r="D132" s="215"/>
      <c r="E132" s="215"/>
      <c r="F132" s="215"/>
      <c r="G132" s="215"/>
      <c r="H132" s="215"/>
      <c r="I132" s="215"/>
      <c r="J132" s="215"/>
      <c r="K132" s="215"/>
      <c r="L132" s="215"/>
      <c r="M132" s="215"/>
      <c r="N132" s="215"/>
      <c r="O132" s="215"/>
      <c r="P132" s="295"/>
      <c r="Q132" s="305"/>
      <c r="R132" s="34"/>
      <c r="S132" s="34"/>
      <c r="T132" s="295"/>
      <c r="U132" s="295"/>
      <c r="V132" s="295"/>
      <c r="W132" s="295"/>
    </row>
    <row r="133" spans="1:23">
      <c r="A133" s="300" t="s">
        <v>575</v>
      </c>
      <c r="B133" s="300"/>
      <c r="C133" s="300"/>
      <c r="D133" s="300"/>
      <c r="E133" s="300"/>
      <c r="F133" s="300"/>
      <c r="G133" s="300"/>
      <c r="H133" s="300"/>
      <c r="I133" s="300"/>
      <c r="J133" s="300"/>
      <c r="K133" s="300"/>
      <c r="L133" s="300"/>
      <c r="M133" s="300"/>
      <c r="N133" s="300"/>
      <c r="O133" s="300"/>
      <c r="P133" s="295"/>
      <c r="Q133" s="305"/>
      <c r="R133" s="34"/>
      <c r="S133" s="34"/>
      <c r="T133" s="34"/>
      <c r="U133" s="34"/>
      <c r="V133" s="295"/>
      <c r="W133" s="295"/>
    </row>
    <row r="137" spans="1:23" ht="15.75">
      <c r="A137" s="296" t="s">
        <v>535</v>
      </c>
      <c r="B137" s="297"/>
      <c r="C137" s="297"/>
      <c r="D137" s="297"/>
      <c r="E137" s="297"/>
      <c r="F137" s="297"/>
      <c r="G137" s="297"/>
      <c r="H137" s="297"/>
      <c r="I137" s="297"/>
      <c r="J137" s="297"/>
      <c r="K137" s="297"/>
      <c r="L137" s="297"/>
      <c r="M137" s="297"/>
      <c r="N137" s="297"/>
      <c r="O137" s="297"/>
      <c r="P137" s="297"/>
      <c r="Q137" s="297"/>
      <c r="R137" s="297"/>
      <c r="S137" s="297"/>
      <c r="T137" s="297"/>
      <c r="U137" s="297"/>
      <c r="V137" s="297"/>
      <c r="W137" s="297"/>
    </row>
    <row r="138" spans="1:23" ht="15.75">
      <c r="A138" s="35" t="s">
        <v>456</v>
      </c>
      <c r="B138" s="128"/>
      <c r="C138" s="128"/>
      <c r="D138" s="297"/>
      <c r="E138" s="297"/>
      <c r="F138" s="297"/>
      <c r="G138" s="297"/>
      <c r="H138" s="297"/>
      <c r="I138" s="297"/>
      <c r="J138" s="297"/>
      <c r="K138" s="297"/>
      <c r="L138" s="297"/>
      <c r="M138" s="297"/>
      <c r="N138" s="297"/>
      <c r="O138" s="297"/>
      <c r="P138" s="297"/>
      <c r="Q138" s="297"/>
      <c r="R138" s="297"/>
      <c r="S138" s="297"/>
      <c r="T138" s="297"/>
      <c r="U138" s="297"/>
      <c r="V138" s="297"/>
      <c r="W138" s="297"/>
    </row>
    <row r="139" spans="1:23" ht="15.75">
      <c r="A139" s="35" t="s">
        <v>457</v>
      </c>
      <c r="B139" s="35"/>
      <c r="C139" s="35"/>
      <c r="D139" s="299"/>
      <c r="E139" s="299"/>
      <c r="F139" s="299"/>
      <c r="G139" s="299"/>
      <c r="H139" s="299"/>
      <c r="I139" s="299"/>
      <c r="J139" s="299"/>
      <c r="K139" s="299"/>
      <c r="L139" s="299"/>
      <c r="M139" s="299"/>
      <c r="N139" s="299"/>
      <c r="O139" s="299"/>
      <c r="P139" s="299"/>
      <c r="Q139" s="299"/>
      <c r="R139" s="299"/>
      <c r="S139" s="299"/>
      <c r="T139" s="299"/>
      <c r="U139" s="299"/>
      <c r="V139" s="299"/>
      <c r="W139" s="299"/>
    </row>
    <row r="140" spans="1:23" ht="15.75" thickBot="1">
      <c r="A140" s="300"/>
      <c r="B140" s="300"/>
      <c r="C140" s="300"/>
      <c r="D140" s="300"/>
      <c r="E140" s="300"/>
      <c r="F140" s="300"/>
      <c r="G140" s="300"/>
      <c r="H140" s="300"/>
      <c r="I140" s="300"/>
      <c r="J140" s="300"/>
      <c r="K140" s="300"/>
      <c r="L140" s="301"/>
      <c r="M140" s="300"/>
      <c r="N140" s="300"/>
      <c r="O140" s="300"/>
      <c r="P140" s="300"/>
      <c r="Q140" s="300"/>
      <c r="R140" s="300"/>
      <c r="S140" s="300"/>
      <c r="T140" s="300"/>
      <c r="U140" s="300"/>
      <c r="V140" s="300"/>
      <c r="W140" s="301"/>
    </row>
    <row r="141" spans="1:23">
      <c r="A141" s="348" t="s">
        <v>538</v>
      </c>
      <c r="B141" s="1324" t="s">
        <v>539</v>
      </c>
      <c r="C141" s="1325"/>
      <c r="D141" s="1325"/>
      <c r="E141" s="1325"/>
      <c r="F141" s="1325"/>
      <c r="G141" s="1325"/>
      <c r="H141" s="1325"/>
      <c r="I141" s="1325"/>
      <c r="J141" s="1325"/>
      <c r="K141" s="1325"/>
      <c r="L141" s="1326"/>
      <c r="M141" s="1324" t="s">
        <v>540</v>
      </c>
      <c r="N141" s="1325"/>
      <c r="O141" s="1325"/>
      <c r="P141" s="1325"/>
      <c r="Q141" s="1325"/>
      <c r="R141" s="1325"/>
      <c r="S141" s="1325"/>
      <c r="T141" s="1325"/>
      <c r="U141" s="1325"/>
      <c r="V141" s="1325"/>
      <c r="W141" s="1326"/>
    </row>
    <row r="142" spans="1:23" ht="60.75">
      <c r="A142" s="349" t="s">
        <v>541</v>
      </c>
      <c r="B142" s="350" t="s">
        <v>542</v>
      </c>
      <c r="C142" s="350" t="s">
        <v>543</v>
      </c>
      <c r="D142" s="351" t="s">
        <v>544</v>
      </c>
      <c r="E142" s="351" t="s">
        <v>545</v>
      </c>
      <c r="F142" s="351" t="s">
        <v>546</v>
      </c>
      <c r="G142" s="351" t="s">
        <v>547</v>
      </c>
      <c r="H142" s="351" t="s">
        <v>548</v>
      </c>
      <c r="I142" s="351" t="s">
        <v>549</v>
      </c>
      <c r="J142" s="352" t="s">
        <v>550</v>
      </c>
      <c r="K142" s="353" t="s">
        <v>551</v>
      </c>
      <c r="L142" s="354" t="s">
        <v>552</v>
      </c>
      <c r="M142" s="355" t="s">
        <v>542</v>
      </c>
      <c r="N142" s="355" t="s">
        <v>543</v>
      </c>
      <c r="O142" s="356" t="s">
        <v>544</v>
      </c>
      <c r="P142" s="356" t="s">
        <v>545</v>
      </c>
      <c r="Q142" s="356" t="s">
        <v>546</v>
      </c>
      <c r="R142" s="356" t="s">
        <v>547</v>
      </c>
      <c r="S142" s="356" t="s">
        <v>548</v>
      </c>
      <c r="T142" s="356" t="s">
        <v>549</v>
      </c>
      <c r="U142" s="357" t="s">
        <v>550</v>
      </c>
      <c r="V142" s="358" t="s">
        <v>551</v>
      </c>
      <c r="W142" s="359" t="s">
        <v>553</v>
      </c>
    </row>
    <row r="143" spans="1:23">
      <c r="A143" s="300"/>
      <c r="B143" s="300"/>
      <c r="C143" s="300"/>
      <c r="D143" s="300"/>
      <c r="E143" s="300"/>
      <c r="F143" s="300"/>
      <c r="G143" s="300"/>
      <c r="H143" s="300"/>
      <c r="I143" s="300"/>
      <c r="J143" s="300"/>
      <c r="K143" s="300"/>
      <c r="L143" s="314"/>
      <c r="M143" s="300"/>
      <c r="N143" s="300"/>
      <c r="O143" s="300"/>
      <c r="P143" s="300"/>
      <c r="Q143" s="300"/>
      <c r="R143" s="300"/>
      <c r="S143" s="300"/>
      <c r="T143" s="300"/>
      <c r="U143" s="300"/>
      <c r="V143" s="300"/>
      <c r="W143" s="314"/>
    </row>
    <row r="144" spans="1:23">
      <c r="A144" s="315" t="s">
        <v>554</v>
      </c>
      <c r="B144" s="360">
        <f>SUM(B145:B147)</f>
        <v>5</v>
      </c>
      <c r="C144" s="360"/>
      <c r="D144" s="360">
        <f>SUM(D145:D147)</f>
        <v>0</v>
      </c>
      <c r="E144" s="303"/>
      <c r="F144" s="303"/>
      <c r="G144" s="303"/>
      <c r="H144" s="303"/>
      <c r="I144" s="303"/>
      <c r="J144" s="303"/>
      <c r="K144" s="303">
        <v>187504.56</v>
      </c>
      <c r="L144" s="316">
        <f>+K144*2</f>
        <v>375009.12</v>
      </c>
      <c r="M144" s="360">
        <f>SUM(M145:M147)</f>
        <v>5</v>
      </c>
      <c r="N144" s="360"/>
      <c r="O144" s="360">
        <f>SUM(O145:O147)</f>
        <v>0</v>
      </c>
      <c r="P144" s="303"/>
      <c r="Q144" s="303"/>
      <c r="R144" s="303"/>
      <c r="S144" s="303"/>
      <c r="T144" s="303"/>
      <c r="U144" s="303"/>
      <c r="V144" s="303">
        <v>187504.56</v>
      </c>
      <c r="W144" s="316">
        <f>+V144*2</f>
        <v>375009.12</v>
      </c>
    </row>
    <row r="145" spans="1:23">
      <c r="A145" s="313" t="s">
        <v>557</v>
      </c>
      <c r="B145" s="361">
        <v>2</v>
      </c>
      <c r="C145" s="362"/>
      <c r="D145" s="362"/>
      <c r="E145" s="300"/>
      <c r="F145" s="300"/>
      <c r="G145" s="300"/>
      <c r="H145" s="300"/>
      <c r="I145" s="300"/>
      <c r="J145" s="300"/>
      <c r="K145" s="300">
        <v>118257.09</v>
      </c>
      <c r="L145" s="314">
        <f>+K145*2</f>
        <v>236514.18</v>
      </c>
      <c r="M145" s="361">
        <v>2</v>
      </c>
      <c r="N145" s="362"/>
      <c r="O145" s="362"/>
      <c r="P145" s="300"/>
      <c r="Q145" s="300"/>
      <c r="R145" s="300"/>
      <c r="S145" s="300"/>
      <c r="T145" s="300"/>
      <c r="U145" s="300"/>
      <c r="V145" s="300">
        <v>118257.09</v>
      </c>
      <c r="W145" s="314">
        <f>+V145*2</f>
        <v>236514.18</v>
      </c>
    </row>
    <row r="146" spans="1:23">
      <c r="A146" s="313" t="s">
        <v>558</v>
      </c>
      <c r="B146" s="361">
        <v>1</v>
      </c>
      <c r="C146" s="362"/>
      <c r="D146" s="362"/>
      <c r="E146" s="300"/>
      <c r="F146" s="300"/>
      <c r="G146" s="300"/>
      <c r="H146" s="300"/>
      <c r="I146" s="300"/>
      <c r="J146" s="300"/>
      <c r="K146" s="300">
        <v>23442.93</v>
      </c>
      <c r="L146" s="314">
        <f t="shared" ref="L146:L147" si="14">+K146*2</f>
        <v>46885.86</v>
      </c>
      <c r="M146" s="361">
        <v>1</v>
      </c>
      <c r="N146" s="362"/>
      <c r="O146" s="362"/>
      <c r="P146" s="300"/>
      <c r="Q146" s="300"/>
      <c r="R146" s="300"/>
      <c r="S146" s="300"/>
      <c r="T146" s="300"/>
      <c r="U146" s="300"/>
      <c r="V146" s="300">
        <v>23442.93</v>
      </c>
      <c r="W146" s="314">
        <f t="shared" ref="W146:W147" si="15">+V146*2</f>
        <v>46885.86</v>
      </c>
    </row>
    <row r="147" spans="1:23">
      <c r="A147" s="313" t="s">
        <v>560</v>
      </c>
      <c r="B147" s="361">
        <v>2</v>
      </c>
      <c r="C147" s="362"/>
      <c r="D147" s="362"/>
      <c r="E147" s="300"/>
      <c r="F147" s="300"/>
      <c r="G147" s="300"/>
      <c r="H147" s="300"/>
      <c r="I147" s="300"/>
      <c r="J147" s="300"/>
      <c r="K147" s="300">
        <v>45804.54</v>
      </c>
      <c r="L147" s="314">
        <f t="shared" si="14"/>
        <v>91609.08</v>
      </c>
      <c r="M147" s="361">
        <v>2</v>
      </c>
      <c r="N147" s="362"/>
      <c r="O147" s="362"/>
      <c r="P147" s="300"/>
      <c r="Q147" s="300"/>
      <c r="R147" s="300"/>
      <c r="S147" s="300"/>
      <c r="T147" s="300"/>
      <c r="U147" s="300"/>
      <c r="V147" s="300">
        <v>45804.54</v>
      </c>
      <c r="W147" s="314">
        <f t="shared" si="15"/>
        <v>91609.08</v>
      </c>
    </row>
    <row r="148" spans="1:23">
      <c r="A148" s="315" t="s">
        <v>561</v>
      </c>
      <c r="B148" s="360">
        <f>SUM(B149:B151)</f>
        <v>10</v>
      </c>
      <c r="C148" s="360"/>
      <c r="D148" s="360">
        <v>5</v>
      </c>
      <c r="E148" s="303"/>
      <c r="F148" s="303"/>
      <c r="G148" s="303"/>
      <c r="H148" s="303"/>
      <c r="I148" s="303"/>
      <c r="J148" s="303"/>
      <c r="K148" s="303">
        <v>297704.11</v>
      </c>
      <c r="L148" s="316">
        <f>+K148*2</f>
        <v>595408.22</v>
      </c>
      <c r="M148" s="360">
        <f>SUM(M149:M151)</f>
        <v>10</v>
      </c>
      <c r="N148" s="360"/>
      <c r="O148" s="360">
        <v>5</v>
      </c>
      <c r="P148" s="303"/>
      <c r="Q148" s="303"/>
      <c r="R148" s="303"/>
      <c r="S148" s="303"/>
      <c r="T148" s="303"/>
      <c r="U148" s="303"/>
      <c r="V148" s="303">
        <v>297704.11</v>
      </c>
      <c r="W148" s="316">
        <f>+V148*2</f>
        <v>595408.22</v>
      </c>
    </row>
    <row r="149" spans="1:23">
      <c r="A149" s="313" t="s">
        <v>580</v>
      </c>
      <c r="B149" s="361">
        <v>1</v>
      </c>
      <c r="C149" s="362"/>
      <c r="D149" s="362"/>
      <c r="E149" s="300"/>
      <c r="F149" s="300"/>
      <c r="G149" s="300"/>
      <c r="H149" s="300"/>
      <c r="I149" s="300"/>
      <c r="J149" s="300"/>
      <c r="K149" s="300">
        <v>22742.42</v>
      </c>
      <c r="L149" s="314">
        <f>+K149*2</f>
        <v>45484.84</v>
      </c>
      <c r="M149" s="361">
        <v>1</v>
      </c>
      <c r="N149" s="362"/>
      <c r="O149" s="362"/>
      <c r="P149" s="300"/>
      <c r="Q149" s="300"/>
      <c r="R149" s="300"/>
      <c r="S149" s="300"/>
      <c r="T149" s="300"/>
      <c r="U149" s="300"/>
      <c r="V149" s="300">
        <v>22742.42</v>
      </c>
      <c r="W149" s="314">
        <f>+V149*2</f>
        <v>45484.84</v>
      </c>
    </row>
    <row r="150" spans="1:23">
      <c r="A150" s="313" t="s">
        <v>623</v>
      </c>
      <c r="B150" s="361">
        <v>6</v>
      </c>
      <c r="C150" s="362"/>
      <c r="D150" s="362"/>
      <c r="E150" s="300"/>
      <c r="F150" s="300"/>
      <c r="G150" s="300"/>
      <c r="H150" s="300"/>
      <c r="I150" s="300"/>
      <c r="J150" s="300"/>
      <c r="K150" s="300">
        <v>134260.49000000002</v>
      </c>
      <c r="L150" s="314">
        <f t="shared" ref="L150:L151" si="16">+K150*2</f>
        <v>268520.98000000004</v>
      </c>
      <c r="M150" s="361">
        <v>6</v>
      </c>
      <c r="N150" s="362"/>
      <c r="O150" s="362"/>
      <c r="P150" s="300"/>
      <c r="Q150" s="300"/>
      <c r="R150" s="300"/>
      <c r="S150" s="300"/>
      <c r="T150" s="300"/>
      <c r="U150" s="300"/>
      <c r="V150" s="300">
        <v>134260.49000000002</v>
      </c>
      <c r="W150" s="314">
        <f t="shared" ref="W150:W151" si="17">+V150*2</f>
        <v>268520.98000000004</v>
      </c>
    </row>
    <row r="151" spans="1:23">
      <c r="A151" s="313" t="s">
        <v>624</v>
      </c>
      <c r="B151" s="361">
        <v>3</v>
      </c>
      <c r="C151" s="362"/>
      <c r="D151" s="362"/>
      <c r="E151" s="300"/>
      <c r="F151" s="300"/>
      <c r="G151" s="300"/>
      <c r="H151" s="300"/>
      <c r="I151" s="300"/>
      <c r="J151" s="300"/>
      <c r="K151" s="300">
        <v>74070.539999999994</v>
      </c>
      <c r="L151" s="314">
        <f t="shared" si="16"/>
        <v>148141.07999999999</v>
      </c>
      <c r="M151" s="361">
        <v>3</v>
      </c>
      <c r="N151" s="362"/>
      <c r="O151" s="362"/>
      <c r="P151" s="300"/>
      <c r="Q151" s="300"/>
      <c r="R151" s="300"/>
      <c r="S151" s="300"/>
      <c r="T151" s="300"/>
      <c r="U151" s="300"/>
      <c r="V151" s="300">
        <v>74070.539999999994</v>
      </c>
      <c r="W151" s="314">
        <f t="shared" si="17"/>
        <v>148141.07999999999</v>
      </c>
    </row>
    <row r="152" spans="1:23">
      <c r="A152" s="315" t="s">
        <v>565</v>
      </c>
      <c r="B152" s="360">
        <f>SUM(B153:B158)</f>
        <v>243</v>
      </c>
      <c r="C152" s="360"/>
      <c r="D152" s="360">
        <v>36</v>
      </c>
      <c r="E152" s="303"/>
      <c r="F152" s="303"/>
      <c r="G152" s="303"/>
      <c r="H152" s="303"/>
      <c r="I152" s="303"/>
      <c r="J152" s="303"/>
      <c r="K152" s="303">
        <v>4600835.6500000013</v>
      </c>
      <c r="L152" s="316">
        <f>+K152*2</f>
        <v>9201671.3000000026</v>
      </c>
      <c r="M152" s="360">
        <f>SUM(M153:M158)</f>
        <v>243</v>
      </c>
      <c r="N152" s="360"/>
      <c r="O152" s="360">
        <v>36</v>
      </c>
      <c r="P152" s="303"/>
      <c r="Q152" s="303"/>
      <c r="R152" s="303"/>
      <c r="S152" s="303"/>
      <c r="T152" s="303"/>
      <c r="U152" s="303"/>
      <c r="V152" s="303">
        <v>4600835.6500000013</v>
      </c>
      <c r="W152" s="316">
        <f>+V152*2</f>
        <v>9201671.3000000026</v>
      </c>
    </row>
    <row r="153" spans="1:23">
      <c r="A153" s="313" t="s">
        <v>566</v>
      </c>
      <c r="B153" s="361">
        <v>29</v>
      </c>
      <c r="C153" s="362"/>
      <c r="D153" s="362"/>
      <c r="E153" s="300"/>
      <c r="F153" s="300"/>
      <c r="G153" s="300"/>
      <c r="H153" s="300"/>
      <c r="I153" s="300"/>
      <c r="J153" s="300"/>
      <c r="K153" s="300">
        <v>523934.94999999995</v>
      </c>
      <c r="L153" s="314">
        <f>+K153*2</f>
        <v>1047869.8999999999</v>
      </c>
      <c r="M153" s="361">
        <v>29</v>
      </c>
      <c r="N153" s="362"/>
      <c r="O153" s="362"/>
      <c r="P153" s="300"/>
      <c r="Q153" s="300"/>
      <c r="R153" s="300"/>
      <c r="S153" s="300"/>
      <c r="T153" s="300"/>
      <c r="U153" s="300"/>
      <c r="V153" s="300">
        <v>523934.94999999995</v>
      </c>
      <c r="W153" s="314">
        <f>+V153*2</f>
        <v>1047869.8999999999</v>
      </c>
    </row>
    <row r="154" spans="1:23">
      <c r="A154" s="313" t="s">
        <v>567</v>
      </c>
      <c r="B154" s="361">
        <v>102</v>
      </c>
      <c r="C154" s="362"/>
      <c r="D154" s="362"/>
      <c r="E154" s="300"/>
      <c r="F154" s="300"/>
      <c r="G154" s="300"/>
      <c r="H154" s="300"/>
      <c r="I154" s="300"/>
      <c r="J154" s="300"/>
      <c r="K154" s="300">
        <v>1800943.0500000005</v>
      </c>
      <c r="L154" s="314">
        <f t="shared" ref="L154:L158" si="18">+K154*2</f>
        <v>3601886.100000001</v>
      </c>
      <c r="M154" s="361">
        <v>102</v>
      </c>
      <c r="N154" s="362"/>
      <c r="O154" s="362"/>
      <c r="P154" s="300"/>
      <c r="Q154" s="300"/>
      <c r="R154" s="300"/>
      <c r="S154" s="300"/>
      <c r="T154" s="300"/>
      <c r="U154" s="300"/>
      <c r="V154" s="300">
        <v>1800943.0500000005</v>
      </c>
      <c r="W154" s="314">
        <f t="shared" ref="W154:W158" si="19">+V154*2</f>
        <v>3601886.100000001</v>
      </c>
    </row>
    <row r="155" spans="1:23">
      <c r="A155" s="313" t="s">
        <v>581</v>
      </c>
      <c r="B155" s="361">
        <v>23</v>
      </c>
      <c r="C155" s="362"/>
      <c r="D155" s="362"/>
      <c r="E155" s="300"/>
      <c r="F155" s="300"/>
      <c r="G155" s="300"/>
      <c r="H155" s="300"/>
      <c r="I155" s="300"/>
      <c r="J155" s="300"/>
      <c r="K155" s="300">
        <v>448707.79000000004</v>
      </c>
      <c r="L155" s="314">
        <f t="shared" si="18"/>
        <v>897415.58000000007</v>
      </c>
      <c r="M155" s="361">
        <v>23</v>
      </c>
      <c r="N155" s="362"/>
      <c r="O155" s="362"/>
      <c r="P155" s="300"/>
      <c r="Q155" s="300"/>
      <c r="R155" s="300"/>
      <c r="S155" s="300"/>
      <c r="T155" s="300"/>
      <c r="U155" s="300"/>
      <c r="V155" s="300">
        <v>448707.79000000004</v>
      </c>
      <c r="W155" s="314">
        <f t="shared" si="19"/>
        <v>897415.58000000007</v>
      </c>
    </row>
    <row r="156" spans="1:23">
      <c r="A156" s="313" t="s">
        <v>582</v>
      </c>
      <c r="B156" s="361">
        <v>20</v>
      </c>
      <c r="C156" s="362"/>
      <c r="D156" s="362"/>
      <c r="E156" s="300"/>
      <c r="F156" s="300"/>
      <c r="G156" s="300"/>
      <c r="H156" s="300"/>
      <c r="I156" s="300"/>
      <c r="J156" s="300"/>
      <c r="K156" s="300">
        <v>327427.92</v>
      </c>
      <c r="L156" s="314">
        <f t="shared" si="18"/>
        <v>654855.84</v>
      </c>
      <c r="M156" s="361">
        <v>20</v>
      </c>
      <c r="N156" s="362"/>
      <c r="O156" s="362"/>
      <c r="P156" s="300"/>
      <c r="Q156" s="300"/>
      <c r="R156" s="300"/>
      <c r="S156" s="300"/>
      <c r="T156" s="300"/>
      <c r="U156" s="300"/>
      <c r="V156" s="300">
        <v>327427.92</v>
      </c>
      <c r="W156" s="314">
        <f t="shared" si="19"/>
        <v>654855.84</v>
      </c>
    </row>
    <row r="157" spans="1:23">
      <c r="A157" s="313" t="s">
        <v>568</v>
      </c>
      <c r="B157" s="361">
        <v>7</v>
      </c>
      <c r="C157" s="362"/>
      <c r="D157" s="362"/>
      <c r="E157" s="300"/>
      <c r="F157" s="300"/>
      <c r="G157" s="300"/>
      <c r="H157" s="300"/>
      <c r="I157" s="300"/>
      <c r="J157" s="300"/>
      <c r="K157" s="300">
        <v>138415.24</v>
      </c>
      <c r="L157" s="314">
        <f t="shared" si="18"/>
        <v>276830.48</v>
      </c>
      <c r="M157" s="361">
        <v>7</v>
      </c>
      <c r="N157" s="362"/>
      <c r="O157" s="362"/>
      <c r="P157" s="300"/>
      <c r="Q157" s="300"/>
      <c r="R157" s="300"/>
      <c r="S157" s="300"/>
      <c r="T157" s="300"/>
      <c r="U157" s="300"/>
      <c r="V157" s="300">
        <v>138415.24</v>
      </c>
      <c r="W157" s="314">
        <f t="shared" si="19"/>
        <v>276830.48</v>
      </c>
    </row>
    <row r="158" spans="1:23">
      <c r="A158" s="313" t="s">
        <v>583</v>
      </c>
      <c r="B158" s="361">
        <v>62</v>
      </c>
      <c r="C158" s="362"/>
      <c r="D158" s="362"/>
      <c r="E158" s="300"/>
      <c r="F158" s="300"/>
      <c r="G158" s="300"/>
      <c r="H158" s="300"/>
      <c r="I158" s="300"/>
      <c r="J158" s="300"/>
      <c r="K158" s="300">
        <v>1100626.7600000002</v>
      </c>
      <c r="L158" s="314">
        <f t="shared" si="18"/>
        <v>2201253.5200000005</v>
      </c>
      <c r="M158" s="361">
        <v>62</v>
      </c>
      <c r="N158" s="362"/>
      <c r="O158" s="362"/>
      <c r="P158" s="300"/>
      <c r="Q158" s="300"/>
      <c r="R158" s="300"/>
      <c r="S158" s="300"/>
      <c r="T158" s="300"/>
      <c r="U158" s="300"/>
      <c r="V158" s="300">
        <v>1100626.7600000002</v>
      </c>
      <c r="W158" s="314">
        <f t="shared" si="19"/>
        <v>2201253.5200000005</v>
      </c>
    </row>
    <row r="159" spans="1:23">
      <c r="A159" s="315" t="s">
        <v>569</v>
      </c>
      <c r="B159" s="360">
        <f>SUM(B160:B165)</f>
        <v>69</v>
      </c>
      <c r="C159" s="360"/>
      <c r="D159" s="360">
        <v>54</v>
      </c>
      <c r="E159" s="303"/>
      <c r="F159" s="303"/>
      <c r="G159" s="303"/>
      <c r="H159" s="303"/>
      <c r="I159" s="303"/>
      <c r="J159" s="303"/>
      <c r="K159" s="303">
        <v>1542218.8499999996</v>
      </c>
      <c r="L159" s="316">
        <f>+K159*2</f>
        <v>3084437.6999999993</v>
      </c>
      <c r="M159" s="360">
        <f>SUM(M160:M165)</f>
        <v>69</v>
      </c>
      <c r="N159" s="360"/>
      <c r="O159" s="360">
        <v>54</v>
      </c>
      <c r="P159" s="303"/>
      <c r="Q159" s="303"/>
      <c r="R159" s="303"/>
      <c r="S159" s="303"/>
      <c r="T159" s="303"/>
      <c r="U159" s="303"/>
      <c r="V159" s="303">
        <v>1542218.8499999996</v>
      </c>
      <c r="W159" s="316">
        <f>+V159*2</f>
        <v>3084437.6999999993</v>
      </c>
    </row>
    <row r="160" spans="1:23">
      <c r="A160" s="313" t="s">
        <v>570</v>
      </c>
      <c r="B160" s="361">
        <v>3</v>
      </c>
      <c r="C160" s="362"/>
      <c r="D160" s="362"/>
      <c r="E160" s="300"/>
      <c r="F160" s="300"/>
      <c r="G160" s="300"/>
      <c r="H160" s="300"/>
      <c r="I160" s="300"/>
      <c r="J160" s="300"/>
      <c r="K160" s="300">
        <v>55808.93</v>
      </c>
      <c r="L160" s="314">
        <f>+K160*2</f>
        <v>111617.86</v>
      </c>
      <c r="M160" s="361">
        <v>3</v>
      </c>
      <c r="N160" s="362"/>
      <c r="O160" s="362"/>
      <c r="P160" s="300"/>
      <c r="Q160" s="300"/>
      <c r="R160" s="300"/>
      <c r="S160" s="300"/>
      <c r="T160" s="300"/>
      <c r="U160" s="300"/>
      <c r="V160" s="300">
        <v>55808.93</v>
      </c>
      <c r="W160" s="314">
        <f>+V160*2</f>
        <v>111617.86</v>
      </c>
    </row>
    <row r="161" spans="1:23">
      <c r="A161" s="313" t="s">
        <v>584</v>
      </c>
      <c r="B161" s="361">
        <v>5</v>
      </c>
      <c r="C161" s="362"/>
      <c r="D161" s="362"/>
      <c r="E161" s="300"/>
      <c r="F161" s="300"/>
      <c r="G161" s="300"/>
      <c r="H161" s="300"/>
      <c r="I161" s="300"/>
      <c r="J161" s="300"/>
      <c r="K161" s="300">
        <v>92172.79</v>
      </c>
      <c r="L161" s="314">
        <f t="shared" ref="L161:L165" si="20">+K161*2</f>
        <v>184345.58</v>
      </c>
      <c r="M161" s="361">
        <v>5</v>
      </c>
      <c r="N161" s="362"/>
      <c r="O161" s="362"/>
      <c r="P161" s="300"/>
      <c r="Q161" s="300"/>
      <c r="R161" s="300"/>
      <c r="S161" s="300"/>
      <c r="T161" s="300"/>
      <c r="U161" s="300"/>
      <c r="V161" s="300">
        <v>92172.79</v>
      </c>
      <c r="W161" s="314">
        <f t="shared" ref="W161:W165" si="21">+V161*2</f>
        <v>184345.58</v>
      </c>
    </row>
    <row r="162" spans="1:23">
      <c r="A162" s="313" t="s">
        <v>625</v>
      </c>
      <c r="B162" s="361">
        <v>24</v>
      </c>
      <c r="C162" s="362"/>
      <c r="D162" s="362"/>
      <c r="E162" s="300"/>
      <c r="F162" s="300"/>
      <c r="G162" s="300"/>
      <c r="H162" s="300"/>
      <c r="I162" s="300"/>
      <c r="J162" s="300"/>
      <c r="K162" s="300">
        <v>397886.93999999994</v>
      </c>
      <c r="L162" s="314">
        <f t="shared" si="20"/>
        <v>795773.87999999989</v>
      </c>
      <c r="M162" s="361">
        <v>24</v>
      </c>
      <c r="N162" s="362"/>
      <c r="O162" s="362"/>
      <c r="P162" s="300"/>
      <c r="Q162" s="300"/>
      <c r="R162" s="300"/>
      <c r="S162" s="300"/>
      <c r="T162" s="300"/>
      <c r="U162" s="300"/>
      <c r="V162" s="300">
        <v>397886.93999999994</v>
      </c>
      <c r="W162" s="314">
        <f t="shared" si="21"/>
        <v>795773.87999999989</v>
      </c>
    </row>
    <row r="163" spans="1:23">
      <c r="A163" s="313" t="s">
        <v>585</v>
      </c>
      <c r="B163" s="361">
        <v>2</v>
      </c>
      <c r="C163" s="362"/>
      <c r="D163" s="362"/>
      <c r="E163" s="300"/>
      <c r="F163" s="300"/>
      <c r="G163" s="300"/>
      <c r="H163" s="300"/>
      <c r="I163" s="300"/>
      <c r="J163" s="300"/>
      <c r="K163" s="300">
        <v>37324.550000000003</v>
      </c>
      <c r="L163" s="314">
        <f t="shared" si="20"/>
        <v>74649.100000000006</v>
      </c>
      <c r="M163" s="361">
        <v>2</v>
      </c>
      <c r="N163" s="362"/>
      <c r="O163" s="362"/>
      <c r="P163" s="300"/>
      <c r="Q163" s="300"/>
      <c r="R163" s="300"/>
      <c r="S163" s="300"/>
      <c r="T163" s="300"/>
      <c r="U163" s="300"/>
      <c r="V163" s="300">
        <v>37324.550000000003</v>
      </c>
      <c r="W163" s="314">
        <f t="shared" si="21"/>
        <v>74649.100000000006</v>
      </c>
    </row>
    <row r="164" spans="1:23">
      <c r="A164" s="313" t="s">
        <v>572</v>
      </c>
      <c r="B164" s="361">
        <v>10</v>
      </c>
      <c r="C164" s="362"/>
      <c r="D164" s="362"/>
      <c r="E164" s="300"/>
      <c r="F164" s="300"/>
      <c r="G164" s="300"/>
      <c r="H164" s="300"/>
      <c r="I164" s="300"/>
      <c r="J164" s="300"/>
      <c r="K164" s="300">
        <v>173183.34</v>
      </c>
      <c r="L164" s="314">
        <f t="shared" si="20"/>
        <v>346366.68</v>
      </c>
      <c r="M164" s="361">
        <v>10</v>
      </c>
      <c r="N164" s="362"/>
      <c r="O164" s="362"/>
      <c r="P164" s="300"/>
      <c r="Q164" s="300"/>
      <c r="R164" s="300"/>
      <c r="S164" s="300"/>
      <c r="T164" s="300"/>
      <c r="U164" s="300"/>
      <c r="V164" s="300">
        <v>173183.34</v>
      </c>
      <c r="W164" s="314">
        <f t="shared" si="21"/>
        <v>346366.68</v>
      </c>
    </row>
    <row r="165" spans="1:23">
      <c r="A165" s="313" t="s">
        <v>626</v>
      </c>
      <c r="B165" s="361">
        <v>25</v>
      </c>
      <c r="C165" s="362"/>
      <c r="D165" s="362"/>
      <c r="E165" s="300"/>
      <c r="F165" s="300"/>
      <c r="G165" s="300"/>
      <c r="H165" s="300"/>
      <c r="I165" s="300"/>
      <c r="J165" s="300"/>
      <c r="K165" s="300">
        <v>420432.9</v>
      </c>
      <c r="L165" s="314">
        <f t="shared" si="20"/>
        <v>840865.8</v>
      </c>
      <c r="M165" s="361">
        <v>25</v>
      </c>
      <c r="N165" s="362"/>
      <c r="O165" s="362"/>
      <c r="P165" s="300"/>
      <c r="Q165" s="300"/>
      <c r="R165" s="300"/>
      <c r="S165" s="300"/>
      <c r="T165" s="300"/>
      <c r="U165" s="300"/>
      <c r="V165" s="300">
        <v>420432.9</v>
      </c>
      <c r="W165" s="314">
        <f t="shared" si="21"/>
        <v>840865.8</v>
      </c>
    </row>
    <row r="166" spans="1:23">
      <c r="A166" s="315" t="s">
        <v>591</v>
      </c>
      <c r="B166" s="360">
        <f>SUM(B167:B184)</f>
        <v>188</v>
      </c>
      <c r="C166" s="360"/>
      <c r="D166" s="360">
        <v>14</v>
      </c>
      <c r="E166" s="303"/>
      <c r="F166" s="303"/>
      <c r="G166" s="303"/>
      <c r="H166" s="303"/>
      <c r="I166" s="303"/>
      <c r="J166" s="303"/>
      <c r="K166" s="303">
        <v>6857381.209999999</v>
      </c>
      <c r="L166" s="316">
        <f>+K166*2</f>
        <v>13714762.419999998</v>
      </c>
      <c r="M166" s="360">
        <f>SUM(M167:M184)</f>
        <v>188</v>
      </c>
      <c r="N166" s="360"/>
      <c r="O166" s="360">
        <v>14</v>
      </c>
      <c r="P166" s="303"/>
      <c r="Q166" s="303"/>
      <c r="R166" s="303"/>
      <c r="S166" s="303"/>
      <c r="T166" s="303"/>
      <c r="U166" s="303"/>
      <c r="V166" s="303">
        <v>6857381.209999999</v>
      </c>
      <c r="W166" s="316">
        <f>+V166*2</f>
        <v>13714762.419999998</v>
      </c>
    </row>
    <row r="167" spans="1:23">
      <c r="A167" s="313" t="s">
        <v>627</v>
      </c>
      <c r="B167" s="361">
        <v>19</v>
      </c>
      <c r="C167" s="362"/>
      <c r="D167" s="362"/>
      <c r="E167" s="300"/>
      <c r="F167" s="300"/>
      <c r="G167" s="300"/>
      <c r="H167" s="300"/>
      <c r="I167" s="300"/>
      <c r="J167" s="300"/>
      <c r="K167" s="300">
        <v>881732.94999999984</v>
      </c>
      <c r="L167" s="314">
        <f>+K167*2</f>
        <v>1763465.8999999997</v>
      </c>
      <c r="M167" s="361">
        <v>19</v>
      </c>
      <c r="N167" s="362"/>
      <c r="O167" s="362"/>
      <c r="P167" s="300"/>
      <c r="Q167" s="300"/>
      <c r="R167" s="300"/>
      <c r="S167" s="300"/>
      <c r="T167" s="300"/>
      <c r="U167" s="300"/>
      <c r="V167" s="300">
        <v>881732.94999999984</v>
      </c>
      <c r="W167" s="314">
        <f>+V167*2</f>
        <v>1763465.8999999997</v>
      </c>
    </row>
    <row r="168" spans="1:23">
      <c r="A168" s="313" t="s">
        <v>628</v>
      </c>
      <c r="B168" s="361">
        <v>8</v>
      </c>
      <c r="C168" s="362"/>
      <c r="D168" s="362"/>
      <c r="E168" s="300"/>
      <c r="F168" s="300"/>
      <c r="G168" s="300"/>
      <c r="H168" s="300"/>
      <c r="I168" s="300"/>
      <c r="J168" s="300"/>
      <c r="K168" s="300">
        <v>241178</v>
      </c>
      <c r="L168" s="314">
        <f t="shared" ref="L168:L184" si="22">+K168*2</f>
        <v>482356</v>
      </c>
      <c r="M168" s="361">
        <v>8</v>
      </c>
      <c r="N168" s="362"/>
      <c r="O168" s="362"/>
      <c r="P168" s="300"/>
      <c r="Q168" s="300"/>
      <c r="R168" s="300"/>
      <c r="S168" s="300"/>
      <c r="T168" s="300"/>
      <c r="U168" s="300"/>
      <c r="V168" s="300">
        <v>241178</v>
      </c>
      <c r="W168" s="314">
        <f t="shared" ref="W168:W184" si="23">+V168*2</f>
        <v>482356</v>
      </c>
    </row>
    <row r="169" spans="1:23">
      <c r="A169" s="313" t="s">
        <v>629</v>
      </c>
      <c r="B169" s="361">
        <v>5</v>
      </c>
      <c r="C169" s="362"/>
      <c r="D169" s="362"/>
      <c r="E169" s="300"/>
      <c r="F169" s="300"/>
      <c r="G169" s="300"/>
      <c r="H169" s="300"/>
      <c r="I169" s="300"/>
      <c r="J169" s="300"/>
      <c r="K169" s="300">
        <v>193006.13</v>
      </c>
      <c r="L169" s="314">
        <f t="shared" si="22"/>
        <v>386012.26</v>
      </c>
      <c r="M169" s="361">
        <v>5</v>
      </c>
      <c r="N169" s="362"/>
      <c r="O169" s="362"/>
      <c r="P169" s="300"/>
      <c r="Q169" s="300"/>
      <c r="R169" s="300"/>
      <c r="S169" s="300"/>
      <c r="T169" s="300"/>
      <c r="U169" s="300"/>
      <c r="V169" s="300">
        <v>193006.13</v>
      </c>
      <c r="W169" s="314">
        <f t="shared" si="23"/>
        <v>386012.26</v>
      </c>
    </row>
    <row r="170" spans="1:23">
      <c r="A170" s="313" t="s">
        <v>630</v>
      </c>
      <c r="B170" s="361">
        <v>4</v>
      </c>
      <c r="C170" s="362"/>
      <c r="D170" s="362"/>
      <c r="E170" s="300"/>
      <c r="F170" s="300"/>
      <c r="G170" s="300"/>
      <c r="H170" s="300"/>
      <c r="I170" s="300"/>
      <c r="J170" s="300"/>
      <c r="K170" s="300">
        <v>184526.34</v>
      </c>
      <c r="L170" s="314">
        <f t="shared" si="22"/>
        <v>369052.68</v>
      </c>
      <c r="M170" s="361">
        <v>4</v>
      </c>
      <c r="N170" s="362"/>
      <c r="O170" s="362"/>
      <c r="P170" s="300"/>
      <c r="Q170" s="300"/>
      <c r="R170" s="300"/>
      <c r="S170" s="300"/>
      <c r="T170" s="300"/>
      <c r="U170" s="300"/>
      <c r="V170" s="300">
        <v>184526.34</v>
      </c>
      <c r="W170" s="314">
        <f t="shared" si="23"/>
        <v>369052.68</v>
      </c>
    </row>
    <row r="171" spans="1:23">
      <c r="A171" s="313" t="s">
        <v>631</v>
      </c>
      <c r="B171" s="361">
        <v>12</v>
      </c>
      <c r="C171" s="362"/>
      <c r="D171" s="362"/>
      <c r="E171" s="300"/>
      <c r="F171" s="300"/>
      <c r="G171" s="300"/>
      <c r="H171" s="300"/>
      <c r="I171" s="300"/>
      <c r="J171" s="300"/>
      <c r="K171" s="300">
        <v>637411.30999999994</v>
      </c>
      <c r="L171" s="314">
        <f t="shared" si="22"/>
        <v>1274822.6199999999</v>
      </c>
      <c r="M171" s="361">
        <v>12</v>
      </c>
      <c r="N171" s="362"/>
      <c r="O171" s="362"/>
      <c r="P171" s="300"/>
      <c r="Q171" s="300"/>
      <c r="R171" s="300"/>
      <c r="S171" s="300"/>
      <c r="T171" s="300"/>
      <c r="U171" s="300"/>
      <c r="V171" s="300">
        <v>637411.30999999994</v>
      </c>
      <c r="W171" s="314">
        <f t="shared" si="23"/>
        <v>1274822.6199999999</v>
      </c>
    </row>
    <row r="172" spans="1:23">
      <c r="A172" s="313" t="s">
        <v>632</v>
      </c>
      <c r="B172" s="361">
        <v>47</v>
      </c>
      <c r="C172" s="362"/>
      <c r="D172" s="362"/>
      <c r="E172" s="300"/>
      <c r="F172" s="300"/>
      <c r="G172" s="300"/>
      <c r="H172" s="300"/>
      <c r="I172" s="300"/>
      <c r="J172" s="300"/>
      <c r="K172" s="300">
        <v>1480912.9100000001</v>
      </c>
      <c r="L172" s="314">
        <f t="shared" si="22"/>
        <v>2961825.8200000003</v>
      </c>
      <c r="M172" s="361">
        <v>47</v>
      </c>
      <c r="N172" s="362"/>
      <c r="O172" s="362"/>
      <c r="P172" s="300"/>
      <c r="Q172" s="300"/>
      <c r="R172" s="300"/>
      <c r="S172" s="300"/>
      <c r="T172" s="300"/>
      <c r="U172" s="300"/>
      <c r="V172" s="300">
        <v>1480912.9100000001</v>
      </c>
      <c r="W172" s="314">
        <f t="shared" si="23"/>
        <v>2961825.8200000003</v>
      </c>
    </row>
    <row r="173" spans="1:23">
      <c r="A173" s="313" t="s">
        <v>633</v>
      </c>
      <c r="B173" s="361">
        <v>21</v>
      </c>
      <c r="C173" s="362"/>
      <c r="D173" s="362"/>
      <c r="E173" s="300"/>
      <c r="F173" s="300"/>
      <c r="G173" s="300"/>
      <c r="H173" s="300"/>
      <c r="I173" s="300"/>
      <c r="J173" s="300"/>
      <c r="K173" s="300">
        <v>716761.7</v>
      </c>
      <c r="L173" s="314">
        <f t="shared" si="22"/>
        <v>1433523.4</v>
      </c>
      <c r="M173" s="361">
        <v>21</v>
      </c>
      <c r="N173" s="362"/>
      <c r="O173" s="362"/>
      <c r="P173" s="300"/>
      <c r="Q173" s="300"/>
      <c r="R173" s="300"/>
      <c r="S173" s="300"/>
      <c r="T173" s="300"/>
      <c r="U173" s="300"/>
      <c r="V173" s="300">
        <v>716761.7</v>
      </c>
      <c r="W173" s="314">
        <f t="shared" si="23"/>
        <v>1433523.4</v>
      </c>
    </row>
    <row r="174" spans="1:23">
      <c r="A174" s="313" t="s">
        <v>634</v>
      </c>
      <c r="B174" s="361">
        <v>2</v>
      </c>
      <c r="C174" s="362"/>
      <c r="D174" s="362"/>
      <c r="E174" s="300"/>
      <c r="F174" s="300"/>
      <c r="G174" s="300"/>
      <c r="H174" s="300"/>
      <c r="I174" s="300"/>
      <c r="J174" s="300"/>
      <c r="K174" s="300">
        <v>68625.84</v>
      </c>
      <c r="L174" s="314">
        <f t="shared" si="22"/>
        <v>137251.68</v>
      </c>
      <c r="M174" s="361">
        <v>2</v>
      </c>
      <c r="N174" s="362"/>
      <c r="O174" s="362"/>
      <c r="P174" s="300"/>
      <c r="Q174" s="300"/>
      <c r="R174" s="300"/>
      <c r="S174" s="300"/>
      <c r="T174" s="300"/>
      <c r="U174" s="300"/>
      <c r="V174" s="300">
        <v>68625.84</v>
      </c>
      <c r="W174" s="314">
        <f t="shared" si="23"/>
        <v>137251.68</v>
      </c>
    </row>
    <row r="175" spans="1:23">
      <c r="A175" s="313" t="s">
        <v>635</v>
      </c>
      <c r="B175" s="361">
        <v>14</v>
      </c>
      <c r="C175" s="362"/>
      <c r="D175" s="362"/>
      <c r="E175" s="300"/>
      <c r="F175" s="300"/>
      <c r="G175" s="300"/>
      <c r="H175" s="300"/>
      <c r="I175" s="300"/>
      <c r="J175" s="300"/>
      <c r="K175" s="300">
        <v>486369.5</v>
      </c>
      <c r="L175" s="314">
        <f t="shared" si="22"/>
        <v>972739</v>
      </c>
      <c r="M175" s="361">
        <v>14</v>
      </c>
      <c r="N175" s="362"/>
      <c r="O175" s="362"/>
      <c r="P175" s="300"/>
      <c r="Q175" s="300"/>
      <c r="R175" s="300"/>
      <c r="S175" s="300"/>
      <c r="T175" s="300"/>
      <c r="U175" s="300"/>
      <c r="V175" s="300">
        <v>486369.5</v>
      </c>
      <c r="W175" s="314">
        <f t="shared" si="23"/>
        <v>972739</v>
      </c>
    </row>
    <row r="176" spans="1:23">
      <c r="A176" s="313" t="s">
        <v>636</v>
      </c>
      <c r="B176" s="361">
        <v>2</v>
      </c>
      <c r="C176" s="362"/>
      <c r="D176" s="362"/>
      <c r="E176" s="300"/>
      <c r="F176" s="300"/>
      <c r="G176" s="300"/>
      <c r="H176" s="300"/>
      <c r="I176" s="300"/>
      <c r="J176" s="300"/>
      <c r="K176" s="300">
        <v>68242.62</v>
      </c>
      <c r="L176" s="314">
        <f t="shared" si="22"/>
        <v>136485.24</v>
      </c>
      <c r="M176" s="361">
        <v>2</v>
      </c>
      <c r="N176" s="362"/>
      <c r="O176" s="362"/>
      <c r="P176" s="300"/>
      <c r="Q176" s="300"/>
      <c r="R176" s="300"/>
      <c r="S176" s="300"/>
      <c r="T176" s="300"/>
      <c r="U176" s="300"/>
      <c r="V176" s="300">
        <v>68242.62</v>
      </c>
      <c r="W176" s="314">
        <f t="shared" si="23"/>
        <v>136485.24</v>
      </c>
    </row>
    <row r="177" spans="1:23">
      <c r="A177" s="313" t="s">
        <v>637</v>
      </c>
      <c r="B177" s="361">
        <v>11</v>
      </c>
      <c r="C177" s="362"/>
      <c r="D177" s="362"/>
      <c r="E177" s="300"/>
      <c r="F177" s="300"/>
      <c r="G177" s="300"/>
      <c r="H177" s="300"/>
      <c r="I177" s="300"/>
      <c r="J177" s="300"/>
      <c r="K177" s="300">
        <v>564704.85</v>
      </c>
      <c r="L177" s="314">
        <f t="shared" si="22"/>
        <v>1129409.7</v>
      </c>
      <c r="M177" s="361">
        <v>11</v>
      </c>
      <c r="N177" s="362"/>
      <c r="O177" s="362"/>
      <c r="P177" s="300"/>
      <c r="Q177" s="300"/>
      <c r="R177" s="300"/>
      <c r="S177" s="300"/>
      <c r="T177" s="300"/>
      <c r="U177" s="300"/>
      <c r="V177" s="300">
        <v>564704.85</v>
      </c>
      <c r="W177" s="314">
        <f t="shared" si="23"/>
        <v>1129409.7</v>
      </c>
    </row>
    <row r="178" spans="1:23">
      <c r="A178" s="363" t="s">
        <v>638</v>
      </c>
      <c r="B178" s="361">
        <v>19</v>
      </c>
      <c r="C178" s="362"/>
      <c r="D178" s="362"/>
      <c r="E178" s="300"/>
      <c r="F178" s="300"/>
      <c r="G178" s="300"/>
      <c r="H178" s="300"/>
      <c r="I178" s="300"/>
      <c r="J178" s="300"/>
      <c r="K178" s="300">
        <v>365412.36000000004</v>
      </c>
      <c r="L178" s="314">
        <f t="shared" si="22"/>
        <v>730824.72000000009</v>
      </c>
      <c r="M178" s="361">
        <v>19</v>
      </c>
      <c r="N178" s="362"/>
      <c r="O178" s="362"/>
      <c r="P178" s="300"/>
      <c r="Q178" s="300"/>
      <c r="R178" s="300"/>
      <c r="S178" s="300"/>
      <c r="T178" s="300"/>
      <c r="U178" s="300"/>
      <c r="V178" s="300">
        <v>365412.36000000004</v>
      </c>
      <c r="W178" s="314">
        <f t="shared" si="23"/>
        <v>730824.72000000009</v>
      </c>
    </row>
    <row r="179" spans="1:23">
      <c r="A179" s="364" t="s">
        <v>639</v>
      </c>
      <c r="B179" s="361">
        <v>3</v>
      </c>
      <c r="C179" s="362"/>
      <c r="D179" s="362"/>
      <c r="E179" s="300"/>
      <c r="F179" s="300"/>
      <c r="G179" s="300"/>
      <c r="H179" s="300"/>
      <c r="I179" s="300"/>
      <c r="J179" s="300"/>
      <c r="K179" s="300">
        <v>60328.520000000004</v>
      </c>
      <c r="L179" s="314">
        <f t="shared" si="22"/>
        <v>120657.04000000001</v>
      </c>
      <c r="M179" s="361">
        <v>3</v>
      </c>
      <c r="N179" s="362"/>
      <c r="O179" s="362"/>
      <c r="P179" s="300"/>
      <c r="Q179" s="300"/>
      <c r="R179" s="300"/>
      <c r="S179" s="300"/>
      <c r="T179" s="300"/>
      <c r="U179" s="300"/>
      <c r="V179" s="300">
        <v>60328.520000000004</v>
      </c>
      <c r="W179" s="314">
        <f t="shared" si="23"/>
        <v>120657.04000000001</v>
      </c>
    </row>
    <row r="180" spans="1:23">
      <c r="A180" s="364" t="s">
        <v>640</v>
      </c>
      <c r="B180" s="365">
        <v>3</v>
      </c>
      <c r="C180" s="362"/>
      <c r="D180" s="362"/>
      <c r="E180" s="300"/>
      <c r="F180" s="300"/>
      <c r="G180" s="300"/>
      <c r="H180" s="300"/>
      <c r="I180" s="300"/>
      <c r="J180" s="300"/>
      <c r="K180" s="300">
        <v>103956.65</v>
      </c>
      <c r="L180" s="314">
        <f t="shared" si="22"/>
        <v>207913.3</v>
      </c>
      <c r="M180" s="365">
        <v>3</v>
      </c>
      <c r="N180" s="362"/>
      <c r="O180" s="362"/>
      <c r="P180" s="300"/>
      <c r="Q180" s="300"/>
      <c r="R180" s="300"/>
      <c r="S180" s="300"/>
      <c r="T180" s="300"/>
      <c r="U180" s="300"/>
      <c r="V180" s="300">
        <v>103956.65</v>
      </c>
      <c r="W180" s="314">
        <f t="shared" si="23"/>
        <v>207913.3</v>
      </c>
    </row>
    <row r="181" spans="1:23">
      <c r="A181" s="364" t="s">
        <v>641</v>
      </c>
      <c r="B181" s="365">
        <v>5</v>
      </c>
      <c r="C181" s="362"/>
      <c r="D181" s="362"/>
      <c r="E181" s="300"/>
      <c r="F181" s="300"/>
      <c r="G181" s="300"/>
      <c r="H181" s="300"/>
      <c r="I181" s="300"/>
      <c r="J181" s="300"/>
      <c r="K181" s="300">
        <v>141327.53</v>
      </c>
      <c r="L181" s="314">
        <f t="shared" si="22"/>
        <v>282655.06</v>
      </c>
      <c r="M181" s="365">
        <v>5</v>
      </c>
      <c r="N181" s="362"/>
      <c r="O181" s="362"/>
      <c r="P181" s="300"/>
      <c r="Q181" s="300"/>
      <c r="R181" s="300"/>
      <c r="S181" s="300"/>
      <c r="T181" s="300"/>
      <c r="U181" s="300"/>
      <c r="V181" s="300">
        <v>141327.53</v>
      </c>
      <c r="W181" s="314">
        <f t="shared" si="23"/>
        <v>282655.06</v>
      </c>
    </row>
    <row r="182" spans="1:23">
      <c r="A182" s="364" t="s">
        <v>642</v>
      </c>
      <c r="B182" s="361">
        <v>11</v>
      </c>
      <c r="C182" s="362"/>
      <c r="D182" s="362"/>
      <c r="E182" s="300"/>
      <c r="F182" s="300"/>
      <c r="G182" s="300"/>
      <c r="H182" s="300"/>
      <c r="I182" s="300"/>
      <c r="J182" s="300"/>
      <c r="K182" s="300">
        <v>293104.46999999997</v>
      </c>
      <c r="L182" s="314">
        <f t="shared" si="22"/>
        <v>586208.93999999994</v>
      </c>
      <c r="M182" s="361">
        <v>11</v>
      </c>
      <c r="N182" s="362"/>
      <c r="O182" s="362"/>
      <c r="P182" s="300"/>
      <c r="Q182" s="300"/>
      <c r="R182" s="300"/>
      <c r="S182" s="300"/>
      <c r="T182" s="300"/>
      <c r="U182" s="300"/>
      <c r="V182" s="300">
        <v>293104.46999999997</v>
      </c>
      <c r="W182" s="314">
        <f t="shared" si="23"/>
        <v>586208.93999999994</v>
      </c>
    </row>
    <row r="183" spans="1:23">
      <c r="A183" s="364" t="s">
        <v>643</v>
      </c>
      <c r="B183" s="361">
        <v>1</v>
      </c>
      <c r="C183" s="362"/>
      <c r="D183" s="362"/>
      <c r="E183" s="300"/>
      <c r="F183" s="300"/>
      <c r="G183" s="300"/>
      <c r="H183" s="300"/>
      <c r="I183" s="300"/>
      <c r="J183" s="300"/>
      <c r="K183" s="300">
        <v>25499.14</v>
      </c>
      <c r="L183" s="314">
        <f t="shared" si="22"/>
        <v>50998.28</v>
      </c>
      <c r="M183" s="361">
        <v>1</v>
      </c>
      <c r="N183" s="362"/>
      <c r="O183" s="362"/>
      <c r="P183" s="300"/>
      <c r="Q183" s="300"/>
      <c r="R183" s="300"/>
      <c r="S183" s="300"/>
      <c r="T183" s="300"/>
      <c r="U183" s="300"/>
      <c r="V183" s="300">
        <v>25499.14</v>
      </c>
      <c r="W183" s="314">
        <f t="shared" si="23"/>
        <v>50998.28</v>
      </c>
    </row>
    <row r="184" spans="1:23">
      <c r="A184" s="364" t="s">
        <v>644</v>
      </c>
      <c r="B184" s="361">
        <v>1</v>
      </c>
      <c r="C184" s="362"/>
      <c r="D184" s="362"/>
      <c r="E184" s="300"/>
      <c r="F184" s="300"/>
      <c r="G184" s="300"/>
      <c r="H184" s="300"/>
      <c r="I184" s="300"/>
      <c r="J184" s="300"/>
      <c r="K184" s="300">
        <v>30688.499999999996</v>
      </c>
      <c r="L184" s="314">
        <f t="shared" si="22"/>
        <v>61376.999999999993</v>
      </c>
      <c r="M184" s="361">
        <v>1</v>
      </c>
      <c r="N184" s="362"/>
      <c r="O184" s="362"/>
      <c r="P184" s="300"/>
      <c r="Q184" s="300"/>
      <c r="R184" s="300"/>
      <c r="S184" s="300"/>
      <c r="T184" s="300"/>
      <c r="U184" s="300"/>
      <c r="V184" s="300">
        <v>30688.499999999996</v>
      </c>
      <c r="W184" s="314">
        <f t="shared" si="23"/>
        <v>61376.999999999993</v>
      </c>
    </row>
    <row r="185" spans="1:23">
      <c r="A185" s="366" t="s">
        <v>645</v>
      </c>
      <c r="B185" s="360">
        <f>SUM(B186)</f>
        <v>3</v>
      </c>
      <c r="C185" s="360">
        <f t="shared" ref="C185" si="24">SUM(C186)</f>
        <v>0</v>
      </c>
      <c r="D185" s="360"/>
      <c r="E185" s="344"/>
      <c r="F185" s="344"/>
      <c r="G185" s="344"/>
      <c r="H185" s="344"/>
      <c r="I185" s="344"/>
      <c r="J185" s="344"/>
      <c r="K185" s="303">
        <v>52835.5</v>
      </c>
      <c r="L185" s="316">
        <f>+K185*2</f>
        <v>105671</v>
      </c>
      <c r="M185" s="360">
        <f>SUM(M186)</f>
        <v>3</v>
      </c>
      <c r="N185" s="360">
        <f t="shared" ref="N185" si="25">SUM(N186)</f>
        <v>0</v>
      </c>
      <c r="O185" s="360"/>
      <c r="P185" s="344"/>
      <c r="Q185" s="344"/>
      <c r="R185" s="344"/>
      <c r="S185" s="344"/>
      <c r="T185" s="344"/>
      <c r="U185" s="344"/>
      <c r="V185" s="303">
        <v>52835.5</v>
      </c>
      <c r="W185" s="316">
        <f>+V185*2</f>
        <v>105671</v>
      </c>
    </row>
    <row r="186" spans="1:23" ht="15.75" thickBot="1">
      <c r="A186" s="364" t="s">
        <v>646</v>
      </c>
      <c r="B186" s="361">
        <v>3</v>
      </c>
      <c r="C186" s="362"/>
      <c r="D186" s="362"/>
      <c r="E186" s="300"/>
      <c r="F186" s="300"/>
      <c r="G186" s="300"/>
      <c r="H186" s="300"/>
      <c r="I186" s="300"/>
      <c r="J186" s="300"/>
      <c r="K186" s="300">
        <v>52835.5</v>
      </c>
      <c r="L186" s="314">
        <f>+K186*2</f>
        <v>105671</v>
      </c>
      <c r="M186" s="361">
        <v>3</v>
      </c>
      <c r="N186" s="362"/>
      <c r="O186" s="362"/>
      <c r="P186" s="300"/>
      <c r="Q186" s="300"/>
      <c r="R186" s="300"/>
      <c r="S186" s="300"/>
      <c r="T186" s="300"/>
      <c r="U186" s="300"/>
      <c r="V186" s="300">
        <v>52835.5</v>
      </c>
      <c r="W186" s="314">
        <f>+V186*2</f>
        <v>105671</v>
      </c>
    </row>
    <row r="187" spans="1:23" ht="15.75" thickBot="1">
      <c r="A187" s="318" t="s">
        <v>573</v>
      </c>
      <c r="B187" s="367">
        <f>+B144+B148+B152+B159+B166+B185</f>
        <v>518</v>
      </c>
      <c r="C187" s="367">
        <f>+C144+C148+C152+C159+C166+C185</f>
        <v>0</v>
      </c>
      <c r="D187" s="367">
        <f t="shared" ref="D187:K187" si="26">+D144+D148+D152+D159+D166+D185</f>
        <v>109</v>
      </c>
      <c r="E187" s="368">
        <f t="shared" si="26"/>
        <v>0</v>
      </c>
      <c r="F187" s="368">
        <f t="shared" si="26"/>
        <v>0</v>
      </c>
      <c r="G187" s="368">
        <f t="shared" si="26"/>
        <v>0</v>
      </c>
      <c r="H187" s="368">
        <f t="shared" si="26"/>
        <v>0</v>
      </c>
      <c r="I187" s="368">
        <f t="shared" si="26"/>
        <v>0</v>
      </c>
      <c r="J187" s="368">
        <f t="shared" si="26"/>
        <v>0</v>
      </c>
      <c r="K187" s="368">
        <f t="shared" si="26"/>
        <v>13538479.879999999</v>
      </c>
      <c r="L187" s="368">
        <f>+K187*2</f>
        <v>27076959.759999998</v>
      </c>
      <c r="M187" s="367">
        <f>+M144+M148+M152+M159+M166+M185</f>
        <v>518</v>
      </c>
      <c r="N187" s="367">
        <f>+N144+N148+N152+N159+N166+N185</f>
        <v>0</v>
      </c>
      <c r="O187" s="367">
        <f t="shared" ref="O187:V187" si="27">+O144+O148+O152+O159+O166+O185</f>
        <v>109</v>
      </c>
      <c r="P187" s="368">
        <f t="shared" si="27"/>
        <v>0</v>
      </c>
      <c r="Q187" s="368">
        <f t="shared" si="27"/>
        <v>0</v>
      </c>
      <c r="R187" s="368">
        <f t="shared" si="27"/>
        <v>0</v>
      </c>
      <c r="S187" s="368">
        <f t="shared" si="27"/>
        <v>0</v>
      </c>
      <c r="T187" s="368">
        <f t="shared" si="27"/>
        <v>0</v>
      </c>
      <c r="U187" s="368">
        <f t="shared" si="27"/>
        <v>0</v>
      </c>
      <c r="V187" s="368">
        <f t="shared" si="27"/>
        <v>13538479.879999999</v>
      </c>
      <c r="W187" s="368">
        <f>+V187*2</f>
        <v>27076959.759999998</v>
      </c>
    </row>
    <row r="188" spans="1:23">
      <c r="A188" s="304" t="s">
        <v>574</v>
      </c>
      <c r="B188" s="215"/>
      <c r="C188" s="215"/>
      <c r="D188" s="215"/>
      <c r="E188" s="215"/>
      <c r="F188" s="215"/>
      <c r="G188" s="215"/>
      <c r="H188" s="215"/>
      <c r="I188" s="215"/>
      <c r="J188" s="215"/>
      <c r="K188" s="215"/>
      <c r="L188" s="215"/>
      <c r="M188" s="215"/>
      <c r="N188" s="215"/>
      <c r="O188" s="215"/>
      <c r="P188" s="295"/>
      <c r="Q188" s="305"/>
      <c r="T188" s="295"/>
      <c r="U188" s="295"/>
      <c r="V188" s="295"/>
      <c r="W188" s="295"/>
    </row>
    <row r="189" spans="1:23">
      <c r="A189" s="300" t="s">
        <v>575</v>
      </c>
      <c r="B189" s="300"/>
      <c r="C189" s="300"/>
      <c r="D189" s="300"/>
      <c r="E189" s="300"/>
      <c r="F189" s="300"/>
      <c r="G189" s="300"/>
      <c r="H189" s="300"/>
      <c r="I189" s="300"/>
      <c r="J189" s="300"/>
      <c r="K189" s="300"/>
      <c r="L189" s="300"/>
      <c r="M189" s="300"/>
      <c r="N189" s="300"/>
      <c r="O189" s="300"/>
      <c r="P189" s="295"/>
      <c r="Q189" s="305"/>
      <c r="V189" s="295"/>
      <c r="W189" s="295"/>
    </row>
    <row r="193" spans="1:23" ht="15.75">
      <c r="A193" s="296" t="s">
        <v>535</v>
      </c>
      <c r="B193" s="297"/>
      <c r="C193" s="297"/>
      <c r="D193" s="297"/>
      <c r="E193" s="297"/>
      <c r="F193" s="297"/>
      <c r="G193" s="297"/>
      <c r="H193" s="297"/>
      <c r="I193" s="297"/>
      <c r="J193" s="297"/>
      <c r="K193" s="297"/>
      <c r="L193" s="297"/>
      <c r="M193" s="297"/>
      <c r="N193" s="297"/>
      <c r="O193" s="297"/>
      <c r="P193" s="297"/>
      <c r="Q193" s="297"/>
      <c r="R193" s="297"/>
      <c r="S193" s="297"/>
      <c r="T193" s="297"/>
      <c r="U193" s="297"/>
      <c r="V193" s="297"/>
      <c r="W193" s="297"/>
    </row>
    <row r="194" spans="1:23" ht="15.75">
      <c r="A194" s="369" t="s">
        <v>456</v>
      </c>
      <c r="B194" s="128"/>
      <c r="C194" s="128"/>
      <c r="D194" s="297"/>
      <c r="E194" s="297"/>
      <c r="F194" s="297"/>
      <c r="G194" s="297"/>
      <c r="H194" s="297"/>
      <c r="I194" s="297"/>
      <c r="J194" s="297"/>
      <c r="K194" s="297"/>
      <c r="L194" s="297"/>
      <c r="M194" s="297"/>
      <c r="N194" s="297"/>
      <c r="O194" s="297"/>
      <c r="P194" s="297"/>
      <c r="Q194" s="297"/>
      <c r="R194" s="297"/>
      <c r="S194" s="297"/>
      <c r="T194" s="297"/>
      <c r="U194" s="297"/>
      <c r="V194" s="297"/>
      <c r="W194" s="297"/>
    </row>
    <row r="195" spans="1:23" ht="16.5" thickBot="1">
      <c r="A195" s="105" t="s">
        <v>647</v>
      </c>
      <c r="B195" s="105"/>
      <c r="C195" s="105"/>
      <c r="D195" s="299"/>
      <c r="E195" s="299"/>
      <c r="F195" s="299"/>
      <c r="G195" s="299"/>
      <c r="H195" s="299"/>
      <c r="I195" s="299"/>
      <c r="J195" s="299"/>
      <c r="K195" s="299"/>
      <c r="L195" s="299"/>
      <c r="M195" s="299"/>
      <c r="N195" s="299"/>
      <c r="O195" s="299"/>
      <c r="P195" s="299"/>
      <c r="Q195" s="299"/>
      <c r="R195" s="299"/>
      <c r="S195" s="299"/>
      <c r="T195" s="299"/>
      <c r="U195" s="299"/>
      <c r="V195" s="299"/>
      <c r="W195" s="299"/>
    </row>
    <row r="196" spans="1:23">
      <c r="A196" s="306" t="s">
        <v>538</v>
      </c>
      <c r="B196" s="1320" t="s">
        <v>539</v>
      </c>
      <c r="C196" s="1316"/>
      <c r="D196" s="1316"/>
      <c r="E196" s="1316"/>
      <c r="F196" s="1316"/>
      <c r="G196" s="1316"/>
      <c r="H196" s="1316"/>
      <c r="I196" s="1316"/>
      <c r="J196" s="1316"/>
      <c r="K196" s="1316"/>
      <c r="L196" s="1312"/>
      <c r="M196" s="1320" t="s">
        <v>540</v>
      </c>
      <c r="N196" s="1316"/>
      <c r="O196" s="1316"/>
      <c r="P196" s="1316"/>
      <c r="Q196" s="1316"/>
      <c r="R196" s="1316"/>
      <c r="S196" s="1316"/>
      <c r="T196" s="1316"/>
      <c r="U196" s="1316"/>
      <c r="V196" s="1316"/>
      <c r="W196" s="1312"/>
    </row>
    <row r="197" spans="1:23" ht="60.75">
      <c r="A197" s="307" t="s">
        <v>541</v>
      </c>
      <c r="B197" s="308" t="s">
        <v>542</v>
      </c>
      <c r="C197" s="308" t="s">
        <v>543</v>
      </c>
      <c r="D197" s="309" t="s">
        <v>544</v>
      </c>
      <c r="E197" s="309" t="s">
        <v>545</v>
      </c>
      <c r="F197" s="309" t="s">
        <v>546</v>
      </c>
      <c r="G197" s="309" t="s">
        <v>547</v>
      </c>
      <c r="H197" s="309" t="s">
        <v>548</v>
      </c>
      <c r="I197" s="309" t="s">
        <v>549</v>
      </c>
      <c r="J197" s="310" t="s">
        <v>550</v>
      </c>
      <c r="K197" s="311" t="s">
        <v>551</v>
      </c>
      <c r="L197" s="312" t="s">
        <v>552</v>
      </c>
      <c r="M197" s="308" t="s">
        <v>542</v>
      </c>
      <c r="N197" s="308" t="s">
        <v>543</v>
      </c>
      <c r="O197" s="309" t="s">
        <v>544</v>
      </c>
      <c r="P197" s="309" t="s">
        <v>545</v>
      </c>
      <c r="Q197" s="309" t="s">
        <v>546</v>
      </c>
      <c r="R197" s="309" t="s">
        <v>547</v>
      </c>
      <c r="S197" s="309" t="s">
        <v>548</v>
      </c>
      <c r="T197" s="309" t="s">
        <v>549</v>
      </c>
      <c r="U197" s="310" t="s">
        <v>550</v>
      </c>
      <c r="V197" s="311" t="s">
        <v>551</v>
      </c>
      <c r="W197" s="312" t="s">
        <v>553</v>
      </c>
    </row>
    <row r="198" spans="1:23">
      <c r="A198" s="370" t="s">
        <v>648</v>
      </c>
      <c r="B198" s="300"/>
      <c r="C198" s="300"/>
      <c r="D198" s="300"/>
      <c r="E198" s="300"/>
      <c r="F198" s="300"/>
      <c r="G198" s="300"/>
      <c r="H198" s="300"/>
      <c r="I198" s="300"/>
      <c r="J198" s="300"/>
      <c r="K198" s="300"/>
      <c r="L198" s="314"/>
      <c r="M198" s="300"/>
      <c r="N198" s="300"/>
      <c r="O198" s="300"/>
      <c r="P198" s="300"/>
      <c r="Q198" s="300"/>
      <c r="R198" s="300"/>
      <c r="S198" s="300"/>
      <c r="T198" s="300"/>
      <c r="U198" s="300"/>
      <c r="V198" s="300"/>
      <c r="W198" s="314"/>
    </row>
    <row r="199" spans="1:23">
      <c r="A199" s="315" t="s">
        <v>554</v>
      </c>
      <c r="B199" s="303">
        <f>SUM(B200:B203)</f>
        <v>52925</v>
      </c>
      <c r="C199" s="303"/>
      <c r="D199" s="303"/>
      <c r="E199" s="303"/>
      <c r="F199" s="303"/>
      <c r="G199" s="303"/>
      <c r="H199" s="303"/>
      <c r="I199" s="303"/>
      <c r="J199" s="303"/>
      <c r="K199" s="303">
        <f>SUM(B199:J199)</f>
        <v>52925</v>
      </c>
      <c r="L199" s="371">
        <f>SUM(L200:L203)</f>
        <v>635100</v>
      </c>
      <c r="M199" s="303">
        <f>SUM(M200:M203)</f>
        <v>66748</v>
      </c>
      <c r="N199" s="303"/>
      <c r="O199" s="303"/>
      <c r="P199" s="303"/>
      <c r="Q199" s="303"/>
      <c r="R199" s="303"/>
      <c r="S199" s="303"/>
      <c r="T199" s="303"/>
      <c r="U199" s="303"/>
      <c r="V199" s="303">
        <f>SUM(M199:U199)</f>
        <v>66748</v>
      </c>
      <c r="W199" s="372">
        <f>+V199*12</f>
        <v>800976</v>
      </c>
    </row>
    <row r="200" spans="1:23">
      <c r="A200" s="313" t="s">
        <v>556</v>
      </c>
      <c r="B200" s="300">
        <f>1448+11000</f>
        <v>12448</v>
      </c>
      <c r="C200" s="300"/>
      <c r="D200" s="300"/>
      <c r="E200" s="300"/>
      <c r="F200" s="300"/>
      <c r="G200" s="300"/>
      <c r="H200" s="300"/>
      <c r="I200" s="300"/>
      <c r="J200" s="300"/>
      <c r="K200" s="300">
        <f>SUM(B200:J200)</f>
        <v>12448</v>
      </c>
      <c r="L200" s="314">
        <f>+K200*12</f>
        <v>149376</v>
      </c>
      <c r="M200" s="300">
        <f>1448+11000</f>
        <v>12448</v>
      </c>
      <c r="N200" s="300"/>
      <c r="O200" s="300"/>
      <c r="P200" s="300"/>
      <c r="Q200" s="300"/>
      <c r="R200" s="300"/>
      <c r="S200" s="300"/>
      <c r="T200" s="300"/>
      <c r="U200" s="300"/>
      <c r="V200" s="300">
        <f>SUM(M200:U200)</f>
        <v>12448</v>
      </c>
      <c r="W200" s="314">
        <f>+V200*12</f>
        <v>149376</v>
      </c>
    </row>
    <row r="201" spans="1:23">
      <c r="A201" s="313" t="s">
        <v>557</v>
      </c>
      <c r="B201" s="300">
        <f>1400+10000</f>
        <v>11400</v>
      </c>
      <c r="C201" s="300"/>
      <c r="D201" s="300"/>
      <c r="E201" s="300"/>
      <c r="F201" s="300"/>
      <c r="G201" s="300"/>
      <c r="H201" s="300"/>
      <c r="I201" s="300"/>
      <c r="J201" s="300"/>
      <c r="K201" s="300">
        <f>SUM(B201:J201)</f>
        <v>11400</v>
      </c>
      <c r="L201" s="314">
        <f>+K201*12</f>
        <v>136800</v>
      </c>
      <c r="M201" s="300">
        <f>1400+10000</f>
        <v>11400</v>
      </c>
      <c r="N201" s="300"/>
      <c r="O201" s="300"/>
      <c r="P201" s="300"/>
      <c r="Q201" s="300"/>
      <c r="R201" s="300"/>
      <c r="S201" s="300"/>
      <c r="T201" s="300"/>
      <c r="U201" s="300"/>
      <c r="V201" s="300">
        <f t="shared" ref="V201:V203" si="28">SUM(M201:U201)</f>
        <v>11400</v>
      </c>
      <c r="W201" s="314">
        <f>+V201*12</f>
        <v>136800</v>
      </c>
    </row>
    <row r="202" spans="1:23">
      <c r="A202" s="313" t="s">
        <v>558</v>
      </c>
      <c r="B202" s="300">
        <f>3432+10400</f>
        <v>13832</v>
      </c>
      <c r="C202" s="300"/>
      <c r="D202" s="300"/>
      <c r="E202" s="300"/>
      <c r="F202" s="300"/>
      <c r="G202" s="300"/>
      <c r="H202" s="300"/>
      <c r="I202" s="300"/>
      <c r="J202" s="300"/>
      <c r="K202" s="300">
        <f>SUM(B202:J202)</f>
        <v>13832</v>
      </c>
      <c r="L202" s="314">
        <f>+K202*12</f>
        <v>165984</v>
      </c>
      <c r="M202" s="300">
        <f>3432+10400+5362</f>
        <v>19194</v>
      </c>
      <c r="N202" s="300"/>
      <c r="O202" s="300"/>
      <c r="P202" s="300"/>
      <c r="Q202" s="300"/>
      <c r="R202" s="300"/>
      <c r="S202" s="300"/>
      <c r="T202" s="300"/>
      <c r="U202" s="300"/>
      <c r="V202" s="300">
        <f t="shared" si="28"/>
        <v>19194</v>
      </c>
      <c r="W202" s="314">
        <f t="shared" ref="W202:W203" si="29">+V202*12</f>
        <v>230328</v>
      </c>
    </row>
    <row r="203" spans="1:23">
      <c r="A203" s="313" t="s">
        <v>560</v>
      </c>
      <c r="B203" s="300">
        <f>5245+10000</f>
        <v>15245</v>
      </c>
      <c r="C203" s="300"/>
      <c r="D203" s="300"/>
      <c r="E203" s="300"/>
      <c r="F203" s="300"/>
      <c r="G203" s="300"/>
      <c r="H203" s="300"/>
      <c r="I203" s="300"/>
      <c r="J203" s="300"/>
      <c r="K203" s="300">
        <f>SUM(B203:J203)</f>
        <v>15245</v>
      </c>
      <c r="L203" s="314">
        <f>+K203*12</f>
        <v>182940</v>
      </c>
      <c r="M203" s="300">
        <f>5245+10000+8461</f>
        <v>23706</v>
      </c>
      <c r="N203" s="300"/>
      <c r="O203" s="300"/>
      <c r="P203" s="300"/>
      <c r="Q203" s="300"/>
      <c r="R203" s="300"/>
      <c r="S203" s="300"/>
      <c r="T203" s="300"/>
      <c r="U203" s="300"/>
      <c r="V203" s="300">
        <f t="shared" si="28"/>
        <v>23706</v>
      </c>
      <c r="W203" s="314">
        <f t="shared" si="29"/>
        <v>284472</v>
      </c>
    </row>
    <row r="204" spans="1:23">
      <c r="A204" s="315" t="s">
        <v>561</v>
      </c>
      <c r="B204" s="303">
        <f t="shared" ref="B204:D204" si="30">SUM(B205:B236)</f>
        <v>1574429</v>
      </c>
      <c r="C204" s="303"/>
      <c r="D204" s="303">
        <f t="shared" si="30"/>
        <v>799100</v>
      </c>
      <c r="E204" s="303"/>
      <c r="F204" s="303"/>
      <c r="G204" s="303"/>
      <c r="H204" s="303"/>
      <c r="I204" s="303"/>
      <c r="J204" s="303"/>
      <c r="K204" s="303">
        <f>SUM(K205:K236)</f>
        <v>2373529</v>
      </c>
      <c r="L204" s="373">
        <f>SUM(L205:L236)</f>
        <v>28482348</v>
      </c>
      <c r="M204" s="303">
        <f t="shared" ref="M204:V204" si="31">SUM(M205:M236)</f>
        <v>1885744</v>
      </c>
      <c r="N204" s="303"/>
      <c r="O204" s="303">
        <f t="shared" si="31"/>
        <v>949100</v>
      </c>
      <c r="P204" s="303"/>
      <c r="Q204" s="303"/>
      <c r="R204" s="303"/>
      <c r="S204" s="303"/>
      <c r="T204" s="303"/>
      <c r="U204" s="303"/>
      <c r="V204" s="303">
        <f t="shared" si="31"/>
        <v>2834844</v>
      </c>
      <c r="W204" s="371">
        <f>+V204*12</f>
        <v>34018128</v>
      </c>
    </row>
    <row r="205" spans="1:23">
      <c r="A205" s="313" t="s">
        <v>649</v>
      </c>
      <c r="B205" s="300">
        <v>202844</v>
      </c>
      <c r="C205" s="300"/>
      <c r="D205" s="300"/>
      <c r="E205" s="300"/>
      <c r="F205" s="300"/>
      <c r="G205" s="300"/>
      <c r="H205" s="300"/>
      <c r="I205" s="300"/>
      <c r="J205" s="300"/>
      <c r="K205" s="300">
        <f t="shared" ref="K205:K236" si="32">SUM(B205:J205)</f>
        <v>202844</v>
      </c>
      <c r="L205" s="314">
        <f>+K205*12</f>
        <v>2434128</v>
      </c>
      <c r="M205" s="300">
        <v>202844</v>
      </c>
      <c r="N205" s="300"/>
      <c r="O205" s="300"/>
      <c r="P205" s="300"/>
      <c r="Q205" s="300"/>
      <c r="R205" s="300"/>
      <c r="S205" s="300"/>
      <c r="T205" s="300"/>
      <c r="U205" s="300"/>
      <c r="V205" s="300">
        <f t="shared" ref="V205:V236" si="33">SUM(M205:U205)</f>
        <v>202844</v>
      </c>
      <c r="W205" s="314">
        <f>+V205*12</f>
        <v>2434128</v>
      </c>
    </row>
    <row r="206" spans="1:23">
      <c r="A206" s="313" t="s">
        <v>650</v>
      </c>
      <c r="B206" s="300">
        <v>27352</v>
      </c>
      <c r="C206" s="300"/>
      <c r="D206" s="300"/>
      <c r="E206" s="300"/>
      <c r="F206" s="300"/>
      <c r="G206" s="300"/>
      <c r="H206" s="300"/>
      <c r="I206" s="300"/>
      <c r="J206" s="300"/>
      <c r="K206" s="300">
        <f t="shared" si="32"/>
        <v>27352</v>
      </c>
      <c r="L206" s="314">
        <f>+K206*12</f>
        <v>328224</v>
      </c>
      <c r="M206" s="300">
        <v>27352</v>
      </c>
      <c r="N206" s="300"/>
      <c r="O206" s="300"/>
      <c r="P206" s="300"/>
      <c r="Q206" s="300"/>
      <c r="R206" s="300"/>
      <c r="S206" s="300"/>
      <c r="T206" s="300"/>
      <c r="U206" s="300"/>
      <c r="V206" s="300">
        <f t="shared" si="33"/>
        <v>27352</v>
      </c>
      <c r="W206" s="314">
        <f t="shared" ref="W206:W236" si="34">+V206*12</f>
        <v>328224</v>
      </c>
    </row>
    <row r="207" spans="1:23">
      <c r="A207" s="313" t="s">
        <v>651</v>
      </c>
      <c r="B207" s="300">
        <v>51621</v>
      </c>
      <c r="C207" s="300"/>
      <c r="D207" s="300"/>
      <c r="E207" s="300"/>
      <c r="F207" s="300"/>
      <c r="G207" s="300"/>
      <c r="H207" s="300"/>
      <c r="I207" s="300"/>
      <c r="J207" s="300"/>
      <c r="K207" s="300">
        <f t="shared" si="32"/>
        <v>51621</v>
      </c>
      <c r="L207" s="314">
        <f t="shared" ref="L207:L233" si="35">+K207*12</f>
        <v>619452</v>
      </c>
      <c r="M207" s="300">
        <v>51621</v>
      </c>
      <c r="N207" s="300"/>
      <c r="O207" s="300"/>
      <c r="P207" s="300"/>
      <c r="Q207" s="300"/>
      <c r="R207" s="300"/>
      <c r="S207" s="300"/>
      <c r="T207" s="300"/>
      <c r="U207" s="300"/>
      <c r="V207" s="300">
        <f t="shared" si="33"/>
        <v>51621</v>
      </c>
      <c r="W207" s="314">
        <f t="shared" si="34"/>
        <v>619452</v>
      </c>
    </row>
    <row r="208" spans="1:23">
      <c r="A208" s="313" t="s">
        <v>652</v>
      </c>
      <c r="B208" s="300">
        <v>332901</v>
      </c>
      <c r="C208" s="300"/>
      <c r="D208" s="300">
        <v>122000</v>
      </c>
      <c r="E208" s="300"/>
      <c r="F208" s="300"/>
      <c r="G208" s="300"/>
      <c r="H208" s="300"/>
      <c r="I208" s="300"/>
      <c r="J208" s="300"/>
      <c r="K208" s="300">
        <f t="shared" si="32"/>
        <v>454901</v>
      </c>
      <c r="L208" s="314">
        <f t="shared" si="35"/>
        <v>5458812</v>
      </c>
      <c r="M208" s="300">
        <f>332901+120984</f>
        <v>453885</v>
      </c>
      <c r="N208" s="300"/>
      <c r="O208" s="300">
        <f>122000+60000</f>
        <v>182000</v>
      </c>
      <c r="P208" s="300"/>
      <c r="Q208" s="300"/>
      <c r="R208" s="300"/>
      <c r="S208" s="300"/>
      <c r="T208" s="300"/>
      <c r="U208" s="300"/>
      <c r="V208" s="300">
        <f t="shared" si="33"/>
        <v>635885</v>
      </c>
      <c r="W208" s="314">
        <f t="shared" si="34"/>
        <v>7630620</v>
      </c>
    </row>
    <row r="209" spans="1:23">
      <c r="A209" s="313" t="s">
        <v>653</v>
      </c>
      <c r="B209" s="300">
        <v>179567</v>
      </c>
      <c r="C209" s="300"/>
      <c r="D209" s="300"/>
      <c r="E209" s="300"/>
      <c r="F209" s="300"/>
      <c r="G209" s="300"/>
      <c r="H209" s="300"/>
      <c r="I209" s="300"/>
      <c r="J209" s="300"/>
      <c r="K209" s="300">
        <f t="shared" si="32"/>
        <v>179567</v>
      </c>
      <c r="L209" s="314">
        <f t="shared" si="35"/>
        <v>2154804</v>
      </c>
      <c r="M209" s="300">
        <v>179567</v>
      </c>
      <c r="N209" s="300"/>
      <c r="O209" s="300"/>
      <c r="P209" s="300"/>
      <c r="Q209" s="300"/>
      <c r="R209" s="300"/>
      <c r="S209" s="300"/>
      <c r="T209" s="300"/>
      <c r="U209" s="300"/>
      <c r="V209" s="300">
        <f t="shared" si="33"/>
        <v>179567</v>
      </c>
      <c r="W209" s="314">
        <f t="shared" si="34"/>
        <v>2154804</v>
      </c>
    </row>
    <row r="210" spans="1:23">
      <c r="A210" s="313" t="s">
        <v>654</v>
      </c>
      <c r="B210" s="300">
        <v>6388</v>
      </c>
      <c r="C210" s="300"/>
      <c r="D210" s="300"/>
      <c r="E210" s="300"/>
      <c r="F210" s="300"/>
      <c r="G210" s="300"/>
      <c r="H210" s="300"/>
      <c r="I210" s="300"/>
      <c r="J210" s="300"/>
      <c r="K210" s="300">
        <f t="shared" si="32"/>
        <v>6388</v>
      </c>
      <c r="L210" s="314">
        <f t="shared" si="35"/>
        <v>76656</v>
      </c>
      <c r="M210" s="300">
        <v>6388</v>
      </c>
      <c r="N210" s="300"/>
      <c r="O210" s="300"/>
      <c r="P210" s="300"/>
      <c r="Q210" s="300"/>
      <c r="R210" s="300"/>
      <c r="S210" s="300"/>
      <c r="T210" s="300"/>
      <c r="U210" s="300"/>
      <c r="V210" s="300">
        <f t="shared" si="33"/>
        <v>6388</v>
      </c>
      <c r="W210" s="314">
        <f t="shared" si="34"/>
        <v>76656</v>
      </c>
    </row>
    <row r="211" spans="1:23">
      <c r="A211" s="313" t="s">
        <v>655</v>
      </c>
      <c r="B211" s="300">
        <v>29981</v>
      </c>
      <c r="C211" s="300"/>
      <c r="D211" s="300"/>
      <c r="E211" s="300"/>
      <c r="F211" s="300"/>
      <c r="G211" s="300"/>
      <c r="H211" s="300"/>
      <c r="I211" s="300"/>
      <c r="J211" s="300"/>
      <c r="K211" s="300">
        <f t="shared" si="32"/>
        <v>29981</v>
      </c>
      <c r="L211" s="314">
        <f t="shared" si="35"/>
        <v>359772</v>
      </c>
      <c r="M211" s="300">
        <v>29981</v>
      </c>
      <c r="N211" s="300"/>
      <c r="O211" s="300"/>
      <c r="P211" s="300"/>
      <c r="Q211" s="300"/>
      <c r="R211" s="300"/>
      <c r="S211" s="300"/>
      <c r="T211" s="300"/>
      <c r="U211" s="300"/>
      <c r="V211" s="300">
        <f t="shared" si="33"/>
        <v>29981</v>
      </c>
      <c r="W211" s="314">
        <f t="shared" si="34"/>
        <v>359772</v>
      </c>
    </row>
    <row r="212" spans="1:23">
      <c r="A212" s="313" t="s">
        <v>656</v>
      </c>
      <c r="B212" s="300">
        <v>51078</v>
      </c>
      <c r="C212" s="300"/>
      <c r="D212" s="300"/>
      <c r="E212" s="300"/>
      <c r="F212" s="300"/>
      <c r="G212" s="300"/>
      <c r="H212" s="300"/>
      <c r="I212" s="300"/>
      <c r="J212" s="300"/>
      <c r="K212" s="300">
        <f t="shared" si="32"/>
        <v>51078</v>
      </c>
      <c r="L212" s="314">
        <f t="shared" si="35"/>
        <v>612936</v>
      </c>
      <c r="M212" s="300">
        <v>51078</v>
      </c>
      <c r="N212" s="300"/>
      <c r="O212" s="300"/>
      <c r="P212" s="300"/>
      <c r="Q212" s="300"/>
      <c r="R212" s="300"/>
      <c r="S212" s="300"/>
      <c r="T212" s="300"/>
      <c r="U212" s="300"/>
      <c r="V212" s="300">
        <f t="shared" si="33"/>
        <v>51078</v>
      </c>
      <c r="W212" s="314">
        <f t="shared" si="34"/>
        <v>612936</v>
      </c>
    </row>
    <row r="213" spans="1:23">
      <c r="A213" s="313" t="s">
        <v>657</v>
      </c>
      <c r="B213" s="300">
        <v>398212</v>
      </c>
      <c r="C213" s="300"/>
      <c r="D213" s="300">
        <v>381750</v>
      </c>
      <c r="E213" s="300"/>
      <c r="F213" s="300"/>
      <c r="G213" s="300"/>
      <c r="H213" s="300"/>
      <c r="I213" s="300"/>
      <c r="J213" s="300"/>
      <c r="K213" s="300">
        <f t="shared" si="32"/>
        <v>779962</v>
      </c>
      <c r="L213" s="314">
        <f t="shared" si="35"/>
        <v>9359544</v>
      </c>
      <c r="M213" s="300">
        <f>398212+108761</f>
        <v>506973</v>
      </c>
      <c r="N213" s="300"/>
      <c r="O213" s="300">
        <f>381750+67500</f>
        <v>449250</v>
      </c>
      <c r="P213" s="300"/>
      <c r="Q213" s="300"/>
      <c r="R213" s="300"/>
      <c r="S213" s="300"/>
      <c r="T213" s="300"/>
      <c r="U213" s="300"/>
      <c r="V213" s="300">
        <f t="shared" si="33"/>
        <v>956223</v>
      </c>
      <c r="W213" s="314">
        <f t="shared" si="34"/>
        <v>11474676</v>
      </c>
    </row>
    <row r="214" spans="1:23">
      <c r="A214" s="313" t="s">
        <v>658</v>
      </c>
      <c r="B214" s="300">
        <v>37722</v>
      </c>
      <c r="C214" s="300"/>
      <c r="D214" s="300"/>
      <c r="E214" s="300"/>
      <c r="F214" s="300"/>
      <c r="G214" s="300"/>
      <c r="H214" s="300"/>
      <c r="I214" s="300"/>
      <c r="J214" s="300"/>
      <c r="K214" s="300">
        <f t="shared" si="32"/>
        <v>37722</v>
      </c>
      <c r="L214" s="314">
        <f t="shared" si="35"/>
        <v>452664</v>
      </c>
      <c r="M214" s="300">
        <v>37722</v>
      </c>
      <c r="N214" s="300"/>
      <c r="O214" s="300"/>
      <c r="P214" s="300"/>
      <c r="Q214" s="300"/>
      <c r="R214" s="300"/>
      <c r="S214" s="300"/>
      <c r="T214" s="300"/>
      <c r="U214" s="300"/>
      <c r="V214" s="300">
        <f t="shared" si="33"/>
        <v>37722</v>
      </c>
      <c r="W214" s="314">
        <f t="shared" si="34"/>
        <v>452664</v>
      </c>
    </row>
    <row r="215" spans="1:23">
      <c r="A215" s="313" t="s">
        <v>659</v>
      </c>
      <c r="B215" s="300">
        <v>3124</v>
      </c>
      <c r="C215" s="300"/>
      <c r="D215" s="300"/>
      <c r="E215" s="300"/>
      <c r="F215" s="300"/>
      <c r="G215" s="300"/>
      <c r="H215" s="300"/>
      <c r="I215" s="300"/>
      <c r="J215" s="300"/>
      <c r="K215" s="300">
        <f t="shared" si="32"/>
        <v>3124</v>
      </c>
      <c r="L215" s="314">
        <f t="shared" si="35"/>
        <v>37488</v>
      </c>
      <c r="M215" s="300">
        <v>3124</v>
      </c>
      <c r="N215" s="300"/>
      <c r="O215" s="300"/>
      <c r="P215" s="300"/>
      <c r="Q215" s="300"/>
      <c r="R215" s="300"/>
      <c r="S215" s="300"/>
      <c r="T215" s="300"/>
      <c r="U215" s="300"/>
      <c r="V215" s="300">
        <f t="shared" si="33"/>
        <v>3124</v>
      </c>
      <c r="W215" s="314">
        <f t="shared" si="34"/>
        <v>37488</v>
      </c>
    </row>
    <row r="216" spans="1:23">
      <c r="A216" s="313" t="s">
        <v>660</v>
      </c>
      <c r="B216" s="300">
        <v>5791</v>
      </c>
      <c r="C216" s="300"/>
      <c r="D216" s="300"/>
      <c r="E216" s="300"/>
      <c r="F216" s="300"/>
      <c r="G216" s="300"/>
      <c r="H216" s="300"/>
      <c r="I216" s="300"/>
      <c r="J216" s="300"/>
      <c r="K216" s="300">
        <f t="shared" si="32"/>
        <v>5791</v>
      </c>
      <c r="L216" s="314">
        <f t="shared" si="35"/>
        <v>69492</v>
      </c>
      <c r="M216" s="300">
        <v>5791</v>
      </c>
      <c r="N216" s="300"/>
      <c r="O216" s="300"/>
      <c r="P216" s="300"/>
      <c r="Q216" s="300"/>
      <c r="R216" s="300"/>
      <c r="S216" s="300"/>
      <c r="T216" s="300"/>
      <c r="U216" s="300"/>
      <c r="V216" s="300">
        <f t="shared" si="33"/>
        <v>5791</v>
      </c>
      <c r="W216" s="314">
        <f t="shared" si="34"/>
        <v>69492</v>
      </c>
    </row>
    <row r="217" spans="1:23">
      <c r="A217" s="313" t="s">
        <v>661</v>
      </c>
      <c r="B217" s="300">
        <v>9852</v>
      </c>
      <c r="C217" s="300"/>
      <c r="D217" s="300"/>
      <c r="E217" s="300"/>
      <c r="F217" s="300"/>
      <c r="G217" s="300"/>
      <c r="H217" s="300"/>
      <c r="I217" s="300"/>
      <c r="J217" s="300"/>
      <c r="K217" s="300">
        <f t="shared" si="32"/>
        <v>9852</v>
      </c>
      <c r="L217" s="314">
        <f t="shared" si="35"/>
        <v>118224</v>
      </c>
      <c r="M217" s="300">
        <v>9852</v>
      </c>
      <c r="N217" s="300"/>
      <c r="O217" s="300"/>
      <c r="P217" s="300"/>
      <c r="Q217" s="300"/>
      <c r="R217" s="300"/>
      <c r="S217" s="300"/>
      <c r="T217" s="300"/>
      <c r="U217" s="300"/>
      <c r="V217" s="300">
        <f t="shared" si="33"/>
        <v>9852</v>
      </c>
      <c r="W217" s="314">
        <f t="shared" si="34"/>
        <v>118224</v>
      </c>
    </row>
    <row r="218" spans="1:23">
      <c r="A218" s="313" t="s">
        <v>662</v>
      </c>
      <c r="B218" s="300">
        <v>70503</v>
      </c>
      <c r="C218" s="300"/>
      <c r="D218" s="300">
        <v>130500</v>
      </c>
      <c r="E218" s="300"/>
      <c r="F218" s="300"/>
      <c r="G218" s="300"/>
      <c r="H218" s="300"/>
      <c r="I218" s="300"/>
      <c r="J218" s="300"/>
      <c r="K218" s="300">
        <f t="shared" si="32"/>
        <v>201003</v>
      </c>
      <c r="L218" s="314">
        <f t="shared" si="35"/>
        <v>2412036</v>
      </c>
      <c r="M218" s="300">
        <f>70503+54380</f>
        <v>124883</v>
      </c>
      <c r="N218" s="300"/>
      <c r="O218" s="300">
        <f>130500+11250</f>
        <v>141750</v>
      </c>
      <c r="P218" s="300"/>
      <c r="Q218" s="300"/>
      <c r="R218" s="300"/>
      <c r="S218" s="300"/>
      <c r="T218" s="300"/>
      <c r="U218" s="300"/>
      <c r="V218" s="300">
        <f t="shared" si="33"/>
        <v>266633</v>
      </c>
      <c r="W218" s="314">
        <f t="shared" si="34"/>
        <v>3199596</v>
      </c>
    </row>
    <row r="219" spans="1:23">
      <c r="A219" s="313" t="s">
        <v>663</v>
      </c>
      <c r="B219" s="300">
        <v>4471</v>
      </c>
      <c r="C219" s="300"/>
      <c r="D219" s="300"/>
      <c r="E219" s="300"/>
      <c r="F219" s="300"/>
      <c r="G219" s="300"/>
      <c r="H219" s="300"/>
      <c r="I219" s="300"/>
      <c r="J219" s="300"/>
      <c r="K219" s="300">
        <f t="shared" si="32"/>
        <v>4471</v>
      </c>
      <c r="L219" s="314">
        <f t="shared" si="35"/>
        <v>53652</v>
      </c>
      <c r="M219" s="300">
        <v>4471</v>
      </c>
      <c r="N219" s="300"/>
      <c r="O219" s="300"/>
      <c r="P219" s="300"/>
      <c r="Q219" s="300"/>
      <c r="R219" s="300"/>
      <c r="S219" s="300"/>
      <c r="T219" s="300"/>
      <c r="U219" s="300"/>
      <c r="V219" s="300">
        <f t="shared" si="33"/>
        <v>4471</v>
      </c>
      <c r="W219" s="314">
        <f t="shared" si="34"/>
        <v>53652</v>
      </c>
    </row>
    <row r="220" spans="1:23">
      <c r="A220" s="313" t="s">
        <v>664</v>
      </c>
      <c r="B220" s="300">
        <v>21684</v>
      </c>
      <c r="C220" s="300"/>
      <c r="D220" s="300">
        <v>84000</v>
      </c>
      <c r="E220" s="300"/>
      <c r="F220" s="300"/>
      <c r="G220" s="300"/>
      <c r="H220" s="300"/>
      <c r="I220" s="300"/>
      <c r="J220" s="300"/>
      <c r="K220" s="300">
        <f t="shared" si="32"/>
        <v>105684</v>
      </c>
      <c r="L220" s="314">
        <f t="shared" si="35"/>
        <v>1268208</v>
      </c>
      <c r="M220" s="300">
        <v>21684</v>
      </c>
      <c r="N220" s="300"/>
      <c r="O220" s="300">
        <v>84000</v>
      </c>
      <c r="P220" s="300"/>
      <c r="Q220" s="300"/>
      <c r="R220" s="300"/>
      <c r="S220" s="300"/>
      <c r="T220" s="300"/>
      <c r="U220" s="300"/>
      <c r="V220" s="300">
        <f t="shared" si="33"/>
        <v>105684</v>
      </c>
      <c r="W220" s="314">
        <f t="shared" si="34"/>
        <v>1268208</v>
      </c>
    </row>
    <row r="221" spans="1:23">
      <c r="A221" s="313" t="s">
        <v>665</v>
      </c>
      <c r="B221" s="300">
        <v>8942</v>
      </c>
      <c r="C221" s="300"/>
      <c r="D221" s="300"/>
      <c r="E221" s="300"/>
      <c r="F221" s="300"/>
      <c r="G221" s="300"/>
      <c r="H221" s="300"/>
      <c r="I221" s="300"/>
      <c r="J221" s="300"/>
      <c r="K221" s="300">
        <f t="shared" si="32"/>
        <v>8942</v>
      </c>
      <c r="L221" s="314">
        <f t="shared" si="35"/>
        <v>107304</v>
      </c>
      <c r="M221" s="300">
        <v>8942</v>
      </c>
      <c r="N221" s="300"/>
      <c r="O221" s="300"/>
      <c r="P221" s="300"/>
      <c r="Q221" s="300"/>
      <c r="R221" s="300"/>
      <c r="S221" s="300"/>
      <c r="T221" s="300"/>
      <c r="U221" s="300"/>
      <c r="V221" s="300">
        <f t="shared" si="33"/>
        <v>8942</v>
      </c>
      <c r="W221" s="314">
        <f t="shared" si="34"/>
        <v>107304</v>
      </c>
    </row>
    <row r="222" spans="1:23">
      <c r="A222" s="313" t="s">
        <v>666</v>
      </c>
      <c r="B222" s="300">
        <v>6872</v>
      </c>
      <c r="C222" s="300"/>
      <c r="D222" s="300">
        <v>14250</v>
      </c>
      <c r="E222" s="300"/>
      <c r="F222" s="300"/>
      <c r="G222" s="300"/>
      <c r="H222" s="300"/>
      <c r="I222" s="300"/>
      <c r="J222" s="300"/>
      <c r="K222" s="300">
        <f t="shared" si="32"/>
        <v>21122</v>
      </c>
      <c r="L222" s="314">
        <f t="shared" si="35"/>
        <v>253464</v>
      </c>
      <c r="M222" s="300">
        <v>6872</v>
      </c>
      <c r="N222" s="300"/>
      <c r="O222" s="300">
        <v>14250</v>
      </c>
      <c r="P222" s="300"/>
      <c r="Q222" s="300"/>
      <c r="R222" s="300"/>
      <c r="S222" s="300"/>
      <c r="T222" s="300"/>
      <c r="U222" s="300"/>
      <c r="V222" s="300">
        <f t="shared" si="33"/>
        <v>21122</v>
      </c>
      <c r="W222" s="314">
        <f t="shared" si="34"/>
        <v>253464</v>
      </c>
    </row>
    <row r="223" spans="1:23">
      <c r="A223" s="313" t="s">
        <v>667</v>
      </c>
      <c r="B223" s="300">
        <v>8942</v>
      </c>
      <c r="C223" s="300"/>
      <c r="D223" s="300"/>
      <c r="E223" s="300"/>
      <c r="F223" s="300"/>
      <c r="G223" s="300"/>
      <c r="H223" s="300"/>
      <c r="I223" s="300"/>
      <c r="J223" s="300"/>
      <c r="K223" s="300">
        <f t="shared" si="32"/>
        <v>8942</v>
      </c>
      <c r="L223" s="314">
        <f t="shared" si="35"/>
        <v>107304</v>
      </c>
      <c r="M223" s="300">
        <v>8942</v>
      </c>
      <c r="N223" s="300"/>
      <c r="O223" s="300"/>
      <c r="P223" s="300"/>
      <c r="Q223" s="300"/>
      <c r="R223" s="300"/>
      <c r="S223" s="300"/>
      <c r="T223" s="300"/>
      <c r="U223" s="300"/>
      <c r="V223" s="300">
        <f t="shared" si="33"/>
        <v>8942</v>
      </c>
      <c r="W223" s="314">
        <f t="shared" si="34"/>
        <v>107304</v>
      </c>
    </row>
    <row r="224" spans="1:23">
      <c r="A224" s="313" t="s">
        <v>668</v>
      </c>
      <c r="B224" s="300">
        <v>8766</v>
      </c>
      <c r="C224" s="300"/>
      <c r="D224" s="300"/>
      <c r="E224" s="300"/>
      <c r="F224" s="300"/>
      <c r="G224" s="300"/>
      <c r="H224" s="300"/>
      <c r="I224" s="300"/>
      <c r="J224" s="300"/>
      <c r="K224" s="300">
        <f t="shared" si="32"/>
        <v>8766</v>
      </c>
      <c r="L224" s="314">
        <f t="shared" si="35"/>
        <v>105192</v>
      </c>
      <c r="M224" s="300">
        <v>8766</v>
      </c>
      <c r="N224" s="300"/>
      <c r="O224" s="300"/>
      <c r="P224" s="300"/>
      <c r="Q224" s="300"/>
      <c r="R224" s="300"/>
      <c r="S224" s="300"/>
      <c r="T224" s="300"/>
      <c r="U224" s="300"/>
      <c r="V224" s="300">
        <f t="shared" si="33"/>
        <v>8766</v>
      </c>
      <c r="W224" s="314">
        <f t="shared" si="34"/>
        <v>105192</v>
      </c>
    </row>
    <row r="225" spans="1:23">
      <c r="A225" s="313" t="s">
        <v>669</v>
      </c>
      <c r="B225" s="300">
        <v>3344</v>
      </c>
      <c r="C225" s="300"/>
      <c r="D225" s="300">
        <v>2250</v>
      </c>
      <c r="E225" s="300"/>
      <c r="F225" s="300"/>
      <c r="G225" s="300"/>
      <c r="H225" s="300"/>
      <c r="I225" s="300"/>
      <c r="J225" s="300"/>
      <c r="K225" s="300">
        <f t="shared" si="32"/>
        <v>5594</v>
      </c>
      <c r="L225" s="314">
        <f t="shared" si="35"/>
        <v>67128</v>
      </c>
      <c r="M225" s="300">
        <v>3344</v>
      </c>
      <c r="N225" s="300"/>
      <c r="O225" s="300">
        <v>2250</v>
      </c>
      <c r="P225" s="300"/>
      <c r="Q225" s="300"/>
      <c r="R225" s="300"/>
      <c r="S225" s="300"/>
      <c r="T225" s="300"/>
      <c r="U225" s="300"/>
      <c r="V225" s="300">
        <f t="shared" si="33"/>
        <v>5594</v>
      </c>
      <c r="W225" s="314">
        <f t="shared" si="34"/>
        <v>67128</v>
      </c>
    </row>
    <row r="226" spans="1:23">
      <c r="A226" s="313" t="s">
        <v>670</v>
      </c>
      <c r="B226" s="300">
        <v>7320</v>
      </c>
      <c r="C226" s="300"/>
      <c r="D226" s="300"/>
      <c r="E226" s="300"/>
      <c r="F226" s="300"/>
      <c r="G226" s="300"/>
      <c r="H226" s="300"/>
      <c r="I226" s="300"/>
      <c r="J226" s="300"/>
      <c r="K226" s="300">
        <f t="shared" si="32"/>
        <v>7320</v>
      </c>
      <c r="L226" s="314">
        <f t="shared" si="35"/>
        <v>87840</v>
      </c>
      <c r="M226" s="300">
        <v>7320</v>
      </c>
      <c r="N226" s="300"/>
      <c r="O226" s="300"/>
      <c r="P226" s="300"/>
      <c r="Q226" s="300"/>
      <c r="R226" s="300"/>
      <c r="S226" s="300"/>
      <c r="T226" s="300"/>
      <c r="U226" s="300"/>
      <c r="V226" s="300">
        <f t="shared" si="33"/>
        <v>7320</v>
      </c>
      <c r="W226" s="314">
        <f t="shared" si="34"/>
        <v>87840</v>
      </c>
    </row>
    <row r="227" spans="1:23">
      <c r="A227" s="313" t="s">
        <v>671</v>
      </c>
      <c r="B227" s="300">
        <v>12659</v>
      </c>
      <c r="C227" s="300"/>
      <c r="D227" s="300">
        <v>30000</v>
      </c>
      <c r="E227" s="300"/>
      <c r="F227" s="300"/>
      <c r="G227" s="300"/>
      <c r="H227" s="300"/>
      <c r="I227" s="300"/>
      <c r="J227" s="300"/>
      <c r="K227" s="300">
        <f t="shared" si="32"/>
        <v>42659</v>
      </c>
      <c r="L227" s="314">
        <f t="shared" si="35"/>
        <v>511908</v>
      </c>
      <c r="M227" s="300">
        <f>12659+27190</f>
        <v>39849</v>
      </c>
      <c r="N227" s="300"/>
      <c r="O227" s="300">
        <f>30000+11250</f>
        <v>41250</v>
      </c>
      <c r="P227" s="300"/>
      <c r="Q227" s="300"/>
      <c r="R227" s="300"/>
      <c r="S227" s="300"/>
      <c r="T227" s="300"/>
      <c r="U227" s="300"/>
      <c r="V227" s="300">
        <f t="shared" si="33"/>
        <v>81099</v>
      </c>
      <c r="W227" s="314">
        <f t="shared" si="34"/>
        <v>973188</v>
      </c>
    </row>
    <row r="228" spans="1:23">
      <c r="A228" s="313" t="s">
        <v>672</v>
      </c>
      <c r="B228" s="300">
        <v>3660</v>
      </c>
      <c r="C228" s="300"/>
      <c r="D228" s="300"/>
      <c r="E228" s="300"/>
      <c r="F228" s="300"/>
      <c r="G228" s="300"/>
      <c r="H228" s="300"/>
      <c r="I228" s="300"/>
      <c r="J228" s="300"/>
      <c r="K228" s="300">
        <f t="shared" si="32"/>
        <v>3660</v>
      </c>
      <c r="L228" s="314">
        <f t="shared" si="35"/>
        <v>43920</v>
      </c>
      <c r="M228" s="300">
        <v>3660</v>
      </c>
      <c r="N228" s="300"/>
      <c r="O228" s="300"/>
      <c r="P228" s="300"/>
      <c r="Q228" s="300"/>
      <c r="R228" s="300"/>
      <c r="S228" s="300"/>
      <c r="T228" s="300"/>
      <c r="U228" s="300"/>
      <c r="V228" s="300">
        <f t="shared" si="33"/>
        <v>3660</v>
      </c>
      <c r="W228" s="314">
        <f t="shared" si="34"/>
        <v>43920</v>
      </c>
    </row>
    <row r="229" spans="1:23">
      <c r="A229" s="313" t="s">
        <v>673</v>
      </c>
      <c r="B229" s="300">
        <v>2443</v>
      </c>
      <c r="C229" s="300"/>
      <c r="D229" s="300"/>
      <c r="E229" s="300"/>
      <c r="F229" s="300"/>
      <c r="G229" s="300"/>
      <c r="H229" s="300"/>
      <c r="I229" s="300"/>
      <c r="J229" s="300"/>
      <c r="K229" s="300">
        <f t="shared" si="32"/>
        <v>2443</v>
      </c>
      <c r="L229" s="314">
        <f t="shared" si="35"/>
        <v>29316</v>
      </c>
      <c r="M229" s="300">
        <v>2443</v>
      </c>
      <c r="N229" s="300"/>
      <c r="O229" s="300"/>
      <c r="P229" s="300"/>
      <c r="Q229" s="300"/>
      <c r="R229" s="300"/>
      <c r="S229" s="300"/>
      <c r="T229" s="300"/>
      <c r="U229" s="300"/>
      <c r="V229" s="300">
        <f t="shared" si="33"/>
        <v>2443</v>
      </c>
      <c r="W229" s="314">
        <f t="shared" si="34"/>
        <v>29316</v>
      </c>
    </row>
    <row r="230" spans="1:23">
      <c r="A230" s="313" t="s">
        <v>674</v>
      </c>
      <c r="B230" s="300">
        <v>2280</v>
      </c>
      <c r="C230" s="300"/>
      <c r="D230" s="300"/>
      <c r="E230" s="300"/>
      <c r="F230" s="300"/>
      <c r="G230" s="300"/>
      <c r="H230" s="300"/>
      <c r="I230" s="300"/>
      <c r="J230" s="300"/>
      <c r="K230" s="300">
        <f t="shared" si="32"/>
        <v>2280</v>
      </c>
      <c r="L230" s="314">
        <f t="shared" si="35"/>
        <v>27360</v>
      </c>
      <c r="M230" s="300">
        <v>2280</v>
      </c>
      <c r="N230" s="300"/>
      <c r="O230" s="300"/>
      <c r="P230" s="300"/>
      <c r="Q230" s="300"/>
      <c r="R230" s="300"/>
      <c r="S230" s="300"/>
      <c r="T230" s="300"/>
      <c r="U230" s="300"/>
      <c r="V230" s="300">
        <f t="shared" si="33"/>
        <v>2280</v>
      </c>
      <c r="W230" s="314">
        <f t="shared" si="34"/>
        <v>27360</v>
      </c>
    </row>
    <row r="231" spans="1:23">
      <c r="A231" s="313" t="s">
        <v>675</v>
      </c>
      <c r="B231" s="300">
        <v>2438</v>
      </c>
      <c r="C231" s="300"/>
      <c r="D231" s="300"/>
      <c r="E231" s="300"/>
      <c r="F231" s="300"/>
      <c r="G231" s="300"/>
      <c r="H231" s="300"/>
      <c r="I231" s="300"/>
      <c r="J231" s="300"/>
      <c r="K231" s="300">
        <f t="shared" si="32"/>
        <v>2438</v>
      </c>
      <c r="L231" s="314">
        <f t="shared" si="35"/>
        <v>29256</v>
      </c>
      <c r="M231" s="300">
        <v>2438</v>
      </c>
      <c r="N231" s="300"/>
      <c r="O231" s="300"/>
      <c r="P231" s="300"/>
      <c r="Q231" s="300"/>
      <c r="R231" s="300"/>
      <c r="S231" s="300"/>
      <c r="T231" s="300"/>
      <c r="U231" s="300"/>
      <c r="V231" s="300">
        <f t="shared" si="33"/>
        <v>2438</v>
      </c>
      <c r="W231" s="314">
        <f t="shared" si="34"/>
        <v>29256</v>
      </c>
    </row>
    <row r="232" spans="1:23">
      <c r="A232" s="313" t="s">
        <v>676</v>
      </c>
      <c r="B232" s="300">
        <v>10053</v>
      </c>
      <c r="C232" s="300"/>
      <c r="D232" s="300"/>
      <c r="E232" s="300"/>
      <c r="F232" s="300"/>
      <c r="G232" s="300"/>
      <c r="H232" s="300"/>
      <c r="I232" s="300"/>
      <c r="J232" s="300"/>
      <c r="K232" s="300">
        <f t="shared" si="32"/>
        <v>10053</v>
      </c>
      <c r="L232" s="314">
        <f t="shared" si="35"/>
        <v>120636</v>
      </c>
      <c r="M232" s="300">
        <v>10053</v>
      </c>
      <c r="N232" s="300"/>
      <c r="O232" s="300"/>
      <c r="P232" s="300"/>
      <c r="Q232" s="300"/>
      <c r="R232" s="300"/>
      <c r="S232" s="300"/>
      <c r="T232" s="300"/>
      <c r="U232" s="300"/>
      <c r="V232" s="300">
        <f t="shared" si="33"/>
        <v>10053</v>
      </c>
      <c r="W232" s="314">
        <f t="shared" si="34"/>
        <v>120636</v>
      </c>
    </row>
    <row r="233" spans="1:23">
      <c r="A233" s="313" t="s">
        <v>677</v>
      </c>
      <c r="B233" s="300">
        <v>4777</v>
      </c>
      <c r="C233" s="300"/>
      <c r="D233" s="300"/>
      <c r="E233" s="300"/>
      <c r="F233" s="300"/>
      <c r="G233" s="300"/>
      <c r="H233" s="300"/>
      <c r="I233" s="300"/>
      <c r="J233" s="300"/>
      <c r="K233" s="300">
        <f t="shared" si="32"/>
        <v>4777</v>
      </c>
      <c r="L233" s="314">
        <f t="shared" si="35"/>
        <v>57324</v>
      </c>
      <c r="M233" s="300">
        <v>4777</v>
      </c>
      <c r="N233" s="300"/>
      <c r="O233" s="300"/>
      <c r="P233" s="300"/>
      <c r="Q233" s="300"/>
      <c r="R233" s="300"/>
      <c r="S233" s="300"/>
      <c r="T233" s="300"/>
      <c r="U233" s="300"/>
      <c r="V233" s="300">
        <f t="shared" si="33"/>
        <v>4777</v>
      </c>
      <c r="W233" s="314">
        <f t="shared" si="34"/>
        <v>57324</v>
      </c>
    </row>
    <row r="234" spans="1:23">
      <c r="A234" s="374" t="s">
        <v>623</v>
      </c>
      <c r="B234" s="300">
        <f>4713+11600</f>
        <v>16313</v>
      </c>
      <c r="C234" s="300"/>
      <c r="D234" s="300"/>
      <c r="E234" s="300"/>
      <c r="F234" s="300"/>
      <c r="G234" s="300"/>
      <c r="H234" s="300"/>
      <c r="I234" s="300"/>
      <c r="J234" s="300"/>
      <c r="K234" s="300">
        <f t="shared" si="32"/>
        <v>16313</v>
      </c>
      <c r="L234" s="314">
        <f>+K234*12</f>
        <v>195756</v>
      </c>
      <c r="M234" s="300">
        <f>4713+11600</f>
        <v>16313</v>
      </c>
      <c r="N234" s="300"/>
      <c r="O234" s="300"/>
      <c r="P234" s="300"/>
      <c r="Q234" s="300"/>
      <c r="R234" s="300"/>
      <c r="S234" s="300"/>
      <c r="T234" s="300"/>
      <c r="U234" s="300"/>
      <c r="V234" s="300">
        <f t="shared" si="33"/>
        <v>16313</v>
      </c>
      <c r="W234" s="314">
        <f t="shared" si="34"/>
        <v>195756</v>
      </c>
    </row>
    <row r="235" spans="1:23">
      <c r="A235" s="374" t="s">
        <v>624</v>
      </c>
      <c r="B235" s="300">
        <f>18129+24400</f>
        <v>42529</v>
      </c>
      <c r="C235" s="300"/>
      <c r="D235" s="300"/>
      <c r="E235" s="300"/>
      <c r="F235" s="300"/>
      <c r="G235" s="300"/>
      <c r="H235" s="300"/>
      <c r="I235" s="300"/>
      <c r="J235" s="300"/>
      <c r="K235" s="300">
        <f t="shared" si="32"/>
        <v>42529</v>
      </c>
      <c r="L235" s="314">
        <f>+K235*12</f>
        <v>510348</v>
      </c>
      <c r="M235" s="300">
        <f>18129+24400</f>
        <v>42529</v>
      </c>
      <c r="N235" s="300"/>
      <c r="O235" s="300"/>
      <c r="P235" s="300"/>
      <c r="Q235" s="300"/>
      <c r="R235" s="300"/>
      <c r="S235" s="300"/>
      <c r="T235" s="300"/>
      <c r="U235" s="300"/>
      <c r="V235" s="300">
        <f t="shared" si="33"/>
        <v>42529</v>
      </c>
      <c r="W235" s="314">
        <f t="shared" si="34"/>
        <v>510348</v>
      </c>
    </row>
    <row r="236" spans="1:23">
      <c r="A236" s="313" t="s">
        <v>678</v>
      </c>
      <c r="B236" s="300"/>
      <c r="C236" s="300"/>
      <c r="D236" s="300">
        <v>34350</v>
      </c>
      <c r="E236" s="300"/>
      <c r="F236" s="300"/>
      <c r="G236" s="300"/>
      <c r="H236" s="300"/>
      <c r="I236" s="300"/>
      <c r="J236" s="300"/>
      <c r="K236" s="300">
        <f t="shared" si="32"/>
        <v>34350</v>
      </c>
      <c r="L236" s="314">
        <f>+K236*12</f>
        <v>412200</v>
      </c>
      <c r="M236" s="300"/>
      <c r="N236" s="300"/>
      <c r="O236" s="300">
        <v>34350</v>
      </c>
      <c r="P236" s="300"/>
      <c r="Q236" s="300"/>
      <c r="R236" s="300"/>
      <c r="S236" s="300"/>
      <c r="T236" s="300"/>
      <c r="U236" s="300"/>
      <c r="V236" s="300">
        <f t="shared" si="33"/>
        <v>34350</v>
      </c>
      <c r="W236" s="314">
        <f t="shared" si="34"/>
        <v>412200</v>
      </c>
    </row>
    <row r="237" spans="1:23">
      <c r="A237" s="315" t="s">
        <v>565</v>
      </c>
      <c r="B237" s="303">
        <f>SUM(B238:B243)</f>
        <v>660287</v>
      </c>
      <c r="C237" s="303"/>
      <c r="D237" s="303">
        <f t="shared" ref="D237" si="36">SUM(D238:D243)</f>
        <v>407950</v>
      </c>
      <c r="E237" s="303"/>
      <c r="F237" s="303"/>
      <c r="G237" s="303"/>
      <c r="H237" s="303"/>
      <c r="I237" s="303"/>
      <c r="J237" s="303"/>
      <c r="K237" s="303">
        <f>SUM(K238:K243)</f>
        <v>1068237</v>
      </c>
      <c r="L237" s="373">
        <f>SUM(L238:L243)</f>
        <v>12818844</v>
      </c>
      <c r="M237" s="303">
        <f>SUM(M238:M243)</f>
        <v>735567</v>
      </c>
      <c r="N237" s="303"/>
      <c r="O237" s="303">
        <f t="shared" ref="O237:V237" si="37">SUM(O238:O243)</f>
        <v>420950</v>
      </c>
      <c r="P237" s="303"/>
      <c r="Q237" s="303"/>
      <c r="R237" s="303"/>
      <c r="S237" s="303"/>
      <c r="T237" s="303"/>
      <c r="U237" s="303"/>
      <c r="V237" s="303">
        <f t="shared" si="37"/>
        <v>1156517</v>
      </c>
      <c r="W237" s="371">
        <f>+V237*12</f>
        <v>13878204</v>
      </c>
    </row>
    <row r="238" spans="1:23">
      <c r="A238" s="313" t="s">
        <v>566</v>
      </c>
      <c r="B238" s="300">
        <f>19848+16000</f>
        <v>35848</v>
      </c>
      <c r="C238" s="300"/>
      <c r="D238" s="300"/>
      <c r="E238" s="300"/>
      <c r="F238" s="300"/>
      <c r="G238" s="300"/>
      <c r="H238" s="300"/>
      <c r="I238" s="300"/>
      <c r="J238" s="300"/>
      <c r="K238" s="300">
        <f t="shared" ref="K238:K243" si="38">SUM(B238:J238)</f>
        <v>35848</v>
      </c>
      <c r="L238" s="375">
        <f>+K238*12</f>
        <v>430176</v>
      </c>
      <c r="M238" s="300">
        <f>19848+16000</f>
        <v>35848</v>
      </c>
      <c r="N238" s="300"/>
      <c r="O238" s="300"/>
      <c r="P238" s="300"/>
      <c r="Q238" s="300"/>
      <c r="R238" s="300"/>
      <c r="S238" s="300"/>
      <c r="T238" s="300"/>
      <c r="U238" s="300"/>
      <c r="V238" s="300">
        <f t="shared" ref="V238:V243" si="39">SUM(M238:U238)</f>
        <v>35848</v>
      </c>
      <c r="W238" s="314">
        <f>+V238*12</f>
        <v>430176</v>
      </c>
    </row>
    <row r="239" spans="1:23">
      <c r="A239" s="313" t="s">
        <v>567</v>
      </c>
      <c r="B239" s="300">
        <f>295740+8400</f>
        <v>304140</v>
      </c>
      <c r="C239" s="300"/>
      <c r="D239" s="300"/>
      <c r="E239" s="300"/>
      <c r="F239" s="300"/>
      <c r="G239" s="300"/>
      <c r="H239" s="300"/>
      <c r="I239" s="300"/>
      <c r="J239" s="300"/>
      <c r="K239" s="300">
        <f t="shared" si="38"/>
        <v>304140</v>
      </c>
      <c r="L239" s="375">
        <f>+K239*12</f>
        <v>3649680</v>
      </c>
      <c r="M239" s="300">
        <f>295740+8400</f>
        <v>304140</v>
      </c>
      <c r="N239" s="300"/>
      <c r="O239" s="300"/>
      <c r="P239" s="300"/>
      <c r="Q239" s="300"/>
      <c r="R239" s="300"/>
      <c r="S239" s="300"/>
      <c r="T239" s="300"/>
      <c r="U239" s="300"/>
      <c r="V239" s="300">
        <f t="shared" si="39"/>
        <v>304140</v>
      </c>
      <c r="W239" s="314">
        <f t="shared" ref="W239:W243" si="40">+V239*12</f>
        <v>3649680</v>
      </c>
    </row>
    <row r="240" spans="1:23">
      <c r="A240" s="313" t="s">
        <v>581</v>
      </c>
      <c r="B240" s="300">
        <f>49100+46360</f>
        <v>95460</v>
      </c>
      <c r="C240" s="300"/>
      <c r="D240" s="300"/>
      <c r="E240" s="300"/>
      <c r="F240" s="300"/>
      <c r="G240" s="300"/>
      <c r="H240" s="300"/>
      <c r="I240" s="300"/>
      <c r="J240" s="300"/>
      <c r="K240" s="300">
        <f t="shared" si="38"/>
        <v>95460</v>
      </c>
      <c r="L240" s="375">
        <f t="shared" ref="L240:L250" si="41">+K240*12</f>
        <v>1145520</v>
      </c>
      <c r="M240" s="300">
        <f>49100+46360</f>
        <v>95460</v>
      </c>
      <c r="N240" s="300"/>
      <c r="O240" s="300"/>
      <c r="P240" s="300"/>
      <c r="Q240" s="300"/>
      <c r="R240" s="300"/>
      <c r="S240" s="300"/>
      <c r="T240" s="300"/>
      <c r="U240" s="300"/>
      <c r="V240" s="300">
        <f t="shared" si="39"/>
        <v>95460</v>
      </c>
      <c r="W240" s="314">
        <f t="shared" si="40"/>
        <v>1145520</v>
      </c>
    </row>
    <row r="241" spans="1:23">
      <c r="A241" s="313" t="s">
        <v>582</v>
      </c>
      <c r="B241" s="300">
        <f>15145+4000</f>
        <v>19145</v>
      </c>
      <c r="C241" s="300"/>
      <c r="D241" s="300"/>
      <c r="E241" s="300"/>
      <c r="F241" s="300"/>
      <c r="G241" s="300"/>
      <c r="H241" s="300"/>
      <c r="I241" s="300"/>
      <c r="J241" s="300"/>
      <c r="K241" s="300">
        <f t="shared" si="38"/>
        <v>19145</v>
      </c>
      <c r="L241" s="375">
        <f t="shared" si="41"/>
        <v>229740</v>
      </c>
      <c r="M241" s="300">
        <f>15145+4000</f>
        <v>19145</v>
      </c>
      <c r="N241" s="300"/>
      <c r="O241" s="300"/>
      <c r="P241" s="300"/>
      <c r="Q241" s="300"/>
      <c r="R241" s="300"/>
      <c r="S241" s="300"/>
      <c r="T241" s="300"/>
      <c r="U241" s="300"/>
      <c r="V241" s="300">
        <f t="shared" si="39"/>
        <v>19145</v>
      </c>
      <c r="W241" s="314">
        <f t="shared" si="40"/>
        <v>229740</v>
      </c>
    </row>
    <row r="242" spans="1:23">
      <c r="A242" s="313" t="s">
        <v>568</v>
      </c>
      <c r="B242" s="300">
        <f>32642+66300</f>
        <v>98942</v>
      </c>
      <c r="C242" s="300"/>
      <c r="D242" s="300"/>
      <c r="E242" s="300"/>
      <c r="F242" s="300"/>
      <c r="G242" s="300"/>
      <c r="H242" s="300"/>
      <c r="I242" s="300"/>
      <c r="J242" s="300"/>
      <c r="K242" s="300">
        <f t="shared" si="38"/>
        <v>98942</v>
      </c>
      <c r="L242" s="375">
        <f t="shared" si="41"/>
        <v>1187304</v>
      </c>
      <c r="M242" s="300">
        <f>32642+66300</f>
        <v>98942</v>
      </c>
      <c r="N242" s="300"/>
      <c r="O242" s="300"/>
      <c r="P242" s="300"/>
      <c r="Q242" s="300"/>
      <c r="R242" s="300"/>
      <c r="S242" s="300"/>
      <c r="T242" s="300"/>
      <c r="U242" s="300"/>
      <c r="V242" s="300">
        <f t="shared" si="39"/>
        <v>98942</v>
      </c>
      <c r="W242" s="314">
        <f t="shared" si="40"/>
        <v>1187304</v>
      </c>
    </row>
    <row r="243" spans="1:23">
      <c r="A243" s="313" t="s">
        <v>583</v>
      </c>
      <c r="B243" s="300">
        <f>76152+30600</f>
        <v>106752</v>
      </c>
      <c r="C243" s="300"/>
      <c r="D243" s="300">
        <v>407950</v>
      </c>
      <c r="E243" s="300"/>
      <c r="F243" s="300"/>
      <c r="G243" s="300"/>
      <c r="H243" s="300"/>
      <c r="I243" s="300"/>
      <c r="J243" s="300"/>
      <c r="K243" s="300">
        <f t="shared" si="38"/>
        <v>514702</v>
      </c>
      <c r="L243" s="375">
        <f t="shared" si="41"/>
        <v>6176424</v>
      </c>
      <c r="M243" s="300">
        <f>76152+30600+75280</f>
        <v>182032</v>
      </c>
      <c r="N243" s="300"/>
      <c r="O243" s="300">
        <f>407950+13000</f>
        <v>420950</v>
      </c>
      <c r="P243" s="300"/>
      <c r="Q243" s="300"/>
      <c r="R243" s="300"/>
      <c r="S243" s="300"/>
      <c r="T243" s="300"/>
      <c r="U243" s="300"/>
      <c r="V243" s="300">
        <f t="shared" si="39"/>
        <v>602982</v>
      </c>
      <c r="W243" s="314">
        <f t="shared" si="40"/>
        <v>7235784</v>
      </c>
    </row>
    <row r="244" spans="1:23">
      <c r="A244" s="315" t="s">
        <v>569</v>
      </c>
      <c r="B244" s="303">
        <f>SUM(B245:B250)</f>
        <v>411181</v>
      </c>
      <c r="C244" s="303"/>
      <c r="D244" s="303">
        <f t="shared" ref="D244" si="42">SUM(D245:D250)</f>
        <v>121800</v>
      </c>
      <c r="E244" s="303"/>
      <c r="F244" s="303"/>
      <c r="G244" s="303"/>
      <c r="H244" s="303"/>
      <c r="I244" s="303"/>
      <c r="J244" s="303"/>
      <c r="K244" s="303">
        <f>SUM(K245:K250)</f>
        <v>532981</v>
      </c>
      <c r="L244" s="373">
        <f>SUM(L245:L250)</f>
        <v>6395772</v>
      </c>
      <c r="M244" s="303">
        <f>SUM(M245:M250)</f>
        <v>434671</v>
      </c>
      <c r="N244" s="303"/>
      <c r="O244" s="303">
        <f t="shared" ref="O244:V244" si="43">SUM(O245:O250)</f>
        <v>133800</v>
      </c>
      <c r="P244" s="303"/>
      <c r="Q244" s="303"/>
      <c r="R244" s="303"/>
      <c r="S244" s="303"/>
      <c r="T244" s="303"/>
      <c r="U244" s="303"/>
      <c r="V244" s="303">
        <f t="shared" si="43"/>
        <v>568471</v>
      </c>
      <c r="W244" s="371">
        <f>+V244*12</f>
        <v>6821652</v>
      </c>
    </row>
    <row r="245" spans="1:23">
      <c r="A245" s="313" t="s">
        <v>570</v>
      </c>
      <c r="B245" s="300">
        <f>2990+6000</f>
        <v>8990</v>
      </c>
      <c r="C245" s="300"/>
      <c r="D245" s="300"/>
      <c r="E245" s="300"/>
      <c r="F245" s="300"/>
      <c r="G245" s="300"/>
      <c r="H245" s="300"/>
      <c r="I245" s="300"/>
      <c r="J245" s="300"/>
      <c r="K245" s="300">
        <f t="shared" ref="K245:K250" si="44">SUM(B245:J245)</f>
        <v>8990</v>
      </c>
      <c r="L245" s="314">
        <f t="shared" si="41"/>
        <v>107880</v>
      </c>
      <c r="M245" s="300">
        <f>2990+6000</f>
        <v>8990</v>
      </c>
      <c r="N245" s="300"/>
      <c r="O245" s="300"/>
      <c r="P245" s="300"/>
      <c r="Q245" s="300"/>
      <c r="R245" s="300"/>
      <c r="S245" s="300"/>
      <c r="T245" s="300"/>
      <c r="U245" s="300"/>
      <c r="V245" s="300">
        <f t="shared" ref="V245:V250" si="45">SUM(M245:U245)</f>
        <v>8990</v>
      </c>
      <c r="W245" s="314">
        <f>+V245*12</f>
        <v>107880</v>
      </c>
    </row>
    <row r="246" spans="1:23">
      <c r="A246" s="313" t="s">
        <v>584</v>
      </c>
      <c r="B246" s="300">
        <f>37103+15800</f>
        <v>52903</v>
      </c>
      <c r="C246" s="300"/>
      <c r="D246" s="300"/>
      <c r="E246" s="300"/>
      <c r="F246" s="300"/>
      <c r="G246" s="300"/>
      <c r="H246" s="300"/>
      <c r="I246" s="300"/>
      <c r="J246" s="300"/>
      <c r="K246" s="300">
        <f t="shared" si="44"/>
        <v>52903</v>
      </c>
      <c r="L246" s="314">
        <f t="shared" si="41"/>
        <v>634836</v>
      </c>
      <c r="M246" s="300">
        <f>37103+15800</f>
        <v>52903</v>
      </c>
      <c r="N246" s="300"/>
      <c r="O246" s="300"/>
      <c r="P246" s="300"/>
      <c r="Q246" s="300"/>
      <c r="R246" s="300"/>
      <c r="S246" s="300"/>
      <c r="T246" s="300"/>
      <c r="U246" s="300"/>
      <c r="V246" s="300">
        <f t="shared" si="45"/>
        <v>52903</v>
      </c>
      <c r="W246" s="314">
        <f t="shared" ref="W246:W250" si="46">+V246*12</f>
        <v>634836</v>
      </c>
    </row>
    <row r="247" spans="1:23">
      <c r="A247" s="313" t="s">
        <v>625</v>
      </c>
      <c r="B247" s="300">
        <f>22580+5380</f>
        <v>27960</v>
      </c>
      <c r="C247" s="300"/>
      <c r="D247" s="300"/>
      <c r="E247" s="300"/>
      <c r="F247" s="300"/>
      <c r="G247" s="300"/>
      <c r="H247" s="300"/>
      <c r="I247" s="300"/>
      <c r="J247" s="300"/>
      <c r="K247" s="300">
        <f t="shared" si="44"/>
        <v>27960</v>
      </c>
      <c r="L247" s="375">
        <f t="shared" si="41"/>
        <v>335520</v>
      </c>
      <c r="M247" s="300">
        <f>22580+5380</f>
        <v>27960</v>
      </c>
      <c r="N247" s="300"/>
      <c r="O247" s="300"/>
      <c r="P247" s="300"/>
      <c r="Q247" s="300"/>
      <c r="R247" s="300"/>
      <c r="S247" s="300"/>
      <c r="T247" s="300"/>
      <c r="U247" s="300"/>
      <c r="V247" s="300">
        <f t="shared" si="45"/>
        <v>27960</v>
      </c>
      <c r="W247" s="314">
        <f t="shared" si="46"/>
        <v>335520</v>
      </c>
    </row>
    <row r="248" spans="1:23">
      <c r="A248" s="313" t="s">
        <v>585</v>
      </c>
      <c r="B248" s="300">
        <v>138520</v>
      </c>
      <c r="C248" s="300"/>
      <c r="D248" s="300"/>
      <c r="E248" s="300"/>
      <c r="F248" s="300"/>
      <c r="G248" s="300"/>
      <c r="H248" s="300"/>
      <c r="I248" s="300"/>
      <c r="J248" s="300"/>
      <c r="K248" s="300">
        <f t="shared" si="44"/>
        <v>138520</v>
      </c>
      <c r="L248" s="314">
        <f t="shared" si="41"/>
        <v>1662240</v>
      </c>
      <c r="M248" s="300">
        <v>138520</v>
      </c>
      <c r="N248" s="300"/>
      <c r="O248" s="300"/>
      <c r="P248" s="300"/>
      <c r="Q248" s="300"/>
      <c r="R248" s="300"/>
      <c r="S248" s="300"/>
      <c r="T248" s="300"/>
      <c r="U248" s="300"/>
      <c r="V248" s="300">
        <f t="shared" si="45"/>
        <v>138520</v>
      </c>
      <c r="W248" s="314">
        <f t="shared" si="46"/>
        <v>1662240</v>
      </c>
    </row>
    <row r="249" spans="1:23">
      <c r="A249" s="313" t="s">
        <v>572</v>
      </c>
      <c r="B249" s="300">
        <v>72721</v>
      </c>
      <c r="C249" s="300"/>
      <c r="D249" s="300"/>
      <c r="E249" s="300"/>
      <c r="F249" s="300"/>
      <c r="G249" s="300"/>
      <c r="H249" s="300"/>
      <c r="I249" s="300"/>
      <c r="J249" s="300"/>
      <c r="K249" s="300">
        <f t="shared" si="44"/>
        <v>72721</v>
      </c>
      <c r="L249" s="314">
        <f t="shared" si="41"/>
        <v>872652</v>
      </c>
      <c r="M249" s="300">
        <v>72721</v>
      </c>
      <c r="N249" s="300"/>
      <c r="O249" s="300"/>
      <c r="P249" s="300"/>
      <c r="Q249" s="300"/>
      <c r="R249" s="300"/>
      <c r="S249" s="300"/>
      <c r="T249" s="300"/>
      <c r="U249" s="300"/>
      <c r="V249" s="300">
        <f t="shared" si="45"/>
        <v>72721</v>
      </c>
      <c r="W249" s="314">
        <f t="shared" si="46"/>
        <v>872652</v>
      </c>
    </row>
    <row r="250" spans="1:23" ht="15.75" thickBot="1">
      <c r="A250" s="313" t="s">
        <v>626</v>
      </c>
      <c r="B250" s="300">
        <f>83087+27000</f>
        <v>110087</v>
      </c>
      <c r="C250" s="300"/>
      <c r="D250" s="300">
        <v>121800</v>
      </c>
      <c r="E250" s="300"/>
      <c r="F250" s="300"/>
      <c r="G250" s="300"/>
      <c r="H250" s="300"/>
      <c r="I250" s="300"/>
      <c r="J250" s="300"/>
      <c r="K250" s="300">
        <f t="shared" si="44"/>
        <v>231887</v>
      </c>
      <c r="L250" s="314">
        <f t="shared" si="41"/>
        <v>2782644</v>
      </c>
      <c r="M250" s="300">
        <f>83087+27000+23490</f>
        <v>133577</v>
      </c>
      <c r="N250" s="300"/>
      <c r="O250" s="300">
        <f>121800+12000</f>
        <v>133800</v>
      </c>
      <c r="P250" s="300"/>
      <c r="Q250" s="300"/>
      <c r="R250" s="300"/>
      <c r="S250" s="300"/>
      <c r="T250" s="300"/>
      <c r="U250" s="300"/>
      <c r="V250" s="300">
        <f t="shared" si="45"/>
        <v>267377</v>
      </c>
      <c r="W250" s="314">
        <f t="shared" si="46"/>
        <v>3208524</v>
      </c>
    </row>
    <row r="251" spans="1:23" ht="15.75" thickBot="1">
      <c r="A251" s="318" t="s">
        <v>573</v>
      </c>
      <c r="B251" s="319">
        <f t="shared" ref="B251:W251" si="47">B199+B204+B237+B244</f>
        <v>2698822</v>
      </c>
      <c r="C251" s="319"/>
      <c r="D251" s="319">
        <f t="shared" si="47"/>
        <v>1328850</v>
      </c>
      <c r="E251" s="319"/>
      <c r="F251" s="319"/>
      <c r="G251" s="319"/>
      <c r="H251" s="319"/>
      <c r="I251" s="319"/>
      <c r="J251" s="319"/>
      <c r="K251" s="319">
        <f>K199+K204+K237+K244</f>
        <v>4027672</v>
      </c>
      <c r="L251" s="376">
        <f t="shared" si="47"/>
        <v>48332064</v>
      </c>
      <c r="M251" s="319">
        <f t="shared" si="47"/>
        <v>3122730</v>
      </c>
      <c r="N251" s="319"/>
      <c r="O251" s="319">
        <f t="shared" si="47"/>
        <v>1503850</v>
      </c>
      <c r="P251" s="319"/>
      <c r="Q251" s="319"/>
      <c r="R251" s="319"/>
      <c r="S251" s="319"/>
      <c r="T251" s="319"/>
      <c r="U251" s="319"/>
      <c r="V251" s="319">
        <f t="shared" si="47"/>
        <v>4626580</v>
      </c>
      <c r="W251" s="376">
        <f t="shared" si="47"/>
        <v>55518960</v>
      </c>
    </row>
    <row r="252" spans="1:23">
      <c r="A252" s="304" t="s">
        <v>574</v>
      </c>
      <c r="B252" s="215"/>
      <c r="C252" s="215"/>
      <c r="D252" s="215"/>
      <c r="E252" s="215"/>
      <c r="F252" s="215"/>
      <c r="G252" s="215"/>
      <c r="H252" s="215"/>
      <c r="I252" s="215"/>
      <c r="J252" s="215"/>
      <c r="K252" s="215"/>
      <c r="L252" s="215"/>
      <c r="M252" s="215"/>
      <c r="N252" s="215"/>
      <c r="O252" s="215"/>
      <c r="P252" s="295"/>
      <c r="Q252" s="305"/>
      <c r="R252" s="34"/>
      <c r="S252" s="34"/>
      <c r="T252" s="295"/>
      <c r="U252" s="295"/>
      <c r="V252" s="295"/>
      <c r="W252" s="295"/>
    </row>
    <row r="253" spans="1:23">
      <c r="A253" s="300" t="s">
        <v>575</v>
      </c>
      <c r="B253" s="300"/>
      <c r="C253" s="300"/>
      <c r="D253" s="300"/>
      <c r="E253" s="300"/>
      <c r="F253" s="300"/>
      <c r="G253" s="300"/>
      <c r="H253" s="300"/>
      <c r="I253" s="300"/>
      <c r="J253" s="300"/>
      <c r="K253" s="300"/>
      <c r="L253" s="300"/>
      <c r="M253" s="300"/>
      <c r="N253" s="300"/>
      <c r="O253" s="300"/>
      <c r="P253" s="295"/>
      <c r="Q253" s="305"/>
      <c r="R253" s="34"/>
      <c r="S253" s="34"/>
      <c r="T253" s="34"/>
      <c r="U253" s="34"/>
      <c r="V253" s="295"/>
      <c r="W253" s="295"/>
    </row>
    <row r="258" spans="1:23" ht="15.75">
      <c r="A258" s="377" t="s">
        <v>535</v>
      </c>
      <c r="B258" s="378"/>
      <c r="C258" s="378"/>
      <c r="D258" s="378"/>
      <c r="E258" s="378"/>
      <c r="F258" s="378"/>
      <c r="G258" s="378"/>
      <c r="H258" s="378"/>
      <c r="I258" s="378"/>
      <c r="J258" s="378"/>
      <c r="K258" s="378"/>
      <c r="L258" s="378"/>
      <c r="M258" s="378"/>
      <c r="N258" s="378"/>
      <c r="O258" s="378"/>
      <c r="P258" s="378"/>
      <c r="Q258" s="378"/>
      <c r="R258" s="378"/>
      <c r="S258" s="378"/>
      <c r="T258" s="378"/>
      <c r="U258" s="378"/>
      <c r="V258" s="378"/>
      <c r="W258" s="378"/>
    </row>
    <row r="259" spans="1:23" ht="15.75">
      <c r="A259" s="377" t="s">
        <v>494</v>
      </c>
      <c r="B259" s="378"/>
      <c r="C259" s="378"/>
      <c r="D259" s="378"/>
      <c r="E259" s="378"/>
      <c r="F259" s="378"/>
      <c r="G259" s="378"/>
      <c r="H259" s="378"/>
      <c r="I259" s="378"/>
      <c r="J259" s="378"/>
      <c r="K259" s="378"/>
      <c r="L259" s="378"/>
      <c r="M259" s="378"/>
      <c r="N259" s="378"/>
      <c r="O259" s="378"/>
      <c r="P259" s="378"/>
      <c r="Q259" s="378"/>
      <c r="R259" s="378"/>
      <c r="S259" s="378"/>
      <c r="T259" s="378"/>
      <c r="U259" s="378"/>
      <c r="V259" s="378"/>
      <c r="W259" s="378"/>
    </row>
    <row r="260" spans="1:23" ht="15.75">
      <c r="A260" s="35" t="s">
        <v>456</v>
      </c>
      <c r="B260" s="128"/>
      <c r="C260" s="128"/>
      <c r="D260" s="379"/>
      <c r="E260" s="379"/>
      <c r="F260" s="379"/>
      <c r="G260" s="379"/>
      <c r="H260" s="379"/>
      <c r="I260" s="379"/>
      <c r="J260" s="379"/>
      <c r="K260" s="379"/>
      <c r="L260" s="379"/>
      <c r="M260" s="379"/>
      <c r="N260" s="379"/>
      <c r="O260" s="379"/>
      <c r="P260" s="379"/>
      <c r="Q260" s="379"/>
      <c r="R260" s="379"/>
      <c r="S260" s="379"/>
      <c r="T260" s="379"/>
      <c r="U260" s="379"/>
      <c r="V260" s="379"/>
      <c r="W260" s="379"/>
    </row>
    <row r="261" spans="1:23" ht="15.75">
      <c r="A261" s="105" t="s">
        <v>458</v>
      </c>
      <c r="B261" s="105"/>
      <c r="C261" s="105"/>
      <c r="D261" s="406"/>
      <c r="E261" s="379"/>
      <c r="F261" s="379"/>
      <c r="G261" s="379"/>
      <c r="H261" s="379"/>
      <c r="I261" s="379"/>
      <c r="J261" s="379"/>
      <c r="K261" s="379"/>
      <c r="L261" s="379"/>
      <c r="M261" s="379"/>
      <c r="N261" s="379"/>
      <c r="O261" s="379"/>
      <c r="P261" s="379"/>
      <c r="Q261" s="379"/>
      <c r="R261" s="379"/>
      <c r="S261" s="379"/>
      <c r="T261" s="379"/>
      <c r="U261" s="379"/>
      <c r="V261" s="379"/>
      <c r="W261" s="379"/>
    </row>
    <row r="262" spans="1:23" ht="15.75" thickBot="1">
      <c r="A262" s="407"/>
      <c r="B262" s="408"/>
      <c r="C262" s="408"/>
      <c r="D262" s="408"/>
      <c r="E262" s="380"/>
      <c r="F262" s="380"/>
      <c r="G262" s="380"/>
      <c r="H262" s="380"/>
      <c r="I262" s="380"/>
      <c r="J262" s="380"/>
      <c r="K262" s="380"/>
      <c r="L262" s="381"/>
      <c r="M262" s="380"/>
      <c r="N262" s="380"/>
      <c r="O262" s="380"/>
      <c r="P262" s="380"/>
      <c r="Q262" s="380"/>
      <c r="R262" s="380"/>
      <c r="S262" s="380"/>
      <c r="T262" s="380"/>
      <c r="U262" s="380"/>
      <c r="V262" s="380"/>
      <c r="W262" s="381"/>
    </row>
    <row r="263" spans="1:23">
      <c r="A263" s="382" t="s">
        <v>538</v>
      </c>
      <c r="B263" s="1327" t="s">
        <v>539</v>
      </c>
      <c r="C263" s="1328"/>
      <c r="D263" s="1328"/>
      <c r="E263" s="1328"/>
      <c r="F263" s="1328"/>
      <c r="G263" s="1328"/>
      <c r="H263" s="1328"/>
      <c r="I263" s="1328"/>
      <c r="J263" s="1328"/>
      <c r="K263" s="1328"/>
      <c r="L263" s="1329"/>
      <c r="M263" s="1327" t="s">
        <v>540</v>
      </c>
      <c r="N263" s="1328"/>
      <c r="O263" s="1328"/>
      <c r="P263" s="1328"/>
      <c r="Q263" s="1328"/>
      <c r="R263" s="1328"/>
      <c r="S263" s="1328"/>
      <c r="T263" s="1328"/>
      <c r="U263" s="1328"/>
      <c r="V263" s="1328"/>
      <c r="W263" s="1329"/>
    </row>
    <row r="264" spans="1:23" ht="60.75">
      <c r="A264" s="383" t="s">
        <v>541</v>
      </c>
      <c r="B264" s="384" t="s">
        <v>542</v>
      </c>
      <c r="C264" s="384" t="s">
        <v>543</v>
      </c>
      <c r="D264" s="385" t="s">
        <v>544</v>
      </c>
      <c r="E264" s="385" t="s">
        <v>545</v>
      </c>
      <c r="F264" s="385" t="s">
        <v>546</v>
      </c>
      <c r="G264" s="385" t="s">
        <v>547</v>
      </c>
      <c r="H264" s="385" t="s">
        <v>548</v>
      </c>
      <c r="I264" s="385" t="s">
        <v>549</v>
      </c>
      <c r="J264" s="386" t="s">
        <v>550</v>
      </c>
      <c r="K264" s="387" t="s">
        <v>551</v>
      </c>
      <c r="L264" s="388" t="s">
        <v>552</v>
      </c>
      <c r="M264" s="384" t="s">
        <v>542</v>
      </c>
      <c r="N264" s="384" t="s">
        <v>543</v>
      </c>
      <c r="O264" s="385" t="s">
        <v>544</v>
      </c>
      <c r="P264" s="385" t="s">
        <v>545</v>
      </c>
      <c r="Q264" s="385" t="s">
        <v>546</v>
      </c>
      <c r="R264" s="385" t="s">
        <v>547</v>
      </c>
      <c r="S264" s="385" t="s">
        <v>548</v>
      </c>
      <c r="T264" s="385" t="s">
        <v>549</v>
      </c>
      <c r="U264" s="386" t="s">
        <v>550</v>
      </c>
      <c r="V264" s="387" t="s">
        <v>551</v>
      </c>
      <c r="W264" s="388" t="s">
        <v>553</v>
      </c>
    </row>
    <row r="265" spans="1:23">
      <c r="A265" s="389"/>
      <c r="B265" s="380"/>
      <c r="C265" s="380"/>
      <c r="D265" s="380"/>
      <c r="E265" s="380"/>
      <c r="F265" s="380"/>
      <c r="G265" s="380"/>
      <c r="H265" s="380"/>
      <c r="I265" s="380"/>
      <c r="J265" s="380"/>
      <c r="K265" s="380"/>
      <c r="L265" s="390"/>
      <c r="M265" s="380"/>
      <c r="N265" s="380"/>
      <c r="O265" s="380"/>
      <c r="P265" s="380"/>
      <c r="Q265" s="380"/>
      <c r="R265" s="380"/>
      <c r="S265" s="380"/>
      <c r="T265" s="380"/>
      <c r="U265" s="380"/>
      <c r="V265" s="380"/>
      <c r="W265" s="390"/>
    </row>
    <row r="266" spans="1:23">
      <c r="A266" s="391" t="s">
        <v>554</v>
      </c>
      <c r="B266" s="392"/>
      <c r="C266" s="392"/>
      <c r="D266" s="392"/>
      <c r="E266" s="392"/>
      <c r="F266" s="392"/>
      <c r="G266" s="392"/>
      <c r="H266" s="392"/>
      <c r="I266" s="392"/>
      <c r="J266" s="392"/>
      <c r="K266" s="392"/>
      <c r="L266" s="393"/>
      <c r="M266" s="392"/>
      <c r="N266" s="392"/>
      <c r="O266" s="392"/>
      <c r="P266" s="392"/>
      <c r="Q266" s="392"/>
      <c r="R266" s="392"/>
      <c r="S266" s="392"/>
      <c r="T266" s="392"/>
      <c r="U266" s="392"/>
      <c r="V266" s="392"/>
      <c r="W266" s="393"/>
    </row>
    <row r="267" spans="1:23">
      <c r="A267" s="389" t="s">
        <v>557</v>
      </c>
      <c r="B267" s="380">
        <v>1</v>
      </c>
      <c r="C267" s="380"/>
      <c r="D267" s="380"/>
      <c r="E267" s="380"/>
      <c r="F267" s="380"/>
      <c r="G267" s="380"/>
      <c r="H267" s="380"/>
      <c r="I267" s="380"/>
      <c r="J267" s="380"/>
      <c r="K267" s="394">
        <v>6603.3</v>
      </c>
      <c r="L267" s="395">
        <v>80239.600000000006</v>
      </c>
      <c r="M267" s="380">
        <v>1</v>
      </c>
      <c r="N267" s="380"/>
      <c r="O267" s="380"/>
      <c r="P267" s="380"/>
      <c r="Q267" s="380"/>
      <c r="R267" s="380"/>
      <c r="S267" s="380"/>
      <c r="T267" s="380"/>
      <c r="U267" s="380"/>
      <c r="V267" s="394">
        <v>6603.3</v>
      </c>
      <c r="W267" s="395">
        <v>80239.600000000006</v>
      </c>
    </row>
    <row r="268" spans="1:23">
      <c r="A268" s="389" t="s">
        <v>558</v>
      </c>
      <c r="B268" s="380">
        <v>3</v>
      </c>
      <c r="C268" s="380"/>
      <c r="D268" s="380"/>
      <c r="E268" s="380"/>
      <c r="F268" s="380"/>
      <c r="G268" s="380"/>
      <c r="H268" s="380"/>
      <c r="I268" s="380"/>
      <c r="J268" s="380"/>
      <c r="K268" s="394">
        <v>11185.94</v>
      </c>
      <c r="L268" s="395">
        <v>137231.28</v>
      </c>
      <c r="M268" s="380">
        <v>3</v>
      </c>
      <c r="N268" s="380"/>
      <c r="O268" s="380"/>
      <c r="P268" s="380"/>
      <c r="Q268" s="380"/>
      <c r="R268" s="380"/>
      <c r="S268" s="380"/>
      <c r="T268" s="380"/>
      <c r="U268" s="380"/>
      <c r="V268" s="394">
        <v>11185.94</v>
      </c>
      <c r="W268" s="395">
        <v>137231.28</v>
      </c>
    </row>
    <row r="269" spans="1:23">
      <c r="A269" s="389" t="s">
        <v>560</v>
      </c>
      <c r="B269" s="380">
        <v>4</v>
      </c>
      <c r="C269" s="380"/>
      <c r="D269" s="380"/>
      <c r="E269" s="380"/>
      <c r="F269" s="380"/>
      <c r="G269" s="380"/>
      <c r="H269" s="380"/>
      <c r="I269" s="380"/>
      <c r="J269" s="380"/>
      <c r="K269" s="394">
        <v>130489.44</v>
      </c>
      <c r="L269" s="395">
        <v>134489.44</v>
      </c>
      <c r="M269" s="380">
        <v>4</v>
      </c>
      <c r="N269" s="380"/>
      <c r="O269" s="380"/>
      <c r="P269" s="380"/>
      <c r="Q269" s="380"/>
      <c r="R269" s="380"/>
      <c r="S269" s="380"/>
      <c r="T269" s="380"/>
      <c r="U269" s="380"/>
      <c r="V269" s="394">
        <v>130489.44</v>
      </c>
      <c r="W269" s="395">
        <v>134489.44</v>
      </c>
    </row>
    <row r="270" spans="1:23">
      <c r="A270" s="396"/>
      <c r="B270" s="380"/>
      <c r="C270" s="380"/>
      <c r="D270" s="380"/>
      <c r="E270" s="380"/>
      <c r="F270" s="380"/>
      <c r="G270" s="380"/>
      <c r="H270" s="380"/>
      <c r="I270" s="380"/>
      <c r="J270" s="380"/>
      <c r="K270" s="394">
        <f>SUM(K267:K269)</f>
        <v>148278.68</v>
      </c>
      <c r="L270" s="395">
        <f>SUM(L267:L269)</f>
        <v>351960.32000000001</v>
      </c>
      <c r="M270" s="380"/>
      <c r="N270" s="380"/>
      <c r="O270" s="380"/>
      <c r="P270" s="380"/>
      <c r="Q270" s="380"/>
      <c r="R270" s="380"/>
      <c r="S270" s="380"/>
      <c r="T270" s="380"/>
      <c r="U270" s="380"/>
      <c r="V270" s="394">
        <f>SUM(V267:V269)</f>
        <v>148278.68</v>
      </c>
      <c r="W270" s="395">
        <f>SUM(W267:W269)</f>
        <v>351960.32000000001</v>
      </c>
    </row>
    <row r="271" spans="1:23">
      <c r="A271" s="391" t="s">
        <v>561</v>
      </c>
      <c r="B271" s="392"/>
      <c r="C271" s="392"/>
      <c r="D271" s="392"/>
      <c r="E271" s="392"/>
      <c r="F271" s="392"/>
      <c r="G271" s="392"/>
      <c r="H271" s="392"/>
      <c r="I271" s="392"/>
      <c r="J271" s="392"/>
      <c r="K271" s="392"/>
      <c r="L271" s="393"/>
      <c r="M271" s="392"/>
      <c r="N271" s="392"/>
      <c r="O271" s="392"/>
      <c r="P271" s="392"/>
      <c r="Q271" s="392"/>
      <c r="R271" s="392"/>
      <c r="S271" s="392"/>
      <c r="T271" s="392"/>
      <c r="U271" s="392"/>
      <c r="V271" s="392"/>
      <c r="W271" s="393"/>
    </row>
    <row r="272" spans="1:23">
      <c r="A272" s="389" t="s">
        <v>623</v>
      </c>
      <c r="B272" s="380">
        <v>2</v>
      </c>
      <c r="C272" s="380"/>
      <c r="D272" s="380"/>
      <c r="E272" s="380"/>
      <c r="F272" s="380"/>
      <c r="G272" s="380"/>
      <c r="H272" s="380"/>
      <c r="I272" s="380"/>
      <c r="J272" s="380"/>
      <c r="K272" s="394">
        <v>4298.22</v>
      </c>
      <c r="L272" s="395">
        <v>53578.64</v>
      </c>
      <c r="M272" s="380">
        <v>2</v>
      </c>
      <c r="N272" s="380"/>
      <c r="O272" s="380"/>
      <c r="P272" s="380"/>
      <c r="Q272" s="380"/>
      <c r="R272" s="380"/>
      <c r="S272" s="380"/>
      <c r="T272" s="380"/>
      <c r="U272" s="380"/>
      <c r="V272" s="394">
        <v>4298.22</v>
      </c>
      <c r="W272" s="395">
        <v>53578.64</v>
      </c>
    </row>
    <row r="273" spans="1:23">
      <c r="A273" s="389" t="s">
        <v>564</v>
      </c>
      <c r="B273" s="380">
        <v>7</v>
      </c>
      <c r="C273" s="380"/>
      <c r="D273" s="380"/>
      <c r="E273" s="380"/>
      <c r="F273" s="380"/>
      <c r="G273" s="380"/>
      <c r="H273" s="380"/>
      <c r="I273" s="380"/>
      <c r="J273" s="380"/>
      <c r="K273" s="394">
        <v>14869.47</v>
      </c>
      <c r="L273" s="395">
        <v>185433.64</v>
      </c>
      <c r="M273" s="380">
        <v>7</v>
      </c>
      <c r="N273" s="380"/>
      <c r="O273" s="380"/>
      <c r="P273" s="380"/>
      <c r="Q273" s="380"/>
      <c r="R273" s="380"/>
      <c r="S273" s="380"/>
      <c r="T273" s="380"/>
      <c r="U273" s="380"/>
      <c r="V273" s="394">
        <v>14869.47</v>
      </c>
      <c r="W273" s="395">
        <v>185433.64</v>
      </c>
    </row>
    <row r="274" spans="1:23">
      <c r="A274" s="389" t="s">
        <v>624</v>
      </c>
      <c r="B274" s="380">
        <v>2</v>
      </c>
      <c r="C274" s="380"/>
      <c r="D274" s="380"/>
      <c r="E274" s="380"/>
      <c r="F274" s="380"/>
      <c r="G274" s="380"/>
      <c r="H274" s="380"/>
      <c r="I274" s="380"/>
      <c r="J274" s="380"/>
      <c r="K274" s="394">
        <v>4202.32</v>
      </c>
      <c r="L274" s="395">
        <v>52427.839999999997</v>
      </c>
      <c r="M274" s="380">
        <v>2</v>
      </c>
      <c r="N274" s="380"/>
      <c r="O274" s="380"/>
      <c r="P274" s="380"/>
      <c r="Q274" s="380"/>
      <c r="R274" s="380"/>
      <c r="S274" s="380"/>
      <c r="T274" s="380"/>
      <c r="U274" s="380"/>
      <c r="V274" s="394">
        <v>4202.32</v>
      </c>
      <c r="W274" s="395">
        <v>52427.839999999997</v>
      </c>
    </row>
    <row r="275" spans="1:23">
      <c r="A275" s="389" t="s">
        <v>679</v>
      </c>
      <c r="B275" s="380">
        <v>32</v>
      </c>
      <c r="C275" s="380"/>
      <c r="D275" s="380"/>
      <c r="E275" s="380"/>
      <c r="F275" s="380"/>
      <c r="G275" s="380"/>
      <c r="H275" s="380"/>
      <c r="I275" s="380"/>
      <c r="J275" s="380"/>
      <c r="K275" s="394">
        <v>558045.59</v>
      </c>
      <c r="L275" s="395">
        <v>3404547.08</v>
      </c>
      <c r="M275" s="380">
        <v>32</v>
      </c>
      <c r="N275" s="380"/>
      <c r="O275" s="380"/>
      <c r="P275" s="380"/>
      <c r="Q275" s="380"/>
      <c r="R275" s="380"/>
      <c r="S275" s="380"/>
      <c r="T275" s="380"/>
      <c r="U275" s="380"/>
      <c r="V275" s="394">
        <v>558045.59</v>
      </c>
      <c r="W275" s="395">
        <v>3404547.08</v>
      </c>
    </row>
    <row r="276" spans="1:23">
      <c r="A276" s="389" t="s">
        <v>680</v>
      </c>
      <c r="B276" s="380">
        <v>2</v>
      </c>
      <c r="C276" s="380"/>
      <c r="D276" s="380"/>
      <c r="E276" s="380"/>
      <c r="F276" s="380"/>
      <c r="G276" s="380"/>
      <c r="H276" s="380"/>
      <c r="I276" s="380"/>
      <c r="J276" s="380"/>
      <c r="K276" s="394">
        <v>9284.1</v>
      </c>
      <c r="L276" s="395">
        <v>113409.2</v>
      </c>
      <c r="M276" s="380">
        <v>2</v>
      </c>
      <c r="N276" s="380"/>
      <c r="O276" s="380"/>
      <c r="P276" s="380"/>
      <c r="Q276" s="380"/>
      <c r="R276" s="380"/>
      <c r="S276" s="380"/>
      <c r="T276" s="380"/>
      <c r="U276" s="380"/>
      <c r="V276" s="394">
        <v>9284.1</v>
      </c>
      <c r="W276" s="395">
        <v>113409.2</v>
      </c>
    </row>
    <row r="277" spans="1:23">
      <c r="A277" s="389" t="s">
        <v>681</v>
      </c>
      <c r="B277" s="380">
        <v>37</v>
      </c>
      <c r="C277" s="380"/>
      <c r="D277" s="380"/>
      <c r="E277" s="380"/>
      <c r="F277" s="380"/>
      <c r="G277" s="380"/>
      <c r="H277" s="380"/>
      <c r="I277" s="380"/>
      <c r="J277" s="380"/>
      <c r="K277" s="394">
        <v>173168.08</v>
      </c>
      <c r="L277" s="395">
        <v>2115016.96</v>
      </c>
      <c r="M277" s="380">
        <v>37</v>
      </c>
      <c r="N277" s="380"/>
      <c r="O277" s="380"/>
      <c r="P277" s="380"/>
      <c r="Q277" s="380"/>
      <c r="R277" s="380"/>
      <c r="S277" s="380"/>
      <c r="T277" s="380"/>
      <c r="U277" s="380"/>
      <c r="V277" s="394">
        <v>173168.08</v>
      </c>
      <c r="W277" s="395">
        <v>2115016.96</v>
      </c>
    </row>
    <row r="278" spans="1:23">
      <c r="A278" s="389" t="s">
        <v>682</v>
      </c>
      <c r="B278" s="380">
        <v>24</v>
      </c>
      <c r="C278" s="380"/>
      <c r="D278" s="380"/>
      <c r="E278" s="380"/>
      <c r="F278" s="380"/>
      <c r="G278" s="380"/>
      <c r="H278" s="380"/>
      <c r="I278" s="380"/>
      <c r="J278" s="380"/>
      <c r="K278" s="394">
        <v>117269.61</v>
      </c>
      <c r="L278" s="395">
        <v>1431475.32</v>
      </c>
      <c r="M278" s="380">
        <v>24</v>
      </c>
      <c r="N278" s="380"/>
      <c r="O278" s="380"/>
      <c r="P278" s="380"/>
      <c r="Q278" s="380"/>
      <c r="R278" s="380"/>
      <c r="S278" s="380"/>
      <c r="T278" s="380"/>
      <c r="U278" s="380"/>
      <c r="V278" s="394">
        <v>117269.61</v>
      </c>
      <c r="W278" s="395">
        <v>1431475.32</v>
      </c>
    </row>
    <row r="279" spans="1:23">
      <c r="A279" s="389" t="s">
        <v>683</v>
      </c>
      <c r="B279" s="380">
        <v>2</v>
      </c>
      <c r="C279" s="380"/>
      <c r="D279" s="380"/>
      <c r="E279" s="380"/>
      <c r="F279" s="380"/>
      <c r="G279" s="380"/>
      <c r="H279" s="380"/>
      <c r="I279" s="380"/>
      <c r="J279" s="380"/>
      <c r="K279" s="394">
        <v>11625.3</v>
      </c>
      <c r="L279" s="395">
        <v>141503.6</v>
      </c>
      <c r="M279" s="380">
        <v>2</v>
      </c>
      <c r="N279" s="380"/>
      <c r="O279" s="380"/>
      <c r="P279" s="380"/>
      <c r="Q279" s="380"/>
      <c r="R279" s="380"/>
      <c r="S279" s="380"/>
      <c r="T279" s="380"/>
      <c r="U279" s="380"/>
      <c r="V279" s="394">
        <v>11625.3</v>
      </c>
      <c r="W279" s="395">
        <v>141503.6</v>
      </c>
    </row>
    <row r="280" spans="1:23">
      <c r="A280" s="389" t="s">
        <v>684</v>
      </c>
      <c r="B280" s="380">
        <v>1</v>
      </c>
      <c r="C280" s="380"/>
      <c r="D280" s="380"/>
      <c r="E280" s="380"/>
      <c r="F280" s="380"/>
      <c r="G280" s="380"/>
      <c r="H280" s="380"/>
      <c r="I280" s="380"/>
      <c r="J280" s="380"/>
      <c r="K280" s="394">
        <v>8684.34</v>
      </c>
      <c r="L280" s="395">
        <v>106212.08</v>
      </c>
      <c r="M280" s="380">
        <v>1</v>
      </c>
      <c r="N280" s="380"/>
      <c r="O280" s="380"/>
      <c r="P280" s="380"/>
      <c r="Q280" s="380"/>
      <c r="R280" s="380"/>
      <c r="S280" s="380"/>
      <c r="T280" s="380"/>
      <c r="U280" s="380"/>
      <c r="V280" s="394">
        <v>8684.34</v>
      </c>
      <c r="W280" s="395">
        <v>106212.08</v>
      </c>
    </row>
    <row r="281" spans="1:23">
      <c r="A281" s="389" t="s">
        <v>685</v>
      </c>
      <c r="B281" s="380">
        <v>1</v>
      </c>
      <c r="C281" s="380"/>
      <c r="D281" s="380"/>
      <c r="E281" s="380"/>
      <c r="F281" s="380"/>
      <c r="G281" s="380"/>
      <c r="H281" s="380"/>
      <c r="I281" s="380"/>
      <c r="J281" s="380"/>
      <c r="K281" s="394">
        <v>3938.32</v>
      </c>
      <c r="L281" s="395">
        <v>48259.839999999997</v>
      </c>
      <c r="M281" s="380">
        <v>1</v>
      </c>
      <c r="N281" s="380"/>
      <c r="O281" s="380"/>
      <c r="P281" s="380"/>
      <c r="Q281" s="380"/>
      <c r="R281" s="380"/>
      <c r="S281" s="380"/>
      <c r="T281" s="380"/>
      <c r="U281" s="380"/>
      <c r="V281" s="394">
        <v>3938.32</v>
      </c>
      <c r="W281" s="395">
        <v>48259.839999999997</v>
      </c>
    </row>
    <row r="282" spans="1:23">
      <c r="A282" s="389" t="s">
        <v>686</v>
      </c>
      <c r="B282" s="380">
        <v>2</v>
      </c>
      <c r="C282" s="380"/>
      <c r="D282" s="380"/>
      <c r="E282" s="380"/>
      <c r="F282" s="380"/>
      <c r="G282" s="380"/>
      <c r="H282" s="380"/>
      <c r="I282" s="380"/>
      <c r="J282" s="380"/>
      <c r="K282" s="394">
        <v>3813.24</v>
      </c>
      <c r="L282" s="395">
        <v>46758.879999999997</v>
      </c>
      <c r="M282" s="380">
        <v>2</v>
      </c>
      <c r="N282" s="380"/>
      <c r="O282" s="380"/>
      <c r="P282" s="380"/>
      <c r="Q282" s="380"/>
      <c r="R282" s="380"/>
      <c r="S282" s="380"/>
      <c r="T282" s="380"/>
      <c r="U282" s="380"/>
      <c r="V282" s="394">
        <v>3813.24</v>
      </c>
      <c r="W282" s="395">
        <v>46758.879999999997</v>
      </c>
    </row>
    <row r="283" spans="1:23">
      <c r="A283" s="389" t="s">
        <v>687</v>
      </c>
      <c r="B283" s="380"/>
      <c r="C283" s="380"/>
      <c r="D283" s="380"/>
      <c r="E283" s="380"/>
      <c r="F283" s="380"/>
      <c r="G283" s="380"/>
      <c r="H283" s="380"/>
      <c r="I283" s="380"/>
      <c r="J283" s="380"/>
      <c r="K283" s="394">
        <v>4700.24</v>
      </c>
      <c r="L283" s="395">
        <v>56402.879999999997</v>
      </c>
      <c r="M283" s="380"/>
      <c r="N283" s="380"/>
      <c r="O283" s="380"/>
      <c r="P283" s="380"/>
      <c r="Q283" s="380"/>
      <c r="R283" s="380"/>
      <c r="S283" s="380"/>
      <c r="T283" s="380"/>
      <c r="U283" s="380"/>
      <c r="V283" s="394">
        <v>4700.24</v>
      </c>
      <c r="W283" s="395">
        <v>56402.879999999997</v>
      </c>
    </row>
    <row r="284" spans="1:23">
      <c r="A284" s="389"/>
      <c r="B284" s="380"/>
      <c r="C284" s="380"/>
      <c r="D284" s="380"/>
      <c r="E284" s="380"/>
      <c r="F284" s="380"/>
      <c r="G284" s="380"/>
      <c r="H284" s="380"/>
      <c r="I284" s="380"/>
      <c r="J284" s="380"/>
      <c r="K284" s="394">
        <f>SUM(K272:K283)</f>
        <v>913898.82999999984</v>
      </c>
      <c r="L284" s="395">
        <f>SUM(L272:L283)</f>
        <v>7755025.96</v>
      </c>
      <c r="M284" s="380"/>
      <c r="N284" s="380"/>
      <c r="O284" s="380"/>
      <c r="P284" s="380"/>
      <c r="Q284" s="380"/>
      <c r="R284" s="380"/>
      <c r="S284" s="380"/>
      <c r="T284" s="380"/>
      <c r="U284" s="380"/>
      <c r="V284" s="394">
        <f>SUM(V272:V283)</f>
        <v>913898.82999999984</v>
      </c>
      <c r="W284" s="395">
        <f>SUM(W272:W283)</f>
        <v>7755025.96</v>
      </c>
    </row>
    <row r="285" spans="1:23">
      <c r="A285" s="391" t="s">
        <v>565</v>
      </c>
      <c r="B285" s="392"/>
      <c r="C285" s="392"/>
      <c r="D285" s="392"/>
      <c r="E285" s="392"/>
      <c r="F285" s="392"/>
      <c r="G285" s="392"/>
      <c r="H285" s="392"/>
      <c r="I285" s="392"/>
      <c r="J285" s="392"/>
      <c r="K285" s="392"/>
      <c r="L285" s="393"/>
      <c r="M285" s="392"/>
      <c r="N285" s="392"/>
      <c r="O285" s="392"/>
      <c r="P285" s="392"/>
      <c r="Q285" s="392"/>
      <c r="R285" s="392"/>
      <c r="S285" s="392"/>
      <c r="T285" s="392"/>
      <c r="U285" s="392"/>
      <c r="V285" s="392"/>
      <c r="W285" s="393"/>
    </row>
    <row r="286" spans="1:23">
      <c r="A286" s="389" t="s">
        <v>566</v>
      </c>
      <c r="B286" s="380">
        <v>22</v>
      </c>
      <c r="C286" s="380"/>
      <c r="D286" s="380"/>
      <c r="E286" s="380"/>
      <c r="F286" s="380"/>
      <c r="G286" s="380"/>
      <c r="H286" s="380"/>
      <c r="I286" s="380"/>
      <c r="J286" s="380"/>
      <c r="K286" s="394">
        <v>56553.31</v>
      </c>
      <c r="L286" s="395">
        <v>700639.72</v>
      </c>
      <c r="M286" s="380">
        <v>22</v>
      </c>
      <c r="N286" s="380"/>
      <c r="O286" s="380"/>
      <c r="P286" s="380"/>
      <c r="Q286" s="380"/>
      <c r="R286" s="380"/>
      <c r="S286" s="380"/>
      <c r="T286" s="380"/>
      <c r="U286" s="380"/>
      <c r="V286" s="394">
        <v>56553.31</v>
      </c>
      <c r="W286" s="395">
        <v>700639.72</v>
      </c>
    </row>
    <row r="287" spans="1:23">
      <c r="A287" s="389" t="s">
        <v>567</v>
      </c>
      <c r="B287" s="380">
        <v>62</v>
      </c>
      <c r="C287" s="380"/>
      <c r="D287" s="380"/>
      <c r="E287" s="380"/>
      <c r="F287" s="380"/>
      <c r="G287" s="380"/>
      <c r="H287" s="380"/>
      <c r="I287" s="380"/>
      <c r="J287" s="380"/>
      <c r="K287" s="394">
        <v>167809.29</v>
      </c>
      <c r="L287" s="395">
        <v>2075711.48</v>
      </c>
      <c r="M287" s="380">
        <v>62</v>
      </c>
      <c r="N287" s="380"/>
      <c r="O287" s="380"/>
      <c r="P287" s="380"/>
      <c r="Q287" s="380"/>
      <c r="R287" s="380"/>
      <c r="S287" s="380"/>
      <c r="T287" s="380"/>
      <c r="U287" s="380"/>
      <c r="V287" s="394">
        <v>167809.29</v>
      </c>
      <c r="W287" s="395">
        <v>2075711.48</v>
      </c>
    </row>
    <row r="288" spans="1:23">
      <c r="A288" s="389" t="s">
        <v>581</v>
      </c>
      <c r="B288" s="380">
        <v>30</v>
      </c>
      <c r="C288" s="380"/>
      <c r="D288" s="380"/>
      <c r="E288" s="380"/>
      <c r="F288" s="380"/>
      <c r="G288" s="380"/>
      <c r="H288" s="380"/>
      <c r="I288" s="380"/>
      <c r="J288" s="380"/>
      <c r="K288" s="394">
        <v>73696.929999999993</v>
      </c>
      <c r="L288" s="395">
        <v>914363.16</v>
      </c>
      <c r="M288" s="380">
        <v>30</v>
      </c>
      <c r="N288" s="380"/>
      <c r="O288" s="380"/>
      <c r="P288" s="380"/>
      <c r="Q288" s="380"/>
      <c r="R288" s="380"/>
      <c r="S288" s="380"/>
      <c r="T288" s="380"/>
      <c r="U288" s="380"/>
      <c r="V288" s="394">
        <v>73696.929999999993</v>
      </c>
      <c r="W288" s="395">
        <v>914363.16</v>
      </c>
    </row>
    <row r="289" spans="1:23">
      <c r="A289" s="389" t="s">
        <v>582</v>
      </c>
      <c r="B289" s="380">
        <v>1</v>
      </c>
      <c r="C289" s="380"/>
      <c r="D289" s="380"/>
      <c r="E289" s="380"/>
      <c r="F289" s="380"/>
      <c r="G289" s="380"/>
      <c r="H289" s="380"/>
      <c r="I289" s="380"/>
      <c r="J289" s="380"/>
      <c r="K289" s="394">
        <v>2008.7</v>
      </c>
      <c r="L289" s="395">
        <v>25104.400000000001</v>
      </c>
      <c r="M289" s="380">
        <v>1</v>
      </c>
      <c r="N289" s="380"/>
      <c r="O289" s="380"/>
      <c r="P289" s="380"/>
      <c r="Q289" s="380"/>
      <c r="R289" s="380"/>
      <c r="S289" s="380"/>
      <c r="T289" s="380"/>
      <c r="U289" s="380"/>
      <c r="V289" s="394">
        <v>2008.7</v>
      </c>
      <c r="W289" s="395">
        <v>25104.400000000001</v>
      </c>
    </row>
    <row r="290" spans="1:23">
      <c r="A290" s="389" t="s">
        <v>568</v>
      </c>
      <c r="B290" s="380">
        <v>1</v>
      </c>
      <c r="C290" s="380"/>
      <c r="D290" s="380"/>
      <c r="E290" s="380"/>
      <c r="F290" s="380"/>
      <c r="G290" s="380"/>
      <c r="H290" s="380"/>
      <c r="I290" s="380"/>
      <c r="J290" s="380"/>
      <c r="K290" s="394">
        <v>2357.56</v>
      </c>
      <c r="L290" s="395">
        <v>29290.720000000001</v>
      </c>
      <c r="M290" s="380">
        <v>1</v>
      </c>
      <c r="N290" s="380"/>
      <c r="O290" s="380"/>
      <c r="P290" s="380"/>
      <c r="Q290" s="380"/>
      <c r="R290" s="380"/>
      <c r="S290" s="380"/>
      <c r="T290" s="380"/>
      <c r="U290" s="380"/>
      <c r="V290" s="394">
        <v>2357.56</v>
      </c>
      <c r="W290" s="395">
        <v>29290.720000000001</v>
      </c>
    </row>
    <row r="291" spans="1:23">
      <c r="A291" s="389" t="s">
        <v>583</v>
      </c>
      <c r="B291" s="380">
        <v>41</v>
      </c>
      <c r="C291" s="380"/>
      <c r="D291" s="380"/>
      <c r="E291" s="380"/>
      <c r="F291" s="380"/>
      <c r="G291" s="380"/>
      <c r="H291" s="380"/>
      <c r="I291" s="380"/>
      <c r="J291" s="380"/>
      <c r="K291" s="394">
        <v>108949.39</v>
      </c>
      <c r="L291" s="395">
        <v>1348392.68</v>
      </c>
      <c r="M291" s="380">
        <v>41</v>
      </c>
      <c r="N291" s="380"/>
      <c r="O291" s="380"/>
      <c r="P291" s="380"/>
      <c r="Q291" s="380"/>
      <c r="R291" s="380"/>
      <c r="S291" s="380"/>
      <c r="T291" s="380"/>
      <c r="U291" s="380"/>
      <c r="V291" s="394">
        <v>108949.39</v>
      </c>
      <c r="W291" s="395">
        <v>1348392.68</v>
      </c>
    </row>
    <row r="292" spans="1:23">
      <c r="A292" s="389" t="s">
        <v>688</v>
      </c>
      <c r="B292" s="380"/>
      <c r="C292" s="380"/>
      <c r="D292" s="380">
        <v>81</v>
      </c>
      <c r="E292" s="380"/>
      <c r="F292" s="380"/>
      <c r="G292" s="380"/>
      <c r="H292" s="380"/>
      <c r="I292" s="380"/>
      <c r="J292" s="380"/>
      <c r="K292" s="394">
        <v>142303.65</v>
      </c>
      <c r="L292" s="395">
        <v>1756243.8</v>
      </c>
      <c r="M292" s="380"/>
      <c r="N292" s="380"/>
      <c r="O292" s="380">
        <v>81</v>
      </c>
      <c r="P292" s="380"/>
      <c r="Q292" s="380"/>
      <c r="R292" s="380"/>
      <c r="S292" s="380"/>
      <c r="T292" s="380"/>
      <c r="U292" s="380"/>
      <c r="V292" s="394">
        <v>142303.65</v>
      </c>
      <c r="W292" s="395">
        <v>1756243.8</v>
      </c>
    </row>
    <row r="293" spans="1:23">
      <c r="A293" s="389" t="s">
        <v>689</v>
      </c>
      <c r="B293" s="380"/>
      <c r="C293" s="380"/>
      <c r="D293" s="380">
        <v>112</v>
      </c>
      <c r="E293" s="380"/>
      <c r="F293" s="380"/>
      <c r="G293" s="380"/>
      <c r="H293" s="380"/>
      <c r="I293" s="380"/>
      <c r="J293" s="380"/>
      <c r="K293" s="394">
        <v>253721.9</v>
      </c>
      <c r="L293" s="395">
        <v>3111862.8</v>
      </c>
      <c r="M293" s="380"/>
      <c r="N293" s="380"/>
      <c r="O293" s="380">
        <v>112</v>
      </c>
      <c r="P293" s="380"/>
      <c r="Q293" s="380"/>
      <c r="R293" s="380"/>
      <c r="S293" s="380"/>
      <c r="T293" s="380"/>
      <c r="U293" s="380"/>
      <c r="V293" s="394">
        <v>253721.9</v>
      </c>
      <c r="W293" s="395">
        <v>3111862.8</v>
      </c>
    </row>
    <row r="294" spans="1:23">
      <c r="A294" s="389"/>
      <c r="B294" s="380"/>
      <c r="C294" s="380"/>
      <c r="D294" s="380"/>
      <c r="E294" s="380"/>
      <c r="F294" s="380"/>
      <c r="G294" s="380"/>
      <c r="H294" s="380"/>
      <c r="I294" s="380"/>
      <c r="J294" s="380"/>
      <c r="K294" s="394">
        <f>SUM(K286:K293)</f>
        <v>807400.7300000001</v>
      </c>
      <c r="L294" s="395">
        <f>SUM(L286:L293)</f>
        <v>9961608.7599999998</v>
      </c>
      <c r="M294" s="380"/>
      <c r="N294" s="380"/>
      <c r="O294" s="380"/>
      <c r="P294" s="380"/>
      <c r="Q294" s="380"/>
      <c r="R294" s="380"/>
      <c r="S294" s="380"/>
      <c r="T294" s="380"/>
      <c r="U294" s="380"/>
      <c r="V294" s="394">
        <f>SUM(V286:V293)</f>
        <v>807400.7300000001</v>
      </c>
      <c r="W294" s="395">
        <f>SUM(W286:W293)</f>
        <v>9961608.7599999998</v>
      </c>
    </row>
    <row r="295" spans="1:23">
      <c r="A295" s="391" t="s">
        <v>569</v>
      </c>
      <c r="B295" s="392"/>
      <c r="C295" s="392"/>
      <c r="D295" s="392"/>
      <c r="E295" s="392"/>
      <c r="F295" s="392"/>
      <c r="G295" s="392"/>
      <c r="H295" s="392"/>
      <c r="I295" s="392"/>
      <c r="J295" s="392"/>
      <c r="K295" s="392"/>
      <c r="L295" s="393"/>
      <c r="M295" s="392"/>
      <c r="N295" s="392"/>
      <c r="O295" s="392"/>
      <c r="P295" s="392"/>
      <c r="Q295" s="392"/>
      <c r="R295" s="392"/>
      <c r="S295" s="392"/>
      <c r="T295" s="392"/>
      <c r="U295" s="392"/>
      <c r="V295" s="392"/>
      <c r="W295" s="393"/>
    </row>
    <row r="296" spans="1:23">
      <c r="A296" s="389" t="s">
        <v>584</v>
      </c>
      <c r="B296" s="380">
        <v>16</v>
      </c>
      <c r="C296" s="380"/>
      <c r="D296" s="380"/>
      <c r="E296" s="380"/>
      <c r="F296" s="380"/>
      <c r="G296" s="380"/>
      <c r="H296" s="380"/>
      <c r="I296" s="380"/>
      <c r="J296" s="380"/>
      <c r="K296" s="394">
        <v>39400.57</v>
      </c>
      <c r="L296" s="395">
        <v>488806.84</v>
      </c>
      <c r="M296" s="380">
        <v>16</v>
      </c>
      <c r="N296" s="380"/>
      <c r="O296" s="380"/>
      <c r="P296" s="380"/>
      <c r="Q296" s="380"/>
      <c r="R296" s="380"/>
      <c r="S296" s="380"/>
      <c r="T296" s="380"/>
      <c r="U296" s="380"/>
      <c r="V296" s="394">
        <v>39400.57</v>
      </c>
      <c r="W296" s="395">
        <v>488806.84</v>
      </c>
    </row>
    <row r="297" spans="1:23">
      <c r="A297" s="389" t="s">
        <v>625</v>
      </c>
      <c r="B297" s="380">
        <v>14</v>
      </c>
      <c r="C297" s="380"/>
      <c r="D297" s="380"/>
      <c r="E297" s="380"/>
      <c r="F297" s="380"/>
      <c r="G297" s="380"/>
      <c r="H297" s="380"/>
      <c r="I297" s="380"/>
      <c r="J297" s="380"/>
      <c r="K297" s="394">
        <v>32564.95</v>
      </c>
      <c r="L297" s="395">
        <v>404779.4</v>
      </c>
      <c r="M297" s="380">
        <v>14</v>
      </c>
      <c r="N297" s="380"/>
      <c r="O297" s="380"/>
      <c r="P297" s="380"/>
      <c r="Q297" s="380"/>
      <c r="R297" s="380"/>
      <c r="S297" s="380"/>
      <c r="T297" s="380"/>
      <c r="U297" s="380"/>
      <c r="V297" s="394">
        <v>32564.95</v>
      </c>
      <c r="W297" s="395">
        <v>404779.4</v>
      </c>
    </row>
    <row r="298" spans="1:23">
      <c r="A298" s="389" t="s">
        <v>626</v>
      </c>
      <c r="B298" s="380">
        <v>3</v>
      </c>
      <c r="C298" s="380"/>
      <c r="D298" s="380"/>
      <c r="E298" s="380"/>
      <c r="F298" s="380"/>
      <c r="G298" s="380"/>
      <c r="H298" s="380"/>
      <c r="I298" s="380"/>
      <c r="J298" s="380"/>
      <c r="K298" s="394">
        <v>7399.56</v>
      </c>
      <c r="L298" s="395">
        <v>98202.72</v>
      </c>
      <c r="M298" s="380">
        <v>3</v>
      </c>
      <c r="N298" s="380"/>
      <c r="O298" s="380"/>
      <c r="P298" s="380"/>
      <c r="Q298" s="380"/>
      <c r="R298" s="380"/>
      <c r="S298" s="380"/>
      <c r="T298" s="380"/>
      <c r="U298" s="380"/>
      <c r="V298" s="394">
        <v>7399.56</v>
      </c>
      <c r="W298" s="395">
        <v>98202.72</v>
      </c>
    </row>
    <row r="299" spans="1:23" ht="15.75" thickBot="1">
      <c r="A299" s="389"/>
      <c r="B299" s="380"/>
      <c r="C299" s="380"/>
      <c r="D299" s="380"/>
      <c r="E299" s="380"/>
      <c r="F299" s="380"/>
      <c r="G299" s="380"/>
      <c r="H299" s="380"/>
      <c r="I299" s="380"/>
      <c r="J299" s="380"/>
      <c r="K299" s="394">
        <f>SUM(K296:K298)</f>
        <v>79365.08</v>
      </c>
      <c r="L299" s="395">
        <f>SUM(L296:L298)</f>
        <v>991788.96</v>
      </c>
      <c r="M299" s="380"/>
      <c r="N299" s="380"/>
      <c r="O299" s="380"/>
      <c r="P299" s="380"/>
      <c r="Q299" s="380"/>
      <c r="R299" s="380"/>
      <c r="S299" s="380"/>
      <c r="T299" s="380"/>
      <c r="U299" s="380"/>
      <c r="V299" s="394">
        <f>SUM(V296:V298)</f>
        <v>79365.08</v>
      </c>
      <c r="W299" s="395">
        <f>SUM(W296:W298)</f>
        <v>991788.96</v>
      </c>
    </row>
    <row r="300" spans="1:23" ht="15.75" thickBot="1">
      <c r="A300" s="397" t="s">
        <v>573</v>
      </c>
      <c r="B300" s="398"/>
      <c r="C300" s="398"/>
      <c r="D300" s="398"/>
      <c r="E300" s="398"/>
      <c r="F300" s="398"/>
      <c r="G300" s="398"/>
      <c r="H300" s="398"/>
      <c r="I300" s="398"/>
      <c r="J300" s="398"/>
      <c r="K300" s="398"/>
      <c r="L300" s="399"/>
      <c r="M300" s="398"/>
      <c r="N300" s="398"/>
      <c r="O300" s="398"/>
      <c r="P300" s="398"/>
      <c r="Q300" s="398"/>
      <c r="R300" s="398"/>
      <c r="S300" s="398"/>
      <c r="T300" s="398"/>
      <c r="U300" s="398"/>
      <c r="V300" s="398"/>
      <c r="W300" s="399"/>
    </row>
    <row r="301" spans="1:23">
      <c r="A301" s="400" t="s">
        <v>574</v>
      </c>
      <c r="B301" s="401"/>
      <c r="C301" s="401"/>
      <c r="D301" s="401"/>
      <c r="E301" s="401"/>
      <c r="F301" s="401"/>
      <c r="G301" s="401"/>
      <c r="H301" s="401"/>
      <c r="I301" s="401"/>
      <c r="J301" s="401"/>
      <c r="K301" s="401"/>
      <c r="L301" s="401"/>
      <c r="M301" s="401"/>
      <c r="N301" s="401"/>
      <c r="O301" s="401"/>
      <c r="P301" s="402"/>
      <c r="Q301" s="403"/>
      <c r="R301" s="404"/>
      <c r="S301" s="404"/>
      <c r="T301" s="402"/>
      <c r="U301" s="402"/>
      <c r="V301" s="402"/>
      <c r="W301" s="402"/>
    </row>
    <row r="302" spans="1:23">
      <c r="A302" s="380" t="s">
        <v>575</v>
      </c>
      <c r="B302" s="380"/>
      <c r="C302" s="380"/>
      <c r="D302" s="380"/>
      <c r="E302" s="380"/>
      <c r="F302" s="380"/>
      <c r="G302" s="380"/>
      <c r="H302" s="380"/>
      <c r="I302" s="380"/>
      <c r="J302" s="380"/>
      <c r="K302" s="380"/>
      <c r="L302" s="380"/>
      <c r="M302" s="380"/>
      <c r="N302" s="380"/>
      <c r="O302" s="380"/>
      <c r="P302" s="402"/>
      <c r="Q302" s="403"/>
      <c r="R302" s="404"/>
      <c r="S302" s="404"/>
      <c r="T302" s="404"/>
      <c r="U302" s="404"/>
      <c r="V302" s="402"/>
      <c r="W302" s="402"/>
    </row>
    <row r="305" spans="1:24" ht="15.75">
      <c r="A305" s="296" t="s">
        <v>535</v>
      </c>
      <c r="B305" s="297"/>
      <c r="C305" s="297"/>
      <c r="D305" s="297"/>
      <c r="E305" s="297"/>
      <c r="F305" s="297"/>
      <c r="G305" s="297"/>
      <c r="H305" s="297"/>
      <c r="I305" s="297"/>
      <c r="J305" s="297"/>
      <c r="K305" s="297"/>
      <c r="L305" s="409"/>
      <c r="M305" s="297"/>
      <c r="N305" s="297"/>
      <c r="O305" s="297"/>
      <c r="P305" s="297"/>
      <c r="Q305" s="297"/>
      <c r="R305" s="297"/>
      <c r="S305" s="297"/>
      <c r="T305" s="297"/>
      <c r="U305" s="297"/>
      <c r="V305" s="297"/>
      <c r="W305" s="297"/>
      <c r="X305" s="34"/>
    </row>
    <row r="306" spans="1:24" ht="15.75">
      <c r="A306" s="298" t="s">
        <v>301</v>
      </c>
      <c r="B306" s="299"/>
      <c r="C306" s="299"/>
      <c r="D306" s="299"/>
      <c r="E306" s="299"/>
      <c r="F306" s="299"/>
      <c r="G306" s="299"/>
      <c r="H306" s="299"/>
      <c r="I306" s="299"/>
      <c r="J306" s="299"/>
      <c r="K306" s="299"/>
      <c r="L306" s="410"/>
      <c r="M306" s="299"/>
      <c r="N306" s="299"/>
      <c r="O306" s="299"/>
      <c r="P306" s="299"/>
      <c r="Q306" s="299"/>
      <c r="R306" s="299"/>
      <c r="S306" s="299"/>
      <c r="T306" s="299"/>
      <c r="U306" s="299"/>
      <c r="V306" s="299"/>
      <c r="W306" s="299"/>
      <c r="X306" s="34"/>
    </row>
    <row r="307" spans="1:24" ht="15.75" thickBot="1">
      <c r="A307" s="411" t="s">
        <v>691</v>
      </c>
      <c r="B307" s="405"/>
      <c r="C307" s="405"/>
      <c r="D307" s="300"/>
      <c r="E307" s="300"/>
      <c r="F307" s="300"/>
      <c r="G307" s="300"/>
      <c r="H307" s="300"/>
      <c r="I307" s="300"/>
      <c r="J307" s="300"/>
      <c r="K307" s="300"/>
      <c r="L307" s="412"/>
      <c r="M307" s="300"/>
      <c r="N307" s="300"/>
      <c r="O307" s="300"/>
      <c r="P307" s="300"/>
      <c r="Q307" s="300"/>
      <c r="R307" s="300"/>
      <c r="S307" s="300"/>
      <c r="T307" s="300"/>
      <c r="U307" s="300"/>
      <c r="V307" s="300"/>
      <c r="W307" s="301"/>
      <c r="X307" s="34"/>
    </row>
    <row r="308" spans="1:24">
      <c r="A308" s="306" t="s">
        <v>538</v>
      </c>
      <c r="B308" s="1320" t="s">
        <v>539</v>
      </c>
      <c r="C308" s="1316"/>
      <c r="D308" s="1316"/>
      <c r="E308" s="1316"/>
      <c r="F308" s="1316"/>
      <c r="G308" s="1316"/>
      <c r="H308" s="1316"/>
      <c r="I308" s="1316"/>
      <c r="J308" s="1316"/>
      <c r="K308" s="1316"/>
      <c r="L308" s="1312"/>
      <c r="M308" s="1320" t="s">
        <v>540</v>
      </c>
      <c r="N308" s="1316"/>
      <c r="O308" s="1316"/>
      <c r="P308" s="1316"/>
      <c r="Q308" s="1316"/>
      <c r="R308" s="1316"/>
      <c r="S308" s="1316"/>
      <c r="T308" s="1316"/>
      <c r="U308" s="1316"/>
      <c r="V308" s="1316"/>
      <c r="W308" s="1312"/>
      <c r="X308" s="34"/>
    </row>
    <row r="309" spans="1:24" ht="60.75">
      <c r="A309" s="307" t="s">
        <v>541</v>
      </c>
      <c r="B309" s="308" t="s">
        <v>542</v>
      </c>
      <c r="C309" s="308" t="s">
        <v>543</v>
      </c>
      <c r="D309" s="309" t="s">
        <v>544</v>
      </c>
      <c r="E309" s="309" t="s">
        <v>545</v>
      </c>
      <c r="F309" s="309" t="s">
        <v>546</v>
      </c>
      <c r="G309" s="309" t="s">
        <v>547</v>
      </c>
      <c r="H309" s="309" t="s">
        <v>548</v>
      </c>
      <c r="I309" s="309" t="s">
        <v>549</v>
      </c>
      <c r="J309" s="310" t="s">
        <v>550</v>
      </c>
      <c r="K309" s="311" t="s">
        <v>551</v>
      </c>
      <c r="L309" s="413" t="s">
        <v>552</v>
      </c>
      <c r="M309" s="308" t="s">
        <v>542</v>
      </c>
      <c r="N309" s="308" t="s">
        <v>543</v>
      </c>
      <c r="O309" s="309" t="s">
        <v>544</v>
      </c>
      <c r="P309" s="309" t="s">
        <v>545</v>
      </c>
      <c r="Q309" s="309" t="s">
        <v>546</v>
      </c>
      <c r="R309" s="309" t="s">
        <v>547</v>
      </c>
      <c r="S309" s="309" t="s">
        <v>548</v>
      </c>
      <c r="T309" s="309" t="s">
        <v>549</v>
      </c>
      <c r="U309" s="310" t="s">
        <v>550</v>
      </c>
      <c r="V309" s="311" t="s">
        <v>551</v>
      </c>
      <c r="W309" s="312" t="s">
        <v>553</v>
      </c>
      <c r="X309" s="34"/>
    </row>
    <row r="310" spans="1:24">
      <c r="A310" s="313"/>
      <c r="B310" s="300"/>
      <c r="C310" s="300"/>
      <c r="D310" s="300"/>
      <c r="E310" s="300"/>
      <c r="F310" s="300"/>
      <c r="G310" s="300"/>
      <c r="H310" s="300"/>
      <c r="I310" s="300"/>
      <c r="J310" s="300"/>
      <c r="K310" s="300"/>
      <c r="L310" s="334"/>
      <c r="M310" s="300"/>
      <c r="N310" s="300"/>
      <c r="O310" s="300"/>
      <c r="P310" s="300"/>
      <c r="Q310" s="300"/>
      <c r="R310" s="300"/>
      <c r="S310" s="300"/>
      <c r="T310" s="300"/>
      <c r="U310" s="300"/>
      <c r="V310" s="300"/>
      <c r="W310" s="334"/>
      <c r="X310" s="34"/>
    </row>
    <row r="311" spans="1:24">
      <c r="A311" s="315" t="s">
        <v>554</v>
      </c>
      <c r="B311" s="303"/>
      <c r="C311" s="303"/>
      <c r="D311" s="303"/>
      <c r="E311" s="303"/>
      <c r="F311" s="303"/>
      <c r="G311" s="303"/>
      <c r="H311" s="303"/>
      <c r="I311" s="303"/>
      <c r="J311" s="303"/>
      <c r="K311" s="303"/>
      <c r="L311" s="336"/>
      <c r="M311" s="303"/>
      <c r="N311" s="303"/>
      <c r="O311" s="303"/>
      <c r="P311" s="303"/>
      <c r="Q311" s="303"/>
      <c r="R311" s="303"/>
      <c r="S311" s="303"/>
      <c r="T311" s="303"/>
      <c r="U311" s="303"/>
      <c r="V311" s="303"/>
      <c r="W311" s="336"/>
      <c r="X311" s="34"/>
    </row>
    <row r="312" spans="1:24">
      <c r="A312" s="313" t="s">
        <v>555</v>
      </c>
      <c r="B312" s="300"/>
      <c r="C312" s="300"/>
      <c r="D312" s="300"/>
      <c r="E312" s="300"/>
      <c r="F312" s="300"/>
      <c r="G312" s="300"/>
      <c r="H312" s="300"/>
      <c r="I312" s="300"/>
      <c r="J312" s="300"/>
      <c r="K312" s="300"/>
      <c r="L312" s="334"/>
      <c r="M312" s="300"/>
      <c r="N312" s="300"/>
      <c r="O312" s="300"/>
      <c r="P312" s="300"/>
      <c r="Q312" s="300"/>
      <c r="R312" s="300"/>
      <c r="S312" s="300"/>
      <c r="T312" s="300"/>
      <c r="U312" s="300"/>
      <c r="V312" s="300"/>
      <c r="W312" s="334"/>
      <c r="X312" s="34"/>
    </row>
    <row r="313" spans="1:24">
      <c r="A313" s="313" t="s">
        <v>571</v>
      </c>
      <c r="B313" s="300"/>
      <c r="C313" s="300"/>
      <c r="D313" s="300"/>
      <c r="E313" s="300"/>
      <c r="F313" s="300"/>
      <c r="G313" s="300"/>
      <c r="H313" s="300"/>
      <c r="I313" s="300"/>
      <c r="J313" s="300"/>
      <c r="K313" s="300"/>
      <c r="L313" s="334"/>
      <c r="M313" s="300"/>
      <c r="N313" s="300"/>
      <c r="O313" s="300"/>
      <c r="P313" s="300"/>
      <c r="Q313" s="300"/>
      <c r="R313" s="300"/>
      <c r="S313" s="300"/>
      <c r="T313" s="300"/>
      <c r="U313" s="300"/>
      <c r="V313" s="300"/>
      <c r="W313" s="334"/>
      <c r="X313" s="34"/>
    </row>
    <row r="314" spans="1:24">
      <c r="A314" s="313" t="s">
        <v>571</v>
      </c>
      <c r="B314" s="300"/>
      <c r="C314" s="300"/>
      <c r="D314" s="300"/>
      <c r="E314" s="300"/>
      <c r="F314" s="300"/>
      <c r="G314" s="300"/>
      <c r="H314" s="300"/>
      <c r="I314" s="300"/>
      <c r="J314" s="300"/>
      <c r="K314" s="300"/>
      <c r="L314" s="334"/>
      <c r="M314" s="300"/>
      <c r="N314" s="300"/>
      <c r="O314" s="300"/>
      <c r="P314" s="300"/>
      <c r="Q314" s="300"/>
      <c r="R314" s="300"/>
      <c r="S314" s="300"/>
      <c r="T314" s="300"/>
      <c r="U314" s="300"/>
      <c r="V314" s="300"/>
      <c r="W314" s="334"/>
      <c r="X314" s="34"/>
    </row>
    <row r="315" spans="1:24">
      <c r="A315" s="313" t="s">
        <v>571</v>
      </c>
      <c r="B315" s="300"/>
      <c r="C315" s="300"/>
      <c r="D315" s="300"/>
      <c r="E315" s="300"/>
      <c r="F315" s="300"/>
      <c r="G315" s="300"/>
      <c r="H315" s="300"/>
      <c r="I315" s="300"/>
      <c r="J315" s="300"/>
      <c r="K315" s="300"/>
      <c r="L315" s="334"/>
      <c r="M315" s="300"/>
      <c r="N315" s="300"/>
      <c r="O315" s="300"/>
      <c r="P315" s="300"/>
      <c r="Q315" s="300"/>
      <c r="R315" s="300"/>
      <c r="S315" s="300"/>
      <c r="T315" s="300"/>
      <c r="U315" s="300"/>
      <c r="V315" s="300"/>
      <c r="W315" s="334"/>
      <c r="X315" s="34"/>
    </row>
    <row r="316" spans="1:24">
      <c r="A316" s="313" t="s">
        <v>571</v>
      </c>
      <c r="B316" s="300"/>
      <c r="C316" s="300"/>
      <c r="D316" s="300"/>
      <c r="E316" s="300"/>
      <c r="F316" s="300"/>
      <c r="G316" s="300"/>
      <c r="H316" s="300"/>
      <c r="I316" s="300"/>
      <c r="J316" s="300"/>
      <c r="K316" s="300"/>
      <c r="L316" s="334"/>
      <c r="M316" s="300"/>
      <c r="N316" s="300"/>
      <c r="O316" s="300"/>
      <c r="P316" s="300"/>
      <c r="Q316" s="300"/>
      <c r="R316" s="300"/>
      <c r="S316" s="300"/>
      <c r="T316" s="300"/>
      <c r="U316" s="300"/>
      <c r="V316" s="300"/>
      <c r="W316" s="334"/>
      <c r="X316" s="34"/>
    </row>
    <row r="317" spans="1:24">
      <c r="A317" s="313" t="s">
        <v>560</v>
      </c>
      <c r="B317" s="300"/>
      <c r="C317" s="300"/>
      <c r="D317" s="300"/>
      <c r="E317" s="300"/>
      <c r="F317" s="300"/>
      <c r="G317" s="300"/>
      <c r="H317" s="300"/>
      <c r="I317" s="300"/>
      <c r="J317" s="300"/>
      <c r="K317" s="300"/>
      <c r="L317" s="334"/>
      <c r="M317" s="300"/>
      <c r="N317" s="300"/>
      <c r="O317" s="300"/>
      <c r="P317" s="300"/>
      <c r="Q317" s="300"/>
      <c r="R317" s="300"/>
      <c r="S317" s="300"/>
      <c r="T317" s="300"/>
      <c r="U317" s="300"/>
      <c r="V317" s="300"/>
      <c r="W317" s="334"/>
      <c r="X317" s="34"/>
    </row>
    <row r="318" spans="1:24">
      <c r="A318" s="317"/>
      <c r="B318" s="300"/>
      <c r="C318" s="300"/>
      <c r="D318" s="300"/>
      <c r="E318" s="300"/>
      <c r="F318" s="300"/>
      <c r="G318" s="300"/>
      <c r="H318" s="300"/>
      <c r="I318" s="300"/>
      <c r="J318" s="300"/>
      <c r="K318" s="300"/>
      <c r="L318" s="334"/>
      <c r="M318" s="300"/>
      <c r="N318" s="300"/>
      <c r="O318" s="300"/>
      <c r="P318" s="300"/>
      <c r="Q318" s="300"/>
      <c r="R318" s="300"/>
      <c r="S318" s="300"/>
      <c r="T318" s="300"/>
      <c r="U318" s="300"/>
      <c r="V318" s="300"/>
      <c r="W318" s="334"/>
      <c r="X318" s="34"/>
    </row>
    <row r="319" spans="1:24">
      <c r="A319" s="315" t="s">
        <v>561</v>
      </c>
      <c r="B319" s="303"/>
      <c r="C319" s="303"/>
      <c r="D319" s="303"/>
      <c r="E319" s="303"/>
      <c r="F319" s="303"/>
      <c r="G319" s="303"/>
      <c r="H319" s="303"/>
      <c r="I319" s="303"/>
      <c r="J319" s="303"/>
      <c r="K319" s="303"/>
      <c r="L319" s="336"/>
      <c r="M319" s="303"/>
      <c r="N319" s="303"/>
      <c r="O319" s="303"/>
      <c r="P319" s="303"/>
      <c r="Q319" s="303"/>
      <c r="R319" s="303"/>
      <c r="S319" s="303"/>
      <c r="T319" s="303"/>
      <c r="U319" s="303"/>
      <c r="V319" s="303"/>
      <c r="W319" s="336"/>
      <c r="X319" s="34"/>
    </row>
    <row r="320" spans="1:24">
      <c r="A320" s="313" t="s">
        <v>562</v>
      </c>
      <c r="B320" s="300"/>
      <c r="C320" s="300"/>
      <c r="D320" s="300"/>
      <c r="E320" s="300"/>
      <c r="F320" s="300"/>
      <c r="G320" s="300"/>
      <c r="H320" s="300"/>
      <c r="I320" s="300"/>
      <c r="J320" s="300"/>
      <c r="K320" s="300"/>
      <c r="L320" s="334"/>
      <c r="M320" s="300"/>
      <c r="N320" s="300"/>
      <c r="O320" s="300"/>
      <c r="P320" s="300"/>
      <c r="Q320" s="300"/>
      <c r="R320" s="300"/>
      <c r="S320" s="300"/>
      <c r="T320" s="300"/>
      <c r="U320" s="300"/>
      <c r="V320" s="300"/>
      <c r="W320" s="334"/>
      <c r="X320" s="34"/>
    </row>
    <row r="321" spans="1:24">
      <c r="A321" s="313" t="s">
        <v>563</v>
      </c>
      <c r="B321" s="300"/>
      <c r="C321" s="300"/>
      <c r="D321" s="300">
        <v>88</v>
      </c>
      <c r="E321" s="300"/>
      <c r="F321" s="300"/>
      <c r="G321" s="300"/>
      <c r="H321" s="300"/>
      <c r="I321" s="300"/>
      <c r="J321" s="300"/>
      <c r="K321" s="300">
        <v>363388</v>
      </c>
      <c r="L321" s="334">
        <f>+K321*12</f>
        <v>4360656</v>
      </c>
      <c r="M321" s="300"/>
      <c r="N321" s="300"/>
      <c r="O321" s="300">
        <v>88</v>
      </c>
      <c r="P321" s="300"/>
      <c r="Q321" s="300"/>
      <c r="R321" s="300"/>
      <c r="S321" s="300"/>
      <c r="T321" s="300"/>
      <c r="U321" s="300"/>
      <c r="V321" s="300">
        <v>363388</v>
      </c>
      <c r="W321" s="334">
        <f>+V321*12</f>
        <v>4360656</v>
      </c>
      <c r="X321" s="34"/>
    </row>
    <row r="322" spans="1:24">
      <c r="A322" s="313" t="s">
        <v>564</v>
      </c>
      <c r="B322" s="300"/>
      <c r="C322" s="300"/>
      <c r="D322" s="300"/>
      <c r="E322" s="300"/>
      <c r="F322" s="300"/>
      <c r="G322" s="300"/>
      <c r="H322" s="300"/>
      <c r="I322" s="300"/>
      <c r="J322" s="300"/>
      <c r="K322" s="300"/>
      <c r="L322" s="334"/>
      <c r="M322" s="300"/>
      <c r="N322" s="300"/>
      <c r="O322" s="300"/>
      <c r="P322" s="300"/>
      <c r="Q322" s="300"/>
      <c r="R322" s="300"/>
      <c r="S322" s="300"/>
      <c r="T322" s="300"/>
      <c r="U322" s="300"/>
      <c r="V322" s="300"/>
      <c r="W322" s="334"/>
      <c r="X322" s="34"/>
    </row>
    <row r="323" spans="1:24">
      <c r="A323" s="313"/>
      <c r="B323" s="300"/>
      <c r="C323" s="300"/>
      <c r="D323" s="300"/>
      <c r="E323" s="300"/>
      <c r="F323" s="300"/>
      <c r="G323" s="300"/>
      <c r="H323" s="300"/>
      <c r="I323" s="300"/>
      <c r="J323" s="300"/>
      <c r="K323" s="300"/>
      <c r="L323" s="334"/>
      <c r="M323" s="300"/>
      <c r="N323" s="300"/>
      <c r="O323" s="300"/>
      <c r="P323" s="300"/>
      <c r="Q323" s="300"/>
      <c r="R323" s="300"/>
      <c r="S323" s="300"/>
      <c r="T323" s="300"/>
      <c r="U323" s="300"/>
      <c r="V323" s="300"/>
      <c r="W323" s="334"/>
      <c r="X323" s="34"/>
    </row>
    <row r="324" spans="1:24">
      <c r="A324" s="315" t="s">
        <v>565</v>
      </c>
      <c r="B324" s="303"/>
      <c r="C324" s="303"/>
      <c r="D324" s="303"/>
      <c r="E324" s="303"/>
      <c r="F324" s="303"/>
      <c r="G324" s="303"/>
      <c r="H324" s="303"/>
      <c r="I324" s="303"/>
      <c r="J324" s="303"/>
      <c r="K324" s="303"/>
      <c r="L324" s="336"/>
      <c r="M324" s="303"/>
      <c r="N324" s="303"/>
      <c r="O324" s="303"/>
      <c r="P324" s="303"/>
      <c r="Q324" s="303"/>
      <c r="R324" s="303"/>
      <c r="S324" s="303"/>
      <c r="T324" s="303"/>
      <c r="U324" s="303"/>
      <c r="V324" s="303"/>
      <c r="W324" s="336"/>
      <c r="X324" s="34"/>
    </row>
    <row r="325" spans="1:24">
      <c r="A325" s="313" t="s">
        <v>566</v>
      </c>
      <c r="B325" s="300"/>
      <c r="C325" s="300"/>
      <c r="D325" s="300"/>
      <c r="E325" s="300"/>
      <c r="F325" s="300"/>
      <c r="G325" s="300"/>
      <c r="H325" s="300"/>
      <c r="I325" s="300"/>
      <c r="J325" s="300"/>
      <c r="K325" s="300"/>
      <c r="L325" s="334"/>
      <c r="M325" s="300"/>
      <c r="N325" s="300"/>
      <c r="O325" s="300"/>
      <c r="P325" s="300"/>
      <c r="Q325" s="300"/>
      <c r="R325" s="300"/>
      <c r="S325" s="300"/>
      <c r="T325" s="300"/>
      <c r="U325" s="300"/>
      <c r="V325" s="300"/>
      <c r="W325" s="334"/>
      <c r="X325" s="34"/>
    </row>
    <row r="326" spans="1:24">
      <c r="A326" s="313" t="s">
        <v>571</v>
      </c>
      <c r="B326" s="300"/>
      <c r="C326" s="300"/>
      <c r="D326" s="300">
        <v>183</v>
      </c>
      <c r="E326" s="300"/>
      <c r="F326" s="300"/>
      <c r="G326" s="300"/>
      <c r="H326" s="300"/>
      <c r="I326" s="300"/>
      <c r="J326" s="300"/>
      <c r="K326" s="300">
        <v>305150</v>
      </c>
      <c r="L326" s="334">
        <f>+K326*12</f>
        <v>3661800</v>
      </c>
      <c r="M326" s="300"/>
      <c r="N326" s="300"/>
      <c r="O326" s="300">
        <v>183</v>
      </c>
      <c r="P326" s="300"/>
      <c r="Q326" s="300"/>
      <c r="R326" s="300"/>
      <c r="S326" s="300"/>
      <c r="T326" s="300"/>
      <c r="U326" s="300"/>
      <c r="V326" s="300">
        <v>305150</v>
      </c>
      <c r="W326" s="334">
        <f>+V326*12</f>
        <v>3661800</v>
      </c>
      <c r="X326" s="34"/>
    </row>
    <row r="327" spans="1:24">
      <c r="A327" s="313" t="s">
        <v>568</v>
      </c>
      <c r="B327" s="300"/>
      <c r="C327" s="300"/>
      <c r="D327" s="300"/>
      <c r="E327" s="300"/>
      <c r="F327" s="300"/>
      <c r="G327" s="300"/>
      <c r="H327" s="300"/>
      <c r="I327" s="300"/>
      <c r="J327" s="300"/>
      <c r="K327" s="300"/>
      <c r="L327" s="334"/>
      <c r="M327" s="300"/>
      <c r="N327" s="300"/>
      <c r="O327" s="300"/>
      <c r="P327" s="300"/>
      <c r="Q327" s="300"/>
      <c r="R327" s="300"/>
      <c r="S327" s="300"/>
      <c r="T327" s="300"/>
      <c r="U327" s="300"/>
      <c r="V327" s="300"/>
      <c r="W327" s="334"/>
      <c r="X327" s="34"/>
    </row>
    <row r="328" spans="1:24">
      <c r="A328" s="313"/>
      <c r="B328" s="300"/>
      <c r="C328" s="300"/>
      <c r="D328" s="300"/>
      <c r="E328" s="300"/>
      <c r="F328" s="300"/>
      <c r="G328" s="300"/>
      <c r="H328" s="300"/>
      <c r="I328" s="300"/>
      <c r="J328" s="300"/>
      <c r="K328" s="300"/>
      <c r="L328" s="334"/>
      <c r="M328" s="300"/>
      <c r="N328" s="300"/>
      <c r="O328" s="300"/>
      <c r="P328" s="300"/>
      <c r="Q328" s="300"/>
      <c r="R328" s="300"/>
      <c r="S328" s="300"/>
      <c r="T328" s="300"/>
      <c r="U328" s="300"/>
      <c r="V328" s="300"/>
      <c r="W328" s="334"/>
      <c r="X328" s="34"/>
    </row>
    <row r="329" spans="1:24">
      <c r="A329" s="315" t="s">
        <v>569</v>
      </c>
      <c r="B329" s="303"/>
      <c r="C329" s="303"/>
      <c r="D329" s="303"/>
      <c r="E329" s="303"/>
      <c r="F329" s="303"/>
      <c r="G329" s="303"/>
      <c r="H329" s="303"/>
      <c r="I329" s="303"/>
      <c r="J329" s="303"/>
      <c r="K329" s="303"/>
      <c r="L329" s="336"/>
      <c r="M329" s="303"/>
      <c r="N329" s="303"/>
      <c r="O329" s="303"/>
      <c r="P329" s="303"/>
      <c r="Q329" s="303"/>
      <c r="R329" s="303"/>
      <c r="S329" s="303"/>
      <c r="T329" s="303"/>
      <c r="U329" s="303"/>
      <c r="V329" s="303"/>
      <c r="W329" s="336"/>
      <c r="X329" s="34"/>
    </row>
    <row r="330" spans="1:24">
      <c r="A330" s="313" t="s">
        <v>570</v>
      </c>
      <c r="B330" s="300">
        <v>1</v>
      </c>
      <c r="C330" s="300"/>
      <c r="D330" s="300"/>
      <c r="E330" s="300"/>
      <c r="F330" s="300"/>
      <c r="G330" s="300"/>
      <c r="H330" s="300"/>
      <c r="I330" s="300"/>
      <c r="J330" s="300"/>
      <c r="K330" s="300">
        <v>820.83</v>
      </c>
      <c r="L330" s="334">
        <f>+K330*12</f>
        <v>9849.9600000000009</v>
      </c>
      <c r="M330" s="300">
        <v>1</v>
      </c>
      <c r="N330" s="300"/>
      <c r="O330" s="300"/>
      <c r="P330" s="300"/>
      <c r="Q330" s="300"/>
      <c r="R330" s="300"/>
      <c r="S330" s="300"/>
      <c r="T330" s="300"/>
      <c r="U330" s="300"/>
      <c r="V330" s="300">
        <v>820.83</v>
      </c>
      <c r="W330" s="334">
        <f>+V330*12</f>
        <v>9849.9600000000009</v>
      </c>
      <c r="X330" s="34"/>
    </row>
    <row r="331" spans="1:24">
      <c r="A331" s="313" t="s">
        <v>571</v>
      </c>
      <c r="B331" s="300"/>
      <c r="C331" s="300"/>
      <c r="D331" s="300">
        <v>53</v>
      </c>
      <c r="E331" s="300"/>
      <c r="F331" s="300"/>
      <c r="G331" s="300"/>
      <c r="H331" s="300"/>
      <c r="I331" s="300"/>
      <c r="J331" s="300"/>
      <c r="K331" s="300">
        <v>72500</v>
      </c>
      <c r="L331" s="334">
        <f>+K331*12</f>
        <v>870000</v>
      </c>
      <c r="M331" s="300"/>
      <c r="N331" s="300"/>
      <c r="O331" s="300">
        <v>53</v>
      </c>
      <c r="P331" s="300"/>
      <c r="Q331" s="300"/>
      <c r="R331" s="300"/>
      <c r="S331" s="300"/>
      <c r="T331" s="300"/>
      <c r="U331" s="300"/>
      <c r="V331" s="300">
        <v>72500</v>
      </c>
      <c r="W331" s="334">
        <f>+V331*12</f>
        <v>870000</v>
      </c>
      <c r="X331" s="34"/>
    </row>
    <row r="332" spans="1:24">
      <c r="A332" s="313" t="s">
        <v>572</v>
      </c>
      <c r="B332" s="300"/>
      <c r="C332" s="300"/>
      <c r="D332" s="300"/>
      <c r="E332" s="300"/>
      <c r="F332" s="300"/>
      <c r="G332" s="300"/>
      <c r="H332" s="300"/>
      <c r="I332" s="300"/>
      <c r="J332" s="300"/>
      <c r="K332" s="300"/>
      <c r="L332" s="334"/>
      <c r="M332" s="300"/>
      <c r="N332" s="300"/>
      <c r="O332" s="300"/>
      <c r="P332" s="300"/>
      <c r="Q332" s="300"/>
      <c r="R332" s="300"/>
      <c r="S332" s="300"/>
      <c r="T332" s="300"/>
      <c r="U332" s="300"/>
      <c r="V332" s="300"/>
      <c r="W332" s="334"/>
      <c r="X332" s="34"/>
    </row>
    <row r="333" spans="1:24" ht="15.75" thickBot="1">
      <c r="A333" s="313"/>
      <c r="B333" s="300"/>
      <c r="C333" s="300"/>
      <c r="D333" s="300"/>
      <c r="E333" s="300"/>
      <c r="F333" s="300"/>
      <c r="G333" s="300"/>
      <c r="H333" s="300"/>
      <c r="I333" s="300"/>
      <c r="J333" s="300"/>
      <c r="K333" s="300"/>
      <c r="L333" s="334"/>
      <c r="M333" s="300"/>
      <c r="N333" s="300"/>
      <c r="O333" s="300"/>
      <c r="P333" s="300"/>
      <c r="Q333" s="300"/>
      <c r="R333" s="300"/>
      <c r="S333" s="300"/>
      <c r="T333" s="300"/>
      <c r="U333" s="300"/>
      <c r="V333" s="300"/>
      <c r="W333" s="334"/>
      <c r="X333" s="34"/>
    </row>
    <row r="334" spans="1:24" ht="15.75" thickBot="1">
      <c r="A334" s="318" t="s">
        <v>573</v>
      </c>
      <c r="B334" s="319">
        <f t="shared" ref="B334:C334" si="48">SUM(B310:B333)</f>
        <v>1</v>
      </c>
      <c r="C334" s="319">
        <f t="shared" si="48"/>
        <v>0</v>
      </c>
      <c r="D334" s="319">
        <f>SUM(D310:D333)</f>
        <v>324</v>
      </c>
      <c r="E334" s="319">
        <f t="shared" ref="E334:N334" si="49">SUM(E310:E333)</f>
        <v>0</v>
      </c>
      <c r="F334" s="319">
        <f t="shared" si="49"/>
        <v>0</v>
      </c>
      <c r="G334" s="319">
        <f t="shared" si="49"/>
        <v>0</v>
      </c>
      <c r="H334" s="319">
        <f t="shared" si="49"/>
        <v>0</v>
      </c>
      <c r="I334" s="319">
        <f t="shared" si="49"/>
        <v>0</v>
      </c>
      <c r="J334" s="319">
        <f t="shared" si="49"/>
        <v>0</v>
      </c>
      <c r="K334" s="319">
        <f t="shared" si="49"/>
        <v>741858.83</v>
      </c>
      <c r="L334" s="414">
        <f t="shared" si="49"/>
        <v>8902305.9600000009</v>
      </c>
      <c r="M334" s="319">
        <f t="shared" si="49"/>
        <v>1</v>
      </c>
      <c r="N334" s="319">
        <f t="shared" si="49"/>
        <v>0</v>
      </c>
      <c r="O334" s="319">
        <f>SUM(O310:O333)</f>
        <v>324</v>
      </c>
      <c r="P334" s="319">
        <f t="shared" ref="P334:W334" si="50">SUM(P310:P333)</f>
        <v>0</v>
      </c>
      <c r="Q334" s="319">
        <f t="shared" si="50"/>
        <v>0</v>
      </c>
      <c r="R334" s="319">
        <f t="shared" si="50"/>
        <v>0</v>
      </c>
      <c r="S334" s="319">
        <f t="shared" si="50"/>
        <v>0</v>
      </c>
      <c r="T334" s="319">
        <f t="shared" si="50"/>
        <v>0</v>
      </c>
      <c r="U334" s="319">
        <f t="shared" si="50"/>
        <v>0</v>
      </c>
      <c r="V334" s="319">
        <f t="shared" si="50"/>
        <v>741858.83</v>
      </c>
      <c r="W334" s="414">
        <f t="shared" si="50"/>
        <v>8902305.9600000009</v>
      </c>
      <c r="X334" s="34"/>
    </row>
    <row r="335" spans="1:24">
      <c r="A335" s="304" t="s">
        <v>574</v>
      </c>
      <c r="B335" s="215"/>
      <c r="C335" s="215"/>
      <c r="D335" s="215"/>
      <c r="E335" s="215"/>
      <c r="F335" s="215"/>
      <c r="G335" s="215"/>
      <c r="H335" s="215"/>
      <c r="I335" s="215"/>
      <c r="J335" s="215"/>
      <c r="K335" s="215"/>
      <c r="L335" s="415"/>
      <c r="M335" s="215"/>
      <c r="N335" s="215"/>
      <c r="O335" s="215"/>
      <c r="P335" s="295"/>
      <c r="Q335" s="305"/>
      <c r="R335" s="34"/>
      <c r="S335" s="34"/>
      <c r="T335" s="295"/>
      <c r="U335" s="295"/>
      <c r="V335" s="295"/>
      <c r="W335" s="295"/>
      <c r="X335" s="34"/>
    </row>
    <row r="336" spans="1:24">
      <c r="A336" s="300" t="s">
        <v>575</v>
      </c>
      <c r="B336" s="300"/>
      <c r="C336" s="300"/>
      <c r="D336" s="300"/>
      <c r="E336" s="300"/>
      <c r="F336" s="300"/>
      <c r="G336" s="300"/>
      <c r="H336" s="300"/>
      <c r="I336" s="300"/>
      <c r="J336" s="300"/>
      <c r="K336" s="300"/>
      <c r="L336" s="416"/>
      <c r="M336" s="300"/>
      <c r="N336" s="300"/>
      <c r="O336" s="300"/>
      <c r="P336" s="295"/>
      <c r="Q336" s="305"/>
      <c r="R336" s="34"/>
      <c r="S336" s="34"/>
      <c r="T336" s="34"/>
      <c r="U336" s="34"/>
      <c r="V336" s="295"/>
      <c r="W336" s="295"/>
      <c r="X336" s="34"/>
    </row>
    <row r="337" spans="1:24">
      <c r="A337" s="300" t="s">
        <v>576</v>
      </c>
      <c r="B337" s="300"/>
      <c r="C337" s="300"/>
      <c r="D337" s="300"/>
      <c r="E337" s="300"/>
      <c r="F337" s="300"/>
      <c r="G337" s="300"/>
      <c r="H337" s="300"/>
      <c r="I337" s="300"/>
      <c r="J337" s="300"/>
      <c r="K337" s="300"/>
      <c r="L337" s="416"/>
      <c r="M337" s="300"/>
      <c r="N337" s="300"/>
      <c r="O337" s="300"/>
      <c r="P337" s="295"/>
      <c r="Q337" s="305"/>
      <c r="R337" s="34"/>
      <c r="S337" s="34"/>
      <c r="T337" s="34"/>
      <c r="U337" s="34"/>
      <c r="V337" s="295"/>
      <c r="W337" s="295"/>
      <c r="X337" s="34"/>
    </row>
    <row r="340" spans="1:24" ht="15.75">
      <c r="A340" s="296" t="s">
        <v>535</v>
      </c>
      <c r="B340" s="297"/>
      <c r="C340" s="297"/>
      <c r="D340" s="297"/>
      <c r="E340" s="297"/>
      <c r="F340" s="297"/>
      <c r="G340" s="297"/>
      <c r="H340" s="297"/>
      <c r="I340" s="297"/>
      <c r="J340" s="297"/>
      <c r="K340" s="297"/>
      <c r="L340" s="297"/>
      <c r="M340" s="297"/>
      <c r="N340" s="297"/>
      <c r="O340" s="297"/>
      <c r="P340" s="297"/>
      <c r="Q340" s="297"/>
      <c r="R340" s="297"/>
      <c r="S340" s="297"/>
      <c r="T340" s="297"/>
      <c r="U340" s="297"/>
      <c r="V340" s="297"/>
      <c r="W340" s="297"/>
    </row>
    <row r="341" spans="1:24" ht="15.75">
      <c r="A341" s="1306" t="s">
        <v>301</v>
      </c>
      <c r="B341" s="1306"/>
      <c r="C341" s="1306"/>
      <c r="D341" s="1306"/>
      <c r="E341" s="297"/>
      <c r="F341" s="297"/>
      <c r="G341" s="297"/>
      <c r="H341" s="297"/>
      <c r="I341" s="297"/>
      <c r="J341" s="297"/>
      <c r="K341" s="297"/>
      <c r="L341" s="297"/>
      <c r="M341" s="297"/>
      <c r="N341" s="297"/>
      <c r="O341" s="297"/>
      <c r="P341" s="297"/>
      <c r="Q341" s="297"/>
      <c r="R341" s="297"/>
      <c r="S341" s="297"/>
      <c r="T341" s="297"/>
      <c r="U341" s="297"/>
      <c r="V341" s="297"/>
      <c r="W341" s="297"/>
    </row>
    <row r="342" spans="1:24" ht="16.5" thickBot="1">
      <c r="A342" s="1323" t="s">
        <v>460</v>
      </c>
      <c r="B342" s="1323"/>
      <c r="C342" s="174"/>
      <c r="D342" s="174"/>
      <c r="E342" s="299"/>
      <c r="F342" s="299"/>
      <c r="G342" s="299"/>
      <c r="H342" s="299"/>
      <c r="I342" s="299"/>
      <c r="J342" s="299"/>
      <c r="K342" s="299"/>
      <c r="L342" s="299"/>
      <c r="M342" s="299"/>
      <c r="N342" s="299"/>
      <c r="O342" s="299"/>
      <c r="P342" s="299"/>
      <c r="Q342" s="299"/>
      <c r="R342" s="299"/>
      <c r="S342" s="299"/>
      <c r="T342" s="299"/>
      <c r="U342" s="299"/>
      <c r="V342" s="299"/>
      <c r="W342" s="299"/>
    </row>
    <row r="343" spans="1:24" ht="15.75" thickBot="1">
      <c r="A343" s="300"/>
      <c r="B343" s="300"/>
      <c r="C343" s="300"/>
      <c r="D343" s="300"/>
      <c r="E343" s="300"/>
      <c r="F343" s="300"/>
      <c r="G343" s="300"/>
      <c r="H343" s="300"/>
      <c r="I343" s="300"/>
      <c r="J343" s="300"/>
      <c r="K343" s="300"/>
      <c r="L343" s="301"/>
      <c r="M343" s="300"/>
      <c r="N343" s="300"/>
      <c r="O343" s="300"/>
      <c r="P343" s="300"/>
      <c r="Q343" s="300"/>
      <c r="R343" s="300"/>
      <c r="S343" s="300"/>
      <c r="T343" s="300"/>
      <c r="U343" s="300"/>
      <c r="V343" s="300"/>
      <c r="W343" s="301"/>
    </row>
    <row r="344" spans="1:24">
      <c r="A344" s="306" t="s">
        <v>538</v>
      </c>
      <c r="B344" s="1320" t="s">
        <v>539</v>
      </c>
      <c r="C344" s="1316"/>
      <c r="D344" s="1316"/>
      <c r="E344" s="1316"/>
      <c r="F344" s="1316"/>
      <c r="G344" s="1316"/>
      <c r="H344" s="1316"/>
      <c r="I344" s="1316"/>
      <c r="J344" s="1316"/>
      <c r="K344" s="1316"/>
      <c r="L344" s="1312"/>
      <c r="M344" s="1320" t="s">
        <v>540</v>
      </c>
      <c r="N344" s="1316"/>
      <c r="O344" s="1316"/>
      <c r="P344" s="1316"/>
      <c r="Q344" s="1316"/>
      <c r="R344" s="1316"/>
      <c r="S344" s="1316"/>
      <c r="T344" s="1316"/>
      <c r="U344" s="1316"/>
      <c r="V344" s="1316"/>
      <c r="W344" s="1312"/>
    </row>
    <row r="345" spans="1:24" ht="60.75">
      <c r="A345" s="307" t="s">
        <v>541</v>
      </c>
      <c r="B345" s="308" t="s">
        <v>542</v>
      </c>
      <c r="C345" s="308" t="s">
        <v>543</v>
      </c>
      <c r="D345" s="309" t="s">
        <v>544</v>
      </c>
      <c r="E345" s="309" t="s">
        <v>545</v>
      </c>
      <c r="F345" s="309" t="s">
        <v>546</v>
      </c>
      <c r="G345" s="309" t="s">
        <v>547</v>
      </c>
      <c r="H345" s="309" t="s">
        <v>548</v>
      </c>
      <c r="I345" s="309" t="s">
        <v>549</v>
      </c>
      <c r="J345" s="310" t="s">
        <v>550</v>
      </c>
      <c r="K345" s="311" t="s">
        <v>551</v>
      </c>
      <c r="L345" s="312" t="s">
        <v>552</v>
      </c>
      <c r="M345" s="308" t="s">
        <v>542</v>
      </c>
      <c r="N345" s="308" t="s">
        <v>543</v>
      </c>
      <c r="O345" s="309" t="s">
        <v>544</v>
      </c>
      <c r="P345" s="309" t="s">
        <v>545</v>
      </c>
      <c r="Q345" s="309" t="s">
        <v>546</v>
      </c>
      <c r="R345" s="309" t="s">
        <v>547</v>
      </c>
      <c r="S345" s="309" t="s">
        <v>548</v>
      </c>
      <c r="T345" s="309" t="s">
        <v>549</v>
      </c>
      <c r="U345" s="310" t="s">
        <v>550</v>
      </c>
      <c r="V345" s="311" t="s">
        <v>551</v>
      </c>
      <c r="W345" s="312" t="s">
        <v>553</v>
      </c>
    </row>
    <row r="346" spans="1:24">
      <c r="A346" s="313"/>
      <c r="B346" s="300"/>
      <c r="C346" s="300"/>
      <c r="D346" s="300"/>
      <c r="E346" s="300"/>
      <c r="F346" s="300"/>
      <c r="G346" s="300"/>
      <c r="H346" s="300"/>
      <c r="I346" s="300"/>
      <c r="J346" s="300"/>
      <c r="K346" s="300"/>
      <c r="L346" s="314"/>
      <c r="M346" s="300"/>
      <c r="N346" s="300"/>
      <c r="O346" s="300"/>
      <c r="P346" s="300"/>
      <c r="Q346" s="300"/>
      <c r="R346" s="300"/>
      <c r="S346" s="300"/>
      <c r="T346" s="300"/>
      <c r="U346" s="300"/>
      <c r="V346" s="300"/>
      <c r="W346" s="314"/>
    </row>
    <row r="347" spans="1:24">
      <c r="A347" s="315" t="s">
        <v>554</v>
      </c>
      <c r="B347" s="303"/>
      <c r="C347" s="303"/>
      <c r="D347" s="303"/>
      <c r="E347" s="303"/>
      <c r="F347" s="303"/>
      <c r="G347" s="303"/>
      <c r="H347" s="303"/>
      <c r="I347" s="303"/>
      <c r="J347" s="303"/>
      <c r="K347" s="303"/>
      <c r="L347" s="316"/>
      <c r="M347" s="303"/>
      <c r="N347" s="303"/>
      <c r="O347" s="303"/>
      <c r="P347" s="303"/>
      <c r="Q347" s="303"/>
      <c r="R347" s="303"/>
      <c r="S347" s="303"/>
      <c r="T347" s="303"/>
      <c r="U347" s="303"/>
      <c r="V347" s="303"/>
      <c r="W347" s="316"/>
    </row>
    <row r="348" spans="1:24">
      <c r="A348" s="313" t="s">
        <v>555</v>
      </c>
      <c r="B348" s="300"/>
      <c r="C348" s="300"/>
      <c r="D348" s="300"/>
      <c r="E348" s="300"/>
      <c r="F348" s="300"/>
      <c r="G348" s="300"/>
      <c r="H348" s="300"/>
      <c r="I348" s="300"/>
      <c r="J348" s="300"/>
      <c r="K348" s="417"/>
      <c r="L348" s="345"/>
      <c r="M348" s="300"/>
      <c r="N348" s="300"/>
      <c r="O348" s="300"/>
      <c r="P348" s="300"/>
      <c r="Q348" s="300"/>
      <c r="R348" s="300"/>
      <c r="S348" s="300"/>
      <c r="T348" s="300"/>
      <c r="U348" s="300"/>
      <c r="V348" s="300"/>
      <c r="W348" s="314"/>
    </row>
    <row r="349" spans="1:24">
      <c r="A349" s="313" t="s">
        <v>556</v>
      </c>
      <c r="B349" s="300">
        <v>1</v>
      </c>
      <c r="C349" s="300"/>
      <c r="D349" s="300"/>
      <c r="E349" s="300"/>
      <c r="F349" s="300"/>
      <c r="G349" s="300"/>
      <c r="H349" s="300"/>
      <c r="I349" s="300"/>
      <c r="J349" s="300"/>
      <c r="K349" s="418">
        <f>12700+1574.85</f>
        <v>14274.85</v>
      </c>
      <c r="L349" s="419">
        <f>+K349*12</f>
        <v>171298.2</v>
      </c>
      <c r="M349" s="300">
        <v>1</v>
      </c>
      <c r="N349" s="300"/>
      <c r="O349" s="300"/>
      <c r="P349" s="416"/>
      <c r="Q349" s="416"/>
      <c r="R349" s="416"/>
      <c r="S349" s="416"/>
      <c r="T349" s="416"/>
      <c r="U349" s="416"/>
      <c r="V349" s="416">
        <f>12700+1447.95*0.05</f>
        <v>12772.397499999999</v>
      </c>
      <c r="W349" s="334">
        <f>+V349*12</f>
        <v>153268.76999999999</v>
      </c>
    </row>
    <row r="350" spans="1:24">
      <c r="A350" s="313" t="s">
        <v>557</v>
      </c>
      <c r="B350" s="300">
        <v>9</v>
      </c>
      <c r="C350" s="300"/>
      <c r="D350" s="300"/>
      <c r="E350" s="300"/>
      <c r="F350" s="300"/>
      <c r="G350" s="300"/>
      <c r="H350" s="300"/>
      <c r="I350" s="300"/>
      <c r="J350" s="300"/>
      <c r="K350" s="418">
        <f>1518.37*9+9000*9</f>
        <v>94665.33</v>
      </c>
      <c r="L350" s="419">
        <f>+K350*12</f>
        <v>1135983.96</v>
      </c>
      <c r="M350" s="300">
        <v>9</v>
      </c>
      <c r="N350" s="300"/>
      <c r="O350" s="300"/>
      <c r="P350" s="416"/>
      <c r="Q350" s="416"/>
      <c r="R350" s="416"/>
      <c r="S350" s="416"/>
      <c r="T350" s="416"/>
      <c r="U350" s="416"/>
      <c r="V350" s="416">
        <f>+K350*0.05+K350</f>
        <v>99398.5965</v>
      </c>
      <c r="W350" s="334">
        <f>+L350</f>
        <v>1135983.96</v>
      </c>
    </row>
    <row r="351" spans="1:24">
      <c r="A351" s="313" t="s">
        <v>558</v>
      </c>
      <c r="B351" s="300">
        <v>12</v>
      </c>
      <c r="C351" s="300"/>
      <c r="D351" s="300"/>
      <c r="E351" s="300"/>
      <c r="F351" s="300"/>
      <c r="G351" s="300"/>
      <c r="H351" s="300"/>
      <c r="I351" s="300"/>
      <c r="J351" s="300"/>
      <c r="K351" s="418">
        <f>1444.97*12+6000*12</f>
        <v>89339.64</v>
      </c>
      <c r="L351" s="419">
        <f t="shared" ref="L351:L353" si="51">+K351*12</f>
        <v>1072075.68</v>
      </c>
      <c r="M351" s="300">
        <v>12</v>
      </c>
      <c r="N351" s="300"/>
      <c r="O351" s="300"/>
      <c r="P351" s="416"/>
      <c r="Q351" s="416"/>
      <c r="R351" s="416"/>
      <c r="S351" s="416"/>
      <c r="T351" s="416"/>
      <c r="U351" s="416"/>
      <c r="V351" s="416">
        <f>+K351*0.05+K351</f>
        <v>93806.622000000003</v>
      </c>
      <c r="W351" s="334">
        <f t="shared" ref="W351:W353" si="52">+L351</f>
        <v>1072075.68</v>
      </c>
    </row>
    <row r="352" spans="1:24">
      <c r="A352" s="313" t="s">
        <v>559</v>
      </c>
      <c r="B352" s="300">
        <v>3</v>
      </c>
      <c r="C352" s="300"/>
      <c r="D352" s="300"/>
      <c r="E352" s="300"/>
      <c r="F352" s="300"/>
      <c r="G352" s="300"/>
      <c r="H352" s="300"/>
      <c r="I352" s="300"/>
      <c r="J352" s="300"/>
      <c r="K352" s="418">
        <f>1229.37*3+3000*3</f>
        <v>12688.11</v>
      </c>
      <c r="L352" s="419">
        <f t="shared" si="51"/>
        <v>152257.32</v>
      </c>
      <c r="M352" s="300">
        <v>3</v>
      </c>
      <c r="N352" s="300"/>
      <c r="O352" s="300"/>
      <c r="P352" s="416"/>
      <c r="Q352" s="416"/>
      <c r="R352" s="416"/>
      <c r="S352" s="416"/>
      <c r="T352" s="416"/>
      <c r="U352" s="416"/>
      <c r="V352" s="416">
        <f t="shared" ref="V352:V353" si="53">+K352*0.05+K352</f>
        <v>13322.515500000001</v>
      </c>
      <c r="W352" s="334">
        <f t="shared" si="52"/>
        <v>152257.32</v>
      </c>
    </row>
    <row r="353" spans="1:23">
      <c r="A353" s="313" t="s">
        <v>560</v>
      </c>
      <c r="B353" s="300">
        <v>20</v>
      </c>
      <c r="C353" s="300"/>
      <c r="D353" s="300"/>
      <c r="E353" s="300"/>
      <c r="F353" s="300"/>
      <c r="G353" s="300"/>
      <c r="H353" s="300"/>
      <c r="I353" s="300"/>
      <c r="J353" s="300"/>
      <c r="K353" s="418">
        <f>1165.4*20+3000*20</f>
        <v>83308</v>
      </c>
      <c r="L353" s="419">
        <f t="shared" si="51"/>
        <v>999696</v>
      </c>
      <c r="M353" s="300">
        <v>20</v>
      </c>
      <c r="N353" s="300"/>
      <c r="O353" s="300"/>
      <c r="P353" s="416"/>
      <c r="Q353" s="416"/>
      <c r="R353" s="416"/>
      <c r="S353" s="416"/>
      <c r="T353" s="416"/>
      <c r="U353" s="416"/>
      <c r="V353" s="416">
        <f t="shared" si="53"/>
        <v>87473.4</v>
      </c>
      <c r="W353" s="334">
        <f t="shared" si="52"/>
        <v>999696</v>
      </c>
    </row>
    <row r="354" spans="1:23">
      <c r="A354" s="317"/>
      <c r="B354" s="300"/>
      <c r="C354" s="300"/>
      <c r="D354" s="300"/>
      <c r="E354" s="300"/>
      <c r="F354" s="300"/>
      <c r="G354" s="300"/>
      <c r="H354" s="300"/>
      <c r="I354" s="300"/>
      <c r="J354" s="300"/>
      <c r="K354" s="418"/>
      <c r="L354" s="419"/>
      <c r="M354" s="300"/>
      <c r="N354" s="300"/>
      <c r="O354" s="300"/>
      <c r="P354" s="416"/>
      <c r="Q354" s="416"/>
      <c r="R354" s="416"/>
      <c r="S354" s="416"/>
      <c r="T354" s="416"/>
      <c r="U354" s="416"/>
      <c r="V354" s="416"/>
      <c r="W354" s="334"/>
    </row>
    <row r="355" spans="1:23">
      <c r="A355" s="315" t="s">
        <v>692</v>
      </c>
      <c r="B355" s="303"/>
      <c r="C355" s="303"/>
      <c r="D355" s="303"/>
      <c r="E355" s="303"/>
      <c r="F355" s="303"/>
      <c r="G355" s="303"/>
      <c r="H355" s="303"/>
      <c r="I355" s="303"/>
      <c r="J355" s="303"/>
      <c r="K355" s="344"/>
      <c r="L355" s="420"/>
      <c r="M355" s="303"/>
      <c r="N355" s="303"/>
      <c r="O355" s="303"/>
      <c r="P355" s="303"/>
      <c r="Q355" s="303"/>
      <c r="R355" s="303"/>
      <c r="S355" s="303"/>
      <c r="T355" s="303"/>
      <c r="U355" s="303"/>
      <c r="V355" s="303"/>
      <c r="W355" s="316"/>
    </row>
    <row r="356" spans="1:23">
      <c r="A356" s="313" t="s">
        <v>624</v>
      </c>
      <c r="B356" s="300">
        <v>10</v>
      </c>
      <c r="C356" s="300">
        <v>1</v>
      </c>
      <c r="D356" s="300"/>
      <c r="E356" s="300"/>
      <c r="F356" s="300"/>
      <c r="G356" s="300"/>
      <c r="H356" s="300"/>
      <c r="I356" s="300"/>
      <c r="J356" s="300"/>
      <c r="K356" s="417">
        <f>655.41*10+2500*10+1*2704.9</f>
        <v>34259</v>
      </c>
      <c r="L356" s="419">
        <f t="shared" ref="L356:L368" si="54">+K356*12</f>
        <v>411108</v>
      </c>
      <c r="M356" s="300">
        <v>10</v>
      </c>
      <c r="N356" s="300">
        <v>1</v>
      </c>
      <c r="O356" s="300"/>
      <c r="P356" s="300"/>
      <c r="Q356" s="300"/>
      <c r="R356" s="300"/>
      <c r="S356" s="300"/>
      <c r="T356" s="300"/>
      <c r="U356" s="300"/>
      <c r="V356" s="416">
        <f t="shared" ref="V356:V358" si="55">+K356*0.05+K356</f>
        <v>35971.949999999997</v>
      </c>
      <c r="W356" s="334">
        <f t="shared" ref="W356:W368" si="56">+V356*12</f>
        <v>431663.39999999997</v>
      </c>
    </row>
    <row r="357" spans="1:23">
      <c r="A357" s="313" t="s">
        <v>564</v>
      </c>
      <c r="B357" s="300">
        <v>1</v>
      </c>
      <c r="C357" s="300"/>
      <c r="D357" s="300"/>
      <c r="E357" s="300"/>
      <c r="F357" s="300"/>
      <c r="G357" s="300"/>
      <c r="H357" s="300"/>
      <c r="I357" s="300"/>
      <c r="J357" s="300"/>
      <c r="K357" s="417">
        <f>655.41*1+2500*1</f>
        <v>3155.41</v>
      </c>
      <c r="L357" s="419">
        <f t="shared" si="54"/>
        <v>37864.92</v>
      </c>
      <c r="M357" s="300">
        <v>1</v>
      </c>
      <c r="N357" s="300"/>
      <c r="O357" s="300"/>
      <c r="P357" s="300"/>
      <c r="Q357" s="300"/>
      <c r="R357" s="300"/>
      <c r="S357" s="300"/>
      <c r="T357" s="300"/>
      <c r="U357" s="300"/>
      <c r="V357" s="416">
        <f t="shared" si="55"/>
        <v>3313.1804999999999</v>
      </c>
      <c r="W357" s="334">
        <f t="shared" si="56"/>
        <v>39758.165999999997</v>
      </c>
    </row>
    <row r="358" spans="1:23">
      <c r="A358" s="313" t="s">
        <v>623</v>
      </c>
      <c r="B358" s="300">
        <v>9</v>
      </c>
      <c r="C358" s="300"/>
      <c r="D358" s="300">
        <v>5</v>
      </c>
      <c r="E358" s="300"/>
      <c r="F358" s="300"/>
      <c r="G358" s="300"/>
      <c r="H358" s="300"/>
      <c r="I358" s="300"/>
      <c r="J358" s="300"/>
      <c r="K358" s="417">
        <f>655.41*9+2500*9+6648*5</f>
        <v>61638.69</v>
      </c>
      <c r="L358" s="419">
        <f t="shared" si="54"/>
        <v>739664.28</v>
      </c>
      <c r="M358" s="300">
        <v>9</v>
      </c>
      <c r="N358" s="300"/>
      <c r="O358" s="300">
        <v>5</v>
      </c>
      <c r="P358" s="300"/>
      <c r="Q358" s="300"/>
      <c r="R358" s="300"/>
      <c r="S358" s="300"/>
      <c r="T358" s="300"/>
      <c r="U358" s="300"/>
      <c r="V358" s="416">
        <f t="shared" si="55"/>
        <v>64720.624500000005</v>
      </c>
      <c r="W358" s="334">
        <f t="shared" si="56"/>
        <v>776647.49400000006</v>
      </c>
    </row>
    <row r="359" spans="1:23">
      <c r="A359" s="313" t="s">
        <v>693</v>
      </c>
      <c r="B359" s="300"/>
      <c r="C359" s="300"/>
      <c r="D359" s="300">
        <v>18</v>
      </c>
      <c r="E359" s="300"/>
      <c r="F359" s="300"/>
      <c r="G359" s="300"/>
      <c r="H359" s="300"/>
      <c r="I359" s="300"/>
      <c r="J359" s="300"/>
      <c r="K359" s="417">
        <f>3848*18</f>
        <v>69264</v>
      </c>
      <c r="L359" s="419">
        <f>+K359*12</f>
        <v>831168</v>
      </c>
      <c r="M359" s="300"/>
      <c r="N359" s="300"/>
      <c r="O359" s="300">
        <v>18</v>
      </c>
      <c r="P359" s="300"/>
      <c r="Q359" s="300"/>
      <c r="R359" s="300"/>
      <c r="S359" s="300"/>
      <c r="T359" s="300"/>
      <c r="U359" s="300"/>
      <c r="V359" s="416">
        <f>+K359*0.05+K359</f>
        <v>72727.199999999997</v>
      </c>
      <c r="W359" s="334">
        <f t="shared" si="56"/>
        <v>872726.39999999991</v>
      </c>
    </row>
    <row r="360" spans="1:23">
      <c r="A360" s="313" t="s">
        <v>694</v>
      </c>
      <c r="B360" s="300"/>
      <c r="C360" s="300"/>
      <c r="D360" s="300">
        <v>8</v>
      </c>
      <c r="E360" s="300"/>
      <c r="F360" s="300"/>
      <c r="G360" s="300"/>
      <c r="H360" s="300"/>
      <c r="I360" s="300"/>
      <c r="J360" s="300"/>
      <c r="K360" s="417">
        <f>8*4080</f>
        <v>32640</v>
      </c>
      <c r="L360" s="419">
        <f>+K360*12</f>
        <v>391680</v>
      </c>
      <c r="M360" s="300"/>
      <c r="N360" s="300"/>
      <c r="O360" s="300">
        <v>8</v>
      </c>
      <c r="P360" s="300"/>
      <c r="Q360" s="300"/>
      <c r="R360" s="300"/>
      <c r="S360" s="300"/>
      <c r="T360" s="300"/>
      <c r="U360" s="300"/>
      <c r="V360" s="416">
        <f>+K360*0.05+K360</f>
        <v>34272</v>
      </c>
      <c r="W360" s="334">
        <f t="shared" si="56"/>
        <v>411264</v>
      </c>
    </row>
    <row r="361" spans="1:23">
      <c r="A361" s="313" t="s">
        <v>695</v>
      </c>
      <c r="B361" s="300"/>
      <c r="C361" s="300"/>
      <c r="D361" s="300">
        <v>14</v>
      </c>
      <c r="E361" s="300"/>
      <c r="F361" s="300"/>
      <c r="G361" s="300"/>
      <c r="H361" s="300"/>
      <c r="I361" s="300"/>
      <c r="J361" s="300"/>
      <c r="K361" s="417">
        <f>14*3500</f>
        <v>49000</v>
      </c>
      <c r="L361" s="419">
        <f t="shared" ref="L361" si="57">+K361*12</f>
        <v>588000</v>
      </c>
      <c r="M361" s="300"/>
      <c r="N361" s="300"/>
      <c r="O361" s="300">
        <v>14</v>
      </c>
      <c r="P361" s="300"/>
      <c r="Q361" s="300"/>
      <c r="R361" s="300"/>
      <c r="S361" s="300"/>
      <c r="T361" s="300"/>
      <c r="U361" s="300"/>
      <c r="V361" s="416">
        <f t="shared" ref="V361" si="58">+K361*0.05+K361</f>
        <v>51450</v>
      </c>
      <c r="W361" s="334">
        <f t="shared" si="56"/>
        <v>617400</v>
      </c>
    </row>
    <row r="362" spans="1:23">
      <c r="A362" s="313"/>
      <c r="B362" s="300"/>
      <c r="C362" s="300"/>
      <c r="D362" s="300"/>
      <c r="E362" s="300"/>
      <c r="F362" s="300"/>
      <c r="G362" s="300"/>
      <c r="H362" s="300"/>
      <c r="I362" s="300"/>
      <c r="J362" s="300"/>
      <c r="K362" s="417"/>
      <c r="L362" s="419"/>
      <c r="M362" s="300"/>
      <c r="N362" s="300"/>
      <c r="O362" s="300"/>
      <c r="P362" s="300"/>
      <c r="Q362" s="300"/>
      <c r="R362" s="300"/>
      <c r="S362" s="300"/>
      <c r="T362" s="300"/>
      <c r="U362" s="300"/>
      <c r="V362" s="300"/>
      <c r="W362" s="334"/>
    </row>
    <row r="363" spans="1:23">
      <c r="A363" s="315" t="s">
        <v>586</v>
      </c>
      <c r="B363" s="303"/>
      <c r="C363" s="303"/>
      <c r="D363" s="303"/>
      <c r="E363" s="303"/>
      <c r="F363" s="303"/>
      <c r="G363" s="303"/>
      <c r="H363" s="303"/>
      <c r="I363" s="303"/>
      <c r="J363" s="303"/>
      <c r="K363" s="344"/>
      <c r="L363" s="420"/>
      <c r="M363" s="303"/>
      <c r="N363" s="303"/>
      <c r="O363" s="303"/>
      <c r="P363" s="303"/>
      <c r="Q363" s="303"/>
      <c r="R363" s="303"/>
      <c r="S363" s="303"/>
      <c r="T363" s="303"/>
      <c r="U363" s="303"/>
      <c r="V363" s="303"/>
      <c r="W363" s="316"/>
    </row>
    <row r="364" spans="1:23">
      <c r="A364" s="313" t="s">
        <v>696</v>
      </c>
      <c r="B364" s="300">
        <v>85</v>
      </c>
      <c r="C364" s="300"/>
      <c r="D364" s="300">
        <v>64</v>
      </c>
      <c r="E364" s="300"/>
      <c r="F364" s="300"/>
      <c r="G364" s="300"/>
      <c r="H364" s="300"/>
      <c r="I364" s="300"/>
      <c r="J364" s="300"/>
      <c r="K364" s="418">
        <f>6191*114+64*7348</f>
        <v>1176046</v>
      </c>
      <c r="L364" s="419">
        <f t="shared" si="54"/>
        <v>14112552</v>
      </c>
      <c r="M364" s="300">
        <v>85</v>
      </c>
      <c r="N364" s="300"/>
      <c r="O364" s="300">
        <v>64</v>
      </c>
      <c r="P364" s="300"/>
      <c r="Q364" s="300"/>
      <c r="R364" s="300"/>
      <c r="S364" s="300"/>
      <c r="T364" s="300"/>
      <c r="U364" s="300"/>
      <c r="V364" s="416">
        <f t="shared" ref="V364:V378" si="59">+K364*0.05+K364</f>
        <v>1234848.3</v>
      </c>
      <c r="W364" s="334">
        <f t="shared" si="56"/>
        <v>14818179.600000001</v>
      </c>
    </row>
    <row r="365" spans="1:23">
      <c r="A365" s="313" t="s">
        <v>697</v>
      </c>
      <c r="B365" s="300">
        <v>29</v>
      </c>
      <c r="C365" s="300"/>
      <c r="D365" s="300"/>
      <c r="E365" s="300"/>
      <c r="F365" s="300"/>
      <c r="G365" s="300"/>
      <c r="H365" s="300"/>
      <c r="I365" s="300"/>
      <c r="J365" s="300"/>
      <c r="K365" s="418">
        <f>6617*29</f>
        <v>191893</v>
      </c>
      <c r="L365" s="419">
        <f t="shared" si="54"/>
        <v>2302716</v>
      </c>
      <c r="M365" s="300">
        <v>29</v>
      </c>
      <c r="N365" s="300"/>
      <c r="O365" s="300"/>
      <c r="P365" s="300"/>
      <c r="Q365" s="300"/>
      <c r="R365" s="300"/>
      <c r="S365" s="300"/>
      <c r="T365" s="300"/>
      <c r="U365" s="300"/>
      <c r="V365" s="416">
        <f t="shared" si="59"/>
        <v>201487.65</v>
      </c>
      <c r="W365" s="334">
        <f t="shared" si="56"/>
        <v>2417851.7999999998</v>
      </c>
    </row>
    <row r="366" spans="1:23">
      <c r="A366" s="313" t="s">
        <v>698</v>
      </c>
      <c r="B366" s="300">
        <v>5</v>
      </c>
      <c r="C366" s="300"/>
      <c r="D366" s="300"/>
      <c r="E366" s="300"/>
      <c r="F366" s="300"/>
      <c r="G366" s="300"/>
      <c r="H366" s="300"/>
      <c r="I366" s="300"/>
      <c r="J366" s="300"/>
      <c r="K366" s="418">
        <f>9500*5</f>
        <v>47500</v>
      </c>
      <c r="L366" s="419">
        <f t="shared" si="54"/>
        <v>570000</v>
      </c>
      <c r="M366" s="300">
        <v>5</v>
      </c>
      <c r="N366" s="300"/>
      <c r="O366" s="300"/>
      <c r="P366" s="300"/>
      <c r="Q366" s="300"/>
      <c r="R366" s="300"/>
      <c r="S366" s="300"/>
      <c r="T366" s="300"/>
      <c r="U366" s="300"/>
      <c r="V366" s="416">
        <f t="shared" si="59"/>
        <v>49875</v>
      </c>
      <c r="W366" s="334">
        <f t="shared" si="56"/>
        <v>598500</v>
      </c>
    </row>
    <row r="367" spans="1:23">
      <c r="A367" s="313" t="s">
        <v>698</v>
      </c>
      <c r="B367" s="300">
        <v>3</v>
      </c>
      <c r="C367" s="300"/>
      <c r="D367" s="300"/>
      <c r="E367" s="300"/>
      <c r="F367" s="300"/>
      <c r="G367" s="300"/>
      <c r="H367" s="300"/>
      <c r="I367" s="300"/>
      <c r="J367" s="300"/>
      <c r="K367" s="418">
        <f>9800*3</f>
        <v>29400</v>
      </c>
      <c r="L367" s="419">
        <f t="shared" si="54"/>
        <v>352800</v>
      </c>
      <c r="M367" s="300">
        <v>3</v>
      </c>
      <c r="N367" s="300"/>
      <c r="O367" s="300"/>
      <c r="P367" s="300"/>
      <c r="Q367" s="300"/>
      <c r="R367" s="300"/>
      <c r="S367" s="300"/>
      <c r="T367" s="300"/>
      <c r="U367" s="300"/>
      <c r="V367" s="416">
        <f t="shared" si="59"/>
        <v>30870</v>
      </c>
      <c r="W367" s="334">
        <f t="shared" si="56"/>
        <v>370440</v>
      </c>
    </row>
    <row r="368" spans="1:23">
      <c r="A368" s="313" t="s">
        <v>699</v>
      </c>
      <c r="B368" s="300">
        <v>6</v>
      </c>
      <c r="C368" s="300"/>
      <c r="D368" s="300"/>
      <c r="E368" s="300"/>
      <c r="F368" s="300"/>
      <c r="G368" s="300"/>
      <c r="H368" s="300"/>
      <c r="I368" s="300"/>
      <c r="J368" s="300"/>
      <c r="K368" s="418">
        <f>10417.97*6</f>
        <v>62507.819999999992</v>
      </c>
      <c r="L368" s="419">
        <f t="shared" si="54"/>
        <v>750093.83999999985</v>
      </c>
      <c r="M368" s="300">
        <v>6</v>
      </c>
      <c r="N368" s="300"/>
      <c r="O368" s="300"/>
      <c r="P368" s="300"/>
      <c r="Q368" s="300"/>
      <c r="R368" s="300"/>
      <c r="S368" s="300"/>
      <c r="T368" s="300"/>
      <c r="U368" s="300"/>
      <c r="V368" s="416">
        <f t="shared" si="59"/>
        <v>65633.210999999996</v>
      </c>
      <c r="W368" s="334">
        <f t="shared" si="56"/>
        <v>787598.53199999989</v>
      </c>
    </row>
    <row r="369" spans="1:23">
      <c r="A369" s="313"/>
      <c r="B369" s="300"/>
      <c r="C369" s="300"/>
      <c r="D369" s="300"/>
      <c r="E369" s="300"/>
      <c r="F369" s="300"/>
      <c r="G369" s="300"/>
      <c r="H369" s="300"/>
      <c r="I369" s="300"/>
      <c r="J369" s="300"/>
      <c r="K369" s="417"/>
      <c r="L369" s="419"/>
      <c r="M369" s="300"/>
      <c r="N369" s="300"/>
      <c r="O369" s="300"/>
      <c r="P369" s="300"/>
      <c r="Q369" s="300"/>
      <c r="R369" s="300"/>
      <c r="S369" s="300"/>
      <c r="T369" s="300"/>
      <c r="U369" s="300"/>
      <c r="V369" s="300"/>
      <c r="W369" s="334"/>
    </row>
    <row r="370" spans="1:23">
      <c r="A370" s="313" t="s">
        <v>700</v>
      </c>
      <c r="B370" s="300">
        <v>82</v>
      </c>
      <c r="C370" s="300">
        <v>3</v>
      </c>
      <c r="D370" s="300">
        <v>85</v>
      </c>
      <c r="E370" s="300"/>
      <c r="F370" s="300"/>
      <c r="G370" s="300"/>
      <c r="H370" s="300"/>
      <c r="I370" s="300"/>
      <c r="J370" s="300"/>
      <c r="K370" s="417">
        <f>6280*82+85*5548+3*2704.9</f>
        <v>994654.7</v>
      </c>
      <c r="L370" s="419">
        <f t="shared" ref="L370:L378" si="60">+K370*12</f>
        <v>11935856.399999999</v>
      </c>
      <c r="M370" s="300">
        <v>82</v>
      </c>
      <c r="N370" s="300">
        <v>3</v>
      </c>
      <c r="O370" s="300">
        <v>85</v>
      </c>
      <c r="P370" s="300"/>
      <c r="Q370" s="300"/>
      <c r="R370" s="300"/>
      <c r="S370" s="300"/>
      <c r="T370" s="300"/>
      <c r="U370" s="300"/>
      <c r="V370" s="416">
        <f t="shared" si="59"/>
        <v>1044387.4349999999</v>
      </c>
      <c r="W370" s="334">
        <f t="shared" ref="W370:W378" si="61">+V370*12</f>
        <v>12532649.219999999</v>
      </c>
    </row>
    <row r="371" spans="1:23">
      <c r="A371" s="313" t="s">
        <v>701</v>
      </c>
      <c r="B371" s="300">
        <v>9</v>
      </c>
      <c r="C371" s="300"/>
      <c r="D371" s="300"/>
      <c r="E371" s="300"/>
      <c r="F371" s="300"/>
      <c r="G371" s="300"/>
      <c r="H371" s="300"/>
      <c r="I371" s="300"/>
      <c r="J371" s="300"/>
      <c r="K371" s="417">
        <f>6479.45*9</f>
        <v>58315.049999999996</v>
      </c>
      <c r="L371" s="419">
        <f t="shared" si="60"/>
        <v>699780.6</v>
      </c>
      <c r="M371" s="300">
        <v>9</v>
      </c>
      <c r="N371" s="300"/>
      <c r="O371" s="300"/>
      <c r="P371" s="300"/>
      <c r="Q371" s="300"/>
      <c r="R371" s="300"/>
      <c r="S371" s="300"/>
      <c r="T371" s="300"/>
      <c r="U371" s="300"/>
      <c r="V371" s="416">
        <f t="shared" si="59"/>
        <v>61230.802499999998</v>
      </c>
      <c r="W371" s="334">
        <f t="shared" si="61"/>
        <v>734769.63</v>
      </c>
    </row>
    <row r="372" spans="1:23">
      <c r="A372" s="313" t="s">
        <v>702</v>
      </c>
      <c r="B372" s="300">
        <v>4</v>
      </c>
      <c r="C372" s="300"/>
      <c r="D372" s="300"/>
      <c r="E372" s="300"/>
      <c r="F372" s="300"/>
      <c r="G372" s="300"/>
      <c r="H372" s="300"/>
      <c r="I372" s="300"/>
      <c r="J372" s="300"/>
      <c r="K372" s="417">
        <f>5800*4</f>
        <v>23200</v>
      </c>
      <c r="L372" s="419">
        <f t="shared" si="60"/>
        <v>278400</v>
      </c>
      <c r="M372" s="300">
        <v>4</v>
      </c>
      <c r="N372" s="300"/>
      <c r="O372" s="300"/>
      <c r="P372" s="300"/>
      <c r="Q372" s="300"/>
      <c r="R372" s="300"/>
      <c r="S372" s="300"/>
      <c r="T372" s="300"/>
      <c r="U372" s="300"/>
      <c r="V372" s="416">
        <f t="shared" si="59"/>
        <v>24360</v>
      </c>
      <c r="W372" s="334">
        <f t="shared" si="61"/>
        <v>292320</v>
      </c>
    </row>
    <row r="373" spans="1:23">
      <c r="A373" s="313" t="s">
        <v>703</v>
      </c>
      <c r="B373" s="300">
        <v>1</v>
      </c>
      <c r="C373" s="300"/>
      <c r="D373" s="300"/>
      <c r="E373" s="300"/>
      <c r="F373" s="300"/>
      <c r="G373" s="300"/>
      <c r="H373" s="300"/>
      <c r="I373" s="300"/>
      <c r="J373" s="300"/>
      <c r="K373" s="417">
        <v>7195</v>
      </c>
      <c r="L373" s="419">
        <f t="shared" si="60"/>
        <v>86340</v>
      </c>
      <c r="M373" s="300">
        <v>1</v>
      </c>
      <c r="N373" s="300"/>
      <c r="O373" s="300"/>
      <c r="P373" s="300"/>
      <c r="Q373" s="300"/>
      <c r="R373" s="300"/>
      <c r="S373" s="300"/>
      <c r="T373" s="300"/>
      <c r="U373" s="300"/>
      <c r="V373" s="416">
        <f t="shared" si="59"/>
        <v>7554.75</v>
      </c>
      <c r="W373" s="334">
        <f t="shared" si="61"/>
        <v>90657</v>
      </c>
    </row>
    <row r="374" spans="1:23">
      <c r="A374" s="313" t="s">
        <v>704</v>
      </c>
      <c r="B374" s="300">
        <v>9</v>
      </c>
      <c r="C374" s="300"/>
      <c r="D374" s="300"/>
      <c r="E374" s="300"/>
      <c r="F374" s="300"/>
      <c r="G374" s="300"/>
      <c r="H374" s="300"/>
      <c r="I374" s="300"/>
      <c r="J374" s="300"/>
      <c r="K374" s="417">
        <f>6350*9</f>
        <v>57150</v>
      </c>
      <c r="L374" s="419">
        <f t="shared" si="60"/>
        <v>685800</v>
      </c>
      <c r="M374" s="300">
        <v>9</v>
      </c>
      <c r="N374" s="300"/>
      <c r="O374" s="300"/>
      <c r="P374" s="300"/>
      <c r="Q374" s="300"/>
      <c r="R374" s="300"/>
      <c r="S374" s="300"/>
      <c r="T374" s="300"/>
      <c r="U374" s="300"/>
      <c r="V374" s="416">
        <f t="shared" si="59"/>
        <v>60007.5</v>
      </c>
      <c r="W374" s="334">
        <f t="shared" si="61"/>
        <v>720090</v>
      </c>
    </row>
    <row r="375" spans="1:23">
      <c r="A375" s="313"/>
      <c r="B375" s="300"/>
      <c r="C375" s="300"/>
      <c r="D375" s="300"/>
      <c r="E375" s="300"/>
      <c r="F375" s="300"/>
      <c r="G375" s="300"/>
      <c r="H375" s="300"/>
      <c r="I375" s="300"/>
      <c r="J375" s="300"/>
      <c r="K375" s="417"/>
      <c r="L375" s="419"/>
      <c r="M375" s="300"/>
      <c r="N375" s="300"/>
      <c r="O375" s="300"/>
      <c r="P375" s="300"/>
      <c r="Q375" s="300"/>
      <c r="R375" s="300"/>
      <c r="S375" s="300"/>
      <c r="T375" s="300"/>
      <c r="U375" s="300"/>
      <c r="V375" s="300"/>
      <c r="W375" s="334"/>
    </row>
    <row r="376" spans="1:23">
      <c r="A376" s="313" t="s">
        <v>705</v>
      </c>
      <c r="B376" s="300">
        <v>124</v>
      </c>
      <c r="C376" s="300">
        <v>3</v>
      </c>
      <c r="D376" s="300">
        <v>27</v>
      </c>
      <c r="E376" s="300"/>
      <c r="F376" s="300"/>
      <c r="G376" s="300"/>
      <c r="H376" s="300"/>
      <c r="I376" s="300"/>
      <c r="J376" s="300"/>
      <c r="K376" s="417">
        <f>4512*124+27*3948.3+2*3050.5+1*2704.9</f>
        <v>674898</v>
      </c>
      <c r="L376" s="419">
        <f t="shared" si="60"/>
        <v>8098776</v>
      </c>
      <c r="M376" s="300">
        <v>124</v>
      </c>
      <c r="N376" s="300">
        <v>3</v>
      </c>
      <c r="O376" s="300">
        <v>27</v>
      </c>
      <c r="P376" s="300"/>
      <c r="Q376" s="300"/>
      <c r="R376" s="300"/>
      <c r="S376" s="300"/>
      <c r="T376" s="300"/>
      <c r="U376" s="300"/>
      <c r="V376" s="416">
        <f t="shared" si="59"/>
        <v>708642.9</v>
      </c>
      <c r="W376" s="334">
        <f t="shared" si="61"/>
        <v>8503714.8000000007</v>
      </c>
    </row>
    <row r="377" spans="1:23">
      <c r="A377" s="313" t="s">
        <v>706</v>
      </c>
      <c r="B377" s="300">
        <v>21</v>
      </c>
      <c r="C377" s="300"/>
      <c r="D377" s="300"/>
      <c r="E377" s="300"/>
      <c r="F377" s="300"/>
      <c r="G377" s="300"/>
      <c r="H377" s="300"/>
      <c r="I377" s="300"/>
      <c r="J377" s="300"/>
      <c r="K377" s="417">
        <f>2050*21</f>
        <v>43050</v>
      </c>
      <c r="L377" s="419">
        <f t="shared" si="60"/>
        <v>516600</v>
      </c>
      <c r="M377" s="300">
        <v>21</v>
      </c>
      <c r="N377" s="300"/>
      <c r="O377" s="300"/>
      <c r="P377" s="300"/>
      <c r="Q377" s="300"/>
      <c r="R377" s="300"/>
      <c r="S377" s="300"/>
      <c r="T377" s="300"/>
      <c r="U377" s="300"/>
      <c r="V377" s="416">
        <f t="shared" si="59"/>
        <v>45202.5</v>
      </c>
      <c r="W377" s="334">
        <f t="shared" si="61"/>
        <v>542430</v>
      </c>
    </row>
    <row r="378" spans="1:23">
      <c r="A378" s="313" t="s">
        <v>707</v>
      </c>
      <c r="B378" s="300">
        <v>11</v>
      </c>
      <c r="C378" s="300"/>
      <c r="D378" s="300"/>
      <c r="E378" s="300"/>
      <c r="F378" s="300"/>
      <c r="G378" s="300"/>
      <c r="H378" s="300"/>
      <c r="I378" s="300"/>
      <c r="J378" s="300"/>
      <c r="K378" s="417">
        <f>5552*14</f>
        <v>77728</v>
      </c>
      <c r="L378" s="419">
        <f t="shared" si="60"/>
        <v>932736</v>
      </c>
      <c r="M378" s="300">
        <v>11</v>
      </c>
      <c r="N378" s="300"/>
      <c r="O378" s="300"/>
      <c r="P378" s="300"/>
      <c r="Q378" s="300"/>
      <c r="R378" s="300"/>
      <c r="S378" s="300"/>
      <c r="T378" s="300"/>
      <c r="U378" s="300"/>
      <c r="V378" s="416">
        <f t="shared" si="59"/>
        <v>81614.399999999994</v>
      </c>
      <c r="W378" s="334">
        <f t="shared" si="61"/>
        <v>979372.79999999993</v>
      </c>
    </row>
    <row r="379" spans="1:23">
      <c r="A379" s="313"/>
      <c r="B379" s="300"/>
      <c r="C379" s="300"/>
      <c r="D379" s="300"/>
      <c r="E379" s="300"/>
      <c r="F379" s="300"/>
      <c r="G379" s="300"/>
      <c r="H379" s="300"/>
      <c r="I379" s="300"/>
      <c r="J379" s="300"/>
      <c r="K379" s="417"/>
      <c r="L379" s="419"/>
      <c r="M379" s="300"/>
      <c r="N379" s="300"/>
      <c r="O379" s="300"/>
      <c r="P379" s="300"/>
      <c r="Q379" s="300"/>
      <c r="R379" s="300"/>
      <c r="S379" s="300"/>
      <c r="T379" s="300"/>
      <c r="U379" s="300"/>
      <c r="V379" s="300"/>
      <c r="W379" s="334"/>
    </row>
    <row r="380" spans="1:23">
      <c r="A380" s="313" t="s">
        <v>708</v>
      </c>
      <c r="B380" s="300"/>
      <c r="C380" s="300"/>
      <c r="D380" s="300"/>
      <c r="E380" s="300"/>
      <c r="F380" s="300"/>
      <c r="G380" s="300"/>
      <c r="H380" s="300"/>
      <c r="I380" s="300"/>
      <c r="J380" s="300"/>
      <c r="K380" s="417"/>
      <c r="L380" s="419"/>
      <c r="M380" s="300"/>
      <c r="N380" s="300"/>
      <c r="O380" s="300"/>
      <c r="P380" s="300"/>
      <c r="Q380" s="300"/>
      <c r="R380" s="300"/>
      <c r="S380" s="300"/>
      <c r="T380" s="300"/>
      <c r="U380" s="300"/>
      <c r="V380" s="300"/>
      <c r="W380" s="334"/>
    </row>
    <row r="381" spans="1:23">
      <c r="A381" s="313" t="s">
        <v>685</v>
      </c>
      <c r="B381" s="300">
        <v>32</v>
      </c>
      <c r="C381" s="300"/>
      <c r="D381" s="300">
        <v>20</v>
      </c>
      <c r="E381" s="300"/>
      <c r="F381" s="300"/>
      <c r="G381" s="300"/>
      <c r="H381" s="300"/>
      <c r="I381" s="300"/>
      <c r="J381" s="300"/>
      <c r="K381" s="417">
        <f>5160.8*32+20*5548</f>
        <v>276105.59999999998</v>
      </c>
      <c r="L381" s="419">
        <f t="shared" ref="L381:L385" si="62">+K381*12</f>
        <v>3313267.1999999997</v>
      </c>
      <c r="M381" s="300">
        <v>32</v>
      </c>
      <c r="N381" s="300"/>
      <c r="O381" s="300">
        <v>20</v>
      </c>
      <c r="P381" s="300"/>
      <c r="Q381" s="300"/>
      <c r="R381" s="300"/>
      <c r="S381" s="300"/>
      <c r="T381" s="300"/>
      <c r="U381" s="300"/>
      <c r="V381" s="416">
        <f t="shared" ref="V381:V385" si="63">+K381*0.05+K381</f>
        <v>289910.88</v>
      </c>
      <c r="W381" s="334">
        <f t="shared" ref="W381:W385" si="64">+V381*12</f>
        <v>3478930.56</v>
      </c>
    </row>
    <row r="382" spans="1:23">
      <c r="A382" s="313" t="s">
        <v>709</v>
      </c>
      <c r="B382" s="300">
        <v>47</v>
      </c>
      <c r="C382" s="300"/>
      <c r="D382" s="300">
        <v>43</v>
      </c>
      <c r="E382" s="300"/>
      <c r="F382" s="300"/>
      <c r="G382" s="300"/>
      <c r="H382" s="300"/>
      <c r="I382" s="300"/>
      <c r="J382" s="300"/>
      <c r="K382" s="417">
        <f>5186*47+3948*43</f>
        <v>413506</v>
      </c>
      <c r="L382" s="419">
        <f t="shared" si="62"/>
        <v>4962072</v>
      </c>
      <c r="M382" s="300">
        <v>47</v>
      </c>
      <c r="N382" s="300"/>
      <c r="O382" s="300">
        <v>43</v>
      </c>
      <c r="P382" s="300"/>
      <c r="Q382" s="300"/>
      <c r="R382" s="300"/>
      <c r="S382" s="300"/>
      <c r="T382" s="300"/>
      <c r="U382" s="300"/>
      <c r="V382" s="416">
        <f t="shared" si="63"/>
        <v>434181.3</v>
      </c>
      <c r="W382" s="334">
        <f t="shared" si="64"/>
        <v>5210175.5999999996</v>
      </c>
    </row>
    <row r="383" spans="1:23">
      <c r="A383" s="313" t="s">
        <v>710</v>
      </c>
      <c r="B383" s="300">
        <v>15</v>
      </c>
      <c r="C383" s="300"/>
      <c r="D383" s="300">
        <v>18</v>
      </c>
      <c r="E383" s="300"/>
      <c r="F383" s="300"/>
      <c r="G383" s="300"/>
      <c r="H383" s="300"/>
      <c r="I383" s="300"/>
      <c r="J383" s="300"/>
      <c r="K383" s="417">
        <f>18*2848+15*5459</f>
        <v>133149</v>
      </c>
      <c r="L383" s="419">
        <f t="shared" si="62"/>
        <v>1597788</v>
      </c>
      <c r="M383" s="300">
        <v>15</v>
      </c>
      <c r="N383" s="300"/>
      <c r="O383" s="300">
        <v>18</v>
      </c>
      <c r="P383" s="300"/>
      <c r="Q383" s="300"/>
      <c r="R383" s="300"/>
      <c r="S383" s="300"/>
      <c r="T383" s="300"/>
      <c r="U383" s="300"/>
      <c r="V383" s="416">
        <f t="shared" si="63"/>
        <v>139806.45000000001</v>
      </c>
      <c r="W383" s="334">
        <f t="shared" si="64"/>
        <v>1677677.4000000001</v>
      </c>
    </row>
    <row r="384" spans="1:23">
      <c r="A384" s="313" t="s">
        <v>684</v>
      </c>
      <c r="B384" s="300">
        <v>2</v>
      </c>
      <c r="C384" s="300"/>
      <c r="D384" s="300">
        <v>4</v>
      </c>
      <c r="E384" s="300"/>
      <c r="F384" s="300"/>
      <c r="G384" s="300"/>
      <c r="H384" s="300"/>
      <c r="I384" s="300"/>
      <c r="J384" s="300"/>
      <c r="K384" s="417">
        <f>4*3337.3+2*4900</f>
        <v>23149.200000000001</v>
      </c>
      <c r="L384" s="419">
        <f t="shared" si="62"/>
        <v>277790.40000000002</v>
      </c>
      <c r="M384" s="300">
        <v>2</v>
      </c>
      <c r="N384" s="300"/>
      <c r="O384" s="300">
        <v>4</v>
      </c>
      <c r="P384" s="300"/>
      <c r="Q384" s="300"/>
      <c r="R384" s="300"/>
      <c r="S384" s="300"/>
      <c r="T384" s="300"/>
      <c r="U384" s="300"/>
      <c r="V384" s="416">
        <f t="shared" si="63"/>
        <v>24306.66</v>
      </c>
      <c r="W384" s="334">
        <f t="shared" si="64"/>
        <v>291679.92</v>
      </c>
    </row>
    <row r="385" spans="1:23">
      <c r="A385" s="313" t="s">
        <v>711</v>
      </c>
      <c r="B385" s="300">
        <v>3</v>
      </c>
      <c r="C385" s="300"/>
      <c r="D385" s="300">
        <v>13</v>
      </c>
      <c r="E385" s="300"/>
      <c r="F385" s="300"/>
      <c r="G385" s="300"/>
      <c r="H385" s="300"/>
      <c r="I385" s="300"/>
      <c r="J385" s="300"/>
      <c r="K385" s="417">
        <f>13*2848+3*4939</f>
        <v>51841</v>
      </c>
      <c r="L385" s="419">
        <f t="shared" si="62"/>
        <v>622092</v>
      </c>
      <c r="M385" s="300">
        <v>3</v>
      </c>
      <c r="N385" s="300"/>
      <c r="O385" s="300">
        <v>13</v>
      </c>
      <c r="P385" s="300"/>
      <c r="Q385" s="300"/>
      <c r="R385" s="300"/>
      <c r="S385" s="300"/>
      <c r="T385" s="300"/>
      <c r="U385" s="300"/>
      <c r="V385" s="416">
        <f t="shared" si="63"/>
        <v>54433.05</v>
      </c>
      <c r="W385" s="334">
        <f t="shared" si="64"/>
        <v>653196.60000000009</v>
      </c>
    </row>
    <row r="386" spans="1:23">
      <c r="A386" s="315" t="s">
        <v>587</v>
      </c>
      <c r="B386" s="303"/>
      <c r="C386" s="303"/>
      <c r="D386" s="303"/>
      <c r="E386" s="303"/>
      <c r="F386" s="303"/>
      <c r="G386" s="303"/>
      <c r="H386" s="303"/>
      <c r="I386" s="303"/>
      <c r="J386" s="303"/>
      <c r="K386" s="344"/>
      <c r="L386" s="420"/>
      <c r="M386" s="303"/>
      <c r="N386" s="303"/>
      <c r="O386" s="303"/>
      <c r="P386" s="303"/>
      <c r="Q386" s="303"/>
      <c r="R386" s="303"/>
      <c r="S386" s="303"/>
      <c r="T386" s="303"/>
      <c r="U386" s="303"/>
      <c r="V386" s="303"/>
      <c r="W386" s="316"/>
    </row>
    <row r="387" spans="1:23">
      <c r="A387" s="313" t="s">
        <v>566</v>
      </c>
      <c r="B387" s="300">
        <v>10</v>
      </c>
      <c r="C387" s="300"/>
      <c r="D387" s="300">
        <v>215</v>
      </c>
      <c r="E387" s="300"/>
      <c r="F387" s="300"/>
      <c r="G387" s="300"/>
      <c r="H387" s="300"/>
      <c r="I387" s="300"/>
      <c r="J387" s="300"/>
      <c r="K387" s="418">
        <f>3070*10+215*2748</f>
        <v>621520</v>
      </c>
      <c r="L387" s="419">
        <f>+K387*12</f>
        <v>7458240</v>
      </c>
      <c r="M387" s="300">
        <v>10</v>
      </c>
      <c r="N387" s="300"/>
      <c r="O387" s="300">
        <v>215</v>
      </c>
      <c r="P387" s="300"/>
      <c r="Q387" s="300"/>
      <c r="R387" s="300"/>
      <c r="S387" s="300"/>
      <c r="T387" s="300"/>
      <c r="U387" s="300"/>
      <c r="V387" s="416">
        <f t="shared" ref="V387:V408" si="65">+K387*0.05+K387</f>
        <v>652596</v>
      </c>
      <c r="W387" s="334">
        <f t="shared" ref="W387:W398" si="66">+V387*12</f>
        <v>7831152</v>
      </c>
    </row>
    <row r="388" spans="1:23">
      <c r="A388" s="313" t="s">
        <v>567</v>
      </c>
      <c r="B388" s="300">
        <v>226</v>
      </c>
      <c r="C388" s="300"/>
      <c r="D388" s="300">
        <v>58</v>
      </c>
      <c r="E388" s="300"/>
      <c r="F388" s="300"/>
      <c r="G388" s="300"/>
      <c r="H388" s="300"/>
      <c r="I388" s="300"/>
      <c r="J388" s="300"/>
      <c r="K388" s="418">
        <f>3061*226+58*2100</f>
        <v>813586</v>
      </c>
      <c r="L388" s="419">
        <f t="shared" ref="L388:L398" si="67">+K388*12</f>
        <v>9763032</v>
      </c>
      <c r="M388" s="300">
        <v>226</v>
      </c>
      <c r="N388" s="300"/>
      <c r="O388" s="300">
        <v>58</v>
      </c>
      <c r="P388" s="300"/>
      <c r="Q388" s="300"/>
      <c r="R388" s="300"/>
      <c r="S388" s="300"/>
      <c r="T388" s="300"/>
      <c r="U388" s="300"/>
      <c r="V388" s="416">
        <f t="shared" si="65"/>
        <v>854265.3</v>
      </c>
      <c r="W388" s="334">
        <f t="shared" si="66"/>
        <v>10251183.600000001</v>
      </c>
    </row>
    <row r="389" spans="1:23">
      <c r="A389" s="313" t="s">
        <v>581</v>
      </c>
      <c r="B389" s="300">
        <v>102</v>
      </c>
      <c r="C389" s="300"/>
      <c r="D389" s="300"/>
      <c r="E389" s="300"/>
      <c r="F389" s="300"/>
      <c r="G389" s="300"/>
      <c r="H389" s="300"/>
      <c r="I389" s="300"/>
      <c r="J389" s="300"/>
      <c r="K389" s="418">
        <f>2933*102</f>
        <v>299166</v>
      </c>
      <c r="L389" s="419">
        <f t="shared" si="67"/>
        <v>3589992</v>
      </c>
      <c r="M389" s="300">
        <v>102</v>
      </c>
      <c r="N389" s="300"/>
      <c r="O389" s="300"/>
      <c r="P389" s="300"/>
      <c r="Q389" s="300"/>
      <c r="R389" s="300"/>
      <c r="S389" s="300"/>
      <c r="T389" s="300"/>
      <c r="U389" s="300"/>
      <c r="V389" s="416">
        <f t="shared" si="65"/>
        <v>314124.3</v>
      </c>
      <c r="W389" s="334">
        <f t="shared" si="66"/>
        <v>3769491.5999999996</v>
      </c>
    </row>
    <row r="390" spans="1:23">
      <c r="A390" s="313" t="s">
        <v>582</v>
      </c>
      <c r="B390" s="300">
        <v>1</v>
      </c>
      <c r="C390" s="300"/>
      <c r="D390" s="300"/>
      <c r="E390" s="300"/>
      <c r="F390" s="300"/>
      <c r="G390" s="300"/>
      <c r="H390" s="300"/>
      <c r="I390" s="300"/>
      <c r="J390" s="300"/>
      <c r="K390" s="418">
        <f>2676*1</f>
        <v>2676</v>
      </c>
      <c r="L390" s="419">
        <f>+K390*12</f>
        <v>32112</v>
      </c>
      <c r="M390" s="300">
        <v>1</v>
      </c>
      <c r="N390" s="300"/>
      <c r="O390" s="300"/>
      <c r="P390" s="300"/>
      <c r="Q390" s="300"/>
      <c r="R390" s="300"/>
      <c r="S390" s="300"/>
      <c r="T390" s="300"/>
      <c r="U390" s="300"/>
      <c r="V390" s="416">
        <f t="shared" si="65"/>
        <v>2809.8</v>
      </c>
      <c r="W390" s="334">
        <f t="shared" si="66"/>
        <v>33717.600000000006</v>
      </c>
    </row>
    <row r="391" spans="1:23">
      <c r="A391" s="313" t="s">
        <v>583</v>
      </c>
      <c r="B391" s="300">
        <v>461</v>
      </c>
      <c r="C391" s="300"/>
      <c r="D391" s="300">
        <v>4</v>
      </c>
      <c r="E391" s="300"/>
      <c r="F391" s="300"/>
      <c r="G391" s="300"/>
      <c r="H391" s="300"/>
      <c r="I391" s="300"/>
      <c r="J391" s="300"/>
      <c r="K391" s="418">
        <f>2482*461+4*1716</f>
        <v>1151066</v>
      </c>
      <c r="L391" s="419">
        <f t="shared" si="67"/>
        <v>13812792</v>
      </c>
      <c r="M391" s="300">
        <v>461</v>
      </c>
      <c r="N391" s="300"/>
      <c r="O391" s="300">
        <v>4</v>
      </c>
      <c r="P391" s="300"/>
      <c r="Q391" s="300"/>
      <c r="R391" s="300"/>
      <c r="S391" s="300"/>
      <c r="T391" s="300"/>
      <c r="U391" s="300"/>
      <c r="V391" s="416">
        <f t="shared" si="65"/>
        <v>1208619.3</v>
      </c>
      <c r="W391" s="334">
        <f t="shared" si="66"/>
        <v>14503431.600000001</v>
      </c>
    </row>
    <row r="392" spans="1:23">
      <c r="A392" s="315" t="s">
        <v>588</v>
      </c>
      <c r="B392" s="303"/>
      <c r="C392" s="303"/>
      <c r="D392" s="303"/>
      <c r="E392" s="303"/>
      <c r="F392" s="303"/>
      <c r="G392" s="303"/>
      <c r="H392" s="303"/>
      <c r="I392" s="303"/>
      <c r="J392" s="303"/>
      <c r="K392" s="344"/>
      <c r="L392" s="420"/>
      <c r="M392" s="303"/>
      <c r="N392" s="303"/>
      <c r="O392" s="303"/>
      <c r="P392" s="303"/>
      <c r="Q392" s="303"/>
      <c r="R392" s="303"/>
      <c r="S392" s="303"/>
      <c r="T392" s="303"/>
      <c r="U392" s="303"/>
      <c r="V392" s="303"/>
      <c r="W392" s="316"/>
    </row>
    <row r="393" spans="1:23">
      <c r="A393" s="313" t="s">
        <v>570</v>
      </c>
      <c r="B393" s="300">
        <v>2</v>
      </c>
      <c r="C393" s="300"/>
      <c r="D393" s="300">
        <v>187</v>
      </c>
      <c r="E393" s="300"/>
      <c r="F393" s="300"/>
      <c r="G393" s="300"/>
      <c r="H393" s="300"/>
      <c r="I393" s="300"/>
      <c r="J393" s="300"/>
      <c r="K393" s="418">
        <f>2482*2+187*2188</f>
        <v>414120</v>
      </c>
      <c r="L393" s="419">
        <f t="shared" si="67"/>
        <v>4969440</v>
      </c>
      <c r="M393" s="300">
        <v>2</v>
      </c>
      <c r="N393" s="300"/>
      <c r="O393" s="300">
        <v>187</v>
      </c>
      <c r="P393" s="300"/>
      <c r="Q393" s="300"/>
      <c r="R393" s="300"/>
      <c r="S393" s="300"/>
      <c r="T393" s="300"/>
      <c r="U393" s="300"/>
      <c r="V393" s="416">
        <f t="shared" si="65"/>
        <v>434826</v>
      </c>
      <c r="W393" s="334">
        <f t="shared" si="66"/>
        <v>5217912</v>
      </c>
    </row>
    <row r="394" spans="1:23">
      <c r="A394" s="313" t="s">
        <v>584</v>
      </c>
      <c r="B394" s="300">
        <v>40</v>
      </c>
      <c r="C394" s="300"/>
      <c r="D394" s="300"/>
      <c r="E394" s="300"/>
      <c r="F394" s="300"/>
      <c r="G394" s="300"/>
      <c r="H394" s="300"/>
      <c r="I394" s="300"/>
      <c r="J394" s="300"/>
      <c r="K394" s="418">
        <f>2235*40</f>
        <v>89400</v>
      </c>
      <c r="L394" s="419">
        <f t="shared" si="67"/>
        <v>1072800</v>
      </c>
      <c r="M394" s="300">
        <v>40</v>
      </c>
      <c r="N394" s="300"/>
      <c r="O394" s="300"/>
      <c r="P394" s="300"/>
      <c r="Q394" s="300"/>
      <c r="R394" s="300"/>
      <c r="S394" s="300"/>
      <c r="T394" s="300"/>
      <c r="U394" s="300"/>
      <c r="V394" s="416">
        <f t="shared" si="65"/>
        <v>93870</v>
      </c>
      <c r="W394" s="334">
        <f t="shared" si="66"/>
        <v>1126440</v>
      </c>
    </row>
    <row r="395" spans="1:23">
      <c r="A395" s="313" t="s">
        <v>712</v>
      </c>
      <c r="B395" s="300">
        <v>22</v>
      </c>
      <c r="C395" s="300"/>
      <c r="D395" s="300"/>
      <c r="E395" s="300"/>
      <c r="F395" s="300"/>
      <c r="G395" s="300"/>
      <c r="H395" s="300"/>
      <c r="I395" s="300"/>
      <c r="J395" s="300"/>
      <c r="K395" s="418">
        <f>2226*22</f>
        <v>48972</v>
      </c>
      <c r="L395" s="419">
        <f t="shared" si="67"/>
        <v>587664</v>
      </c>
      <c r="M395" s="300">
        <v>22</v>
      </c>
      <c r="N395" s="300"/>
      <c r="O395" s="300"/>
      <c r="P395" s="300"/>
      <c r="Q395" s="300"/>
      <c r="R395" s="300"/>
      <c r="S395" s="300"/>
      <c r="T395" s="300"/>
      <c r="U395" s="300"/>
      <c r="V395" s="416">
        <f t="shared" si="65"/>
        <v>51420.6</v>
      </c>
      <c r="W395" s="334">
        <f t="shared" si="66"/>
        <v>617047.19999999995</v>
      </c>
    </row>
    <row r="396" spans="1:23">
      <c r="A396" s="313" t="s">
        <v>585</v>
      </c>
      <c r="B396" s="300">
        <v>34</v>
      </c>
      <c r="C396" s="300"/>
      <c r="D396" s="300"/>
      <c r="E396" s="300"/>
      <c r="F396" s="300"/>
      <c r="G396" s="300"/>
      <c r="H396" s="300"/>
      <c r="I396" s="300"/>
      <c r="J396" s="300"/>
      <c r="K396" s="418">
        <f>2217*34</f>
        <v>75378</v>
      </c>
      <c r="L396" s="419">
        <f t="shared" si="67"/>
        <v>904536</v>
      </c>
      <c r="M396" s="300">
        <v>34</v>
      </c>
      <c r="N396" s="300"/>
      <c r="O396" s="300"/>
      <c r="P396" s="300"/>
      <c r="Q396" s="300"/>
      <c r="R396" s="300"/>
      <c r="S396" s="300"/>
      <c r="T396" s="300"/>
      <c r="U396" s="300"/>
      <c r="V396" s="416">
        <f t="shared" si="65"/>
        <v>79146.899999999994</v>
      </c>
      <c r="W396" s="334">
        <f t="shared" si="66"/>
        <v>949762.79999999993</v>
      </c>
    </row>
    <row r="397" spans="1:23">
      <c r="A397" s="313" t="s">
        <v>572</v>
      </c>
      <c r="B397" s="300">
        <v>8</v>
      </c>
      <c r="C397" s="300"/>
      <c r="D397" s="300"/>
      <c r="E397" s="300"/>
      <c r="F397" s="300"/>
      <c r="G397" s="300"/>
      <c r="H397" s="300"/>
      <c r="I397" s="300"/>
      <c r="J397" s="300"/>
      <c r="K397" s="418">
        <f>2208*8</f>
        <v>17664</v>
      </c>
      <c r="L397" s="419">
        <f t="shared" si="67"/>
        <v>211968</v>
      </c>
      <c r="M397" s="300">
        <v>8</v>
      </c>
      <c r="N397" s="300"/>
      <c r="O397" s="300"/>
      <c r="P397" s="300"/>
      <c r="Q397" s="300"/>
      <c r="R397" s="300"/>
      <c r="S397" s="300"/>
      <c r="T397" s="300"/>
      <c r="U397" s="300"/>
      <c r="V397" s="416">
        <f t="shared" si="65"/>
        <v>18547.2</v>
      </c>
      <c r="W397" s="334">
        <f t="shared" si="66"/>
        <v>222566.40000000002</v>
      </c>
    </row>
    <row r="398" spans="1:23">
      <c r="A398" s="313" t="s">
        <v>626</v>
      </c>
      <c r="B398" s="300">
        <v>10</v>
      </c>
      <c r="C398" s="300"/>
      <c r="D398" s="300"/>
      <c r="E398" s="300"/>
      <c r="F398" s="300"/>
      <c r="G398" s="300"/>
      <c r="H398" s="300"/>
      <c r="I398" s="300"/>
      <c r="J398" s="300"/>
      <c r="K398" s="418">
        <f>2200*10</f>
        <v>22000</v>
      </c>
      <c r="L398" s="419">
        <f t="shared" si="67"/>
        <v>264000</v>
      </c>
      <c r="M398" s="300">
        <v>10</v>
      </c>
      <c r="N398" s="300"/>
      <c r="O398" s="300"/>
      <c r="P398" s="300"/>
      <c r="Q398" s="300"/>
      <c r="R398" s="300"/>
      <c r="S398" s="300"/>
      <c r="T398" s="300"/>
      <c r="U398" s="300"/>
      <c r="V398" s="416">
        <f t="shared" si="65"/>
        <v>23100</v>
      </c>
      <c r="W398" s="334">
        <f t="shared" si="66"/>
        <v>277200</v>
      </c>
    </row>
    <row r="399" spans="1:23">
      <c r="A399" s="315" t="s">
        <v>713</v>
      </c>
      <c r="B399" s="303"/>
      <c r="C399" s="303"/>
      <c r="D399" s="303"/>
      <c r="E399" s="303"/>
      <c r="F399" s="303"/>
      <c r="G399" s="303"/>
      <c r="H399" s="303"/>
      <c r="I399" s="303"/>
      <c r="J399" s="303"/>
      <c r="K399" s="344"/>
      <c r="L399" s="420"/>
      <c r="M399" s="303"/>
      <c r="N399" s="303"/>
      <c r="O399" s="303"/>
      <c r="P399" s="303"/>
      <c r="Q399" s="303"/>
      <c r="R399" s="303"/>
      <c r="S399" s="303"/>
      <c r="T399" s="303"/>
      <c r="U399" s="303"/>
      <c r="V399" s="303"/>
      <c r="W399" s="316"/>
    </row>
    <row r="400" spans="1:23">
      <c r="A400" s="313" t="s">
        <v>566</v>
      </c>
      <c r="B400" s="300">
        <v>21</v>
      </c>
      <c r="C400" s="300">
        <f>10+1+2</f>
        <v>13</v>
      </c>
      <c r="D400" s="300">
        <v>3</v>
      </c>
      <c r="E400" s="300"/>
      <c r="F400" s="300"/>
      <c r="G400" s="300"/>
      <c r="H400" s="300"/>
      <c r="I400" s="300"/>
      <c r="J400" s="300"/>
      <c r="K400" s="417">
        <f>769.21*21+200*21+10*1600.76+1*1525.27+2*2791.01</f>
        <v>43468.3</v>
      </c>
      <c r="L400" s="419">
        <f t="shared" ref="L400:L408" si="68">+K400*12</f>
        <v>521619.60000000003</v>
      </c>
      <c r="M400" s="300">
        <v>21</v>
      </c>
      <c r="N400" s="300">
        <f>10+1+2</f>
        <v>13</v>
      </c>
      <c r="O400" s="300">
        <v>3</v>
      </c>
      <c r="P400" s="300"/>
      <c r="Q400" s="300"/>
      <c r="R400" s="300"/>
      <c r="S400" s="300"/>
      <c r="T400" s="300"/>
      <c r="U400" s="300"/>
      <c r="V400" s="416">
        <f t="shared" si="65"/>
        <v>45641.715000000004</v>
      </c>
      <c r="W400" s="334">
        <f t="shared" ref="W400:W408" si="69">+V400*12</f>
        <v>547700.58000000007</v>
      </c>
    </row>
    <row r="401" spans="1:23">
      <c r="A401" s="313" t="s">
        <v>567</v>
      </c>
      <c r="B401" s="300">
        <v>3</v>
      </c>
      <c r="C401" s="300"/>
      <c r="D401" s="300">
        <v>58</v>
      </c>
      <c r="E401" s="300"/>
      <c r="F401" s="300"/>
      <c r="G401" s="300"/>
      <c r="H401" s="300"/>
      <c r="I401" s="300"/>
      <c r="J401" s="300"/>
      <c r="K401" s="417">
        <f>753.21*3+2000*3+58*1716</f>
        <v>107787.63</v>
      </c>
      <c r="L401" s="419">
        <f t="shared" si="68"/>
        <v>1293451.56</v>
      </c>
      <c r="M401" s="300">
        <v>3</v>
      </c>
      <c r="N401" s="300"/>
      <c r="O401" s="300">
        <v>58</v>
      </c>
      <c r="P401" s="300"/>
      <c r="Q401" s="300"/>
      <c r="R401" s="300"/>
      <c r="S401" s="300"/>
      <c r="T401" s="300"/>
      <c r="U401" s="300"/>
      <c r="V401" s="416">
        <f t="shared" si="65"/>
        <v>113177.01150000001</v>
      </c>
      <c r="W401" s="334">
        <f t="shared" si="69"/>
        <v>1358124.138</v>
      </c>
    </row>
    <row r="402" spans="1:23">
      <c r="A402" s="313" t="s">
        <v>581</v>
      </c>
      <c r="B402" s="300">
        <v>26</v>
      </c>
      <c r="C402" s="300"/>
      <c r="D402" s="300">
        <v>4</v>
      </c>
      <c r="E402" s="300"/>
      <c r="F402" s="300"/>
      <c r="G402" s="300"/>
      <c r="H402" s="300"/>
      <c r="I402" s="300"/>
      <c r="J402" s="300"/>
      <c r="K402" s="417">
        <f>753.21*26+2000*26+4*1952</f>
        <v>79391.459999999992</v>
      </c>
      <c r="L402" s="419">
        <f t="shared" si="68"/>
        <v>952697.5199999999</v>
      </c>
      <c r="M402" s="300">
        <v>26</v>
      </c>
      <c r="N402" s="300"/>
      <c r="O402" s="300">
        <v>4</v>
      </c>
      <c r="P402" s="300"/>
      <c r="Q402" s="300"/>
      <c r="R402" s="300"/>
      <c r="S402" s="300"/>
      <c r="T402" s="300"/>
      <c r="U402" s="300"/>
      <c r="V402" s="416">
        <f t="shared" si="65"/>
        <v>83361.032999999996</v>
      </c>
      <c r="W402" s="334">
        <f t="shared" si="69"/>
        <v>1000332.3959999999</v>
      </c>
    </row>
    <row r="403" spans="1:23">
      <c r="A403" s="313" t="s">
        <v>582</v>
      </c>
      <c r="B403" s="300">
        <v>14</v>
      </c>
      <c r="C403" s="300"/>
      <c r="D403" s="300"/>
      <c r="E403" s="300"/>
      <c r="F403" s="300"/>
      <c r="G403" s="300"/>
      <c r="H403" s="300"/>
      <c r="I403" s="300"/>
      <c r="J403" s="300"/>
      <c r="K403" s="417">
        <f>753.21*14+2000*14</f>
        <v>38544.94</v>
      </c>
      <c r="L403" s="419">
        <f t="shared" si="68"/>
        <v>462539.28</v>
      </c>
      <c r="M403" s="300">
        <v>14</v>
      </c>
      <c r="N403" s="300"/>
      <c r="O403" s="300"/>
      <c r="P403" s="300"/>
      <c r="Q403" s="300"/>
      <c r="R403" s="300"/>
      <c r="S403" s="300"/>
      <c r="T403" s="300"/>
      <c r="U403" s="300"/>
      <c r="V403" s="416">
        <f t="shared" si="65"/>
        <v>40472.187000000005</v>
      </c>
      <c r="W403" s="334">
        <f t="shared" si="69"/>
        <v>485666.24400000006</v>
      </c>
    </row>
    <row r="404" spans="1:23">
      <c r="A404" s="315" t="s">
        <v>714</v>
      </c>
      <c r="B404" s="303"/>
      <c r="C404" s="303"/>
      <c r="D404" s="303"/>
      <c r="E404" s="303"/>
      <c r="F404" s="303"/>
      <c r="G404" s="303"/>
      <c r="H404" s="303"/>
      <c r="I404" s="303"/>
      <c r="J404" s="303"/>
      <c r="K404" s="344"/>
      <c r="L404" s="420"/>
      <c r="M404" s="303"/>
      <c r="N404" s="303"/>
      <c r="O404" s="303"/>
      <c r="P404" s="303"/>
      <c r="Q404" s="303"/>
      <c r="R404" s="303"/>
      <c r="S404" s="303"/>
      <c r="T404" s="303"/>
      <c r="U404" s="303"/>
      <c r="V404" s="303"/>
      <c r="W404" s="316"/>
    </row>
    <row r="405" spans="1:23">
      <c r="A405" s="313" t="s">
        <v>570</v>
      </c>
      <c r="B405" s="300">
        <v>2</v>
      </c>
      <c r="C405" s="300">
        <f>2+4</f>
        <v>6</v>
      </c>
      <c r="D405" s="300">
        <v>20</v>
      </c>
      <c r="E405" s="300"/>
      <c r="F405" s="300"/>
      <c r="G405" s="300"/>
      <c r="H405" s="300"/>
      <c r="I405" s="300"/>
      <c r="J405" s="300"/>
      <c r="K405" s="417">
        <f>716.72*2+2000*2+20*1480+2*1289.34+4*1183</f>
        <v>42344.12</v>
      </c>
      <c r="L405" s="419">
        <f t="shared" si="68"/>
        <v>508129.44000000006</v>
      </c>
      <c r="M405" s="300">
        <v>2</v>
      </c>
      <c r="N405" s="300">
        <f>2+4</f>
        <v>6</v>
      </c>
      <c r="O405" s="300">
        <v>20</v>
      </c>
      <c r="P405" s="300"/>
      <c r="Q405" s="300"/>
      <c r="R405" s="300"/>
      <c r="S405" s="300"/>
      <c r="T405" s="300"/>
      <c r="U405" s="300"/>
      <c r="V405" s="416">
        <f t="shared" si="65"/>
        <v>44461.326000000001</v>
      </c>
      <c r="W405" s="334">
        <f t="shared" si="69"/>
        <v>533535.91200000001</v>
      </c>
    </row>
    <row r="406" spans="1:23">
      <c r="A406" s="313" t="s">
        <v>584</v>
      </c>
      <c r="B406" s="300">
        <v>31</v>
      </c>
      <c r="C406" s="300"/>
      <c r="D406" s="300"/>
      <c r="E406" s="300"/>
      <c r="F406" s="300"/>
      <c r="G406" s="300"/>
      <c r="H406" s="300"/>
      <c r="I406" s="300"/>
      <c r="J406" s="300"/>
      <c r="K406" s="417">
        <f>708.73*31+2000*31</f>
        <v>83970.63</v>
      </c>
      <c r="L406" s="419">
        <f t="shared" si="68"/>
        <v>1007647.56</v>
      </c>
      <c r="M406" s="300">
        <v>31</v>
      </c>
      <c r="N406" s="300"/>
      <c r="O406" s="300"/>
      <c r="P406" s="300"/>
      <c r="Q406" s="300"/>
      <c r="R406" s="300"/>
      <c r="S406" s="300"/>
      <c r="T406" s="300"/>
      <c r="U406" s="300"/>
      <c r="V406" s="416">
        <f t="shared" si="65"/>
        <v>88169.161500000002</v>
      </c>
      <c r="W406" s="334">
        <f t="shared" si="69"/>
        <v>1058029.9380000001</v>
      </c>
    </row>
    <row r="407" spans="1:23">
      <c r="A407" s="313" t="s">
        <v>625</v>
      </c>
      <c r="B407" s="300">
        <v>26</v>
      </c>
      <c r="C407" s="300"/>
      <c r="D407" s="300"/>
      <c r="E407" s="300"/>
      <c r="F407" s="300"/>
      <c r="G407" s="300"/>
      <c r="H407" s="300"/>
      <c r="I407" s="300"/>
      <c r="J407" s="300"/>
      <c r="K407" s="417">
        <f>700.75*26+2000*26</f>
        <v>70219.5</v>
      </c>
      <c r="L407" s="419">
        <f>+K407*12</f>
        <v>842634</v>
      </c>
      <c r="M407" s="300">
        <v>26</v>
      </c>
      <c r="N407" s="300"/>
      <c r="O407" s="300"/>
      <c r="P407" s="300"/>
      <c r="Q407" s="300"/>
      <c r="R407" s="300"/>
      <c r="S407" s="300"/>
      <c r="T407" s="300"/>
      <c r="U407" s="300"/>
      <c r="V407" s="416">
        <f t="shared" si="65"/>
        <v>73730.475000000006</v>
      </c>
      <c r="W407" s="334">
        <f t="shared" si="69"/>
        <v>884765.70000000007</v>
      </c>
    </row>
    <row r="408" spans="1:23" ht="15.75" thickBot="1">
      <c r="A408" s="313" t="s">
        <v>572</v>
      </c>
      <c r="B408" s="300">
        <v>3</v>
      </c>
      <c r="C408" s="300"/>
      <c r="D408" s="300"/>
      <c r="E408" s="300"/>
      <c r="F408" s="300"/>
      <c r="G408" s="300"/>
      <c r="H408" s="300"/>
      <c r="I408" s="300"/>
      <c r="J408" s="300"/>
      <c r="K408" s="417">
        <f>708.73*3+2000*3</f>
        <v>8126.1900000000005</v>
      </c>
      <c r="L408" s="419">
        <f t="shared" si="68"/>
        <v>97514.28</v>
      </c>
      <c r="M408" s="300">
        <v>3</v>
      </c>
      <c r="N408" s="300"/>
      <c r="O408" s="300"/>
      <c r="P408" s="300"/>
      <c r="Q408" s="300"/>
      <c r="R408" s="300"/>
      <c r="S408" s="300"/>
      <c r="T408" s="300"/>
      <c r="U408" s="300"/>
      <c r="V408" s="416">
        <f t="shared" si="65"/>
        <v>8532.4994999999999</v>
      </c>
      <c r="W408" s="334">
        <f t="shared" si="69"/>
        <v>102389.99400000001</v>
      </c>
    </row>
    <row r="409" spans="1:23" ht="15.75" thickBot="1">
      <c r="A409" s="318" t="s">
        <v>573</v>
      </c>
      <c r="B409" s="319">
        <f>SUM(B347:B408)</f>
        <v>1595</v>
      </c>
      <c r="C409" s="319">
        <f>SUM(C349:C408)</f>
        <v>26</v>
      </c>
      <c r="D409" s="319">
        <f>SUM(D347:D408)</f>
        <v>868</v>
      </c>
      <c r="E409" s="319"/>
      <c r="F409" s="319"/>
      <c r="G409" s="319"/>
      <c r="H409" s="319"/>
      <c r="I409" s="319"/>
      <c r="J409" s="319"/>
      <c r="K409" s="414">
        <f>SUM(K347:K408)</f>
        <v>8914922.1699999999</v>
      </c>
      <c r="L409" s="414">
        <f>SUM(L347:L408)</f>
        <v>106979066.03999999</v>
      </c>
      <c r="M409" s="319">
        <f>SUM(M347:M408)</f>
        <v>1595</v>
      </c>
      <c r="N409" s="319">
        <f>SUM(N349:N408)</f>
        <v>26</v>
      </c>
      <c r="O409" s="319">
        <f>SUM(O347:O408)</f>
        <v>868</v>
      </c>
      <c r="P409" s="319"/>
      <c r="Q409" s="319"/>
      <c r="R409" s="319"/>
      <c r="S409" s="319"/>
      <c r="T409" s="319"/>
      <c r="U409" s="319"/>
      <c r="V409" s="414">
        <f>SUM(V347:V408)</f>
        <v>9358452.0834999979</v>
      </c>
      <c r="W409" s="414">
        <f>SUM(W347:W408)</f>
        <v>112133424.35399999</v>
      </c>
    </row>
    <row r="410" spans="1:23">
      <c r="A410" s="304" t="s">
        <v>574</v>
      </c>
      <c r="B410" s="215"/>
      <c r="C410" s="215"/>
      <c r="D410" s="215"/>
      <c r="E410" s="215"/>
      <c r="F410" s="215"/>
      <c r="G410" s="215"/>
      <c r="H410" s="215"/>
      <c r="I410" s="215"/>
      <c r="J410" s="215"/>
      <c r="K410" s="215"/>
      <c r="L410" s="215"/>
      <c r="M410" s="215"/>
      <c r="N410" s="215"/>
      <c r="O410" s="215"/>
      <c r="P410" s="295"/>
      <c r="Q410" s="305"/>
      <c r="R410" s="34"/>
      <c r="S410" s="34"/>
      <c r="T410" s="295"/>
      <c r="U410" s="295"/>
      <c r="V410" s="295"/>
      <c r="W410" s="295"/>
    </row>
    <row r="411" spans="1:23">
      <c r="A411" s="300" t="s">
        <v>575</v>
      </c>
      <c r="B411" s="300"/>
      <c r="C411" s="300"/>
      <c r="D411" s="300"/>
      <c r="E411" s="300"/>
      <c r="F411" s="300"/>
      <c r="G411" s="300"/>
      <c r="H411" s="300"/>
      <c r="I411" s="300"/>
      <c r="J411" s="300"/>
      <c r="K411" s="300"/>
      <c r="L411" s="34"/>
      <c r="M411" s="300"/>
      <c r="N411" s="300"/>
      <c r="O411" s="300"/>
      <c r="P411" s="295"/>
      <c r="Q411" s="305"/>
      <c r="R411" s="34"/>
      <c r="S411" s="34"/>
      <c r="T411" s="34"/>
      <c r="U411" s="34"/>
      <c r="V411" s="295"/>
      <c r="W411" s="295"/>
    </row>
    <row r="414" spans="1:23" ht="15.75">
      <c r="A414" s="296" t="s">
        <v>535</v>
      </c>
      <c r="B414" s="297"/>
      <c r="C414" s="297"/>
      <c r="D414" s="297"/>
      <c r="E414" s="297"/>
      <c r="F414" s="297"/>
      <c r="G414" s="297"/>
      <c r="H414" s="297"/>
      <c r="I414" s="297"/>
      <c r="J414" s="297"/>
      <c r="K414" s="297"/>
      <c r="L414" s="297"/>
      <c r="M414" s="297"/>
      <c r="N414" s="297"/>
      <c r="O414" s="297"/>
      <c r="P414" s="297"/>
      <c r="Q414" s="297"/>
      <c r="R414" s="297"/>
      <c r="S414" s="297"/>
      <c r="T414" s="297"/>
      <c r="U414" s="297"/>
      <c r="V414" s="297"/>
      <c r="W414" s="297"/>
    </row>
    <row r="415" spans="1:23" ht="15.75">
      <c r="A415" s="296" t="s">
        <v>494</v>
      </c>
      <c r="B415" s="297"/>
      <c r="C415" s="297"/>
      <c r="D415" s="297"/>
      <c r="E415" s="297"/>
      <c r="F415" s="297"/>
      <c r="G415" s="297"/>
      <c r="H415" s="297"/>
      <c r="I415" s="297"/>
      <c r="J415" s="297"/>
      <c r="K415" s="297"/>
      <c r="L415" s="297"/>
      <c r="M415" s="297"/>
      <c r="N415" s="297"/>
      <c r="O415" s="297"/>
      <c r="P415" s="297"/>
      <c r="Q415" s="297"/>
      <c r="R415" s="297"/>
      <c r="S415" s="297"/>
      <c r="T415" s="297"/>
      <c r="U415" s="297"/>
      <c r="V415" s="297"/>
      <c r="W415" s="297"/>
    </row>
    <row r="416" spans="1:23" ht="15.75">
      <c r="A416" s="298" t="s">
        <v>536</v>
      </c>
      <c r="B416" s="299"/>
      <c r="C416" s="299"/>
      <c r="D416" s="299"/>
      <c r="E416" s="299"/>
      <c r="F416" s="299"/>
      <c r="G416" s="299"/>
      <c r="H416" s="299"/>
      <c r="I416" s="299"/>
      <c r="J416" s="299"/>
      <c r="K416" s="299"/>
      <c r="L416" s="299"/>
      <c r="M416" s="299"/>
      <c r="N416" s="299"/>
      <c r="O416" s="299"/>
      <c r="P416" s="299"/>
      <c r="Q416" s="299"/>
      <c r="R416" s="299"/>
      <c r="S416" s="299"/>
      <c r="T416" s="299"/>
      <c r="U416" s="299"/>
      <c r="V416" s="299"/>
      <c r="W416" s="299"/>
    </row>
    <row r="417" spans="1:23" ht="15.75" thickBot="1">
      <c r="A417" s="300" t="s">
        <v>718</v>
      </c>
      <c r="B417" s="300"/>
      <c r="C417" s="300"/>
      <c r="D417" s="300"/>
      <c r="E417" s="300"/>
      <c r="F417" s="300"/>
      <c r="G417" s="300"/>
      <c r="H417" s="300"/>
      <c r="I417" s="300"/>
      <c r="J417" s="300"/>
      <c r="K417" s="300"/>
      <c r="L417" s="301"/>
      <c r="M417" s="300"/>
      <c r="N417" s="300"/>
      <c r="O417" s="300"/>
      <c r="P417" s="300"/>
      <c r="Q417" s="300"/>
      <c r="R417" s="300"/>
      <c r="S417" s="300"/>
      <c r="T417" s="300"/>
      <c r="U417" s="300"/>
      <c r="V417" s="300"/>
      <c r="W417" s="301"/>
    </row>
    <row r="418" spans="1:23">
      <c r="A418" s="306" t="s">
        <v>538</v>
      </c>
      <c r="B418" s="1320" t="s">
        <v>539</v>
      </c>
      <c r="C418" s="1316"/>
      <c r="D418" s="1316"/>
      <c r="E418" s="1316"/>
      <c r="F418" s="1316"/>
      <c r="G418" s="1316"/>
      <c r="H418" s="1316"/>
      <c r="I418" s="1316"/>
      <c r="J418" s="1316"/>
      <c r="K418" s="1316"/>
      <c r="L418" s="1312"/>
      <c r="M418" s="1320" t="s">
        <v>540</v>
      </c>
      <c r="N418" s="1316"/>
      <c r="O418" s="1316"/>
      <c r="P418" s="1316"/>
      <c r="Q418" s="1316"/>
      <c r="R418" s="1316"/>
      <c r="S418" s="1316"/>
      <c r="T418" s="1316"/>
      <c r="U418" s="1316"/>
      <c r="V418" s="1316"/>
      <c r="W418" s="1312"/>
    </row>
    <row r="419" spans="1:23" ht="60.75">
      <c r="A419" s="307" t="s">
        <v>541</v>
      </c>
      <c r="B419" s="308" t="s">
        <v>542</v>
      </c>
      <c r="C419" s="308" t="s">
        <v>543</v>
      </c>
      <c r="D419" s="309" t="s">
        <v>544</v>
      </c>
      <c r="E419" s="309" t="s">
        <v>545</v>
      </c>
      <c r="F419" s="309" t="s">
        <v>546</v>
      </c>
      <c r="G419" s="309" t="s">
        <v>547</v>
      </c>
      <c r="H419" s="309" t="s">
        <v>548</v>
      </c>
      <c r="I419" s="309" t="s">
        <v>549</v>
      </c>
      <c r="J419" s="310" t="s">
        <v>550</v>
      </c>
      <c r="K419" s="311" t="s">
        <v>551</v>
      </c>
      <c r="L419" s="312" t="s">
        <v>552</v>
      </c>
      <c r="M419" s="308" t="s">
        <v>542</v>
      </c>
      <c r="N419" s="308" t="s">
        <v>543</v>
      </c>
      <c r="O419" s="309" t="s">
        <v>544</v>
      </c>
      <c r="P419" s="309" t="s">
        <v>545</v>
      </c>
      <c r="Q419" s="309" t="s">
        <v>546</v>
      </c>
      <c r="R419" s="309" t="s">
        <v>547</v>
      </c>
      <c r="S419" s="309" t="s">
        <v>548</v>
      </c>
      <c r="T419" s="309" t="s">
        <v>549</v>
      </c>
      <c r="U419" s="310" t="s">
        <v>550</v>
      </c>
      <c r="V419" s="311" t="s">
        <v>551</v>
      </c>
      <c r="W419" s="312" t="s">
        <v>553</v>
      </c>
    </row>
    <row r="420" spans="1:23">
      <c r="A420" s="313"/>
      <c r="B420" s="300"/>
      <c r="C420" s="300"/>
      <c r="D420" s="300"/>
      <c r="E420" s="300"/>
      <c r="F420" s="300"/>
      <c r="G420" s="300"/>
      <c r="H420" s="300"/>
      <c r="I420" s="300"/>
      <c r="J420" s="300"/>
      <c r="K420" s="300"/>
      <c r="L420" s="314"/>
      <c r="M420" s="300"/>
      <c r="N420" s="300"/>
      <c r="O420" s="300"/>
      <c r="P420" s="300"/>
      <c r="Q420" s="300"/>
      <c r="R420" s="300"/>
      <c r="S420" s="300"/>
      <c r="T420" s="300"/>
      <c r="U420" s="300"/>
      <c r="V420" s="300"/>
      <c r="W420" s="314"/>
    </row>
    <row r="421" spans="1:23">
      <c r="A421" s="421" t="s">
        <v>554</v>
      </c>
      <c r="B421" s="422"/>
      <c r="C421" s="422"/>
      <c r="D421" s="422"/>
      <c r="E421" s="422"/>
      <c r="F421" s="422"/>
      <c r="G421" s="422"/>
      <c r="H421" s="422"/>
      <c r="I421" s="422"/>
      <c r="J421" s="422"/>
      <c r="K421" s="422"/>
      <c r="L421" s="423"/>
      <c r="M421" s="422"/>
      <c r="N421" s="422"/>
      <c r="O421" s="422"/>
      <c r="P421" s="422"/>
      <c r="Q421" s="422"/>
      <c r="R421" s="422"/>
      <c r="S421" s="422"/>
      <c r="T421" s="422"/>
      <c r="U421" s="422"/>
      <c r="V421" s="422"/>
      <c r="W421" s="423"/>
    </row>
    <row r="422" spans="1:23">
      <c r="A422" s="424" t="s">
        <v>555</v>
      </c>
      <c r="B422" s="425">
        <v>2</v>
      </c>
      <c r="C422" s="426"/>
      <c r="D422" s="426"/>
      <c r="E422" s="426"/>
      <c r="F422" s="426"/>
      <c r="G422" s="426"/>
      <c r="H422" s="426"/>
      <c r="I422" s="426"/>
      <c r="J422" s="426"/>
      <c r="K422" s="427">
        <v>27300</v>
      </c>
      <c r="L422" s="428">
        <f>K422*12+2000</f>
        <v>329600</v>
      </c>
      <c r="M422" s="425">
        <v>2</v>
      </c>
      <c r="N422" s="426"/>
      <c r="O422" s="426"/>
      <c r="P422" s="426"/>
      <c r="Q422" s="426"/>
      <c r="R422" s="426"/>
      <c r="S422" s="426"/>
      <c r="T422" s="426"/>
      <c r="U422" s="426"/>
      <c r="V422" s="427">
        <v>27300</v>
      </c>
      <c r="W422" s="428">
        <f>V422*12+2000</f>
        <v>329600</v>
      </c>
    </row>
    <row r="423" spans="1:23">
      <c r="A423" s="424" t="s">
        <v>715</v>
      </c>
      <c r="B423" s="425">
        <v>1</v>
      </c>
      <c r="C423" s="426"/>
      <c r="D423" s="426"/>
      <c r="E423" s="426"/>
      <c r="F423" s="426"/>
      <c r="G423" s="426"/>
      <c r="H423" s="426"/>
      <c r="I423" s="426"/>
      <c r="J423" s="426"/>
      <c r="K423" s="427">
        <v>1078.26</v>
      </c>
      <c r="L423" s="429">
        <f>K423*12+1000</f>
        <v>13939.119999999999</v>
      </c>
      <c r="M423" s="425">
        <v>1</v>
      </c>
      <c r="N423" s="426"/>
      <c r="O423" s="426"/>
      <c r="P423" s="426"/>
      <c r="Q423" s="426"/>
      <c r="R423" s="426"/>
      <c r="S423" s="426"/>
      <c r="T423" s="426"/>
      <c r="U423" s="426"/>
      <c r="V423" s="427">
        <v>1078.26</v>
      </c>
      <c r="W423" s="429">
        <f>V423*12+1000</f>
        <v>13939.119999999999</v>
      </c>
    </row>
    <row r="424" spans="1:23">
      <c r="A424" s="424" t="s">
        <v>716</v>
      </c>
      <c r="B424" s="425">
        <v>1</v>
      </c>
      <c r="C424" s="426"/>
      <c r="D424" s="426"/>
      <c r="E424" s="426"/>
      <c r="F424" s="426"/>
      <c r="G424" s="426"/>
      <c r="H424" s="426"/>
      <c r="I424" s="426"/>
      <c r="J424" s="426"/>
      <c r="K424" s="427">
        <v>1159.1600000000001</v>
      </c>
      <c r="L424" s="429">
        <f>K424*12+1000</f>
        <v>14909.920000000002</v>
      </c>
      <c r="M424" s="425">
        <v>1</v>
      </c>
      <c r="N424" s="426"/>
      <c r="O424" s="426"/>
      <c r="P424" s="426"/>
      <c r="Q424" s="426"/>
      <c r="R424" s="426"/>
      <c r="S424" s="426"/>
      <c r="T424" s="426"/>
      <c r="U424" s="426"/>
      <c r="V424" s="427">
        <v>1159.1600000000001</v>
      </c>
      <c r="W424" s="429">
        <f>V424*12+1000</f>
        <v>14909.920000000002</v>
      </c>
    </row>
    <row r="425" spans="1:23">
      <c r="A425" s="424" t="s">
        <v>556</v>
      </c>
      <c r="B425" s="425">
        <v>29</v>
      </c>
      <c r="C425" s="426"/>
      <c r="D425" s="426"/>
      <c r="E425" s="426"/>
      <c r="F425" s="426"/>
      <c r="G425" s="426"/>
      <c r="H425" s="426"/>
      <c r="I425" s="426"/>
      <c r="J425" s="426"/>
      <c r="K425" s="427">
        <f>1075.2*29</f>
        <v>31180.800000000003</v>
      </c>
      <c r="L425" s="428">
        <f>K425*12+29000</f>
        <v>403169.60000000003</v>
      </c>
      <c r="M425" s="425">
        <v>29</v>
      </c>
      <c r="N425" s="426"/>
      <c r="O425" s="426"/>
      <c r="P425" s="426"/>
      <c r="Q425" s="426"/>
      <c r="R425" s="426"/>
      <c r="S425" s="426"/>
      <c r="T425" s="426"/>
      <c r="U425" s="426"/>
      <c r="V425" s="427">
        <f>1075.2*29</f>
        <v>31180.800000000003</v>
      </c>
      <c r="W425" s="428">
        <f>V425*12+29000</f>
        <v>403169.60000000003</v>
      </c>
    </row>
    <row r="426" spans="1:23">
      <c r="A426" s="424" t="s">
        <v>557</v>
      </c>
      <c r="B426" s="425">
        <v>33</v>
      </c>
      <c r="C426" s="426"/>
      <c r="D426" s="426"/>
      <c r="E426" s="426"/>
      <c r="F426" s="426"/>
      <c r="G426" s="426"/>
      <c r="H426" s="426"/>
      <c r="I426" s="426"/>
      <c r="J426" s="426"/>
      <c r="K426" s="427">
        <f>1024.17*33</f>
        <v>33797.61</v>
      </c>
      <c r="L426" s="429">
        <f>K426*12+33000</f>
        <v>438571.32</v>
      </c>
      <c r="M426" s="425">
        <v>33</v>
      </c>
      <c r="N426" s="426"/>
      <c r="O426" s="426"/>
      <c r="P426" s="426"/>
      <c r="Q426" s="426"/>
      <c r="R426" s="426"/>
      <c r="S426" s="426"/>
      <c r="T426" s="426"/>
      <c r="U426" s="426"/>
      <c r="V426" s="427">
        <f>1024.17*33</f>
        <v>33797.61</v>
      </c>
      <c r="W426" s="429">
        <f>V426*12+33000</f>
        <v>438571.32</v>
      </c>
    </row>
    <row r="427" spans="1:23">
      <c r="A427" s="424" t="s">
        <v>558</v>
      </c>
      <c r="B427" s="425">
        <v>90</v>
      </c>
      <c r="C427" s="426"/>
      <c r="D427" s="426"/>
      <c r="E427" s="426"/>
      <c r="F427" s="426"/>
      <c r="G427" s="426"/>
      <c r="H427" s="426"/>
      <c r="I427" s="426"/>
      <c r="J427" s="426"/>
      <c r="K427" s="427">
        <f>984.07*90</f>
        <v>88566.3</v>
      </c>
      <c r="L427" s="428">
        <f>K427*12+90000</f>
        <v>1152795.6000000001</v>
      </c>
      <c r="M427" s="425">
        <v>90</v>
      </c>
      <c r="N427" s="426"/>
      <c r="O427" s="426"/>
      <c r="P427" s="426"/>
      <c r="Q427" s="426"/>
      <c r="R427" s="426"/>
      <c r="S427" s="426"/>
      <c r="T427" s="426"/>
      <c r="U427" s="426"/>
      <c r="V427" s="427">
        <f>984.07*90</f>
        <v>88566.3</v>
      </c>
      <c r="W427" s="428">
        <f>V427*12+90000</f>
        <v>1152795.6000000001</v>
      </c>
    </row>
    <row r="428" spans="1:23">
      <c r="A428" s="424" t="s">
        <v>559</v>
      </c>
      <c r="B428" s="425">
        <v>35</v>
      </c>
      <c r="C428" s="426"/>
      <c r="D428" s="426"/>
      <c r="E428" s="426"/>
      <c r="F428" s="426"/>
      <c r="G428" s="426"/>
      <c r="H428" s="426"/>
      <c r="I428" s="426"/>
      <c r="J428" s="426"/>
      <c r="K428" s="427">
        <f>916.35*35</f>
        <v>32072.25</v>
      </c>
      <c r="L428" s="428">
        <f>K428*12+35000</f>
        <v>419867</v>
      </c>
      <c r="M428" s="425">
        <v>35</v>
      </c>
      <c r="N428" s="426"/>
      <c r="O428" s="426"/>
      <c r="P428" s="426"/>
      <c r="Q428" s="426"/>
      <c r="R428" s="426"/>
      <c r="S428" s="426"/>
      <c r="T428" s="426"/>
      <c r="U428" s="426"/>
      <c r="V428" s="427">
        <f>916.35*35</f>
        <v>32072.25</v>
      </c>
      <c r="W428" s="428">
        <f>V428*12+35000</f>
        <v>419867</v>
      </c>
    </row>
    <row r="429" spans="1:23">
      <c r="A429" s="424" t="s">
        <v>560</v>
      </c>
      <c r="B429" s="425">
        <v>17</v>
      </c>
      <c r="C429" s="426"/>
      <c r="D429" s="426"/>
      <c r="E429" s="426"/>
      <c r="F429" s="426"/>
      <c r="G429" s="426"/>
      <c r="H429" s="426"/>
      <c r="I429" s="426"/>
      <c r="J429" s="426"/>
      <c r="K429" s="427">
        <f>899.1*17</f>
        <v>15284.7</v>
      </c>
      <c r="L429" s="428">
        <f>K429*12+17000</f>
        <v>200416.40000000002</v>
      </c>
      <c r="M429" s="425">
        <v>17</v>
      </c>
      <c r="N429" s="426"/>
      <c r="O429" s="426"/>
      <c r="P429" s="426"/>
      <c r="Q429" s="426"/>
      <c r="R429" s="426"/>
      <c r="S429" s="426"/>
      <c r="T429" s="426"/>
      <c r="U429" s="426"/>
      <c r="V429" s="427">
        <f>899.1*17</f>
        <v>15284.7</v>
      </c>
      <c r="W429" s="428">
        <f>V429*12+17000</f>
        <v>200416.40000000002</v>
      </c>
    </row>
    <row r="430" spans="1:23">
      <c r="A430" s="317"/>
      <c r="B430" s="425"/>
      <c r="C430" s="426"/>
      <c r="D430" s="426"/>
      <c r="E430" s="426"/>
      <c r="F430" s="426"/>
      <c r="G430" s="426"/>
      <c r="H430" s="426"/>
      <c r="I430" s="426"/>
      <c r="J430" s="426"/>
      <c r="K430" s="426"/>
      <c r="L430" s="430"/>
      <c r="M430" s="425"/>
      <c r="N430" s="426"/>
      <c r="O430" s="426"/>
      <c r="P430" s="426"/>
      <c r="Q430" s="426"/>
      <c r="R430" s="426"/>
      <c r="S430" s="426"/>
      <c r="T430" s="426"/>
      <c r="U430" s="426"/>
      <c r="V430" s="426"/>
      <c r="W430" s="429"/>
    </row>
    <row r="431" spans="1:23">
      <c r="A431" s="421" t="s">
        <v>561</v>
      </c>
      <c r="B431" s="431"/>
      <c r="C431" s="422"/>
      <c r="D431" s="422"/>
      <c r="E431" s="422"/>
      <c r="F431" s="422"/>
      <c r="G431" s="422"/>
      <c r="H431" s="422"/>
      <c r="I431" s="422"/>
      <c r="J431" s="422"/>
      <c r="K431" s="422"/>
      <c r="L431" s="423"/>
      <c r="M431" s="431"/>
      <c r="N431" s="422"/>
      <c r="O431" s="422"/>
      <c r="P431" s="422"/>
      <c r="Q431" s="422"/>
      <c r="R431" s="422"/>
      <c r="S431" s="422"/>
      <c r="T431" s="422"/>
      <c r="U431" s="422"/>
      <c r="V431" s="422"/>
      <c r="W431" s="423"/>
    </row>
    <row r="432" spans="1:23">
      <c r="A432" s="424" t="s">
        <v>562</v>
      </c>
      <c r="B432" s="425">
        <v>22</v>
      </c>
      <c r="C432" s="426"/>
      <c r="D432" s="426"/>
      <c r="E432" s="426"/>
      <c r="F432" s="426"/>
      <c r="G432" s="426"/>
      <c r="H432" s="426"/>
      <c r="I432" s="426"/>
      <c r="J432" s="426"/>
      <c r="K432" s="427">
        <f>698.59*22</f>
        <v>15368.980000000001</v>
      </c>
      <c r="L432" s="429">
        <f>K432*12+22000</f>
        <v>206427.76</v>
      </c>
      <c r="M432" s="425">
        <v>22</v>
      </c>
      <c r="N432" s="426"/>
      <c r="O432" s="426"/>
      <c r="P432" s="426"/>
      <c r="Q432" s="426"/>
      <c r="R432" s="426"/>
      <c r="S432" s="426"/>
      <c r="T432" s="426"/>
      <c r="U432" s="426"/>
      <c r="V432" s="427">
        <f>698.59*22</f>
        <v>15368.980000000001</v>
      </c>
      <c r="W432" s="429">
        <f>V432*12+22000</f>
        <v>206427.76</v>
      </c>
    </row>
    <row r="433" spans="1:23">
      <c r="A433" s="424" t="s">
        <v>717</v>
      </c>
      <c r="B433" s="425">
        <v>16</v>
      </c>
      <c r="C433" s="426"/>
      <c r="D433" s="426"/>
      <c r="E433" s="426"/>
      <c r="F433" s="426"/>
      <c r="G433" s="426"/>
      <c r="H433" s="426"/>
      <c r="I433" s="426"/>
      <c r="J433" s="426"/>
      <c r="K433" s="427">
        <f>694.92*16</f>
        <v>11118.72</v>
      </c>
      <c r="L433" s="429">
        <f>K433*12+16000</f>
        <v>149424.63999999998</v>
      </c>
      <c r="M433" s="425">
        <v>16</v>
      </c>
      <c r="N433" s="426"/>
      <c r="O433" s="426"/>
      <c r="P433" s="426"/>
      <c r="Q433" s="426"/>
      <c r="R433" s="426"/>
      <c r="S433" s="426"/>
      <c r="T433" s="426"/>
      <c r="U433" s="426"/>
      <c r="V433" s="427">
        <f>694.92*16</f>
        <v>11118.72</v>
      </c>
      <c r="W433" s="429">
        <f>V433*12+16000</f>
        <v>149424.63999999998</v>
      </c>
    </row>
    <row r="434" spans="1:23">
      <c r="A434" s="424" t="s">
        <v>580</v>
      </c>
      <c r="B434" s="425">
        <v>30</v>
      </c>
      <c r="C434" s="426"/>
      <c r="D434" s="426"/>
      <c r="E434" s="426"/>
      <c r="F434" s="426"/>
      <c r="G434" s="426"/>
      <c r="H434" s="426"/>
      <c r="I434" s="426"/>
      <c r="J434" s="426"/>
      <c r="K434" s="427">
        <f>651.77*30</f>
        <v>19553.099999999999</v>
      </c>
      <c r="L434" s="428">
        <f>K434*12+30000</f>
        <v>264637.19999999995</v>
      </c>
      <c r="M434" s="425">
        <v>30</v>
      </c>
      <c r="N434" s="426"/>
      <c r="O434" s="426"/>
      <c r="P434" s="426"/>
      <c r="Q434" s="426"/>
      <c r="R434" s="426"/>
      <c r="S434" s="426"/>
      <c r="T434" s="426"/>
      <c r="U434" s="426"/>
      <c r="V434" s="427">
        <f>651.77*30</f>
        <v>19553.099999999999</v>
      </c>
      <c r="W434" s="428">
        <f>V434*12+30000</f>
        <v>264637.19999999995</v>
      </c>
    </row>
    <row r="435" spans="1:23">
      <c r="A435" s="424" t="s">
        <v>623</v>
      </c>
      <c r="B435" s="425"/>
      <c r="C435" s="426"/>
      <c r="D435" s="426"/>
      <c r="E435" s="426"/>
      <c r="F435" s="426"/>
      <c r="G435" s="426"/>
      <c r="H435" s="426"/>
      <c r="I435" s="426"/>
      <c r="J435" s="426"/>
      <c r="K435" s="426"/>
      <c r="L435" s="429"/>
      <c r="M435" s="425"/>
      <c r="N435" s="426"/>
      <c r="O435" s="426"/>
      <c r="P435" s="426"/>
      <c r="Q435" s="426"/>
      <c r="R435" s="426"/>
      <c r="S435" s="426"/>
      <c r="T435" s="426"/>
      <c r="U435" s="426"/>
      <c r="V435" s="426"/>
      <c r="W435" s="429"/>
    </row>
    <row r="436" spans="1:23">
      <c r="A436" s="424" t="s">
        <v>564</v>
      </c>
      <c r="B436" s="425"/>
      <c r="C436" s="426"/>
      <c r="D436" s="426"/>
      <c r="E436" s="426"/>
      <c r="F436" s="426"/>
      <c r="G436" s="426"/>
      <c r="H436" s="426"/>
      <c r="I436" s="426"/>
      <c r="J436" s="426"/>
      <c r="K436" s="426"/>
      <c r="L436" s="429"/>
      <c r="M436" s="425"/>
      <c r="N436" s="426"/>
      <c r="O436" s="426"/>
      <c r="P436" s="426"/>
      <c r="Q436" s="426"/>
      <c r="R436" s="426"/>
      <c r="S436" s="426"/>
      <c r="T436" s="426"/>
      <c r="U436" s="426"/>
      <c r="V436" s="426"/>
      <c r="W436" s="429"/>
    </row>
    <row r="437" spans="1:23">
      <c r="A437" s="421" t="s">
        <v>565</v>
      </c>
      <c r="B437" s="431"/>
      <c r="C437" s="422"/>
      <c r="D437" s="422"/>
      <c r="E437" s="422"/>
      <c r="F437" s="422"/>
      <c r="G437" s="422"/>
      <c r="H437" s="422"/>
      <c r="I437" s="422"/>
      <c r="J437" s="422"/>
      <c r="K437" s="422"/>
      <c r="L437" s="423"/>
      <c r="M437" s="431"/>
      <c r="N437" s="422"/>
      <c r="O437" s="422"/>
      <c r="P437" s="422"/>
      <c r="Q437" s="422"/>
      <c r="R437" s="422"/>
      <c r="S437" s="422"/>
      <c r="T437" s="422"/>
      <c r="U437" s="422"/>
      <c r="V437" s="422"/>
      <c r="W437" s="423"/>
    </row>
    <row r="438" spans="1:23">
      <c r="A438" s="424" t="s">
        <v>566</v>
      </c>
      <c r="B438" s="425">
        <v>217</v>
      </c>
      <c r="C438" s="426"/>
      <c r="D438" s="426"/>
      <c r="E438" s="426"/>
      <c r="F438" s="426"/>
      <c r="G438" s="426"/>
      <c r="H438" s="426"/>
      <c r="I438" s="426"/>
      <c r="J438" s="426"/>
      <c r="K438" s="427">
        <f>633.51*217</f>
        <v>137471.66999999998</v>
      </c>
      <c r="L438" s="429">
        <f>K438*12+217000</f>
        <v>1866660.0399999998</v>
      </c>
      <c r="M438" s="425">
        <v>217</v>
      </c>
      <c r="N438" s="426"/>
      <c r="O438" s="426"/>
      <c r="P438" s="426"/>
      <c r="Q438" s="426"/>
      <c r="R438" s="426"/>
      <c r="S438" s="426"/>
      <c r="T438" s="426"/>
      <c r="U438" s="426"/>
      <c r="V438" s="427">
        <f>633.51*217</f>
        <v>137471.66999999998</v>
      </c>
      <c r="W438" s="429">
        <f>V438*12+217000</f>
        <v>1866660.0399999998</v>
      </c>
    </row>
    <row r="439" spans="1:23">
      <c r="A439" s="424" t="s">
        <v>567</v>
      </c>
      <c r="B439" s="425">
        <v>68</v>
      </c>
      <c r="C439" s="426"/>
      <c r="D439" s="426"/>
      <c r="E439" s="426"/>
      <c r="F439" s="426"/>
      <c r="G439" s="426"/>
      <c r="H439" s="426"/>
      <c r="I439" s="426"/>
      <c r="J439" s="426"/>
      <c r="K439" s="426">
        <f>593.17*68</f>
        <v>40335.56</v>
      </c>
      <c r="L439" s="429">
        <f>K439*12+68000</f>
        <v>552026.72</v>
      </c>
      <c r="M439" s="425">
        <v>68</v>
      </c>
      <c r="N439" s="426"/>
      <c r="O439" s="426"/>
      <c r="P439" s="426"/>
      <c r="Q439" s="426"/>
      <c r="R439" s="426"/>
      <c r="S439" s="426"/>
      <c r="T439" s="426"/>
      <c r="U439" s="426"/>
      <c r="V439" s="426">
        <f>593.17*68</f>
        <v>40335.56</v>
      </c>
      <c r="W439" s="429">
        <f>V439*12+68000</f>
        <v>552026.72</v>
      </c>
    </row>
    <row r="440" spans="1:23">
      <c r="A440" s="424" t="s">
        <v>581</v>
      </c>
      <c r="B440" s="425">
        <v>13</v>
      </c>
      <c r="C440" s="426"/>
      <c r="D440" s="426"/>
      <c r="E440" s="426"/>
      <c r="F440" s="426"/>
      <c r="G440" s="426"/>
      <c r="H440" s="426"/>
      <c r="I440" s="426"/>
      <c r="J440" s="426"/>
      <c r="K440" s="426">
        <f>583.28*13</f>
        <v>7582.6399999999994</v>
      </c>
      <c r="L440" s="429">
        <f>K440*12+13000</f>
        <v>103991.67999999999</v>
      </c>
      <c r="M440" s="425">
        <v>13</v>
      </c>
      <c r="N440" s="426"/>
      <c r="O440" s="426"/>
      <c r="P440" s="426"/>
      <c r="Q440" s="426"/>
      <c r="R440" s="426"/>
      <c r="S440" s="426"/>
      <c r="T440" s="426"/>
      <c r="U440" s="426"/>
      <c r="V440" s="426">
        <f>583.28*13</f>
        <v>7582.6399999999994</v>
      </c>
      <c r="W440" s="429">
        <f>V440*12+13000</f>
        <v>103991.67999999999</v>
      </c>
    </row>
    <row r="441" spans="1:23">
      <c r="A441" s="424" t="s">
        <v>582</v>
      </c>
      <c r="B441" s="425"/>
      <c r="C441" s="426"/>
      <c r="D441" s="426"/>
      <c r="E441" s="426"/>
      <c r="F441" s="426"/>
      <c r="G441" s="426"/>
      <c r="H441" s="426"/>
      <c r="I441" s="426"/>
      <c r="J441" s="426"/>
      <c r="K441" s="426"/>
      <c r="L441" s="429"/>
      <c r="M441" s="425"/>
      <c r="N441" s="426"/>
      <c r="O441" s="426"/>
      <c r="P441" s="426"/>
      <c r="Q441" s="426"/>
      <c r="R441" s="426"/>
      <c r="S441" s="426"/>
      <c r="T441" s="426"/>
      <c r="U441" s="426"/>
      <c r="V441" s="426"/>
      <c r="W441" s="429"/>
    </row>
    <row r="442" spans="1:23">
      <c r="A442" s="424" t="s">
        <v>568</v>
      </c>
      <c r="B442" s="425"/>
      <c r="C442" s="426"/>
      <c r="D442" s="426"/>
      <c r="E442" s="426"/>
      <c r="F442" s="426"/>
      <c r="G442" s="426"/>
      <c r="H442" s="426"/>
      <c r="I442" s="426"/>
      <c r="J442" s="426"/>
      <c r="K442" s="426"/>
      <c r="L442" s="429"/>
      <c r="M442" s="425"/>
      <c r="N442" s="426"/>
      <c r="O442" s="426"/>
      <c r="P442" s="426"/>
      <c r="Q442" s="426"/>
      <c r="R442" s="426"/>
      <c r="S442" s="426"/>
      <c r="T442" s="426"/>
      <c r="U442" s="426"/>
      <c r="V442" s="426"/>
      <c r="W442" s="429"/>
    </row>
    <row r="443" spans="1:23">
      <c r="A443" s="421" t="s">
        <v>569</v>
      </c>
      <c r="B443" s="431"/>
      <c r="C443" s="422"/>
      <c r="D443" s="422"/>
      <c r="E443" s="422"/>
      <c r="F443" s="422"/>
      <c r="G443" s="422"/>
      <c r="H443" s="422"/>
      <c r="I443" s="422"/>
      <c r="J443" s="422"/>
      <c r="K443" s="422"/>
      <c r="L443" s="423"/>
      <c r="M443" s="431"/>
      <c r="N443" s="422"/>
      <c r="O443" s="422"/>
      <c r="P443" s="422"/>
      <c r="Q443" s="422"/>
      <c r="R443" s="422"/>
      <c r="S443" s="422"/>
      <c r="T443" s="422"/>
      <c r="U443" s="422"/>
      <c r="V443" s="422"/>
      <c r="W443" s="423"/>
    </row>
    <row r="444" spans="1:23">
      <c r="A444" s="424" t="s">
        <v>570</v>
      </c>
      <c r="B444" s="425">
        <v>83</v>
      </c>
      <c r="C444" s="426"/>
      <c r="D444" s="426"/>
      <c r="E444" s="426"/>
      <c r="F444" s="426"/>
      <c r="G444" s="426"/>
      <c r="H444" s="426"/>
      <c r="I444" s="426"/>
      <c r="J444" s="426"/>
      <c r="K444" s="426">
        <f>551.68*83</f>
        <v>45789.439999999995</v>
      </c>
      <c r="L444" s="429">
        <f>K444*12+83000</f>
        <v>632473.27999999991</v>
      </c>
      <c r="M444" s="425">
        <v>83</v>
      </c>
      <c r="N444" s="426"/>
      <c r="O444" s="426"/>
      <c r="P444" s="426"/>
      <c r="Q444" s="426"/>
      <c r="R444" s="426"/>
      <c r="S444" s="426"/>
      <c r="T444" s="426"/>
      <c r="U444" s="426"/>
      <c r="V444" s="426">
        <f>551.68*83</f>
        <v>45789.439999999995</v>
      </c>
      <c r="W444" s="429">
        <f>V444*12+83000</f>
        <v>632473.27999999991</v>
      </c>
    </row>
    <row r="445" spans="1:23">
      <c r="A445" s="424" t="s">
        <v>584</v>
      </c>
      <c r="B445" s="425"/>
      <c r="C445" s="426"/>
      <c r="D445" s="426"/>
      <c r="E445" s="426"/>
      <c r="F445" s="426"/>
      <c r="G445" s="426"/>
      <c r="H445" s="426"/>
      <c r="I445" s="426"/>
      <c r="J445" s="426"/>
      <c r="K445" s="426"/>
      <c r="L445" s="429"/>
      <c r="M445" s="425"/>
      <c r="N445" s="426"/>
      <c r="O445" s="426"/>
      <c r="P445" s="426"/>
      <c r="Q445" s="426"/>
      <c r="R445" s="426"/>
      <c r="S445" s="426"/>
      <c r="T445" s="426"/>
      <c r="U445" s="426"/>
      <c r="V445" s="426"/>
      <c r="W445" s="429"/>
    </row>
    <row r="446" spans="1:23">
      <c r="A446" s="424" t="s">
        <v>625</v>
      </c>
      <c r="B446" s="425"/>
      <c r="C446" s="426"/>
      <c r="D446" s="426"/>
      <c r="E446" s="426"/>
      <c r="F446" s="426"/>
      <c r="G446" s="426"/>
      <c r="H446" s="426"/>
      <c r="I446" s="426"/>
      <c r="J446" s="426"/>
      <c r="K446" s="426"/>
      <c r="L446" s="429"/>
      <c r="M446" s="425"/>
      <c r="N446" s="426"/>
      <c r="O446" s="426"/>
      <c r="P446" s="426"/>
      <c r="Q446" s="426"/>
      <c r="R446" s="426"/>
      <c r="S446" s="426"/>
      <c r="T446" s="426"/>
      <c r="U446" s="426"/>
      <c r="V446" s="426"/>
      <c r="W446" s="429"/>
    </row>
    <row r="447" spans="1:23">
      <c r="A447" s="424" t="s">
        <v>585</v>
      </c>
      <c r="B447" s="425"/>
      <c r="C447" s="426"/>
      <c r="D447" s="426"/>
      <c r="E447" s="426"/>
      <c r="F447" s="426"/>
      <c r="G447" s="426"/>
      <c r="H447" s="426"/>
      <c r="I447" s="426"/>
      <c r="J447" s="426"/>
      <c r="K447" s="426"/>
      <c r="L447" s="429"/>
      <c r="M447" s="425"/>
      <c r="N447" s="426"/>
      <c r="O447" s="426"/>
      <c r="P447" s="426"/>
      <c r="Q447" s="426"/>
      <c r="R447" s="426"/>
      <c r="S447" s="426"/>
      <c r="T447" s="426"/>
      <c r="U447" s="426"/>
      <c r="V447" s="426"/>
      <c r="W447" s="429"/>
    </row>
    <row r="448" spans="1:23">
      <c r="A448" s="424" t="s">
        <v>572</v>
      </c>
      <c r="B448" s="425"/>
      <c r="C448" s="426"/>
      <c r="D448" s="426"/>
      <c r="E448" s="426"/>
      <c r="F448" s="426"/>
      <c r="G448" s="426"/>
      <c r="H448" s="426"/>
      <c r="I448" s="426"/>
      <c r="J448" s="426"/>
      <c r="K448" s="426"/>
      <c r="L448" s="429"/>
      <c r="M448" s="425"/>
      <c r="N448" s="426"/>
      <c r="O448" s="426"/>
      <c r="P448" s="426"/>
      <c r="Q448" s="426"/>
      <c r="R448" s="426"/>
      <c r="S448" s="426"/>
      <c r="T448" s="426"/>
      <c r="U448" s="426"/>
      <c r="V448" s="426"/>
      <c r="W448" s="429"/>
    </row>
    <row r="449" spans="1:23">
      <c r="A449" s="421" t="s">
        <v>620</v>
      </c>
      <c r="B449" s="431"/>
      <c r="C449" s="422"/>
      <c r="D449" s="422"/>
      <c r="E449" s="422"/>
      <c r="F449" s="422"/>
      <c r="G449" s="422"/>
      <c r="H449" s="422"/>
      <c r="I449" s="422"/>
      <c r="J449" s="422"/>
      <c r="K449" s="422"/>
      <c r="L449" s="423"/>
      <c r="M449" s="431"/>
      <c r="N449" s="422"/>
      <c r="O449" s="422"/>
      <c r="P449" s="422"/>
      <c r="Q449" s="422"/>
      <c r="R449" s="422"/>
      <c r="S449" s="422"/>
      <c r="T449" s="422"/>
      <c r="U449" s="422"/>
      <c r="V449" s="422"/>
      <c r="W449" s="423"/>
    </row>
    <row r="450" spans="1:23">
      <c r="A450" s="432" t="s">
        <v>620</v>
      </c>
      <c r="B450" s="433">
        <v>772</v>
      </c>
      <c r="C450" s="434"/>
      <c r="D450" s="434"/>
      <c r="E450" s="434"/>
      <c r="F450" s="434"/>
      <c r="G450" s="434"/>
      <c r="H450" s="434"/>
      <c r="I450" s="434"/>
      <c r="J450" s="434"/>
      <c r="K450" s="434">
        <v>1483440.99</v>
      </c>
      <c r="L450" s="429">
        <f>K450*12+463200</f>
        <v>18264491.879999999</v>
      </c>
      <c r="M450" s="433">
        <v>772</v>
      </c>
      <c r="N450" s="434"/>
      <c r="O450" s="434"/>
      <c r="P450" s="434"/>
      <c r="Q450" s="434"/>
      <c r="R450" s="434"/>
      <c r="S450" s="434"/>
      <c r="T450" s="434"/>
      <c r="U450" s="434"/>
      <c r="V450" s="434">
        <v>1483440.99</v>
      </c>
      <c r="W450" s="435">
        <v>18264491.879999999</v>
      </c>
    </row>
    <row r="451" spans="1:23" ht="15.75" thickBot="1">
      <c r="A451" s="424"/>
      <c r="B451" s="425"/>
      <c r="C451" s="426"/>
      <c r="D451" s="426"/>
      <c r="E451" s="426"/>
      <c r="F451" s="426"/>
      <c r="G451" s="426"/>
      <c r="H451" s="426"/>
      <c r="I451" s="426"/>
      <c r="J451" s="426"/>
      <c r="K451" s="426"/>
      <c r="L451" s="429"/>
      <c r="M451" s="425"/>
      <c r="N451" s="426"/>
      <c r="O451" s="426"/>
      <c r="P451" s="426"/>
      <c r="Q451" s="426"/>
      <c r="R451" s="426"/>
      <c r="S451" s="426"/>
      <c r="T451" s="426"/>
      <c r="U451" s="426"/>
      <c r="V451" s="426"/>
      <c r="W451" s="429"/>
    </row>
    <row r="452" spans="1:23" ht="15.75" thickBot="1">
      <c r="A452" s="436" t="s">
        <v>573</v>
      </c>
      <c r="B452" s="437">
        <f>SUM(B422:B451)</f>
        <v>1429</v>
      </c>
      <c r="C452" s="438"/>
      <c r="D452" s="438"/>
      <c r="E452" s="438"/>
      <c r="F452" s="438"/>
      <c r="G452" s="438"/>
      <c r="H452" s="438"/>
      <c r="I452" s="438"/>
      <c r="J452" s="438"/>
      <c r="K452" s="439">
        <f>SUM(K422:K451)</f>
        <v>1991100.18</v>
      </c>
      <c r="L452" s="440">
        <f>SUM(L422:L451)</f>
        <v>25013402.159999996</v>
      </c>
      <c r="M452" s="437">
        <f>SUM(M422:M451)</f>
        <v>1429</v>
      </c>
      <c r="N452" s="438"/>
      <c r="O452" s="438"/>
      <c r="P452" s="438"/>
      <c r="Q452" s="438"/>
      <c r="R452" s="438"/>
      <c r="S452" s="438"/>
      <c r="T452" s="438"/>
      <c r="U452" s="438"/>
      <c r="V452" s="439">
        <f>SUM(V422:V451)</f>
        <v>1991100.18</v>
      </c>
      <c r="W452" s="440">
        <f>SUM(W422:W451)</f>
        <v>25013402.159999996</v>
      </c>
    </row>
    <row r="453" spans="1:23">
      <c r="A453" s="304" t="s">
        <v>574</v>
      </c>
      <c r="B453" s="215"/>
      <c r="C453" s="215"/>
      <c r="D453" s="215"/>
      <c r="E453" s="215"/>
      <c r="F453" s="215"/>
      <c r="G453" s="215"/>
      <c r="H453" s="215"/>
      <c r="I453" s="215"/>
      <c r="J453" s="215"/>
      <c r="K453" s="215"/>
      <c r="L453" s="215"/>
      <c r="M453" s="215"/>
      <c r="N453" s="215"/>
      <c r="O453" s="215"/>
      <c r="P453" s="295"/>
      <c r="Q453" s="305"/>
      <c r="R453" s="34"/>
      <c r="S453" s="34"/>
      <c r="T453" s="295"/>
      <c r="U453" s="295"/>
      <c r="V453" s="295"/>
      <c r="W453" s="295"/>
    </row>
    <row r="454" spans="1:23">
      <c r="A454" s="300" t="s">
        <v>575</v>
      </c>
      <c r="B454" s="300"/>
      <c r="C454" s="300"/>
      <c r="D454" s="300"/>
      <c r="E454" s="300"/>
      <c r="F454" s="300"/>
      <c r="G454" s="300"/>
      <c r="H454" s="300"/>
      <c r="I454" s="300"/>
      <c r="J454" s="300"/>
      <c r="K454" s="300"/>
      <c r="L454" s="300"/>
      <c r="M454" s="300"/>
      <c r="N454" s="300"/>
      <c r="O454" s="300"/>
      <c r="P454" s="295"/>
      <c r="Q454" s="305"/>
      <c r="R454" s="34"/>
      <c r="S454" s="34"/>
      <c r="T454" s="34"/>
      <c r="U454" s="34"/>
      <c r="V454" s="295"/>
      <c r="W454" s="295"/>
    </row>
    <row r="455" spans="1:23">
      <c r="A455" s="300" t="s">
        <v>576</v>
      </c>
      <c r="B455" s="300"/>
      <c r="C455" s="300"/>
      <c r="D455" s="300"/>
      <c r="E455" s="300"/>
      <c r="F455" s="300"/>
      <c r="G455" s="300"/>
      <c r="H455" s="300"/>
      <c r="I455" s="300"/>
      <c r="J455" s="300"/>
      <c r="K455" s="300"/>
      <c r="L455" s="300"/>
      <c r="M455" s="300"/>
      <c r="N455" s="300"/>
      <c r="O455" s="300"/>
      <c r="P455" s="295"/>
      <c r="Q455" s="305"/>
      <c r="R455" s="34"/>
      <c r="S455" s="34"/>
      <c r="T455" s="34"/>
      <c r="U455" s="34"/>
      <c r="V455" s="295"/>
      <c r="W455" s="295"/>
    </row>
    <row r="456" spans="1:23">
      <c r="A456" s="300" t="s">
        <v>577</v>
      </c>
      <c r="B456" s="300"/>
      <c r="C456" s="300"/>
      <c r="D456" s="300"/>
      <c r="E456" s="300"/>
      <c r="F456" s="300"/>
      <c r="G456" s="300"/>
      <c r="H456" s="300"/>
      <c r="I456" s="300"/>
      <c r="J456" s="300"/>
      <c r="K456" s="300"/>
      <c r="L456" s="300"/>
      <c r="M456" s="300"/>
      <c r="N456" s="300"/>
      <c r="O456" s="300"/>
      <c r="P456" s="300"/>
      <c r="Q456" s="300"/>
      <c r="R456" s="300"/>
      <c r="S456" s="300"/>
      <c r="T456" s="300"/>
      <c r="U456" s="300"/>
      <c r="V456" s="300"/>
      <c r="W456" s="300"/>
    </row>
    <row r="457" spans="1:23">
      <c r="A457" s="300"/>
      <c r="B457" s="300"/>
      <c r="C457" s="300"/>
      <c r="D457" s="300"/>
      <c r="E457" s="300"/>
      <c r="F457" s="300"/>
      <c r="G457" s="300"/>
      <c r="H457" s="300"/>
      <c r="I457" s="300"/>
      <c r="J457" s="300"/>
      <c r="K457" s="300"/>
      <c r="L457" s="300"/>
      <c r="M457" s="300"/>
      <c r="N457" s="300"/>
      <c r="O457" s="300"/>
      <c r="P457" s="300"/>
      <c r="Q457" s="300"/>
      <c r="R457" s="300"/>
      <c r="S457" s="300"/>
      <c r="T457" s="300"/>
      <c r="U457" s="300"/>
      <c r="V457" s="300"/>
      <c r="W457" s="300"/>
    </row>
    <row r="459" spans="1:23" ht="15.75">
      <c r="A459" s="296" t="s">
        <v>535</v>
      </c>
      <c r="B459" s="297"/>
      <c r="C459" s="297"/>
      <c r="D459" s="297"/>
      <c r="E459" s="297"/>
      <c r="F459" s="297"/>
      <c r="G459" s="297"/>
      <c r="H459" s="297"/>
      <c r="I459" s="297"/>
      <c r="J459" s="297"/>
      <c r="K459" s="297"/>
      <c r="L459" s="297"/>
      <c r="M459" s="297"/>
      <c r="N459" s="297"/>
      <c r="O459" s="297"/>
      <c r="P459" s="297"/>
      <c r="Q459" s="297"/>
      <c r="R459" s="297"/>
      <c r="S459" s="297"/>
      <c r="T459" s="297"/>
      <c r="U459" s="297"/>
      <c r="V459" s="297"/>
      <c r="W459" s="297"/>
    </row>
    <row r="460" spans="1:23" ht="15.75">
      <c r="A460" s="296" t="s">
        <v>494</v>
      </c>
      <c r="B460" s="297"/>
      <c r="C460" s="297"/>
      <c r="D460" s="297"/>
      <c r="E460" s="297"/>
      <c r="F460" s="297"/>
      <c r="G460" s="297"/>
      <c r="H460" s="297"/>
      <c r="I460" s="297"/>
      <c r="J460" s="297"/>
      <c r="K460" s="297"/>
      <c r="L460" s="297"/>
      <c r="M460" s="297"/>
      <c r="N460" s="297"/>
      <c r="O460" s="297"/>
      <c r="P460" s="297"/>
      <c r="Q460" s="297"/>
      <c r="R460" s="297"/>
      <c r="S460" s="297"/>
      <c r="T460" s="297"/>
      <c r="U460" s="297"/>
      <c r="V460" s="297"/>
      <c r="W460" s="297"/>
    </row>
    <row r="461" spans="1:23" ht="15.75">
      <c r="A461" s="298" t="s">
        <v>536</v>
      </c>
      <c r="B461" s="299"/>
      <c r="C461" s="299"/>
      <c r="D461" s="299"/>
      <c r="E461" s="299"/>
      <c r="F461" s="299"/>
      <c r="G461" s="299"/>
      <c r="H461" s="299"/>
      <c r="I461" s="299"/>
      <c r="J461" s="299"/>
      <c r="K461" s="299"/>
      <c r="L461" s="299"/>
      <c r="M461" s="299"/>
      <c r="N461" s="299"/>
      <c r="O461" s="299"/>
      <c r="P461" s="299"/>
      <c r="Q461" s="299"/>
      <c r="R461" s="299"/>
      <c r="S461" s="299"/>
      <c r="T461" s="299"/>
      <c r="U461" s="299"/>
      <c r="V461" s="299"/>
      <c r="W461" s="299"/>
    </row>
    <row r="462" spans="1:23" ht="15.75" thickBot="1">
      <c r="A462" s="300" t="s">
        <v>720</v>
      </c>
      <c r="B462" s="300"/>
      <c r="C462" s="300"/>
      <c r="D462" s="300"/>
      <c r="E462" s="300"/>
      <c r="F462" s="300"/>
      <c r="G462" s="300"/>
      <c r="H462" s="300"/>
      <c r="I462" s="300"/>
      <c r="J462" s="300"/>
      <c r="K462" s="300"/>
      <c r="L462" s="301"/>
      <c r="M462" s="300"/>
      <c r="N462" s="300"/>
      <c r="O462" s="300"/>
      <c r="P462" s="300"/>
      <c r="Q462" s="300"/>
      <c r="R462" s="300"/>
      <c r="S462" s="300"/>
      <c r="T462" s="300"/>
      <c r="U462" s="300"/>
      <c r="V462" s="300"/>
      <c r="W462" s="301"/>
    </row>
    <row r="463" spans="1:23">
      <c r="A463" s="306" t="s">
        <v>538</v>
      </c>
      <c r="B463" s="1320" t="s">
        <v>539</v>
      </c>
      <c r="C463" s="1316"/>
      <c r="D463" s="1316"/>
      <c r="E463" s="1316"/>
      <c r="F463" s="1316"/>
      <c r="G463" s="1316"/>
      <c r="H463" s="1316"/>
      <c r="I463" s="1316"/>
      <c r="J463" s="1316"/>
      <c r="K463" s="1316"/>
      <c r="L463" s="1312"/>
      <c r="M463" s="1320" t="s">
        <v>540</v>
      </c>
      <c r="N463" s="1316"/>
      <c r="O463" s="1316"/>
      <c r="P463" s="1316"/>
      <c r="Q463" s="1316"/>
      <c r="R463" s="1316"/>
      <c r="S463" s="1316"/>
      <c r="T463" s="1316"/>
      <c r="U463" s="1316"/>
      <c r="V463" s="1316"/>
      <c r="W463" s="1312"/>
    </row>
    <row r="464" spans="1:23" ht="60.75">
      <c r="A464" s="307" t="s">
        <v>541</v>
      </c>
      <c r="B464" s="308" t="s">
        <v>542</v>
      </c>
      <c r="C464" s="308" t="s">
        <v>543</v>
      </c>
      <c r="D464" s="309" t="s">
        <v>544</v>
      </c>
      <c r="E464" s="309" t="s">
        <v>545</v>
      </c>
      <c r="F464" s="309" t="s">
        <v>546</v>
      </c>
      <c r="G464" s="309" t="s">
        <v>547</v>
      </c>
      <c r="H464" s="309" t="s">
        <v>548</v>
      </c>
      <c r="I464" s="309" t="s">
        <v>549</v>
      </c>
      <c r="J464" s="310" t="s">
        <v>550</v>
      </c>
      <c r="K464" s="311" t="s">
        <v>551</v>
      </c>
      <c r="L464" s="312" t="s">
        <v>552</v>
      </c>
      <c r="M464" s="308" t="s">
        <v>542</v>
      </c>
      <c r="N464" s="308" t="s">
        <v>543</v>
      </c>
      <c r="O464" s="309" t="s">
        <v>544</v>
      </c>
      <c r="P464" s="309" t="s">
        <v>545</v>
      </c>
      <c r="Q464" s="309" t="s">
        <v>546</v>
      </c>
      <c r="R464" s="309" t="s">
        <v>547</v>
      </c>
      <c r="S464" s="309" t="s">
        <v>548</v>
      </c>
      <c r="T464" s="309" t="s">
        <v>549</v>
      </c>
      <c r="U464" s="310" t="s">
        <v>550</v>
      </c>
      <c r="V464" s="311" t="s">
        <v>551</v>
      </c>
      <c r="W464" s="312" t="s">
        <v>553</v>
      </c>
    </row>
    <row r="465" spans="1:23" ht="15.75" thickBot="1">
      <c r="A465" s="313"/>
      <c r="B465" s="300"/>
      <c r="C465" s="300"/>
      <c r="D465" s="300"/>
      <c r="E465" s="300"/>
      <c r="F465" s="300"/>
      <c r="G465" s="300"/>
      <c r="H465" s="300"/>
      <c r="I465" s="300"/>
      <c r="J465" s="300"/>
      <c r="K465" s="300"/>
      <c r="L465" s="314"/>
      <c r="M465" s="300"/>
      <c r="N465" s="300"/>
      <c r="O465" s="300"/>
      <c r="P465" s="300"/>
      <c r="Q465" s="300"/>
      <c r="R465" s="300"/>
      <c r="S465" s="300"/>
      <c r="T465" s="300"/>
      <c r="U465" s="300"/>
      <c r="V465" s="300"/>
      <c r="W465" s="314"/>
    </row>
    <row r="466" spans="1:23" ht="17.25">
      <c r="A466" s="441" t="s">
        <v>554</v>
      </c>
      <c r="B466" s="442"/>
      <c r="C466" s="442"/>
      <c r="D466" s="442"/>
      <c r="E466" s="442"/>
      <c r="F466" s="442"/>
      <c r="G466" s="442"/>
      <c r="H466" s="442"/>
      <c r="I466" s="442"/>
      <c r="J466" s="442"/>
      <c r="K466" s="442"/>
      <c r="L466" s="443">
        <f>+L467+L468+L469+L470+L471</f>
        <v>450479.31999999995</v>
      </c>
      <c r="M466" s="444"/>
      <c r="N466" s="444"/>
      <c r="O466" s="444"/>
      <c r="P466" s="444"/>
      <c r="Q466" s="444"/>
      <c r="R466" s="444"/>
      <c r="S466" s="444"/>
      <c r="T466" s="444"/>
      <c r="U466" s="444"/>
      <c r="V466" s="444"/>
      <c r="W466" s="445">
        <f>+W467+W468+W469+W470+W471</f>
        <v>450479.31999999995</v>
      </c>
    </row>
    <row r="467" spans="1:23">
      <c r="A467" s="446" t="s">
        <v>556</v>
      </c>
      <c r="B467" s="446">
        <v>1</v>
      </c>
      <c r="C467" s="446"/>
      <c r="D467" s="446"/>
      <c r="E467" s="446"/>
      <c r="F467" s="446"/>
      <c r="G467" s="446"/>
      <c r="H467" s="446"/>
      <c r="I467" s="446"/>
      <c r="J467" s="446"/>
      <c r="K467" s="446">
        <v>1</v>
      </c>
      <c r="L467" s="447">
        <v>27291.279999999999</v>
      </c>
      <c r="M467" s="448">
        <v>1</v>
      </c>
      <c r="N467" s="449"/>
      <c r="O467" s="449"/>
      <c r="P467" s="449"/>
      <c r="Q467" s="449"/>
      <c r="R467" s="449"/>
      <c r="S467" s="449"/>
      <c r="T467" s="449"/>
      <c r="U467" s="449"/>
      <c r="V467" s="449"/>
      <c r="W467" s="450">
        <v>27291.279999999999</v>
      </c>
    </row>
    <row r="468" spans="1:23">
      <c r="A468" s="451" t="s">
        <v>557</v>
      </c>
      <c r="B468" s="451">
        <v>2</v>
      </c>
      <c r="C468" s="451"/>
      <c r="D468" s="451"/>
      <c r="E468" s="451"/>
      <c r="F468" s="451"/>
      <c r="G468" s="451"/>
      <c r="H468" s="451"/>
      <c r="I468" s="451"/>
      <c r="J468" s="451"/>
      <c r="K468" s="451">
        <v>2</v>
      </c>
      <c r="L468" s="452">
        <v>54176.480000000003</v>
      </c>
      <c r="M468" s="453">
        <v>2</v>
      </c>
      <c r="N468" s="449"/>
      <c r="O468" s="449"/>
      <c r="P468" s="449"/>
      <c r="Q468" s="449"/>
      <c r="R468" s="449"/>
      <c r="S468" s="449"/>
      <c r="T468" s="449"/>
      <c r="U468" s="449"/>
      <c r="V468" s="449"/>
      <c r="W468" s="454">
        <v>54176.480000000003</v>
      </c>
    </row>
    <row r="469" spans="1:23">
      <c r="A469" s="451" t="s">
        <v>558</v>
      </c>
      <c r="B469" s="451">
        <v>2</v>
      </c>
      <c r="C469" s="451"/>
      <c r="D469" s="451"/>
      <c r="E469" s="451"/>
      <c r="F469" s="451"/>
      <c r="G469" s="451"/>
      <c r="H469" s="451"/>
      <c r="I469" s="451"/>
      <c r="J469" s="451"/>
      <c r="K469" s="451">
        <v>2</v>
      </c>
      <c r="L469" s="452">
        <v>56343.92</v>
      </c>
      <c r="M469" s="453">
        <v>2</v>
      </c>
      <c r="N469" s="449"/>
      <c r="O469" s="449"/>
      <c r="P469" s="449"/>
      <c r="Q469" s="449"/>
      <c r="R469" s="449"/>
      <c r="S469" s="449"/>
      <c r="T469" s="449"/>
      <c r="U469" s="449"/>
      <c r="V469" s="449"/>
      <c r="W469" s="454">
        <v>56343.92</v>
      </c>
    </row>
    <row r="470" spans="1:23">
      <c r="A470" s="451" t="s">
        <v>559</v>
      </c>
      <c r="B470" s="451">
        <v>4</v>
      </c>
      <c r="C470" s="451"/>
      <c r="D470" s="451"/>
      <c r="E470" s="451"/>
      <c r="F470" s="451"/>
      <c r="G470" s="451"/>
      <c r="H470" s="451"/>
      <c r="I470" s="451"/>
      <c r="J470" s="451"/>
      <c r="K470" s="451">
        <v>4</v>
      </c>
      <c r="L470" s="452">
        <v>112325.56</v>
      </c>
      <c r="M470" s="453">
        <v>4</v>
      </c>
      <c r="N470" s="449"/>
      <c r="O470" s="449"/>
      <c r="P470" s="449"/>
      <c r="Q470" s="449"/>
      <c r="R470" s="449"/>
      <c r="S470" s="449"/>
      <c r="T470" s="449"/>
      <c r="U470" s="449"/>
      <c r="V470" s="449"/>
      <c r="W470" s="454">
        <v>112325.56</v>
      </c>
    </row>
    <row r="471" spans="1:23" ht="23.25">
      <c r="A471" s="451" t="s">
        <v>560</v>
      </c>
      <c r="B471" s="451">
        <v>7</v>
      </c>
      <c r="C471" s="451"/>
      <c r="D471" s="451"/>
      <c r="E471" s="451"/>
      <c r="F471" s="451"/>
      <c r="G471" s="451"/>
      <c r="H471" s="451"/>
      <c r="I471" s="451"/>
      <c r="J471" s="451"/>
      <c r="K471" s="451">
        <v>7</v>
      </c>
      <c r="L471" s="452">
        <v>200342.08</v>
      </c>
      <c r="M471" s="453">
        <v>7</v>
      </c>
      <c r="N471" s="455"/>
      <c r="O471" s="449"/>
      <c r="P471" s="449"/>
      <c r="Q471" s="449"/>
      <c r="R471" s="449"/>
      <c r="S471" s="449"/>
      <c r="T471" s="449"/>
      <c r="U471" s="449"/>
      <c r="V471" s="449"/>
      <c r="W471" s="454">
        <v>200342.08</v>
      </c>
    </row>
    <row r="472" spans="1:23">
      <c r="A472" s="313"/>
      <c r="B472" s="300"/>
      <c r="C472" s="300"/>
      <c r="D472" s="300"/>
      <c r="E472" s="300"/>
      <c r="F472" s="300"/>
      <c r="G472" s="300"/>
      <c r="H472" s="300"/>
      <c r="I472" s="300"/>
      <c r="J472" s="300"/>
      <c r="K472" s="300"/>
      <c r="L472" s="314"/>
      <c r="M472" s="300"/>
      <c r="N472" s="300"/>
      <c r="O472" s="300"/>
      <c r="P472" s="300"/>
      <c r="Q472" s="300"/>
      <c r="R472" s="300"/>
      <c r="S472" s="300"/>
      <c r="T472" s="300"/>
      <c r="U472" s="300"/>
      <c r="V472" s="300"/>
      <c r="W472" s="314"/>
    </row>
    <row r="473" spans="1:23">
      <c r="A473" s="317"/>
      <c r="B473" s="300"/>
      <c r="C473" s="300"/>
      <c r="D473" s="300"/>
      <c r="E473" s="300"/>
      <c r="F473" s="300"/>
      <c r="G473" s="300"/>
      <c r="H473" s="300"/>
      <c r="I473" s="300"/>
      <c r="J473" s="300"/>
      <c r="K473" s="300"/>
      <c r="L473" s="314"/>
      <c r="M473" s="300"/>
      <c r="N473" s="300"/>
      <c r="O473" s="300"/>
      <c r="P473" s="300"/>
      <c r="Q473" s="300"/>
      <c r="R473" s="300"/>
      <c r="S473" s="300"/>
      <c r="T473" s="300"/>
      <c r="U473" s="300"/>
      <c r="V473" s="300"/>
      <c r="W473" s="314"/>
    </row>
    <row r="474" spans="1:23" ht="23.25">
      <c r="A474" s="456" t="s">
        <v>561</v>
      </c>
      <c r="B474" s="451"/>
      <c r="C474" s="451"/>
      <c r="D474" s="451"/>
      <c r="E474" s="451"/>
      <c r="F474" s="451"/>
      <c r="G474" s="451"/>
      <c r="H474" s="451"/>
      <c r="I474" s="451"/>
      <c r="J474" s="451"/>
      <c r="K474" s="451"/>
      <c r="L474" s="457">
        <f>+L475</f>
        <v>24397.119999999999</v>
      </c>
      <c r="M474" s="453"/>
      <c r="N474" s="455"/>
      <c r="O474" s="449"/>
      <c r="P474" s="449"/>
      <c r="Q474" s="449"/>
      <c r="R474" s="449"/>
      <c r="S474" s="449"/>
      <c r="T474" s="449"/>
      <c r="U474" s="449"/>
      <c r="V474" s="449"/>
      <c r="W474" s="458">
        <f>+W475</f>
        <v>24397.119999999999</v>
      </c>
    </row>
    <row r="475" spans="1:23">
      <c r="A475" s="451" t="s">
        <v>580</v>
      </c>
      <c r="B475" s="451">
        <v>1</v>
      </c>
      <c r="C475" s="451"/>
      <c r="D475" s="451"/>
      <c r="E475" s="451"/>
      <c r="F475" s="451"/>
      <c r="G475" s="451"/>
      <c r="H475" s="451"/>
      <c r="I475" s="451"/>
      <c r="J475" s="451"/>
      <c r="K475" s="451">
        <v>1</v>
      </c>
      <c r="L475" s="452">
        <v>24397.119999999999</v>
      </c>
      <c r="M475" s="453">
        <v>1</v>
      </c>
      <c r="N475" s="449"/>
      <c r="O475" s="449"/>
      <c r="P475" s="449"/>
      <c r="Q475" s="449"/>
      <c r="R475" s="449"/>
      <c r="S475" s="449"/>
      <c r="T475" s="449"/>
      <c r="U475" s="449"/>
      <c r="V475" s="449"/>
      <c r="W475" s="454">
        <v>24397.119999999999</v>
      </c>
    </row>
    <row r="476" spans="1:23" ht="23.25">
      <c r="A476" s="456"/>
      <c r="B476" s="451"/>
      <c r="C476" s="451"/>
      <c r="D476" s="451"/>
      <c r="E476" s="451"/>
      <c r="F476" s="451"/>
      <c r="G476" s="451"/>
      <c r="H476" s="451"/>
      <c r="I476" s="451"/>
      <c r="J476" s="451"/>
      <c r="K476" s="451"/>
      <c r="L476" s="457"/>
      <c r="M476" s="453"/>
      <c r="N476" s="455"/>
      <c r="O476" s="449"/>
      <c r="P476" s="449"/>
      <c r="Q476" s="449"/>
      <c r="R476" s="449"/>
      <c r="S476" s="449"/>
      <c r="T476" s="449"/>
      <c r="U476" s="449"/>
      <c r="V476" s="449"/>
      <c r="W476" s="458"/>
    </row>
    <row r="477" spans="1:23">
      <c r="A477" s="451"/>
      <c r="B477" s="451"/>
      <c r="C477" s="451"/>
      <c r="D477" s="451"/>
      <c r="E477" s="451"/>
      <c r="F477" s="451"/>
      <c r="G477" s="451"/>
      <c r="H477" s="451"/>
      <c r="I477" s="451"/>
      <c r="J477" s="451"/>
      <c r="K477" s="451"/>
      <c r="L477" s="452"/>
      <c r="M477" s="453"/>
      <c r="N477" s="449"/>
      <c r="O477" s="449"/>
      <c r="P477" s="449"/>
      <c r="Q477" s="449"/>
      <c r="R477" s="449"/>
      <c r="S477" s="449"/>
      <c r="T477" s="449"/>
      <c r="U477" s="449"/>
      <c r="V477" s="449"/>
      <c r="W477" s="454"/>
    </row>
    <row r="478" spans="1:23">
      <c r="A478" s="313"/>
      <c r="B478" s="300"/>
      <c r="C478" s="300"/>
      <c r="D478" s="300"/>
      <c r="E478" s="300"/>
      <c r="F478" s="300"/>
      <c r="G478" s="300"/>
      <c r="H478" s="300"/>
      <c r="I478" s="300"/>
      <c r="J478" s="300"/>
      <c r="K478" s="300"/>
      <c r="L478" s="314"/>
      <c r="M478" s="300"/>
      <c r="N478" s="300"/>
      <c r="O478" s="300"/>
      <c r="P478" s="300"/>
      <c r="Q478" s="300"/>
      <c r="R478" s="300"/>
      <c r="S478" s="300"/>
      <c r="T478" s="300"/>
      <c r="U478" s="300"/>
      <c r="V478" s="300"/>
      <c r="W478" s="314"/>
    </row>
    <row r="479" spans="1:23" ht="17.25">
      <c r="A479" s="456" t="s">
        <v>565</v>
      </c>
      <c r="B479" s="451"/>
      <c r="C479" s="451"/>
      <c r="D479" s="451"/>
      <c r="E479" s="451"/>
      <c r="F479" s="451"/>
      <c r="G479" s="451"/>
      <c r="H479" s="451"/>
      <c r="I479" s="451"/>
      <c r="J479" s="451"/>
      <c r="K479" s="451"/>
      <c r="L479" s="457">
        <f>+L480+L481+L482</f>
        <v>1140262.72</v>
      </c>
      <c r="M479" s="453"/>
      <c r="N479" s="449"/>
      <c r="O479" s="449"/>
      <c r="P479" s="449"/>
      <c r="Q479" s="449"/>
      <c r="R479" s="449"/>
      <c r="S479" s="449"/>
      <c r="T479" s="449"/>
      <c r="U479" s="449"/>
      <c r="V479" s="449"/>
      <c r="W479" s="458">
        <f>+W480+W481+W482</f>
        <v>1140262.72</v>
      </c>
    </row>
    <row r="480" spans="1:23">
      <c r="A480" s="451" t="s">
        <v>566</v>
      </c>
      <c r="B480" s="451">
        <v>31</v>
      </c>
      <c r="C480" s="451"/>
      <c r="D480" s="451"/>
      <c r="E480" s="451"/>
      <c r="F480" s="451"/>
      <c r="G480" s="451"/>
      <c r="H480" s="451"/>
      <c r="I480" s="451"/>
      <c r="J480" s="451"/>
      <c r="K480" s="451">
        <v>31</v>
      </c>
      <c r="L480" s="452">
        <v>723551.2</v>
      </c>
      <c r="M480" s="453">
        <v>31</v>
      </c>
      <c r="N480" s="449"/>
      <c r="O480" s="449"/>
      <c r="P480" s="449"/>
      <c r="Q480" s="449"/>
      <c r="R480" s="449"/>
      <c r="S480" s="449"/>
      <c r="T480" s="449"/>
      <c r="U480" s="449"/>
      <c r="V480" s="449"/>
      <c r="W480" s="454">
        <v>723551.2</v>
      </c>
    </row>
    <row r="481" spans="1:23">
      <c r="A481" s="451" t="s">
        <v>567</v>
      </c>
      <c r="B481" s="451">
        <v>8</v>
      </c>
      <c r="C481" s="451"/>
      <c r="D481" s="451"/>
      <c r="E481" s="451"/>
      <c r="F481" s="451"/>
      <c r="G481" s="451"/>
      <c r="H481" s="451"/>
      <c r="I481" s="451"/>
      <c r="J481" s="451"/>
      <c r="K481" s="451">
        <v>8</v>
      </c>
      <c r="L481" s="452">
        <v>185358.92</v>
      </c>
      <c r="M481" s="453">
        <v>8</v>
      </c>
      <c r="N481" s="449"/>
      <c r="O481" s="449"/>
      <c r="P481" s="449"/>
      <c r="Q481" s="449"/>
      <c r="R481" s="449"/>
      <c r="S481" s="449"/>
      <c r="T481" s="449"/>
      <c r="U481" s="449"/>
      <c r="V481" s="449"/>
      <c r="W481" s="454">
        <v>185358.92</v>
      </c>
    </row>
    <row r="482" spans="1:23">
      <c r="A482" s="451" t="s">
        <v>581</v>
      </c>
      <c r="B482" s="451">
        <v>10</v>
      </c>
      <c r="C482" s="451"/>
      <c r="D482" s="451"/>
      <c r="E482" s="451"/>
      <c r="F482" s="451"/>
      <c r="G482" s="451"/>
      <c r="H482" s="451"/>
      <c r="I482" s="451"/>
      <c r="J482" s="451"/>
      <c r="K482" s="451">
        <v>10</v>
      </c>
      <c r="L482" s="452">
        <v>231352.6</v>
      </c>
      <c r="M482" s="448">
        <v>10</v>
      </c>
      <c r="N482" s="449"/>
      <c r="O482" s="449"/>
      <c r="P482" s="449"/>
      <c r="Q482" s="449"/>
      <c r="R482" s="449"/>
      <c r="S482" s="449"/>
      <c r="T482" s="449"/>
      <c r="U482" s="449"/>
      <c r="V482" s="449"/>
      <c r="W482" s="450">
        <v>231352.6</v>
      </c>
    </row>
    <row r="483" spans="1:23">
      <c r="A483" s="313"/>
      <c r="B483" s="300"/>
      <c r="C483" s="300"/>
      <c r="D483" s="300"/>
      <c r="E483" s="300"/>
      <c r="F483" s="300"/>
      <c r="G483" s="300"/>
      <c r="H483" s="300"/>
      <c r="I483" s="300"/>
      <c r="J483" s="300"/>
      <c r="K483" s="300"/>
      <c r="L483" s="314"/>
      <c r="M483" s="300"/>
      <c r="N483" s="300"/>
      <c r="O483" s="300"/>
      <c r="P483" s="300"/>
      <c r="Q483" s="300"/>
      <c r="R483" s="300"/>
      <c r="S483" s="300"/>
      <c r="T483" s="300"/>
      <c r="U483" s="300"/>
      <c r="V483" s="300"/>
      <c r="W483" s="314"/>
    </row>
    <row r="484" spans="1:23">
      <c r="A484" s="315" t="s">
        <v>569</v>
      </c>
      <c r="B484" s="303"/>
      <c r="C484" s="303"/>
      <c r="D484" s="303"/>
      <c r="E484" s="303"/>
      <c r="F484" s="303"/>
      <c r="G484" s="303"/>
      <c r="H484" s="303"/>
      <c r="I484" s="303"/>
      <c r="J484" s="303"/>
      <c r="K484" s="303"/>
      <c r="L484" s="316"/>
      <c r="M484" s="303"/>
      <c r="N484" s="303"/>
      <c r="O484" s="303"/>
      <c r="P484" s="303"/>
      <c r="Q484" s="303"/>
      <c r="R484" s="303"/>
      <c r="S484" s="303"/>
      <c r="T484" s="303"/>
      <c r="U484" s="303"/>
      <c r="V484" s="303"/>
      <c r="W484" s="316"/>
    </row>
    <row r="485" spans="1:23">
      <c r="A485" s="313" t="s">
        <v>570</v>
      </c>
      <c r="B485" s="300"/>
      <c r="C485" s="300"/>
      <c r="D485" s="300"/>
      <c r="E485" s="300"/>
      <c r="F485" s="300"/>
      <c r="G485" s="300"/>
      <c r="H485" s="300"/>
      <c r="I485" s="300"/>
      <c r="J485" s="300"/>
      <c r="K485" s="300"/>
      <c r="L485" s="314"/>
      <c r="M485" s="300"/>
      <c r="N485" s="300"/>
      <c r="O485" s="300"/>
      <c r="P485" s="300"/>
      <c r="Q485" s="300"/>
      <c r="R485" s="300"/>
      <c r="S485" s="300"/>
      <c r="T485" s="300"/>
      <c r="U485" s="300"/>
      <c r="V485" s="300"/>
      <c r="W485" s="314"/>
    </row>
    <row r="486" spans="1:23">
      <c r="A486" s="313" t="s">
        <v>571</v>
      </c>
      <c r="B486" s="1321" t="s">
        <v>719</v>
      </c>
      <c r="C486" s="1322"/>
      <c r="D486" s="1322"/>
      <c r="E486" s="1322"/>
      <c r="F486" s="1322"/>
      <c r="G486" s="1322"/>
      <c r="H486" s="1322"/>
      <c r="I486" s="1322"/>
      <c r="J486" s="1322"/>
      <c r="K486" s="1322"/>
      <c r="L486" s="314"/>
      <c r="M486" s="300"/>
      <c r="N486" s="300"/>
      <c r="O486" s="300"/>
      <c r="P486" s="300"/>
      <c r="Q486" s="300"/>
      <c r="R486" s="300"/>
      <c r="S486" s="300"/>
      <c r="T486" s="300"/>
      <c r="U486" s="300"/>
      <c r="V486" s="300"/>
      <c r="W486" s="314"/>
    </row>
    <row r="487" spans="1:23">
      <c r="A487" s="313" t="s">
        <v>572</v>
      </c>
      <c r="B487" s="1321"/>
      <c r="C487" s="1322"/>
      <c r="D487" s="1322"/>
      <c r="E487" s="1322"/>
      <c r="F487" s="1322"/>
      <c r="G487" s="1322"/>
      <c r="H487" s="1322"/>
      <c r="I487" s="1322"/>
      <c r="J487" s="1322"/>
      <c r="K487" s="1322"/>
      <c r="L487" s="314"/>
      <c r="M487" s="300"/>
      <c r="N487" s="300"/>
      <c r="O487" s="300"/>
      <c r="P487" s="300"/>
      <c r="Q487" s="300"/>
      <c r="R487" s="300"/>
      <c r="S487" s="300"/>
      <c r="T487" s="300"/>
      <c r="U487" s="300"/>
      <c r="V487" s="300"/>
      <c r="W487" s="314"/>
    </row>
    <row r="488" spans="1:23" ht="15.75" thickBot="1">
      <c r="A488" s="313"/>
      <c r="B488" s="300"/>
      <c r="C488" s="300"/>
      <c r="D488" s="300"/>
      <c r="E488" s="300"/>
      <c r="F488" s="300"/>
      <c r="G488" s="300"/>
      <c r="H488" s="300"/>
      <c r="I488" s="300"/>
      <c r="J488" s="300"/>
      <c r="K488" s="300"/>
      <c r="L488" s="314"/>
      <c r="M488" s="300"/>
      <c r="N488" s="300"/>
      <c r="O488" s="300"/>
      <c r="P488" s="300"/>
      <c r="Q488" s="300"/>
      <c r="R488" s="300"/>
      <c r="S488" s="300"/>
      <c r="T488" s="300"/>
      <c r="U488" s="300"/>
      <c r="V488" s="300"/>
      <c r="W488" s="314"/>
    </row>
    <row r="489" spans="1:23" ht="16.5" thickBot="1">
      <c r="A489" s="318" t="s">
        <v>573</v>
      </c>
      <c r="B489" s="319"/>
      <c r="C489" s="319"/>
      <c r="D489" s="319"/>
      <c r="E489" s="319"/>
      <c r="F489" s="319"/>
      <c r="G489" s="319"/>
      <c r="H489" s="319"/>
      <c r="I489" s="319"/>
      <c r="J489" s="319"/>
      <c r="K489" s="319"/>
      <c r="L489" s="459">
        <f>+L466+L474+L479</f>
        <v>1615139.16</v>
      </c>
      <c r="M489" s="319"/>
      <c r="N489" s="319"/>
      <c r="O489" s="319"/>
      <c r="P489" s="319"/>
      <c r="Q489" s="319"/>
      <c r="R489" s="319"/>
      <c r="S489" s="319"/>
      <c r="T489" s="319"/>
      <c r="U489" s="319"/>
      <c r="V489" s="319"/>
      <c r="W489" s="460">
        <f>+W466+W474+W479</f>
        <v>1615139.16</v>
      </c>
    </row>
    <row r="490" spans="1:23">
      <c r="A490" s="304" t="s">
        <v>574</v>
      </c>
      <c r="B490" s="215"/>
      <c r="C490" s="215"/>
      <c r="D490" s="215"/>
      <c r="E490" s="215"/>
      <c r="F490" s="215"/>
      <c r="G490" s="215"/>
      <c r="H490" s="215"/>
      <c r="I490" s="215"/>
      <c r="J490" s="215"/>
      <c r="K490" s="215"/>
      <c r="L490" s="215"/>
      <c r="M490" s="215"/>
      <c r="N490" s="215"/>
      <c r="O490" s="215"/>
      <c r="P490" s="295"/>
      <c r="Q490" s="305"/>
      <c r="R490" s="34"/>
      <c r="S490" s="34"/>
      <c r="T490" s="295"/>
      <c r="U490" s="295"/>
      <c r="V490" s="295"/>
      <c r="W490" s="295"/>
    </row>
    <row r="491" spans="1:23">
      <c r="A491" s="300" t="s">
        <v>575</v>
      </c>
      <c r="B491" s="300"/>
      <c r="C491" s="300"/>
      <c r="D491" s="300"/>
      <c r="E491" s="300"/>
      <c r="F491" s="300"/>
      <c r="G491" s="300"/>
      <c r="H491" s="300"/>
      <c r="I491" s="300"/>
      <c r="J491" s="300"/>
      <c r="K491" s="300"/>
      <c r="L491" s="300"/>
      <c r="M491" s="300"/>
      <c r="N491" s="300"/>
      <c r="O491" s="300"/>
      <c r="P491" s="295"/>
      <c r="Q491" s="305"/>
      <c r="R491" s="34"/>
      <c r="S491" s="34"/>
      <c r="T491" s="34"/>
      <c r="U491" s="34"/>
      <c r="V491" s="295"/>
      <c r="W491" s="295"/>
    </row>
    <row r="492" spans="1:23">
      <c r="A492" s="300" t="s">
        <v>576</v>
      </c>
      <c r="B492" s="300"/>
      <c r="C492" s="300"/>
      <c r="D492" s="300"/>
      <c r="E492" s="300"/>
      <c r="F492" s="300"/>
      <c r="G492" s="300"/>
      <c r="H492" s="300"/>
      <c r="I492" s="300"/>
      <c r="J492" s="300"/>
      <c r="K492" s="300"/>
      <c r="L492" s="300"/>
      <c r="M492" s="300"/>
      <c r="N492" s="300"/>
      <c r="O492" s="300"/>
      <c r="P492" s="295"/>
      <c r="Q492" s="305"/>
      <c r="R492" s="34"/>
      <c r="S492" s="34"/>
      <c r="T492" s="34"/>
      <c r="U492" s="34"/>
      <c r="V492" s="295"/>
      <c r="W492" s="295"/>
    </row>
    <row r="495" spans="1:23" ht="15.75">
      <c r="A495" s="296" t="s">
        <v>535</v>
      </c>
      <c r="B495" s="297"/>
      <c r="C495" s="297"/>
      <c r="D495" s="297"/>
      <c r="E495" s="297"/>
      <c r="F495" s="297"/>
      <c r="G495" s="297"/>
      <c r="H495" s="297"/>
      <c r="I495" s="297"/>
      <c r="J495" s="297"/>
      <c r="K495" s="297"/>
      <c r="L495" s="297"/>
      <c r="M495" s="297"/>
      <c r="N495" s="297"/>
      <c r="O495" s="297"/>
      <c r="P495" s="297"/>
      <c r="Q495" s="297"/>
      <c r="R495" s="297"/>
      <c r="S495" s="297"/>
      <c r="T495" s="297"/>
      <c r="U495" s="297"/>
      <c r="V495" s="297"/>
      <c r="W495" s="297"/>
    </row>
    <row r="496" spans="1:23" ht="15.75">
      <c r="A496" s="296" t="s">
        <v>494</v>
      </c>
      <c r="B496" s="297"/>
      <c r="C496" s="297"/>
      <c r="D496" s="297"/>
      <c r="E496" s="297"/>
      <c r="F496" s="297"/>
      <c r="G496" s="297"/>
      <c r="H496" s="297"/>
      <c r="I496" s="297"/>
      <c r="J496" s="297"/>
      <c r="K496" s="297"/>
      <c r="L496" s="297"/>
      <c r="M496" s="297"/>
      <c r="N496" s="297"/>
      <c r="O496" s="297"/>
      <c r="P496" s="297"/>
      <c r="Q496" s="297"/>
      <c r="R496" s="297"/>
      <c r="S496" s="297"/>
      <c r="T496" s="297"/>
      <c r="U496" s="297"/>
      <c r="V496" s="297"/>
      <c r="W496" s="297"/>
    </row>
    <row r="497" spans="1:23" ht="15.75">
      <c r="A497" s="298" t="s">
        <v>536</v>
      </c>
      <c r="B497" s="299"/>
      <c r="C497" s="299"/>
      <c r="D497" s="299"/>
      <c r="E497" s="299"/>
      <c r="F497" s="299"/>
      <c r="G497" s="299"/>
      <c r="H497" s="299"/>
      <c r="I497" s="299"/>
      <c r="J497" s="299"/>
      <c r="K497" s="299"/>
      <c r="L497" s="299"/>
      <c r="M497" s="299"/>
      <c r="N497" s="299"/>
      <c r="O497" s="299"/>
      <c r="P497" s="299"/>
      <c r="Q497" s="299"/>
      <c r="R497" s="299"/>
      <c r="S497" s="299"/>
      <c r="T497" s="299"/>
      <c r="U497" s="299"/>
      <c r="V497" s="299"/>
      <c r="W497" s="299"/>
    </row>
    <row r="498" spans="1:23" ht="15.75" thickBot="1">
      <c r="A498" s="300" t="s">
        <v>721</v>
      </c>
      <c r="B498" s="300"/>
      <c r="C498" s="300"/>
      <c r="D498" s="300"/>
      <c r="E498" s="300"/>
      <c r="F498" s="300"/>
      <c r="G498" s="300"/>
      <c r="H498" s="300"/>
      <c r="I498" s="300"/>
      <c r="J498" s="300"/>
      <c r="K498" s="300"/>
      <c r="L498" s="301"/>
      <c r="M498" s="300"/>
      <c r="N498" s="300"/>
      <c r="O498" s="300"/>
      <c r="P498" s="300"/>
      <c r="Q498" s="300"/>
      <c r="R498" s="300"/>
      <c r="S498" s="300"/>
      <c r="T498" s="300"/>
      <c r="U498" s="300"/>
      <c r="V498" s="300"/>
      <c r="W498" s="301"/>
    </row>
    <row r="499" spans="1:23">
      <c r="A499" s="306" t="s">
        <v>538</v>
      </c>
      <c r="B499" s="1320" t="s">
        <v>539</v>
      </c>
      <c r="C499" s="1316"/>
      <c r="D499" s="1316"/>
      <c r="E499" s="1316"/>
      <c r="F499" s="1316"/>
      <c r="G499" s="1316"/>
      <c r="H499" s="1316"/>
      <c r="I499" s="1316"/>
      <c r="J499" s="1316"/>
      <c r="K499" s="1316"/>
      <c r="L499" s="1312"/>
      <c r="M499" s="1320" t="s">
        <v>540</v>
      </c>
      <c r="N499" s="1316"/>
      <c r="O499" s="1316"/>
      <c r="P499" s="1316"/>
      <c r="Q499" s="1316"/>
      <c r="R499" s="1316"/>
      <c r="S499" s="1316"/>
      <c r="T499" s="1316"/>
      <c r="U499" s="1316"/>
      <c r="V499" s="1316"/>
      <c r="W499" s="1312"/>
    </row>
    <row r="500" spans="1:23" ht="60.75">
      <c r="A500" s="307" t="s">
        <v>541</v>
      </c>
      <c r="B500" s="308" t="s">
        <v>542</v>
      </c>
      <c r="C500" s="308" t="s">
        <v>543</v>
      </c>
      <c r="D500" s="309" t="s">
        <v>544</v>
      </c>
      <c r="E500" s="309" t="s">
        <v>545</v>
      </c>
      <c r="F500" s="309" t="s">
        <v>546</v>
      </c>
      <c r="G500" s="309" t="s">
        <v>547</v>
      </c>
      <c r="H500" s="309" t="s">
        <v>548</v>
      </c>
      <c r="I500" s="309" t="s">
        <v>549</v>
      </c>
      <c r="J500" s="310" t="s">
        <v>550</v>
      </c>
      <c r="K500" s="311" t="s">
        <v>551</v>
      </c>
      <c r="L500" s="312" t="s">
        <v>552</v>
      </c>
      <c r="M500" s="308" t="s">
        <v>542</v>
      </c>
      <c r="N500" s="308" t="s">
        <v>543</v>
      </c>
      <c r="O500" s="309" t="s">
        <v>544</v>
      </c>
      <c r="P500" s="309" t="s">
        <v>545</v>
      </c>
      <c r="Q500" s="309" t="s">
        <v>546</v>
      </c>
      <c r="R500" s="309" t="s">
        <v>547</v>
      </c>
      <c r="S500" s="309" t="s">
        <v>548</v>
      </c>
      <c r="T500" s="309" t="s">
        <v>549</v>
      </c>
      <c r="U500" s="310" t="s">
        <v>550</v>
      </c>
      <c r="V500" s="311" t="s">
        <v>551</v>
      </c>
      <c r="W500" s="312" t="s">
        <v>553</v>
      </c>
    </row>
    <row r="501" spans="1:23">
      <c r="A501" s="313"/>
      <c r="B501" s="300"/>
      <c r="C501" s="300"/>
      <c r="D501" s="300"/>
      <c r="E501" s="300"/>
      <c r="F501" s="300"/>
      <c r="G501" s="300"/>
      <c r="H501" s="300"/>
      <c r="I501" s="300"/>
      <c r="J501" s="300"/>
      <c r="K501" s="300"/>
      <c r="L501" s="314"/>
      <c r="M501" s="300"/>
      <c r="N501" s="300"/>
      <c r="O501" s="300"/>
      <c r="P501" s="300"/>
      <c r="Q501" s="300"/>
      <c r="R501" s="300"/>
      <c r="S501" s="300"/>
      <c r="T501" s="300"/>
      <c r="U501" s="300"/>
      <c r="V501" s="300"/>
      <c r="W501" s="314"/>
    </row>
    <row r="502" spans="1:23">
      <c r="A502" s="315" t="s">
        <v>554</v>
      </c>
      <c r="B502" s="303"/>
      <c r="C502" s="303"/>
      <c r="D502" s="303"/>
      <c r="E502" s="303"/>
      <c r="F502" s="303"/>
      <c r="G502" s="303"/>
      <c r="H502" s="303"/>
      <c r="I502" s="303"/>
      <c r="J502" s="303"/>
      <c r="K502" s="303"/>
      <c r="L502" s="316"/>
      <c r="M502" s="303"/>
      <c r="N502" s="303"/>
      <c r="O502" s="303"/>
      <c r="P502" s="303"/>
      <c r="Q502" s="303"/>
      <c r="R502" s="303"/>
      <c r="S502" s="303"/>
      <c r="T502" s="303"/>
      <c r="U502" s="303"/>
      <c r="V502" s="303"/>
      <c r="W502" s="316"/>
    </row>
    <row r="503" spans="1:23">
      <c r="A503" s="313"/>
      <c r="B503" s="300"/>
      <c r="C503" s="300"/>
      <c r="D503" s="300"/>
      <c r="E503" s="300"/>
      <c r="F503" s="300"/>
      <c r="G503" s="300"/>
      <c r="H503" s="300"/>
      <c r="I503" s="300"/>
      <c r="J503" s="300"/>
      <c r="K503" s="300"/>
      <c r="L503" s="314"/>
      <c r="M503" s="300"/>
      <c r="N503" s="300"/>
      <c r="O503" s="300"/>
      <c r="P503" s="300"/>
      <c r="Q503" s="300"/>
      <c r="R503" s="300"/>
      <c r="S503" s="300"/>
      <c r="T503" s="300"/>
      <c r="U503" s="300"/>
      <c r="V503" s="300"/>
      <c r="W503" s="314"/>
    </row>
    <row r="504" spans="1:23">
      <c r="A504" s="313" t="s">
        <v>556</v>
      </c>
      <c r="B504" s="300">
        <v>1</v>
      </c>
      <c r="C504" s="300"/>
      <c r="D504" s="300"/>
      <c r="E504" s="300"/>
      <c r="F504" s="300"/>
      <c r="G504" s="300"/>
      <c r="H504" s="300"/>
      <c r="I504" s="300"/>
      <c r="J504" s="300"/>
      <c r="K504" s="461">
        <v>62398.32</v>
      </c>
      <c r="L504" s="462">
        <f>K504</f>
        <v>62398.32</v>
      </c>
      <c r="M504" s="300">
        <v>1</v>
      </c>
      <c r="N504" s="300"/>
      <c r="O504" s="300"/>
      <c r="P504" s="300"/>
      <c r="Q504" s="300"/>
      <c r="R504" s="300"/>
      <c r="S504" s="300"/>
      <c r="T504" s="300"/>
      <c r="U504" s="300"/>
      <c r="V504" s="461">
        <v>62398.32</v>
      </c>
      <c r="W504" s="462">
        <f>V504</f>
        <v>62398.32</v>
      </c>
    </row>
    <row r="505" spans="1:23">
      <c r="A505" s="313"/>
      <c r="B505" s="300"/>
      <c r="C505" s="300"/>
      <c r="D505" s="300"/>
      <c r="E505" s="300"/>
      <c r="F505" s="300"/>
      <c r="G505" s="300"/>
      <c r="H505" s="300"/>
      <c r="I505" s="300"/>
      <c r="J505" s="300"/>
      <c r="K505" s="300"/>
      <c r="L505" s="314"/>
      <c r="M505" s="300"/>
      <c r="N505" s="300"/>
      <c r="O505" s="300"/>
      <c r="P505" s="300"/>
      <c r="Q505" s="300"/>
      <c r="R505" s="300"/>
      <c r="S505" s="300"/>
      <c r="T505" s="300"/>
      <c r="U505" s="300"/>
      <c r="V505" s="300"/>
      <c r="W505" s="314"/>
    </row>
    <row r="506" spans="1:23">
      <c r="A506" s="313" t="s">
        <v>558</v>
      </c>
      <c r="B506" s="300">
        <v>4</v>
      </c>
      <c r="C506" s="300"/>
      <c r="D506" s="300"/>
      <c r="E506" s="300"/>
      <c r="F506" s="300"/>
      <c r="G506" s="300"/>
      <c r="H506" s="300"/>
      <c r="I506" s="300"/>
      <c r="J506" s="300"/>
      <c r="K506" s="461">
        <v>145367.51999999999</v>
      </c>
      <c r="L506" s="462">
        <f>K506</f>
        <v>145367.51999999999</v>
      </c>
      <c r="M506" s="300">
        <v>4</v>
      </c>
      <c r="N506" s="300"/>
      <c r="O506" s="300"/>
      <c r="P506" s="300"/>
      <c r="Q506" s="300"/>
      <c r="R506" s="300"/>
      <c r="S506" s="300"/>
      <c r="T506" s="300"/>
      <c r="U506" s="300"/>
      <c r="V506" s="461">
        <v>145367.51999999999</v>
      </c>
      <c r="W506" s="462">
        <f>V506</f>
        <v>145367.51999999999</v>
      </c>
    </row>
    <row r="507" spans="1:23">
      <c r="A507" s="317"/>
      <c r="B507" s="300"/>
      <c r="C507" s="300"/>
      <c r="D507" s="300"/>
      <c r="E507" s="300"/>
      <c r="F507" s="300"/>
      <c r="G507" s="300"/>
      <c r="H507" s="300"/>
      <c r="I507" s="300"/>
      <c r="J507" s="300"/>
      <c r="K507" s="300"/>
      <c r="L507" s="314"/>
      <c r="M507" s="300"/>
      <c r="N507" s="300"/>
      <c r="O507" s="300"/>
      <c r="P507" s="300"/>
      <c r="Q507" s="300"/>
      <c r="R507" s="300"/>
      <c r="S507" s="300"/>
      <c r="T507" s="300"/>
      <c r="U507" s="300"/>
      <c r="V507" s="300"/>
      <c r="W507" s="314"/>
    </row>
    <row r="508" spans="1:23">
      <c r="A508" s="315" t="s">
        <v>561</v>
      </c>
      <c r="B508" s="303"/>
      <c r="C508" s="303"/>
      <c r="D508" s="303"/>
      <c r="E508" s="303"/>
      <c r="F508" s="303"/>
      <c r="G508" s="303"/>
      <c r="H508" s="303"/>
      <c r="I508" s="303"/>
      <c r="J508" s="303"/>
      <c r="K508" s="303"/>
      <c r="L508" s="316"/>
      <c r="M508" s="303"/>
      <c r="N508" s="303"/>
      <c r="O508" s="303"/>
      <c r="P508" s="303"/>
      <c r="Q508" s="303"/>
      <c r="R508" s="303"/>
      <c r="S508" s="303"/>
      <c r="T508" s="303"/>
      <c r="U508" s="303"/>
      <c r="V508" s="303"/>
      <c r="W508" s="316"/>
    </row>
    <row r="509" spans="1:23">
      <c r="A509" s="313" t="s">
        <v>562</v>
      </c>
      <c r="B509" s="300">
        <v>1</v>
      </c>
      <c r="C509" s="300"/>
      <c r="D509" s="300"/>
      <c r="E509" s="300"/>
      <c r="F509" s="300"/>
      <c r="G509" s="300"/>
      <c r="H509" s="300"/>
      <c r="I509" s="300"/>
      <c r="J509" s="300"/>
      <c r="K509" s="461">
        <v>31566.84</v>
      </c>
      <c r="L509" s="462">
        <f>K509</f>
        <v>31566.84</v>
      </c>
      <c r="M509" s="300">
        <v>1</v>
      </c>
      <c r="N509" s="300"/>
      <c r="O509" s="300"/>
      <c r="P509" s="300"/>
      <c r="Q509" s="300"/>
      <c r="R509" s="300"/>
      <c r="S509" s="300"/>
      <c r="T509" s="300"/>
      <c r="U509" s="300"/>
      <c r="V509" s="461">
        <v>31566.84</v>
      </c>
      <c r="W509" s="462">
        <f>V509</f>
        <v>31566.84</v>
      </c>
    </row>
    <row r="510" spans="1:23">
      <c r="A510" s="313" t="s">
        <v>563</v>
      </c>
      <c r="B510" s="300"/>
      <c r="C510" s="300"/>
      <c r="D510" s="300"/>
      <c r="E510" s="300"/>
      <c r="F510" s="300"/>
      <c r="G510" s="300"/>
      <c r="H510" s="300"/>
      <c r="I510" s="300"/>
      <c r="J510" s="300"/>
      <c r="K510" s="461"/>
      <c r="L510" s="462"/>
      <c r="M510" s="300"/>
      <c r="N510" s="300"/>
      <c r="O510" s="300"/>
      <c r="P510" s="300"/>
      <c r="Q510" s="300"/>
      <c r="R510" s="300"/>
      <c r="S510" s="300"/>
      <c r="T510" s="300"/>
      <c r="U510" s="300"/>
      <c r="V510" s="461"/>
      <c r="W510" s="462"/>
    </row>
    <row r="511" spans="1:23">
      <c r="A511" s="313" t="s">
        <v>564</v>
      </c>
      <c r="B511" s="300"/>
      <c r="C511" s="300"/>
      <c r="D511" s="300">
        <v>28</v>
      </c>
      <c r="E511" s="300"/>
      <c r="F511" s="300"/>
      <c r="G511" s="300"/>
      <c r="H511" s="300"/>
      <c r="I511" s="300"/>
      <c r="J511" s="461"/>
      <c r="K511" s="461">
        <v>972000</v>
      </c>
      <c r="L511" s="462">
        <f t="shared" ref="L511" si="70">K511</f>
        <v>972000</v>
      </c>
      <c r="M511" s="300"/>
      <c r="N511" s="300"/>
      <c r="O511" s="300">
        <v>28</v>
      </c>
      <c r="P511" s="300"/>
      <c r="Q511" s="300"/>
      <c r="R511" s="300"/>
      <c r="S511" s="300"/>
      <c r="T511" s="300"/>
      <c r="U511" s="461"/>
      <c r="V511" s="461">
        <v>972000</v>
      </c>
      <c r="W511" s="462">
        <f t="shared" ref="W511" si="71">V511</f>
        <v>972000</v>
      </c>
    </row>
    <row r="512" spans="1:23">
      <c r="A512" s="313"/>
      <c r="B512" s="300"/>
      <c r="C512" s="300"/>
      <c r="D512" s="300"/>
      <c r="E512" s="300"/>
      <c r="F512" s="300"/>
      <c r="G512" s="300"/>
      <c r="H512" s="300"/>
      <c r="I512" s="300"/>
      <c r="J512" s="300"/>
      <c r="K512" s="461"/>
      <c r="L512" s="462"/>
      <c r="M512" s="300"/>
      <c r="N512" s="300"/>
      <c r="O512" s="300"/>
      <c r="P512" s="300"/>
      <c r="Q512" s="300"/>
      <c r="R512" s="300"/>
      <c r="S512" s="300"/>
      <c r="T512" s="300"/>
      <c r="U512" s="300"/>
      <c r="V512" s="461"/>
      <c r="W512" s="462"/>
    </row>
    <row r="513" spans="1:23">
      <c r="A513" s="315" t="s">
        <v>565</v>
      </c>
      <c r="B513" s="303"/>
      <c r="C513" s="303"/>
      <c r="D513" s="303"/>
      <c r="E513" s="303"/>
      <c r="F513" s="303"/>
      <c r="G513" s="303"/>
      <c r="H513" s="303"/>
      <c r="I513" s="303"/>
      <c r="J513" s="303"/>
      <c r="K513" s="463"/>
      <c r="L513" s="464"/>
      <c r="M513" s="303"/>
      <c r="N513" s="303"/>
      <c r="O513" s="303"/>
      <c r="P513" s="303"/>
      <c r="Q513" s="303"/>
      <c r="R513" s="303"/>
      <c r="S513" s="303"/>
      <c r="T513" s="303"/>
      <c r="U513" s="303"/>
      <c r="V513" s="463"/>
      <c r="W513" s="464"/>
    </row>
    <row r="514" spans="1:23">
      <c r="A514" s="313" t="s">
        <v>566</v>
      </c>
      <c r="B514" s="300">
        <v>10</v>
      </c>
      <c r="C514" s="300"/>
      <c r="D514" s="300"/>
      <c r="E514" s="300"/>
      <c r="F514" s="300"/>
      <c r="G514" s="300"/>
      <c r="H514" s="300"/>
      <c r="I514" s="300"/>
      <c r="J514" s="300"/>
      <c r="K514" s="461">
        <v>289780.32</v>
      </c>
      <c r="L514" s="462">
        <f>K514</f>
        <v>289780.32</v>
      </c>
      <c r="M514" s="300">
        <v>10</v>
      </c>
      <c r="N514" s="300"/>
      <c r="O514" s="300"/>
      <c r="P514" s="300"/>
      <c r="Q514" s="300"/>
      <c r="R514" s="300"/>
      <c r="S514" s="300"/>
      <c r="T514" s="300"/>
      <c r="U514" s="300"/>
      <c r="V514" s="461">
        <v>289780.32</v>
      </c>
      <c r="W514" s="462">
        <f>V514</f>
        <v>289780.32</v>
      </c>
    </row>
    <row r="515" spans="1:23">
      <c r="A515" s="313" t="s">
        <v>571</v>
      </c>
      <c r="B515" s="300"/>
      <c r="C515" s="300"/>
      <c r="D515" s="300"/>
      <c r="E515" s="300"/>
      <c r="F515" s="300"/>
      <c r="G515" s="300"/>
      <c r="H515" s="300"/>
      <c r="I515" s="300"/>
      <c r="J515" s="300"/>
      <c r="K515" s="461"/>
      <c r="L515" s="462"/>
      <c r="M515" s="300"/>
      <c r="N515" s="300"/>
      <c r="O515" s="300"/>
      <c r="P515" s="300"/>
      <c r="Q515" s="300"/>
      <c r="R515" s="300"/>
      <c r="S515" s="300"/>
      <c r="T515" s="300"/>
      <c r="U515" s="300"/>
      <c r="V515" s="461"/>
      <c r="W515" s="462"/>
    </row>
    <row r="516" spans="1:23">
      <c r="A516" s="313" t="s">
        <v>568</v>
      </c>
      <c r="B516" s="300"/>
      <c r="C516" s="300"/>
      <c r="D516" s="300">
        <v>22</v>
      </c>
      <c r="E516" s="300"/>
      <c r="F516" s="300"/>
      <c r="G516" s="300"/>
      <c r="H516" s="300"/>
      <c r="I516" s="300"/>
      <c r="J516" s="461"/>
      <c r="K516" s="461">
        <v>481200</v>
      </c>
      <c r="L516" s="462">
        <f t="shared" ref="L516" si="72">K516</f>
        <v>481200</v>
      </c>
      <c r="M516" s="300"/>
      <c r="N516" s="300"/>
      <c r="O516" s="300">
        <v>22</v>
      </c>
      <c r="P516" s="300"/>
      <c r="Q516" s="300"/>
      <c r="R516" s="300"/>
      <c r="S516" s="300"/>
      <c r="T516" s="300"/>
      <c r="U516" s="461"/>
      <c r="V516" s="461">
        <v>481200</v>
      </c>
      <c r="W516" s="462">
        <f t="shared" ref="W516" si="73">V516</f>
        <v>481200</v>
      </c>
    </row>
    <row r="517" spans="1:23">
      <c r="A517" s="313"/>
      <c r="B517" s="300"/>
      <c r="C517" s="300"/>
      <c r="D517" s="300"/>
      <c r="E517" s="300"/>
      <c r="F517" s="300"/>
      <c r="G517" s="300"/>
      <c r="H517" s="300"/>
      <c r="I517" s="300"/>
      <c r="J517" s="300"/>
      <c r="K517" s="461"/>
      <c r="L517" s="462"/>
      <c r="M517" s="300"/>
      <c r="N517" s="300"/>
      <c r="O517" s="300"/>
      <c r="P517" s="300"/>
      <c r="Q517" s="300"/>
      <c r="R517" s="300"/>
      <c r="S517" s="300"/>
      <c r="T517" s="300"/>
      <c r="U517" s="300"/>
      <c r="V517" s="461"/>
      <c r="W517" s="462"/>
    </row>
    <row r="518" spans="1:23">
      <c r="A518" s="315" t="s">
        <v>569</v>
      </c>
      <c r="B518" s="303"/>
      <c r="C518" s="303"/>
      <c r="D518" s="303"/>
      <c r="E518" s="303"/>
      <c r="F518" s="303"/>
      <c r="G518" s="303"/>
      <c r="H518" s="303"/>
      <c r="I518" s="303"/>
      <c r="J518" s="303"/>
      <c r="K518" s="463"/>
      <c r="L518" s="464"/>
      <c r="M518" s="303"/>
      <c r="N518" s="303"/>
      <c r="O518" s="303"/>
      <c r="P518" s="303"/>
      <c r="Q518" s="303"/>
      <c r="R518" s="303"/>
      <c r="S518" s="303"/>
      <c r="T518" s="303"/>
      <c r="U518" s="303"/>
      <c r="V518" s="463"/>
      <c r="W518" s="464"/>
    </row>
    <row r="519" spans="1:23">
      <c r="A519" s="313" t="s">
        <v>570</v>
      </c>
      <c r="B519" s="300"/>
      <c r="C519" s="300"/>
      <c r="D519" s="300">
        <v>26</v>
      </c>
      <c r="E519" s="300"/>
      <c r="F519" s="300"/>
      <c r="G519" s="300"/>
      <c r="H519" s="300"/>
      <c r="I519" s="300"/>
      <c r="J519" s="461"/>
      <c r="K519" s="461">
        <v>417960</v>
      </c>
      <c r="L519" s="462">
        <f>K519</f>
        <v>417960</v>
      </c>
      <c r="M519" s="300"/>
      <c r="N519" s="300"/>
      <c r="O519" s="300">
        <v>26</v>
      </c>
      <c r="P519" s="300"/>
      <c r="Q519" s="300"/>
      <c r="R519" s="300"/>
      <c r="S519" s="300"/>
      <c r="T519" s="300"/>
      <c r="U519" s="461"/>
      <c r="V519" s="461">
        <v>417960</v>
      </c>
      <c r="W519" s="462">
        <f>V519</f>
        <v>417960</v>
      </c>
    </row>
    <row r="520" spans="1:23">
      <c r="A520" s="313" t="s">
        <v>571</v>
      </c>
      <c r="B520" s="300"/>
      <c r="C520" s="300"/>
      <c r="D520" s="300"/>
      <c r="E520" s="300"/>
      <c r="F520" s="300"/>
      <c r="G520" s="300"/>
      <c r="H520" s="300"/>
      <c r="I520" s="300"/>
      <c r="J520" s="300"/>
      <c r="K520" s="461"/>
      <c r="L520" s="462"/>
      <c r="M520" s="300"/>
      <c r="N520" s="300"/>
      <c r="O520" s="300"/>
      <c r="P520" s="300"/>
      <c r="Q520" s="300"/>
      <c r="R520" s="300"/>
      <c r="S520" s="300"/>
      <c r="T520" s="300"/>
      <c r="U520" s="300"/>
      <c r="V520" s="461"/>
      <c r="W520" s="462"/>
    </row>
    <row r="521" spans="1:23">
      <c r="A521" s="313" t="s">
        <v>572</v>
      </c>
      <c r="B521" s="300"/>
      <c r="C521" s="300"/>
      <c r="D521" s="300"/>
      <c r="E521" s="300"/>
      <c r="F521" s="300"/>
      <c r="G521" s="300"/>
      <c r="H521" s="300"/>
      <c r="I521" s="300"/>
      <c r="J521" s="300"/>
      <c r="K521" s="461"/>
      <c r="L521" s="462"/>
      <c r="M521" s="300"/>
      <c r="N521" s="300"/>
      <c r="O521" s="300"/>
      <c r="P521" s="300"/>
      <c r="Q521" s="300"/>
      <c r="R521" s="300"/>
      <c r="S521" s="300"/>
      <c r="T521" s="300"/>
      <c r="U521" s="300"/>
      <c r="V521" s="461"/>
      <c r="W521" s="462"/>
    </row>
    <row r="522" spans="1:23" ht="15.75" thickBot="1">
      <c r="A522" s="313"/>
      <c r="B522" s="300"/>
      <c r="C522" s="300"/>
      <c r="D522" s="300"/>
      <c r="E522" s="300"/>
      <c r="F522" s="300"/>
      <c r="G522" s="300"/>
      <c r="H522" s="300"/>
      <c r="I522" s="300"/>
      <c r="J522" s="300"/>
      <c r="K522" s="461"/>
      <c r="L522" s="462"/>
      <c r="M522" s="300"/>
      <c r="N522" s="300"/>
      <c r="O522" s="300"/>
      <c r="P522" s="300"/>
      <c r="Q522" s="300"/>
      <c r="R522" s="300"/>
      <c r="S522" s="300"/>
      <c r="T522" s="300"/>
      <c r="U522" s="300"/>
      <c r="V522" s="461"/>
      <c r="W522" s="462"/>
    </row>
    <row r="523" spans="1:23" ht="15.75" thickBot="1">
      <c r="A523" s="318" t="s">
        <v>573</v>
      </c>
      <c r="B523" s="319">
        <v>16</v>
      </c>
      <c r="C523" s="319"/>
      <c r="D523" s="319">
        <v>76</v>
      </c>
      <c r="E523" s="319"/>
      <c r="F523" s="319"/>
      <c r="G523" s="319"/>
      <c r="H523" s="319"/>
      <c r="I523" s="319"/>
      <c r="J523" s="346"/>
      <c r="K523" s="346">
        <f>SUM(K501:K521)</f>
        <v>2400273</v>
      </c>
      <c r="L523" s="465">
        <f>SUM(L501:L519)</f>
        <v>2400273</v>
      </c>
      <c r="M523" s="319">
        <v>16</v>
      </c>
      <c r="N523" s="319"/>
      <c r="O523" s="319">
        <v>76</v>
      </c>
      <c r="P523" s="319"/>
      <c r="Q523" s="319"/>
      <c r="R523" s="319"/>
      <c r="S523" s="319"/>
      <c r="T523" s="319"/>
      <c r="U523" s="346"/>
      <c r="V523" s="346">
        <f>SUM(V501:V521)</f>
        <v>2400273</v>
      </c>
      <c r="W523" s="465">
        <f>SUM(W501:W519)</f>
        <v>2400273</v>
      </c>
    </row>
    <row r="524" spans="1:23">
      <c r="A524" s="304" t="s">
        <v>574</v>
      </c>
      <c r="B524" s="215"/>
      <c r="C524" s="215"/>
      <c r="D524" s="215"/>
      <c r="E524" s="215"/>
      <c r="F524" s="215"/>
      <c r="G524" s="215"/>
      <c r="H524" s="215"/>
      <c r="I524" s="215"/>
      <c r="J524" s="215"/>
      <c r="K524" s="215"/>
      <c r="L524" s="215"/>
      <c r="M524" s="215"/>
      <c r="N524" s="215"/>
      <c r="O524" s="215"/>
      <c r="P524" s="295"/>
      <c r="Q524" s="305"/>
      <c r="R524" s="34"/>
      <c r="S524" s="34"/>
      <c r="T524" s="295"/>
      <c r="U524" s="295"/>
      <c r="V524" s="295"/>
      <c r="W524" s="295"/>
    </row>
    <row r="525" spans="1:23">
      <c r="A525" s="300" t="s">
        <v>575</v>
      </c>
      <c r="B525" s="300"/>
      <c r="C525" s="300"/>
      <c r="D525" s="300"/>
      <c r="E525" s="300"/>
      <c r="F525" s="300"/>
      <c r="G525" s="300"/>
      <c r="H525" s="300"/>
      <c r="I525" s="300"/>
      <c r="J525" s="300"/>
      <c r="K525" s="300"/>
      <c r="L525" s="300"/>
      <c r="M525" s="300"/>
      <c r="N525" s="300"/>
      <c r="O525" s="300"/>
      <c r="P525" s="295"/>
      <c r="Q525" s="305"/>
      <c r="R525" s="34"/>
      <c r="S525" s="34"/>
      <c r="T525" s="34"/>
      <c r="U525" s="34"/>
      <c r="V525" s="295"/>
      <c r="W525" s="295"/>
    </row>
    <row r="526" spans="1:23">
      <c r="A526" s="300" t="s">
        <v>576</v>
      </c>
      <c r="B526" s="300"/>
      <c r="C526" s="300"/>
      <c r="D526" s="300"/>
      <c r="E526" s="300"/>
      <c r="F526" s="300"/>
      <c r="G526" s="300"/>
      <c r="H526" s="300"/>
      <c r="I526" s="300"/>
      <c r="J526" s="300"/>
      <c r="K526" s="300"/>
      <c r="L526" s="300"/>
      <c r="M526" s="300"/>
      <c r="N526" s="300"/>
      <c r="O526" s="300"/>
      <c r="P526" s="295"/>
      <c r="Q526" s="305"/>
      <c r="R526" s="34"/>
      <c r="S526" s="34"/>
      <c r="T526" s="34"/>
      <c r="U526" s="34"/>
      <c r="V526" s="295"/>
      <c r="W526" s="295"/>
    </row>
  </sheetData>
  <mergeCells count="26">
    <mergeCell ref="B64:L64"/>
    <mergeCell ref="M64:W64"/>
    <mergeCell ref="B5:L5"/>
    <mergeCell ref="M5:W5"/>
    <mergeCell ref="A40:C40"/>
    <mergeCell ref="B42:L42"/>
    <mergeCell ref="M42:W42"/>
    <mergeCell ref="B141:L141"/>
    <mergeCell ref="M141:W141"/>
    <mergeCell ref="B196:L196"/>
    <mergeCell ref="M196:W196"/>
    <mergeCell ref="B263:L263"/>
    <mergeCell ref="M263:W263"/>
    <mergeCell ref="B499:L499"/>
    <mergeCell ref="M499:W499"/>
    <mergeCell ref="B308:L308"/>
    <mergeCell ref="M308:W308"/>
    <mergeCell ref="A341:D341"/>
    <mergeCell ref="A342:B342"/>
    <mergeCell ref="B344:L344"/>
    <mergeCell ref="M344:W344"/>
    <mergeCell ref="B418:L418"/>
    <mergeCell ref="M418:W418"/>
    <mergeCell ref="B463:L463"/>
    <mergeCell ref="M463:W463"/>
    <mergeCell ref="B486:K48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06"/>
  <sheetViews>
    <sheetView topLeftCell="A265" workbookViewId="0">
      <selection activeCell="A281" sqref="A281:I306"/>
    </sheetView>
  </sheetViews>
  <sheetFormatPr baseColWidth="10" defaultRowHeight="15"/>
  <cols>
    <col min="1" max="1" width="62" customWidth="1"/>
    <col min="2" max="9" width="14.7109375" customWidth="1"/>
  </cols>
  <sheetData>
    <row r="1" spans="1:9">
      <c r="A1" s="1331" t="s">
        <v>722</v>
      </c>
      <c r="B1" s="1331"/>
      <c r="C1" s="1331"/>
      <c r="D1" s="1331"/>
      <c r="E1" s="1331"/>
      <c r="F1" s="34"/>
      <c r="G1" s="34"/>
      <c r="H1" s="34"/>
      <c r="I1" s="34"/>
    </row>
    <row r="2" spans="1:9">
      <c r="A2" s="466" t="s">
        <v>723</v>
      </c>
      <c r="B2" s="467"/>
      <c r="C2" s="467"/>
      <c r="D2" s="467"/>
      <c r="E2" s="467"/>
      <c r="F2" s="34"/>
      <c r="G2" s="34"/>
      <c r="H2" s="34"/>
      <c r="I2" s="34"/>
    </row>
    <row r="3" spans="1:9" ht="16.5" thickBot="1">
      <c r="A3" s="466" t="s">
        <v>537</v>
      </c>
      <c r="B3" s="297"/>
      <c r="C3" s="297"/>
      <c r="D3" s="297"/>
      <c r="E3" s="297"/>
      <c r="F3" s="297"/>
      <c r="G3" s="297"/>
      <c r="H3" s="297"/>
      <c r="I3" s="297"/>
    </row>
    <row r="4" spans="1:9" ht="15.75" thickBot="1">
      <c r="A4" s="216" t="s">
        <v>538</v>
      </c>
      <c r="B4" s="1332" t="s">
        <v>724</v>
      </c>
      <c r="C4" s="1281"/>
      <c r="D4" s="1333" t="s">
        <v>725</v>
      </c>
      <c r="E4" s="1291"/>
      <c r="F4" s="1333" t="s">
        <v>726</v>
      </c>
      <c r="G4" s="1292"/>
      <c r="H4" s="1333" t="s">
        <v>727</v>
      </c>
      <c r="I4" s="1292"/>
    </row>
    <row r="5" spans="1:9" ht="24">
      <c r="A5" s="217" t="s">
        <v>541</v>
      </c>
      <c r="B5" s="469" t="s">
        <v>728</v>
      </c>
      <c r="C5" s="470" t="s">
        <v>729</v>
      </c>
      <c r="D5" s="217" t="s">
        <v>728</v>
      </c>
      <c r="E5" s="471" t="s">
        <v>729</v>
      </c>
      <c r="F5" s="217" t="s">
        <v>728</v>
      </c>
      <c r="G5" s="471" t="s">
        <v>729</v>
      </c>
      <c r="H5" s="217" t="s">
        <v>728</v>
      </c>
      <c r="I5" s="471" t="s">
        <v>729</v>
      </c>
    </row>
    <row r="6" spans="1:9">
      <c r="A6" s="472" t="s">
        <v>730</v>
      </c>
      <c r="B6" s="473">
        <v>96</v>
      </c>
      <c r="C6" s="474">
        <v>1028539</v>
      </c>
      <c r="D6" s="475">
        <v>84</v>
      </c>
      <c r="E6" s="476">
        <v>841319</v>
      </c>
      <c r="F6" s="475">
        <v>84</v>
      </c>
      <c r="G6" s="476">
        <v>795683</v>
      </c>
      <c r="H6" s="475">
        <f>B6-D6</f>
        <v>12</v>
      </c>
      <c r="I6" s="476">
        <f>C6-E6</f>
        <v>187220</v>
      </c>
    </row>
    <row r="7" spans="1:9">
      <c r="A7" s="472" t="s">
        <v>731</v>
      </c>
      <c r="B7" s="473"/>
      <c r="C7" s="474"/>
      <c r="D7" s="475"/>
      <c r="E7" s="476"/>
      <c r="F7" s="475"/>
      <c r="G7" s="476"/>
      <c r="H7" s="475"/>
      <c r="I7" s="476"/>
    </row>
    <row r="8" spans="1:9">
      <c r="A8" s="472" t="s">
        <v>732</v>
      </c>
      <c r="B8" s="473"/>
      <c r="C8" s="474"/>
      <c r="D8" s="475"/>
      <c r="E8" s="476"/>
      <c r="F8" s="475"/>
      <c r="G8" s="476"/>
      <c r="H8" s="475"/>
      <c r="I8" s="476"/>
    </row>
    <row r="9" spans="1:9">
      <c r="A9" s="477" t="s">
        <v>733</v>
      </c>
      <c r="B9" s="473"/>
      <c r="C9" s="474"/>
      <c r="D9" s="475"/>
      <c r="E9" s="476"/>
      <c r="F9" s="475"/>
      <c r="G9" s="476"/>
      <c r="H9" s="475"/>
      <c r="I9" s="476"/>
    </row>
    <row r="10" spans="1:9">
      <c r="A10" s="472" t="s">
        <v>734</v>
      </c>
      <c r="B10" s="473"/>
      <c r="C10" s="474"/>
      <c r="D10" s="475"/>
      <c r="E10" s="476"/>
      <c r="F10" s="475"/>
      <c r="G10" s="476"/>
      <c r="H10" s="475"/>
      <c r="I10" s="476"/>
    </row>
    <row r="11" spans="1:9">
      <c r="A11" s="477" t="s">
        <v>735</v>
      </c>
      <c r="B11" s="473">
        <v>96</v>
      </c>
      <c r="C11" s="474">
        <v>99000</v>
      </c>
      <c r="D11" s="475">
        <v>84</v>
      </c>
      <c r="E11" s="476">
        <v>97813</v>
      </c>
      <c r="F11" s="475">
        <v>84</v>
      </c>
      <c r="G11" s="476">
        <v>97813</v>
      </c>
      <c r="H11" s="475">
        <f>B11-D11</f>
        <v>12</v>
      </c>
      <c r="I11" s="476">
        <f>C11-E11</f>
        <v>1187</v>
      </c>
    </row>
    <row r="12" spans="1:9">
      <c r="A12" s="472" t="s">
        <v>736</v>
      </c>
      <c r="B12" s="473"/>
      <c r="C12" s="474"/>
      <c r="D12" s="475"/>
      <c r="E12" s="476"/>
      <c r="F12" s="475"/>
      <c r="G12" s="476"/>
      <c r="H12" s="475"/>
      <c r="I12" s="476"/>
    </row>
    <row r="13" spans="1:9">
      <c r="A13" s="472" t="s">
        <v>737</v>
      </c>
      <c r="B13" s="473"/>
      <c r="C13" s="474"/>
      <c r="D13" s="475">
        <v>84</v>
      </c>
      <c r="E13" s="476">
        <v>71145</v>
      </c>
      <c r="F13" s="475">
        <v>84</v>
      </c>
      <c r="G13" s="476">
        <v>71145</v>
      </c>
      <c r="H13" s="475">
        <f>B13-D13</f>
        <v>-84</v>
      </c>
      <c r="I13" s="476">
        <f>C13-E13</f>
        <v>-71145</v>
      </c>
    </row>
    <row r="14" spans="1:9">
      <c r="A14" s="472" t="s">
        <v>738</v>
      </c>
      <c r="B14" s="473"/>
      <c r="C14" s="474"/>
      <c r="D14" s="475"/>
      <c r="E14" s="476"/>
      <c r="F14" s="475"/>
      <c r="G14" s="476"/>
      <c r="H14" s="475"/>
      <c r="I14" s="476"/>
    </row>
    <row r="15" spans="1:9">
      <c r="A15" s="472" t="s">
        <v>739</v>
      </c>
      <c r="B15" s="473">
        <v>96</v>
      </c>
      <c r="C15" s="474">
        <v>91502</v>
      </c>
      <c r="D15" s="475">
        <v>84</v>
      </c>
      <c r="E15" s="476">
        <v>86291</v>
      </c>
      <c r="F15" s="475">
        <v>84</v>
      </c>
      <c r="G15" s="476">
        <v>86291</v>
      </c>
      <c r="H15" s="475">
        <f>B15-D15</f>
        <v>12</v>
      </c>
      <c r="I15" s="476">
        <f>C15-E15</f>
        <v>5211</v>
      </c>
    </row>
    <row r="16" spans="1:9">
      <c r="A16" s="472" t="s">
        <v>740</v>
      </c>
      <c r="B16" s="473"/>
      <c r="C16" s="474"/>
      <c r="D16" s="475"/>
      <c r="E16" s="476"/>
      <c r="F16" s="475"/>
      <c r="G16" s="476"/>
      <c r="H16" s="475"/>
      <c r="I16" s="476"/>
    </row>
    <row r="17" spans="1:9">
      <c r="A17" s="472" t="s">
        <v>741</v>
      </c>
      <c r="B17" s="473"/>
      <c r="C17" s="474"/>
      <c r="D17" s="475"/>
      <c r="E17" s="476"/>
      <c r="F17" s="475"/>
      <c r="G17" s="476"/>
      <c r="H17" s="475"/>
      <c r="I17" s="476"/>
    </row>
    <row r="18" spans="1:9">
      <c r="A18" s="472" t="s">
        <v>742</v>
      </c>
      <c r="B18" s="473"/>
      <c r="C18" s="474"/>
      <c r="D18" s="475"/>
      <c r="E18" s="476"/>
      <c r="F18" s="475"/>
      <c r="G18" s="476"/>
      <c r="H18" s="475"/>
      <c r="I18" s="476"/>
    </row>
    <row r="19" spans="1:9">
      <c r="A19" s="472" t="s">
        <v>743</v>
      </c>
      <c r="B19" s="473">
        <v>96</v>
      </c>
      <c r="C19" s="474">
        <v>1001560</v>
      </c>
      <c r="D19" s="475">
        <v>84</v>
      </c>
      <c r="E19" s="476">
        <v>1239235</v>
      </c>
      <c r="F19" s="475">
        <v>84</v>
      </c>
      <c r="G19" s="476">
        <v>1056932</v>
      </c>
      <c r="H19" s="475">
        <f>B19-D19</f>
        <v>12</v>
      </c>
      <c r="I19" s="476">
        <f t="shared" ref="I19:I21" si="0">C19-E19</f>
        <v>-237675</v>
      </c>
    </row>
    <row r="20" spans="1:9">
      <c r="A20" s="472" t="s">
        <v>744</v>
      </c>
      <c r="B20" s="473">
        <v>96</v>
      </c>
      <c r="C20" s="474">
        <v>41264</v>
      </c>
      <c r="D20" s="475">
        <v>84</v>
      </c>
      <c r="E20" s="476">
        <v>35000</v>
      </c>
      <c r="F20" s="475">
        <v>84</v>
      </c>
      <c r="G20" s="476">
        <v>35000</v>
      </c>
      <c r="H20" s="475">
        <f>B20-D20</f>
        <v>12</v>
      </c>
      <c r="I20" s="476">
        <f t="shared" si="0"/>
        <v>6264</v>
      </c>
    </row>
    <row r="21" spans="1:9" ht="15.75" thickBot="1">
      <c r="A21" s="472" t="s">
        <v>745</v>
      </c>
      <c r="B21" s="473"/>
      <c r="C21" s="474">
        <v>28900</v>
      </c>
      <c r="D21" s="475"/>
      <c r="E21" s="476">
        <v>35164</v>
      </c>
      <c r="F21" s="475"/>
      <c r="G21" s="476">
        <v>35164</v>
      </c>
      <c r="H21" s="475">
        <f>B21-D21</f>
        <v>0</v>
      </c>
      <c r="I21" s="476">
        <f t="shared" si="0"/>
        <v>-6264</v>
      </c>
    </row>
    <row r="22" spans="1:9" ht="15.75" thickBot="1">
      <c r="A22" s="318" t="s">
        <v>746</v>
      </c>
      <c r="B22" s="320"/>
      <c r="C22" s="320"/>
      <c r="D22" s="478"/>
      <c r="E22" s="479"/>
      <c r="F22" s="478"/>
      <c r="G22" s="479"/>
      <c r="H22" s="478"/>
      <c r="I22" s="479"/>
    </row>
    <row r="23" spans="1:9">
      <c r="A23" s="304" t="s">
        <v>747</v>
      </c>
      <c r="B23" s="215"/>
      <c r="C23" s="215"/>
      <c r="D23" s="215"/>
      <c r="E23" s="215"/>
      <c r="F23" s="215"/>
      <c r="G23" s="215"/>
      <c r="H23" s="215"/>
      <c r="I23" s="215"/>
    </row>
    <row r="24" spans="1:9">
      <c r="A24" s="304" t="s">
        <v>748</v>
      </c>
      <c r="B24" s="215"/>
      <c r="C24" s="215"/>
      <c r="D24" s="215"/>
      <c r="E24" s="215"/>
      <c r="F24" s="215"/>
      <c r="G24" s="215"/>
      <c r="H24" s="215"/>
      <c r="I24" s="215"/>
    </row>
    <row r="25" spans="1:9">
      <c r="A25" s="304"/>
      <c r="B25" s="215"/>
      <c r="C25" s="215"/>
      <c r="D25" s="215"/>
      <c r="E25" s="215"/>
      <c r="F25" s="215"/>
      <c r="G25" s="215"/>
      <c r="H25" s="215"/>
      <c r="I25" s="215"/>
    </row>
    <row r="27" spans="1:9">
      <c r="A27" s="1331" t="s">
        <v>722</v>
      </c>
      <c r="B27" s="1331"/>
      <c r="C27" s="1331"/>
      <c r="D27" s="1331"/>
      <c r="E27" s="1331"/>
      <c r="F27" s="34"/>
      <c r="G27" s="34"/>
      <c r="H27" s="34"/>
      <c r="I27" s="34"/>
    </row>
    <row r="28" spans="1:9">
      <c r="A28" s="1330" t="s">
        <v>578</v>
      </c>
      <c r="B28" s="1330"/>
      <c r="C28" s="1330"/>
      <c r="D28" s="467"/>
      <c r="E28" s="467"/>
      <c r="F28" s="34"/>
      <c r="G28" s="34"/>
      <c r="H28" s="34"/>
      <c r="I28" s="34"/>
    </row>
    <row r="29" spans="1:9" ht="16.5" thickBot="1">
      <c r="A29" s="1339" t="s">
        <v>579</v>
      </c>
      <c r="B29" s="1339"/>
      <c r="C29" s="300"/>
      <c r="D29" s="297"/>
      <c r="E29" s="297"/>
      <c r="F29" s="297"/>
      <c r="G29" s="297"/>
      <c r="H29" s="297"/>
      <c r="I29" s="297"/>
    </row>
    <row r="30" spans="1:9" ht="15.75" thickBot="1">
      <c r="A30" s="216" t="s">
        <v>538</v>
      </c>
      <c r="B30" s="1332" t="s">
        <v>724</v>
      </c>
      <c r="C30" s="1281"/>
      <c r="D30" s="1333" t="s">
        <v>725</v>
      </c>
      <c r="E30" s="1291"/>
      <c r="F30" s="1333" t="s">
        <v>726</v>
      </c>
      <c r="G30" s="1292"/>
      <c r="H30" s="1333" t="s">
        <v>727</v>
      </c>
      <c r="I30" s="1292"/>
    </row>
    <row r="31" spans="1:9" ht="24">
      <c r="A31" s="217" t="s">
        <v>541</v>
      </c>
      <c r="B31" s="469" t="s">
        <v>728</v>
      </c>
      <c r="C31" s="470" t="s">
        <v>729</v>
      </c>
      <c r="D31" s="217" t="s">
        <v>728</v>
      </c>
      <c r="E31" s="471" t="s">
        <v>729</v>
      </c>
      <c r="F31" s="217" t="s">
        <v>728</v>
      </c>
      <c r="G31" s="471" t="s">
        <v>729</v>
      </c>
      <c r="H31" s="217" t="s">
        <v>728</v>
      </c>
      <c r="I31" s="471" t="s">
        <v>729</v>
      </c>
    </row>
    <row r="32" spans="1:9">
      <c r="A32" s="472" t="s">
        <v>730</v>
      </c>
      <c r="B32" s="481">
        <v>25</v>
      </c>
      <c r="C32" s="482">
        <v>217146</v>
      </c>
      <c r="D32" s="483">
        <v>25</v>
      </c>
      <c r="E32" s="483">
        <v>191044</v>
      </c>
      <c r="F32" s="475">
        <v>26</v>
      </c>
      <c r="G32" s="484">
        <f>+E32+6527</f>
        <v>197571</v>
      </c>
      <c r="H32" s="475">
        <v>0</v>
      </c>
      <c r="I32" s="485">
        <f>+C32-E32</f>
        <v>26102</v>
      </c>
    </row>
    <row r="33" spans="1:9">
      <c r="A33" s="472" t="s">
        <v>731</v>
      </c>
      <c r="B33" s="481"/>
      <c r="C33" s="482"/>
      <c r="D33" s="483"/>
      <c r="E33" s="483"/>
      <c r="F33" s="475"/>
      <c r="G33" s="476"/>
      <c r="H33" s="475"/>
      <c r="I33" s="476"/>
    </row>
    <row r="34" spans="1:9">
      <c r="A34" s="472" t="s">
        <v>732</v>
      </c>
      <c r="B34" s="481"/>
      <c r="C34" s="482"/>
      <c r="D34" s="483"/>
      <c r="E34" s="483"/>
      <c r="F34" s="475"/>
      <c r="G34" s="476"/>
      <c r="H34" s="475"/>
      <c r="I34" s="476"/>
    </row>
    <row r="35" spans="1:9">
      <c r="A35" s="477" t="s">
        <v>733</v>
      </c>
      <c r="B35" s="481"/>
      <c r="C35" s="482"/>
      <c r="D35" s="483"/>
      <c r="E35" s="483"/>
      <c r="F35" s="475"/>
      <c r="G35" s="476"/>
      <c r="H35" s="475"/>
      <c r="I35" s="476"/>
    </row>
    <row r="36" spans="1:9">
      <c r="A36" s="472" t="s">
        <v>734</v>
      </c>
      <c r="B36" s="481"/>
      <c r="C36" s="482"/>
      <c r="D36" s="483"/>
      <c r="E36" s="483"/>
      <c r="F36" s="475"/>
      <c r="G36" s="476"/>
      <c r="H36" s="475"/>
      <c r="I36" s="476"/>
    </row>
    <row r="37" spans="1:9">
      <c r="A37" s="477" t="s">
        <v>735</v>
      </c>
      <c r="B37" s="481">
        <v>25</v>
      </c>
      <c r="C37" s="482">
        <v>26000</v>
      </c>
      <c r="D37" s="483">
        <v>25</v>
      </c>
      <c r="E37" s="483">
        <v>25000</v>
      </c>
      <c r="F37" s="475">
        <v>26</v>
      </c>
      <c r="G37" s="484">
        <f>+E37+1000</f>
        <v>26000</v>
      </c>
      <c r="H37" s="475">
        <v>0</v>
      </c>
      <c r="I37" s="485">
        <f>+C37-E37</f>
        <v>1000</v>
      </c>
    </row>
    <row r="38" spans="1:9">
      <c r="A38" s="472" t="s">
        <v>736</v>
      </c>
      <c r="B38" s="481"/>
      <c r="C38" s="482"/>
      <c r="D38" s="483"/>
      <c r="E38" s="483"/>
      <c r="F38" s="475"/>
      <c r="G38" s="476"/>
      <c r="H38" s="475"/>
      <c r="I38" s="476"/>
    </row>
    <row r="39" spans="1:9">
      <c r="A39" s="472" t="s">
        <v>737</v>
      </c>
      <c r="B39" s="481">
        <v>25</v>
      </c>
      <c r="C39" s="482">
        <v>477769</v>
      </c>
      <c r="D39" s="483">
        <v>25</v>
      </c>
      <c r="E39" s="483">
        <v>520988</v>
      </c>
      <c r="F39" s="475">
        <v>26</v>
      </c>
      <c r="G39" s="484">
        <f>+E39+18496-1300-3318</f>
        <v>534866</v>
      </c>
      <c r="H39" s="475">
        <v>0</v>
      </c>
      <c r="I39" s="485">
        <f>+C39-E39</f>
        <v>-43219</v>
      </c>
    </row>
    <row r="40" spans="1:9">
      <c r="A40" s="472" t="s">
        <v>738</v>
      </c>
      <c r="B40" s="481"/>
      <c r="C40" s="482"/>
      <c r="D40" s="483"/>
      <c r="E40" s="483"/>
      <c r="F40" s="475"/>
      <c r="G40" s="476"/>
      <c r="H40" s="475"/>
      <c r="I40" s="476"/>
    </row>
    <row r="41" spans="1:9">
      <c r="A41" s="472" t="s">
        <v>739</v>
      </c>
      <c r="B41" s="481">
        <v>25</v>
      </c>
      <c r="C41" s="482">
        <v>34960</v>
      </c>
      <c r="D41" s="483">
        <v>25</v>
      </c>
      <c r="E41" s="483">
        <v>20250</v>
      </c>
      <c r="F41" s="475">
        <v>26</v>
      </c>
      <c r="G41" s="484">
        <f>+E41+1005</f>
        <v>21255</v>
      </c>
      <c r="H41" s="475">
        <v>0</v>
      </c>
      <c r="I41" s="485">
        <f>+C41-E41</f>
        <v>14710</v>
      </c>
    </row>
    <row r="42" spans="1:9">
      <c r="A42" s="472" t="s">
        <v>740</v>
      </c>
      <c r="B42" s="481"/>
      <c r="C42" s="482"/>
      <c r="D42" s="483"/>
      <c r="E42" s="483"/>
      <c r="F42" s="475"/>
      <c r="G42" s="476"/>
      <c r="H42" s="475"/>
      <c r="I42" s="476"/>
    </row>
    <row r="43" spans="1:9">
      <c r="A43" s="472" t="s">
        <v>741</v>
      </c>
      <c r="B43" s="481"/>
      <c r="C43" s="482"/>
      <c r="D43" s="483"/>
      <c r="E43" s="483"/>
      <c r="F43" s="475"/>
      <c r="G43" s="476"/>
      <c r="H43" s="475"/>
      <c r="I43" s="476"/>
    </row>
    <row r="44" spans="1:9">
      <c r="A44" s="472" t="s">
        <v>742</v>
      </c>
      <c r="B44" s="481"/>
      <c r="C44" s="482"/>
      <c r="D44" s="483"/>
      <c r="E44" s="483"/>
      <c r="F44" s="475"/>
      <c r="G44" s="476"/>
      <c r="H44" s="475"/>
      <c r="I44" s="476"/>
    </row>
    <row r="45" spans="1:9">
      <c r="A45" s="472" t="s">
        <v>743</v>
      </c>
      <c r="B45" s="481"/>
      <c r="C45" s="482"/>
      <c r="D45" s="483"/>
      <c r="E45" s="483"/>
      <c r="F45" s="475"/>
      <c r="G45" s="476"/>
      <c r="H45" s="475"/>
      <c r="I45" s="476"/>
    </row>
    <row r="46" spans="1:9">
      <c r="A46" s="472" t="s">
        <v>744</v>
      </c>
      <c r="B46" s="481">
        <v>25</v>
      </c>
      <c r="C46" s="482">
        <v>12500</v>
      </c>
      <c r="D46" s="483">
        <v>25</v>
      </c>
      <c r="E46" s="483">
        <v>12500</v>
      </c>
      <c r="F46" s="475">
        <v>26</v>
      </c>
      <c r="G46" s="484">
        <f>+E46</f>
        <v>12500</v>
      </c>
      <c r="H46" s="475">
        <v>0</v>
      </c>
      <c r="I46" s="485">
        <f>+C46-E46</f>
        <v>0</v>
      </c>
    </row>
    <row r="47" spans="1:9" ht="15.75" thickBot="1">
      <c r="A47" s="472" t="s">
        <v>749</v>
      </c>
      <c r="B47" s="481"/>
      <c r="C47" s="482"/>
      <c r="D47" s="486"/>
      <c r="E47" s="486"/>
      <c r="F47" s="475"/>
      <c r="G47" s="476"/>
      <c r="H47" s="475"/>
      <c r="I47" s="476"/>
    </row>
    <row r="48" spans="1:9" ht="15.75" thickBot="1">
      <c r="A48" s="318" t="s">
        <v>746</v>
      </c>
      <c r="B48" s="487"/>
      <c r="C48" s="342">
        <f>SUM(C32:C47)</f>
        <v>768375</v>
      </c>
      <c r="D48" s="342"/>
      <c r="E48" s="342">
        <f>SUM(E32:E47)</f>
        <v>769782</v>
      </c>
      <c r="F48" s="478"/>
      <c r="G48" s="342">
        <f>SUM(G32:G47)</f>
        <v>792192</v>
      </c>
      <c r="H48" s="478"/>
      <c r="I48" s="342">
        <f>SUM(I32:I47)</f>
        <v>-1407</v>
      </c>
    </row>
    <row r="49" spans="1:9">
      <c r="A49" s="304" t="s">
        <v>747</v>
      </c>
      <c r="B49" s="215"/>
      <c r="C49" s="215"/>
      <c r="D49" s="215"/>
      <c r="E49" s="215"/>
      <c r="F49" s="215"/>
      <c r="G49" s="488"/>
      <c r="H49" s="215"/>
      <c r="I49" s="215"/>
    </row>
    <row r="50" spans="1:9">
      <c r="A50" s="304" t="s">
        <v>748</v>
      </c>
      <c r="B50" s="215"/>
      <c r="C50" s="215"/>
      <c r="D50" s="215"/>
      <c r="E50" s="215"/>
      <c r="F50" s="215"/>
      <c r="G50" s="215"/>
      <c r="H50" s="215"/>
      <c r="I50" s="215"/>
    </row>
    <row r="51" spans="1:9">
      <c r="A51" s="304"/>
      <c r="B51" s="215"/>
      <c r="C51" s="215"/>
      <c r="D51" s="215"/>
      <c r="E51" s="215"/>
      <c r="F51" s="215"/>
      <c r="G51" s="215"/>
      <c r="H51" s="215"/>
      <c r="I51" s="215"/>
    </row>
    <row r="54" spans="1:9">
      <c r="A54" s="1331" t="s">
        <v>722</v>
      </c>
      <c r="B54" s="1331"/>
      <c r="C54" s="1331"/>
      <c r="D54" s="1331"/>
      <c r="E54" s="1331"/>
      <c r="F54" s="34"/>
      <c r="G54" s="34"/>
      <c r="H54" s="34"/>
      <c r="I54" s="34"/>
    </row>
    <row r="55" spans="1:9">
      <c r="A55" s="466" t="s">
        <v>723</v>
      </c>
      <c r="B55" s="467"/>
      <c r="C55" s="467"/>
      <c r="D55" s="467"/>
      <c r="E55" s="467"/>
      <c r="F55" s="34"/>
      <c r="G55" s="34"/>
      <c r="H55" s="34"/>
      <c r="I55" s="34"/>
    </row>
    <row r="56" spans="1:9" ht="16.5" thickBot="1">
      <c r="A56" s="466" t="s">
        <v>750</v>
      </c>
      <c r="B56" s="297"/>
      <c r="C56" s="297"/>
      <c r="D56" s="297"/>
      <c r="E56" s="297"/>
      <c r="F56" s="297"/>
      <c r="G56" s="297"/>
      <c r="H56" s="297"/>
      <c r="I56" s="297"/>
    </row>
    <row r="57" spans="1:9" ht="15.75" thickBot="1">
      <c r="A57" s="216" t="s">
        <v>538</v>
      </c>
      <c r="B57" s="1332" t="s">
        <v>724</v>
      </c>
      <c r="C57" s="1281"/>
      <c r="D57" s="1333" t="s">
        <v>725</v>
      </c>
      <c r="E57" s="1291"/>
      <c r="F57" s="1333" t="s">
        <v>726</v>
      </c>
      <c r="G57" s="1292"/>
      <c r="H57" s="1333" t="s">
        <v>727</v>
      </c>
      <c r="I57" s="1292"/>
    </row>
    <row r="58" spans="1:9" ht="24">
      <c r="A58" s="217" t="s">
        <v>541</v>
      </c>
      <c r="B58" s="469" t="s">
        <v>728</v>
      </c>
      <c r="C58" s="470" t="s">
        <v>729</v>
      </c>
      <c r="D58" s="217" t="s">
        <v>728</v>
      </c>
      <c r="E58" s="471" t="s">
        <v>729</v>
      </c>
      <c r="F58" s="217" t="s">
        <v>728</v>
      </c>
      <c r="G58" s="471" t="s">
        <v>729</v>
      </c>
      <c r="H58" s="217" t="s">
        <v>728</v>
      </c>
      <c r="I58" s="471" t="s">
        <v>729</v>
      </c>
    </row>
    <row r="59" spans="1:9">
      <c r="A59" s="472" t="s">
        <v>730</v>
      </c>
      <c r="B59" s="473">
        <v>11612</v>
      </c>
      <c r="C59" s="474">
        <v>278843220</v>
      </c>
      <c r="D59" s="475">
        <v>11557</v>
      </c>
      <c r="E59" s="476">
        <v>311882042</v>
      </c>
      <c r="F59" s="475">
        <v>11557</v>
      </c>
      <c r="G59" s="475">
        <f>((C59)+(C59*0.05))</f>
        <v>292785381</v>
      </c>
      <c r="H59" s="475">
        <f>(B59-D59)</f>
        <v>55</v>
      </c>
      <c r="I59" s="476">
        <v>33038822</v>
      </c>
    </row>
    <row r="60" spans="1:9">
      <c r="A60" s="472" t="s">
        <v>731</v>
      </c>
      <c r="B60" s="473"/>
      <c r="C60" s="474"/>
      <c r="D60" s="475"/>
      <c r="E60" s="476"/>
      <c r="F60" s="475"/>
      <c r="G60" s="475">
        <f t="shared" ref="G60:G73" si="1">((C60)+(C60*0.05))</f>
        <v>0</v>
      </c>
      <c r="H60" s="475">
        <f t="shared" ref="H60:I74" si="2">(B60-D60)</f>
        <v>0</v>
      </c>
      <c r="I60" s="476">
        <f t="shared" si="2"/>
        <v>0</v>
      </c>
    </row>
    <row r="61" spans="1:9">
      <c r="A61" s="472" t="s">
        <v>732</v>
      </c>
      <c r="B61" s="473"/>
      <c r="C61" s="474"/>
      <c r="D61" s="475"/>
      <c r="E61" s="476"/>
      <c r="F61" s="475"/>
      <c r="G61" s="475">
        <f t="shared" si="1"/>
        <v>0</v>
      </c>
      <c r="H61" s="475">
        <f t="shared" si="2"/>
        <v>0</v>
      </c>
      <c r="I61" s="476">
        <f t="shared" si="2"/>
        <v>0</v>
      </c>
    </row>
    <row r="62" spans="1:9">
      <c r="A62" s="477" t="s">
        <v>733</v>
      </c>
      <c r="B62" s="473"/>
      <c r="C62" s="474"/>
      <c r="D62" s="475"/>
      <c r="E62" s="476"/>
      <c r="F62" s="475"/>
      <c r="G62" s="475">
        <f t="shared" si="1"/>
        <v>0</v>
      </c>
      <c r="H62" s="475">
        <f t="shared" si="2"/>
        <v>0</v>
      </c>
      <c r="I62" s="476">
        <f t="shared" si="2"/>
        <v>0</v>
      </c>
    </row>
    <row r="63" spans="1:9">
      <c r="A63" s="472" t="s">
        <v>734</v>
      </c>
      <c r="B63" s="473"/>
      <c r="C63" s="474"/>
      <c r="D63" s="475"/>
      <c r="E63" s="476"/>
      <c r="F63" s="475"/>
      <c r="G63" s="475">
        <f t="shared" si="1"/>
        <v>0</v>
      </c>
      <c r="H63" s="475">
        <f t="shared" si="2"/>
        <v>0</v>
      </c>
      <c r="I63" s="476">
        <f t="shared" si="2"/>
        <v>0</v>
      </c>
    </row>
    <row r="64" spans="1:9">
      <c r="A64" s="477" t="s">
        <v>735</v>
      </c>
      <c r="B64" s="473">
        <v>11612</v>
      </c>
      <c r="C64" s="473">
        <v>13199831</v>
      </c>
      <c r="D64" s="475">
        <v>11557</v>
      </c>
      <c r="E64" s="476">
        <v>13302131</v>
      </c>
      <c r="F64" s="475">
        <v>11557</v>
      </c>
      <c r="G64" s="475">
        <f t="shared" si="1"/>
        <v>13859822.550000001</v>
      </c>
      <c r="H64" s="475">
        <f t="shared" si="2"/>
        <v>55</v>
      </c>
      <c r="I64" s="476">
        <v>102300</v>
      </c>
    </row>
    <row r="65" spans="1:9">
      <c r="A65" s="472" t="s">
        <v>736</v>
      </c>
      <c r="B65" s="473"/>
      <c r="C65" s="474"/>
      <c r="D65" s="475"/>
      <c r="E65" s="476"/>
      <c r="F65" s="475"/>
      <c r="G65" s="475">
        <f t="shared" si="1"/>
        <v>0</v>
      </c>
      <c r="H65" s="475">
        <f t="shared" si="2"/>
        <v>0</v>
      </c>
      <c r="I65" s="476">
        <f t="shared" si="2"/>
        <v>0</v>
      </c>
    </row>
    <row r="66" spans="1:9">
      <c r="A66" s="472" t="s">
        <v>737</v>
      </c>
      <c r="B66" s="473">
        <v>5655</v>
      </c>
      <c r="C66" s="474">
        <v>1245369</v>
      </c>
      <c r="D66" s="473">
        <v>5974</v>
      </c>
      <c r="E66" s="476">
        <v>1249177</v>
      </c>
      <c r="F66" s="475">
        <v>5974</v>
      </c>
      <c r="G66" s="475">
        <f t="shared" si="1"/>
        <v>1307637.45</v>
      </c>
      <c r="H66" s="475">
        <v>319</v>
      </c>
      <c r="I66" s="476">
        <v>3808</v>
      </c>
    </row>
    <row r="67" spans="1:9">
      <c r="A67" s="472" t="s">
        <v>738</v>
      </c>
      <c r="B67" s="473"/>
      <c r="C67" s="474"/>
      <c r="D67" s="475"/>
      <c r="E67" s="476"/>
      <c r="F67" s="475"/>
      <c r="G67" s="475">
        <f t="shared" si="1"/>
        <v>0</v>
      </c>
      <c r="H67" s="475">
        <f t="shared" si="2"/>
        <v>0</v>
      </c>
      <c r="I67" s="476">
        <f t="shared" si="2"/>
        <v>0</v>
      </c>
    </row>
    <row r="68" spans="1:9">
      <c r="A68" s="472" t="s">
        <v>739</v>
      </c>
      <c r="B68" s="473">
        <v>11612</v>
      </c>
      <c r="C68" s="474">
        <v>21003269</v>
      </c>
      <c r="D68" s="475">
        <v>11557</v>
      </c>
      <c r="E68" s="476">
        <v>21262413</v>
      </c>
      <c r="F68" s="475">
        <v>11557</v>
      </c>
      <c r="G68" s="475">
        <f t="shared" si="1"/>
        <v>22053432.449999999</v>
      </c>
      <c r="H68" s="475">
        <f t="shared" si="2"/>
        <v>55</v>
      </c>
      <c r="I68" s="476">
        <v>259144</v>
      </c>
    </row>
    <row r="69" spans="1:9">
      <c r="A69" s="472" t="s">
        <v>740</v>
      </c>
      <c r="B69" s="473"/>
      <c r="C69" s="474"/>
      <c r="D69" s="475"/>
      <c r="E69" s="476"/>
      <c r="F69" s="475"/>
      <c r="G69" s="475">
        <f t="shared" si="1"/>
        <v>0</v>
      </c>
      <c r="H69" s="475">
        <f t="shared" si="2"/>
        <v>0</v>
      </c>
      <c r="I69" s="476">
        <f t="shared" si="2"/>
        <v>0</v>
      </c>
    </row>
    <row r="70" spans="1:9">
      <c r="A70" s="472" t="s">
        <v>741</v>
      </c>
      <c r="B70" s="473"/>
      <c r="C70" s="474"/>
      <c r="D70" s="475"/>
      <c r="E70" s="476"/>
      <c r="F70" s="475"/>
      <c r="G70" s="475">
        <f t="shared" si="1"/>
        <v>0</v>
      </c>
      <c r="H70" s="475">
        <f t="shared" si="2"/>
        <v>0</v>
      </c>
      <c r="I70" s="476">
        <f t="shared" si="2"/>
        <v>0</v>
      </c>
    </row>
    <row r="71" spans="1:9">
      <c r="A71" s="472" t="s">
        <v>742</v>
      </c>
      <c r="B71" s="473"/>
      <c r="C71" s="474"/>
      <c r="D71" s="475"/>
      <c r="E71" s="476"/>
      <c r="F71" s="475"/>
      <c r="G71" s="475">
        <f t="shared" si="1"/>
        <v>0</v>
      </c>
      <c r="H71" s="475">
        <f t="shared" si="2"/>
        <v>0</v>
      </c>
      <c r="I71" s="476">
        <f t="shared" si="2"/>
        <v>0</v>
      </c>
    </row>
    <row r="72" spans="1:9">
      <c r="A72" s="472" t="s">
        <v>743</v>
      </c>
      <c r="B72" s="473">
        <v>1419</v>
      </c>
      <c r="C72" s="474">
        <v>14888022</v>
      </c>
      <c r="D72" s="475">
        <v>1416</v>
      </c>
      <c r="E72" s="476">
        <v>10091063</v>
      </c>
      <c r="F72" s="475">
        <v>1416</v>
      </c>
      <c r="G72" s="475">
        <f t="shared" si="1"/>
        <v>15632423.1</v>
      </c>
      <c r="H72" s="475">
        <f t="shared" si="2"/>
        <v>3</v>
      </c>
      <c r="I72" s="476">
        <f t="shared" si="2"/>
        <v>4796959</v>
      </c>
    </row>
    <row r="73" spans="1:9">
      <c r="A73" s="472" t="s">
        <v>744</v>
      </c>
      <c r="B73" s="473">
        <v>120</v>
      </c>
      <c r="C73" s="474">
        <v>83774</v>
      </c>
      <c r="D73" s="475">
        <v>120</v>
      </c>
      <c r="E73" s="476">
        <v>83774</v>
      </c>
      <c r="F73" s="475">
        <v>120</v>
      </c>
      <c r="G73" s="475">
        <f t="shared" si="1"/>
        <v>87962.7</v>
      </c>
      <c r="H73" s="475">
        <f t="shared" si="2"/>
        <v>0</v>
      </c>
      <c r="I73" s="476">
        <f t="shared" si="2"/>
        <v>0</v>
      </c>
    </row>
    <row r="74" spans="1:9" ht="15.75" thickBot="1">
      <c r="A74" s="472" t="s">
        <v>749</v>
      </c>
      <c r="B74" s="473"/>
      <c r="C74" s="474"/>
      <c r="D74" s="475"/>
      <c r="E74" s="476"/>
      <c r="F74" s="475"/>
      <c r="G74" s="476"/>
      <c r="H74" s="475">
        <f t="shared" si="2"/>
        <v>0</v>
      </c>
      <c r="I74" s="476">
        <f t="shared" si="2"/>
        <v>0</v>
      </c>
    </row>
    <row r="75" spans="1:9" ht="15.75" thickBot="1">
      <c r="A75" s="318" t="s">
        <v>746</v>
      </c>
      <c r="B75" s="320"/>
      <c r="C75" s="320">
        <f>SUM(C59:C74)</f>
        <v>329263485</v>
      </c>
      <c r="D75" s="478"/>
      <c r="E75" s="320">
        <f>SUM(E59:E74)</f>
        <v>357870600</v>
      </c>
      <c r="F75" s="478"/>
      <c r="G75" s="479">
        <f>SUM(G59:G74)</f>
        <v>345726659.25</v>
      </c>
      <c r="H75" s="478"/>
      <c r="I75" s="479"/>
    </row>
    <row r="76" spans="1:9">
      <c r="A76" s="304" t="s">
        <v>747</v>
      </c>
      <c r="B76" s="215"/>
      <c r="C76" s="215"/>
      <c r="D76" s="215"/>
      <c r="E76" s="215"/>
      <c r="F76" s="215"/>
      <c r="G76" s="215"/>
      <c r="H76" s="215"/>
      <c r="I76" s="215"/>
    </row>
    <row r="77" spans="1:9">
      <c r="A77" s="304" t="s">
        <v>748</v>
      </c>
      <c r="B77" s="215"/>
      <c r="C77" s="215"/>
      <c r="D77" s="215"/>
      <c r="E77" s="215"/>
      <c r="F77" s="215"/>
      <c r="G77" s="215"/>
      <c r="H77" s="215"/>
      <c r="I77" s="215"/>
    </row>
    <row r="78" spans="1:9">
      <c r="A78" s="304"/>
      <c r="B78" s="215"/>
      <c r="C78" s="215"/>
      <c r="D78" s="215"/>
      <c r="E78" s="215"/>
      <c r="F78" s="215"/>
      <c r="G78" s="215"/>
      <c r="H78" s="215"/>
      <c r="I78" s="215"/>
    </row>
    <row r="79" spans="1:9">
      <c r="A79" s="295"/>
      <c r="B79" s="295"/>
      <c r="C79" s="295"/>
      <c r="D79" s="295"/>
      <c r="E79" s="295"/>
      <c r="F79" s="295"/>
      <c r="G79" s="295"/>
      <c r="H79" s="295"/>
      <c r="I79" s="295"/>
    </row>
    <row r="80" spans="1:9">
      <c r="A80" s="1331" t="s">
        <v>722</v>
      </c>
      <c r="B80" s="1331"/>
      <c r="C80" s="1331"/>
      <c r="D80" s="1331"/>
      <c r="E80" s="1331"/>
    </row>
    <row r="81" spans="1:9">
      <c r="A81" s="35" t="s">
        <v>456</v>
      </c>
      <c r="B81" s="128"/>
      <c r="C81" s="128"/>
      <c r="D81" s="467"/>
      <c r="E81" s="467"/>
    </row>
    <row r="82" spans="1:9" ht="16.5" thickBot="1">
      <c r="A82" s="35" t="s">
        <v>457</v>
      </c>
      <c r="B82" s="35"/>
      <c r="C82" s="35"/>
      <c r="D82" s="297"/>
      <c r="E82" s="297"/>
      <c r="F82" s="297"/>
      <c r="G82" s="297"/>
      <c r="H82" s="297"/>
      <c r="I82" s="297"/>
    </row>
    <row r="83" spans="1:9" ht="15.75" thickBot="1">
      <c r="A83" s="216" t="s">
        <v>538</v>
      </c>
      <c r="B83" s="1332" t="s">
        <v>724</v>
      </c>
      <c r="C83" s="1281"/>
      <c r="D83" s="1333" t="s">
        <v>725</v>
      </c>
      <c r="E83" s="1291"/>
      <c r="F83" s="1333" t="s">
        <v>726</v>
      </c>
      <c r="G83" s="1292"/>
      <c r="H83" s="1333" t="s">
        <v>727</v>
      </c>
      <c r="I83" s="1292"/>
    </row>
    <row r="84" spans="1:9" ht="24">
      <c r="A84" s="217" t="s">
        <v>541</v>
      </c>
      <c r="B84" s="469" t="s">
        <v>728</v>
      </c>
      <c r="C84" s="470" t="s">
        <v>729</v>
      </c>
      <c r="D84" s="217" t="s">
        <v>728</v>
      </c>
      <c r="E84" s="471" t="s">
        <v>729</v>
      </c>
      <c r="F84" s="217" t="s">
        <v>728</v>
      </c>
      <c r="G84" s="471" t="s">
        <v>729</v>
      </c>
      <c r="H84" s="217" t="s">
        <v>728</v>
      </c>
      <c r="I84" s="471" t="s">
        <v>729</v>
      </c>
    </row>
    <row r="85" spans="1:9">
      <c r="A85" s="472" t="s">
        <v>730</v>
      </c>
      <c r="B85" s="473">
        <v>541</v>
      </c>
      <c r="C85" s="489">
        <f>997296+31383+6974615+199380+5482067+394800</f>
        <v>14079541</v>
      </c>
      <c r="D85" s="473">
        <v>518</v>
      </c>
      <c r="E85" s="490">
        <f>871317+31383+7190710+199380+5641736+394800</f>
        <v>14329326</v>
      </c>
      <c r="F85" s="475"/>
      <c r="G85" s="490"/>
      <c r="H85" s="475"/>
      <c r="I85" s="490">
        <f>+E85-C85</f>
        <v>249785</v>
      </c>
    </row>
    <row r="86" spans="1:9">
      <c r="A86" s="472" t="s">
        <v>731</v>
      </c>
      <c r="B86" s="473"/>
      <c r="C86" s="489"/>
      <c r="D86" s="473"/>
      <c r="E86" s="490"/>
      <c r="F86" s="475"/>
      <c r="G86" s="490"/>
      <c r="H86" s="475"/>
      <c r="I86" s="490"/>
    </row>
    <row r="87" spans="1:9">
      <c r="A87" s="472" t="s">
        <v>732</v>
      </c>
      <c r="B87" s="473"/>
      <c r="C87" s="489"/>
      <c r="D87" s="473"/>
      <c r="E87" s="490"/>
      <c r="F87" s="475"/>
      <c r="G87" s="490"/>
      <c r="H87" s="475"/>
      <c r="I87" s="490"/>
    </row>
    <row r="88" spans="1:9">
      <c r="A88" s="477" t="s">
        <v>733</v>
      </c>
      <c r="B88" s="473"/>
      <c r="C88" s="489"/>
      <c r="D88" s="473"/>
      <c r="E88" s="490"/>
      <c r="F88" s="475"/>
      <c r="G88" s="490"/>
      <c r="H88" s="475"/>
      <c r="I88" s="490"/>
    </row>
    <row r="89" spans="1:9">
      <c r="A89" s="472" t="s">
        <v>734</v>
      </c>
      <c r="B89" s="473"/>
      <c r="C89" s="489"/>
      <c r="D89" s="473"/>
      <c r="E89" s="490"/>
      <c r="F89" s="475"/>
      <c r="G89" s="490"/>
      <c r="H89" s="475"/>
      <c r="I89" s="490"/>
    </row>
    <row r="90" spans="1:9">
      <c r="A90" s="477" t="s">
        <v>735</v>
      </c>
      <c r="B90" s="473">
        <v>523</v>
      </c>
      <c r="C90" s="489">
        <f>360000+254400</f>
        <v>614400</v>
      </c>
      <c r="D90" s="473">
        <v>502</v>
      </c>
      <c r="E90" s="490">
        <f>1657209+566200+358500+252800</f>
        <v>2834709</v>
      </c>
      <c r="F90" s="475"/>
      <c r="G90" s="490"/>
      <c r="H90" s="475"/>
      <c r="I90" s="490">
        <f>+E90-C90</f>
        <v>2220309</v>
      </c>
    </row>
    <row r="91" spans="1:9">
      <c r="A91" s="472" t="s">
        <v>736</v>
      </c>
      <c r="B91" s="473"/>
      <c r="C91" s="489"/>
      <c r="D91" s="473"/>
      <c r="E91" s="490"/>
      <c r="F91" s="475"/>
      <c r="G91" s="490"/>
      <c r="H91" s="475"/>
      <c r="I91" s="490"/>
    </row>
    <row r="92" spans="1:9">
      <c r="A92" s="472" t="s">
        <v>737</v>
      </c>
      <c r="B92" s="473">
        <v>523</v>
      </c>
      <c r="C92" s="489">
        <f>2631472+1911460+3500+3500</f>
        <v>4549932</v>
      </c>
      <c r="D92" s="473">
        <v>502</v>
      </c>
      <c r="E92" s="490">
        <f>2789588+3500+3500</f>
        <v>2796588</v>
      </c>
      <c r="F92" s="475"/>
      <c r="G92" s="490"/>
      <c r="H92" s="475"/>
      <c r="I92" s="490">
        <f>+E92-C92</f>
        <v>-1753344</v>
      </c>
    </row>
    <row r="93" spans="1:9">
      <c r="A93" s="472" t="s">
        <v>738</v>
      </c>
      <c r="B93" s="473"/>
      <c r="C93" s="489"/>
      <c r="D93" s="473"/>
      <c r="E93" s="490"/>
      <c r="F93" s="475"/>
      <c r="G93" s="490"/>
      <c r="H93" s="475"/>
      <c r="I93" s="490"/>
    </row>
    <row r="94" spans="1:9">
      <c r="A94" s="472" t="s">
        <v>739</v>
      </c>
      <c r="B94" s="473">
        <v>523</v>
      </c>
      <c r="C94" s="489">
        <f>131311+833169+89236</f>
        <v>1053716</v>
      </c>
      <c r="D94" s="473">
        <v>502</v>
      </c>
      <c r="E94" s="490">
        <f>131311+925246+91874</f>
        <v>1148431</v>
      </c>
      <c r="F94" s="475"/>
      <c r="G94" s="490"/>
      <c r="H94" s="475"/>
      <c r="I94" s="490">
        <f>+E94-C94</f>
        <v>94715</v>
      </c>
    </row>
    <row r="95" spans="1:9">
      <c r="A95" s="472" t="s">
        <v>740</v>
      </c>
      <c r="B95" s="473"/>
      <c r="C95" s="489"/>
      <c r="D95" s="473"/>
      <c r="E95" s="490"/>
      <c r="F95" s="475"/>
      <c r="G95" s="490"/>
      <c r="H95" s="475"/>
      <c r="I95" s="490"/>
    </row>
    <row r="96" spans="1:9">
      <c r="A96" s="472" t="s">
        <v>741</v>
      </c>
      <c r="B96" s="473"/>
      <c r="C96" s="489"/>
      <c r="D96" s="473"/>
      <c r="E96" s="490"/>
      <c r="F96" s="475"/>
      <c r="G96" s="490"/>
      <c r="H96" s="475"/>
      <c r="I96" s="490"/>
    </row>
    <row r="97" spans="1:9">
      <c r="A97" s="472" t="s">
        <v>742</v>
      </c>
      <c r="B97" s="473"/>
      <c r="C97" s="489"/>
      <c r="D97" s="473"/>
      <c r="E97" s="490"/>
      <c r="F97" s="475"/>
      <c r="G97" s="490"/>
      <c r="H97" s="475"/>
      <c r="I97" s="490"/>
    </row>
    <row r="98" spans="1:9">
      <c r="A98" s="472" t="s">
        <v>743</v>
      </c>
      <c r="B98" s="473">
        <v>89</v>
      </c>
      <c r="C98" s="489">
        <v>1098244</v>
      </c>
      <c r="D98" s="473">
        <v>86</v>
      </c>
      <c r="E98" s="490">
        <v>2019888</v>
      </c>
      <c r="F98" s="475"/>
      <c r="G98" s="490"/>
      <c r="H98" s="475"/>
      <c r="I98" s="490">
        <f>+E98-C98</f>
        <v>921644</v>
      </c>
    </row>
    <row r="99" spans="1:9">
      <c r="A99" s="472" t="s">
        <v>744</v>
      </c>
      <c r="B99" s="473"/>
      <c r="C99" s="489"/>
      <c r="D99" s="475"/>
      <c r="E99" s="490"/>
      <c r="F99" s="475"/>
      <c r="G99" s="490"/>
      <c r="H99" s="475"/>
      <c r="I99" s="490"/>
    </row>
    <row r="100" spans="1:9" ht="15.75" thickBot="1">
      <c r="A100" s="472" t="s">
        <v>749</v>
      </c>
      <c r="B100" s="473"/>
      <c r="C100" s="489"/>
      <c r="D100" s="475"/>
      <c r="E100" s="490"/>
      <c r="F100" s="475"/>
      <c r="G100" s="490"/>
      <c r="H100" s="475"/>
      <c r="I100" s="490"/>
    </row>
    <row r="101" spans="1:9" ht="15.75" thickBot="1">
      <c r="A101" s="318" t="s">
        <v>746</v>
      </c>
      <c r="B101" s="320"/>
      <c r="C101" s="320"/>
      <c r="D101" s="478"/>
      <c r="E101" s="479"/>
      <c r="F101" s="478"/>
      <c r="G101" s="479"/>
      <c r="H101" s="478"/>
      <c r="I101" s="479"/>
    </row>
    <row r="102" spans="1:9">
      <c r="A102" s="304" t="s">
        <v>747</v>
      </c>
      <c r="B102" s="215"/>
      <c r="C102" s="215"/>
      <c r="D102" s="215"/>
      <c r="E102" s="215"/>
      <c r="F102" s="215"/>
      <c r="G102" s="215"/>
      <c r="H102" s="215"/>
      <c r="I102" s="215"/>
    </row>
    <row r="103" spans="1:9">
      <c r="A103" s="304" t="s">
        <v>748</v>
      </c>
      <c r="B103" s="215"/>
      <c r="C103" s="215"/>
      <c r="D103" s="215"/>
      <c r="E103" s="215"/>
      <c r="F103" s="215"/>
      <c r="G103" s="215"/>
      <c r="H103" s="215"/>
      <c r="I103" s="215"/>
    </row>
    <row r="106" spans="1:9">
      <c r="A106" s="1331" t="s">
        <v>722</v>
      </c>
      <c r="B106" s="1331"/>
      <c r="C106" s="1331"/>
      <c r="D106" s="1331"/>
      <c r="E106" s="1331"/>
      <c r="F106" s="34"/>
      <c r="G106" s="34"/>
      <c r="H106" s="34"/>
      <c r="I106" s="34"/>
    </row>
    <row r="107" spans="1:9">
      <c r="A107" s="369" t="s">
        <v>456</v>
      </c>
      <c r="B107" s="128"/>
      <c r="C107" s="128"/>
      <c r="D107" s="467"/>
      <c r="E107" s="467"/>
      <c r="F107" s="34"/>
      <c r="G107" s="34"/>
      <c r="H107" s="34"/>
      <c r="I107" s="34"/>
    </row>
    <row r="108" spans="1:9" ht="16.5" thickBot="1">
      <c r="A108" s="35" t="s">
        <v>647</v>
      </c>
      <c r="B108" s="35"/>
      <c r="C108" s="35"/>
      <c r="D108" s="297"/>
      <c r="E108" s="297"/>
      <c r="F108" s="297"/>
      <c r="G108" s="297"/>
      <c r="H108" s="297"/>
      <c r="I108" s="297"/>
    </row>
    <row r="109" spans="1:9" ht="15.75" thickBot="1">
      <c r="A109" s="216" t="s">
        <v>538</v>
      </c>
      <c r="B109" s="1332" t="s">
        <v>724</v>
      </c>
      <c r="C109" s="1281"/>
      <c r="D109" s="1333" t="s">
        <v>725</v>
      </c>
      <c r="E109" s="1291"/>
      <c r="F109" s="1333" t="s">
        <v>726</v>
      </c>
      <c r="G109" s="1292"/>
      <c r="H109" s="1333" t="s">
        <v>727</v>
      </c>
      <c r="I109" s="1292"/>
    </row>
    <row r="110" spans="1:9" ht="24">
      <c r="A110" s="217" t="s">
        <v>541</v>
      </c>
      <c r="B110" s="469" t="s">
        <v>728</v>
      </c>
      <c r="C110" s="470" t="s">
        <v>729</v>
      </c>
      <c r="D110" s="217" t="s">
        <v>728</v>
      </c>
      <c r="E110" s="471" t="s">
        <v>729</v>
      </c>
      <c r="F110" s="217" t="s">
        <v>728</v>
      </c>
      <c r="G110" s="471" t="s">
        <v>729</v>
      </c>
      <c r="H110" s="217" t="s">
        <v>728</v>
      </c>
      <c r="I110" s="471" t="s">
        <v>729</v>
      </c>
    </row>
    <row r="111" spans="1:9">
      <c r="A111" s="472" t="s">
        <v>730</v>
      </c>
      <c r="B111" s="473">
        <v>672</v>
      </c>
      <c r="C111" s="474">
        <v>19632159</v>
      </c>
      <c r="D111" s="475">
        <v>673</v>
      </c>
      <c r="E111" s="476">
        <v>20137142</v>
      </c>
      <c r="F111" s="475"/>
      <c r="G111" s="476"/>
      <c r="H111" s="475">
        <f>+B111-D111</f>
        <v>-1</v>
      </c>
      <c r="I111" s="476">
        <f>+C111-E111</f>
        <v>-504983</v>
      </c>
    </row>
    <row r="112" spans="1:9">
      <c r="A112" s="472" t="s">
        <v>731</v>
      </c>
      <c r="B112" s="473"/>
      <c r="C112" s="474"/>
      <c r="D112" s="475"/>
      <c r="E112" s="476"/>
      <c r="F112" s="475"/>
      <c r="G112" s="476"/>
      <c r="H112" s="475">
        <f t="shared" ref="H112:I126" si="3">+B112-D112</f>
        <v>0</v>
      </c>
      <c r="I112" s="476">
        <f t="shared" si="3"/>
        <v>0</v>
      </c>
    </row>
    <row r="113" spans="1:9">
      <c r="A113" s="472" t="s">
        <v>732</v>
      </c>
      <c r="B113" s="473"/>
      <c r="C113" s="474"/>
      <c r="D113" s="475"/>
      <c r="E113" s="476"/>
      <c r="F113" s="475"/>
      <c r="G113" s="476"/>
      <c r="H113" s="475">
        <f t="shared" si="3"/>
        <v>0</v>
      </c>
      <c r="I113" s="476">
        <f t="shared" si="3"/>
        <v>0</v>
      </c>
    </row>
    <row r="114" spans="1:9">
      <c r="A114" s="477" t="s">
        <v>733</v>
      </c>
      <c r="B114" s="473"/>
      <c r="C114" s="474"/>
      <c r="D114" s="475"/>
      <c r="E114" s="476"/>
      <c r="F114" s="475"/>
      <c r="G114" s="476"/>
      <c r="H114" s="475">
        <f t="shared" si="3"/>
        <v>0</v>
      </c>
      <c r="I114" s="476">
        <f t="shared" si="3"/>
        <v>0</v>
      </c>
    </row>
    <row r="115" spans="1:9">
      <c r="A115" s="472" t="s">
        <v>734</v>
      </c>
      <c r="B115" s="473"/>
      <c r="C115" s="474"/>
      <c r="D115" s="475"/>
      <c r="E115" s="476"/>
      <c r="F115" s="475"/>
      <c r="G115" s="476"/>
      <c r="H115" s="475">
        <f t="shared" si="3"/>
        <v>0</v>
      </c>
      <c r="I115" s="476">
        <f t="shared" si="3"/>
        <v>0</v>
      </c>
    </row>
    <row r="116" spans="1:9">
      <c r="A116" s="477" t="s">
        <v>735</v>
      </c>
      <c r="B116" s="473">
        <v>672</v>
      </c>
      <c r="C116" s="474">
        <v>657000</v>
      </c>
      <c r="D116" s="475">
        <v>673</v>
      </c>
      <c r="E116" s="476">
        <v>665000</v>
      </c>
      <c r="F116" s="475"/>
      <c r="G116" s="476"/>
      <c r="H116" s="475">
        <f t="shared" si="3"/>
        <v>-1</v>
      </c>
      <c r="I116" s="476">
        <f t="shared" si="3"/>
        <v>-8000</v>
      </c>
    </row>
    <row r="117" spans="1:9">
      <c r="A117" s="472" t="s">
        <v>736</v>
      </c>
      <c r="B117" s="473"/>
      <c r="C117" s="474"/>
      <c r="D117" s="475"/>
      <c r="E117" s="476"/>
      <c r="F117" s="475"/>
      <c r="G117" s="476"/>
      <c r="H117" s="475">
        <f t="shared" si="3"/>
        <v>0</v>
      </c>
      <c r="I117" s="476">
        <f t="shared" si="3"/>
        <v>0</v>
      </c>
    </row>
    <row r="118" spans="1:9">
      <c r="A118" s="472" t="s">
        <v>737</v>
      </c>
      <c r="B118" s="473"/>
      <c r="C118" s="474">
        <v>80000</v>
      </c>
      <c r="D118" s="475"/>
      <c r="E118" s="476">
        <v>100000</v>
      </c>
      <c r="F118" s="475"/>
      <c r="G118" s="476"/>
      <c r="H118" s="475">
        <f t="shared" si="3"/>
        <v>0</v>
      </c>
      <c r="I118" s="476">
        <f t="shared" si="3"/>
        <v>-20000</v>
      </c>
    </row>
    <row r="119" spans="1:9">
      <c r="A119" s="472" t="s">
        <v>738</v>
      </c>
      <c r="B119" s="473"/>
      <c r="C119" s="474"/>
      <c r="D119" s="475"/>
      <c r="E119" s="476"/>
      <c r="F119" s="475"/>
      <c r="G119" s="476"/>
      <c r="H119" s="475">
        <f t="shared" si="3"/>
        <v>0</v>
      </c>
      <c r="I119" s="476">
        <f t="shared" si="3"/>
        <v>0</v>
      </c>
    </row>
    <row r="120" spans="1:9">
      <c r="A120" s="472" t="s">
        <v>739</v>
      </c>
      <c r="B120" s="473">
        <v>672</v>
      </c>
      <c r="C120" s="474">
        <v>1151136</v>
      </c>
      <c r="D120" s="475">
        <v>673</v>
      </c>
      <c r="E120" s="476">
        <v>1187601</v>
      </c>
      <c r="F120" s="475"/>
      <c r="G120" s="476"/>
      <c r="H120" s="475">
        <f t="shared" si="3"/>
        <v>-1</v>
      </c>
      <c r="I120" s="476">
        <f t="shared" si="3"/>
        <v>-36465</v>
      </c>
    </row>
    <row r="121" spans="1:9">
      <c r="A121" s="472" t="s">
        <v>740</v>
      </c>
      <c r="B121" s="473"/>
      <c r="C121" s="474"/>
      <c r="D121" s="475"/>
      <c r="E121" s="476"/>
      <c r="F121" s="475"/>
      <c r="G121" s="476"/>
      <c r="H121" s="475">
        <f t="shared" si="3"/>
        <v>0</v>
      </c>
      <c r="I121" s="476">
        <f t="shared" si="3"/>
        <v>0</v>
      </c>
    </row>
    <row r="122" spans="1:9">
      <c r="A122" s="472" t="s">
        <v>741</v>
      </c>
      <c r="B122" s="473"/>
      <c r="C122" s="474"/>
      <c r="D122" s="475"/>
      <c r="E122" s="476"/>
      <c r="F122" s="475"/>
      <c r="G122" s="476"/>
      <c r="H122" s="475">
        <f t="shared" si="3"/>
        <v>0</v>
      </c>
      <c r="I122" s="476">
        <f t="shared" si="3"/>
        <v>0</v>
      </c>
    </row>
    <row r="123" spans="1:9">
      <c r="A123" s="472" t="s">
        <v>742</v>
      </c>
      <c r="B123" s="473"/>
      <c r="C123" s="474"/>
      <c r="D123" s="475"/>
      <c r="E123" s="476"/>
      <c r="F123" s="475"/>
      <c r="G123" s="476"/>
      <c r="H123" s="475">
        <f t="shared" si="3"/>
        <v>0</v>
      </c>
      <c r="I123" s="476">
        <f t="shared" si="3"/>
        <v>0</v>
      </c>
    </row>
    <row r="124" spans="1:9">
      <c r="A124" s="472" t="s">
        <v>743</v>
      </c>
      <c r="B124" s="473"/>
      <c r="C124" s="474">
        <v>1150083</v>
      </c>
      <c r="D124" s="475"/>
      <c r="E124" s="476">
        <v>2998792</v>
      </c>
      <c r="F124" s="475"/>
      <c r="G124" s="476"/>
      <c r="H124" s="475">
        <f t="shared" si="3"/>
        <v>0</v>
      </c>
      <c r="I124" s="476">
        <f t="shared" si="3"/>
        <v>-1848709</v>
      </c>
    </row>
    <row r="125" spans="1:9">
      <c r="A125" s="472" t="s">
        <v>744</v>
      </c>
      <c r="B125" s="473"/>
      <c r="C125" s="474">
        <v>180000</v>
      </c>
      <c r="D125" s="475"/>
      <c r="E125" s="476">
        <v>160000</v>
      </c>
      <c r="F125" s="475"/>
      <c r="G125" s="476"/>
      <c r="H125" s="475">
        <f t="shared" si="3"/>
        <v>0</v>
      </c>
      <c r="I125" s="476">
        <f t="shared" si="3"/>
        <v>20000</v>
      </c>
    </row>
    <row r="126" spans="1:9" ht="15.75" thickBot="1">
      <c r="A126" s="472" t="s">
        <v>749</v>
      </c>
      <c r="B126" s="473"/>
      <c r="C126" s="474">
        <v>5164252</v>
      </c>
      <c r="D126" s="475"/>
      <c r="E126" s="476">
        <v>5336424</v>
      </c>
      <c r="F126" s="475"/>
      <c r="G126" s="476"/>
      <c r="H126" s="475">
        <f t="shared" si="3"/>
        <v>0</v>
      </c>
      <c r="I126" s="476">
        <f t="shared" si="3"/>
        <v>-172172</v>
      </c>
    </row>
    <row r="127" spans="1:9" ht="15.75" thickBot="1">
      <c r="A127" s="318" t="s">
        <v>746</v>
      </c>
      <c r="B127" s="320">
        <v>672</v>
      </c>
      <c r="C127" s="320">
        <f>SUM(C111:C126)</f>
        <v>28014630</v>
      </c>
      <c r="D127" s="320">
        <v>673</v>
      </c>
      <c r="E127" s="320">
        <f t="shared" ref="E127:I127" si="4">SUM(E111:E126)</f>
        <v>30584959</v>
      </c>
      <c r="F127" s="320"/>
      <c r="G127" s="320">
        <f t="shared" si="4"/>
        <v>0</v>
      </c>
      <c r="H127" s="320"/>
      <c r="I127" s="320">
        <f t="shared" si="4"/>
        <v>-2570329</v>
      </c>
    </row>
    <row r="128" spans="1:9">
      <c r="A128" s="304" t="s">
        <v>747</v>
      </c>
      <c r="B128" s="215"/>
      <c r="C128" s="215"/>
      <c r="D128" s="215"/>
      <c r="E128" s="215"/>
      <c r="F128" s="215"/>
      <c r="G128" s="215"/>
      <c r="H128" s="215"/>
      <c r="I128" s="215"/>
    </row>
    <row r="129" spans="1:9">
      <c r="A129" s="304" t="s">
        <v>748</v>
      </c>
      <c r="B129" s="215"/>
      <c r="C129" s="215"/>
      <c r="D129" s="215"/>
      <c r="E129" s="215"/>
      <c r="F129" s="215"/>
      <c r="G129" s="215"/>
      <c r="H129" s="215"/>
      <c r="I129" s="215"/>
    </row>
    <row r="130" spans="1:9">
      <c r="A130" s="304"/>
      <c r="B130" s="215"/>
      <c r="C130" s="215"/>
      <c r="D130" s="215"/>
      <c r="E130" s="215"/>
      <c r="F130" s="215"/>
      <c r="G130" s="215"/>
      <c r="H130" s="215"/>
      <c r="I130" s="215"/>
    </row>
    <row r="132" spans="1:9">
      <c r="A132" s="1331" t="s">
        <v>722</v>
      </c>
      <c r="B132" s="1331"/>
      <c r="C132" s="1331"/>
      <c r="D132" s="1331"/>
      <c r="E132" s="1331"/>
      <c r="F132" s="34"/>
      <c r="G132" s="34"/>
      <c r="H132" s="34"/>
      <c r="I132" s="34"/>
    </row>
    <row r="133" spans="1:9" ht="15.75">
      <c r="A133" s="466" t="s">
        <v>723</v>
      </c>
      <c r="B133" s="297"/>
      <c r="C133" s="297"/>
      <c r="D133" s="297"/>
      <c r="E133" s="297"/>
      <c r="F133" s="297"/>
      <c r="G133" s="297"/>
      <c r="H133" s="297"/>
      <c r="I133" s="297"/>
    </row>
    <row r="134" spans="1:9" ht="16.5" thickBot="1">
      <c r="A134" s="175" t="s">
        <v>751</v>
      </c>
      <c r="B134" s="297"/>
      <c r="C134" s="297"/>
      <c r="D134" s="297"/>
      <c r="E134" s="297"/>
      <c r="F134" s="297"/>
      <c r="G134" s="297"/>
      <c r="H134" s="297"/>
      <c r="I134" s="297"/>
    </row>
    <row r="135" spans="1:9" ht="15.75" thickBot="1">
      <c r="A135" s="216" t="s">
        <v>538</v>
      </c>
      <c r="B135" s="1332" t="s">
        <v>724</v>
      </c>
      <c r="C135" s="1281"/>
      <c r="D135" s="1333" t="s">
        <v>725</v>
      </c>
      <c r="E135" s="1291"/>
      <c r="F135" s="1333" t="s">
        <v>726</v>
      </c>
      <c r="G135" s="1292"/>
      <c r="H135" s="1333" t="s">
        <v>727</v>
      </c>
      <c r="I135" s="1292"/>
    </row>
    <row r="136" spans="1:9" ht="24">
      <c r="A136" s="217" t="s">
        <v>541</v>
      </c>
      <c r="B136" s="469" t="s">
        <v>728</v>
      </c>
      <c r="C136" s="470" t="s">
        <v>729</v>
      </c>
      <c r="D136" s="217" t="s">
        <v>728</v>
      </c>
      <c r="E136" s="471" t="s">
        <v>729</v>
      </c>
      <c r="F136" s="217" t="s">
        <v>728</v>
      </c>
      <c r="G136" s="471" t="s">
        <v>729</v>
      </c>
      <c r="H136" s="217" t="s">
        <v>728</v>
      </c>
      <c r="I136" s="471" t="s">
        <v>729</v>
      </c>
    </row>
    <row r="137" spans="1:9">
      <c r="A137" s="472" t="s">
        <v>730</v>
      </c>
      <c r="B137" s="473">
        <v>314</v>
      </c>
      <c r="C137" s="491">
        <v>10304696</v>
      </c>
      <c r="D137" s="475">
        <v>314</v>
      </c>
      <c r="E137" s="491">
        <v>11355381</v>
      </c>
      <c r="F137" s="475">
        <v>314</v>
      </c>
      <c r="G137" s="491">
        <v>12119183</v>
      </c>
      <c r="H137" s="475">
        <v>314</v>
      </c>
      <c r="I137" s="492">
        <f>C137-E137</f>
        <v>-1050685</v>
      </c>
    </row>
    <row r="138" spans="1:9">
      <c r="A138" s="472" t="s">
        <v>731</v>
      </c>
      <c r="B138" s="473"/>
      <c r="C138" s="491"/>
      <c r="D138" s="475"/>
      <c r="E138" s="491"/>
      <c r="F138" s="475"/>
      <c r="G138" s="491"/>
      <c r="H138" s="475"/>
      <c r="I138" s="492"/>
    </row>
    <row r="139" spans="1:9">
      <c r="A139" s="472" t="s">
        <v>732</v>
      </c>
      <c r="B139" s="473"/>
      <c r="C139" s="491"/>
      <c r="D139" s="475"/>
      <c r="E139" s="491"/>
      <c r="F139" s="475"/>
      <c r="G139" s="491"/>
      <c r="H139" s="475"/>
      <c r="I139" s="492"/>
    </row>
    <row r="140" spans="1:9">
      <c r="A140" s="477" t="s">
        <v>733</v>
      </c>
      <c r="B140" s="473"/>
      <c r="C140" s="491"/>
      <c r="D140" s="475"/>
      <c r="E140" s="491"/>
      <c r="F140" s="475"/>
      <c r="G140" s="491"/>
      <c r="H140" s="475"/>
      <c r="I140" s="492"/>
    </row>
    <row r="141" spans="1:9">
      <c r="A141" s="472" t="s">
        <v>734</v>
      </c>
      <c r="B141" s="473"/>
      <c r="C141" s="491"/>
      <c r="D141" s="475"/>
      <c r="E141" s="491"/>
      <c r="F141" s="475"/>
      <c r="G141" s="491"/>
      <c r="H141" s="475"/>
      <c r="I141" s="492"/>
    </row>
    <row r="142" spans="1:9">
      <c r="A142" s="477" t="s">
        <v>735</v>
      </c>
      <c r="B142" s="473">
        <v>310</v>
      </c>
      <c r="C142" s="491">
        <v>285732</v>
      </c>
      <c r="D142" s="475">
        <v>310</v>
      </c>
      <c r="E142" s="491">
        <v>277223</v>
      </c>
      <c r="F142" s="475">
        <v>310</v>
      </c>
      <c r="G142" s="491">
        <v>257223</v>
      </c>
      <c r="H142" s="475">
        <v>310</v>
      </c>
      <c r="I142" s="492">
        <f t="shared" ref="I142:I154" si="5">C142-E142</f>
        <v>8509</v>
      </c>
    </row>
    <row r="143" spans="1:9">
      <c r="A143" s="472" t="s">
        <v>736</v>
      </c>
      <c r="B143" s="473"/>
      <c r="C143" s="491"/>
      <c r="D143" s="475"/>
      <c r="E143" s="491"/>
      <c r="F143" s="475"/>
      <c r="G143" s="491"/>
      <c r="H143" s="475"/>
      <c r="I143" s="492"/>
    </row>
    <row r="144" spans="1:9">
      <c r="A144" s="472" t="s">
        <v>737</v>
      </c>
      <c r="B144" s="473"/>
      <c r="C144" s="491"/>
      <c r="D144" s="475"/>
      <c r="E144" s="491"/>
      <c r="F144" s="475"/>
      <c r="G144" s="491"/>
      <c r="H144" s="475"/>
      <c r="I144" s="492"/>
    </row>
    <row r="145" spans="1:9">
      <c r="A145" s="472" t="s">
        <v>738</v>
      </c>
      <c r="B145" s="473"/>
      <c r="C145" s="491"/>
      <c r="D145" s="475"/>
      <c r="E145" s="491"/>
      <c r="F145" s="475"/>
      <c r="G145" s="491"/>
      <c r="H145" s="475"/>
      <c r="I145" s="492"/>
    </row>
    <row r="146" spans="1:9">
      <c r="A146" s="472" t="s">
        <v>739</v>
      </c>
      <c r="B146" s="473">
        <v>310</v>
      </c>
      <c r="C146" s="491">
        <v>382664</v>
      </c>
      <c r="D146" s="475">
        <v>310</v>
      </c>
      <c r="E146" s="491">
        <v>487408</v>
      </c>
      <c r="F146" s="475">
        <v>310</v>
      </c>
      <c r="G146" s="491">
        <v>453746</v>
      </c>
      <c r="H146" s="475">
        <v>310</v>
      </c>
      <c r="I146" s="492">
        <f t="shared" si="5"/>
        <v>-104744</v>
      </c>
    </row>
    <row r="147" spans="1:9">
      <c r="A147" s="472" t="s">
        <v>740</v>
      </c>
      <c r="B147" s="473"/>
      <c r="C147" s="491"/>
      <c r="D147" s="475"/>
      <c r="E147" s="491"/>
      <c r="F147" s="475"/>
      <c r="G147" s="491"/>
      <c r="H147" s="475"/>
      <c r="I147" s="492"/>
    </row>
    <row r="148" spans="1:9">
      <c r="A148" s="472" t="s">
        <v>741</v>
      </c>
      <c r="B148" s="473"/>
      <c r="C148" s="491"/>
      <c r="D148" s="475"/>
      <c r="E148" s="491"/>
      <c r="F148" s="475"/>
      <c r="G148" s="491"/>
      <c r="H148" s="475"/>
      <c r="I148" s="492"/>
    </row>
    <row r="149" spans="1:9">
      <c r="A149" s="472" t="s">
        <v>742</v>
      </c>
      <c r="B149" s="473"/>
      <c r="C149" s="491"/>
      <c r="D149" s="475"/>
      <c r="E149" s="491"/>
      <c r="F149" s="475"/>
      <c r="G149" s="491"/>
      <c r="H149" s="475"/>
      <c r="I149" s="492"/>
    </row>
    <row r="150" spans="1:9">
      <c r="A150" s="472" t="s">
        <v>743</v>
      </c>
      <c r="B150" s="473">
        <v>50</v>
      </c>
      <c r="C150" s="491">
        <v>620329</v>
      </c>
      <c r="D150" s="475">
        <v>50</v>
      </c>
      <c r="E150" s="491">
        <v>935328</v>
      </c>
      <c r="F150" s="475">
        <v>50</v>
      </c>
      <c r="G150" s="491">
        <v>1362128</v>
      </c>
      <c r="H150" s="475">
        <v>50</v>
      </c>
      <c r="I150" s="492">
        <f t="shared" ref="I150" si="6">C150-E150</f>
        <v>-314999</v>
      </c>
    </row>
    <row r="151" spans="1:9">
      <c r="A151" s="493" t="s">
        <v>744</v>
      </c>
      <c r="B151" s="494"/>
      <c r="C151" s="491"/>
      <c r="D151" s="495"/>
      <c r="E151" s="491"/>
      <c r="F151" s="495"/>
      <c r="G151" s="491"/>
      <c r="H151" s="495"/>
      <c r="I151" s="492"/>
    </row>
    <row r="152" spans="1:9">
      <c r="A152" s="496" t="s">
        <v>749</v>
      </c>
      <c r="B152" s="497"/>
      <c r="C152" s="491"/>
      <c r="D152" s="497"/>
      <c r="E152" s="491"/>
      <c r="F152" s="497"/>
      <c r="G152" s="491"/>
      <c r="H152" s="497"/>
      <c r="I152" s="492"/>
    </row>
    <row r="153" spans="1:9">
      <c r="A153" s="498" t="s">
        <v>752</v>
      </c>
      <c r="B153" s="497"/>
      <c r="C153" s="491">
        <v>45874</v>
      </c>
      <c r="D153" s="497"/>
      <c r="E153" s="491">
        <v>45874</v>
      </c>
      <c r="F153" s="497"/>
      <c r="G153" s="491">
        <v>61539</v>
      </c>
      <c r="H153" s="497"/>
      <c r="I153" s="492"/>
    </row>
    <row r="154" spans="1:9">
      <c r="A154" s="499" t="s">
        <v>753</v>
      </c>
      <c r="B154" s="497"/>
      <c r="C154" s="491">
        <v>25464</v>
      </c>
      <c r="D154" s="497"/>
      <c r="E154" s="491">
        <v>25463</v>
      </c>
      <c r="F154" s="497"/>
      <c r="G154" s="491">
        <v>25463</v>
      </c>
      <c r="H154" s="497"/>
      <c r="I154" s="492">
        <f t="shared" si="5"/>
        <v>1</v>
      </c>
    </row>
    <row r="155" spans="1:9" ht="15.75" thickBot="1">
      <c r="A155" s="500" t="s">
        <v>746</v>
      </c>
      <c r="B155" s="501"/>
      <c r="C155" s="502">
        <f>SUM(C137:C154)</f>
        <v>11664759</v>
      </c>
      <c r="D155" s="503"/>
      <c r="E155" s="504">
        <f>SUM(E137:E154)</f>
        <v>13126677</v>
      </c>
      <c r="F155" s="503"/>
      <c r="G155" s="504">
        <f>SUM(G137:G154)</f>
        <v>14279282</v>
      </c>
      <c r="H155" s="503"/>
      <c r="I155" s="504">
        <f>SUM(I137:I154)</f>
        <v>-1461918</v>
      </c>
    </row>
    <row r="156" spans="1:9">
      <c r="A156" s="304" t="s">
        <v>747</v>
      </c>
      <c r="B156" s="215"/>
      <c r="C156" s="215"/>
      <c r="D156" s="215"/>
      <c r="E156" s="215"/>
      <c r="F156" s="215"/>
      <c r="G156" s="215"/>
      <c r="H156" s="215"/>
      <c r="I156" s="215"/>
    </row>
    <row r="157" spans="1:9">
      <c r="A157" s="304" t="s">
        <v>748</v>
      </c>
      <c r="B157" s="215"/>
      <c r="C157" s="215"/>
      <c r="D157" s="215"/>
      <c r="E157" s="215"/>
      <c r="F157" s="215"/>
      <c r="G157" s="215"/>
      <c r="H157" s="215"/>
      <c r="I157" s="215"/>
    </row>
    <row r="160" spans="1:9">
      <c r="A160" s="1331" t="s">
        <v>722</v>
      </c>
      <c r="B160" s="1331"/>
      <c r="C160" s="1331"/>
      <c r="D160" s="1331"/>
      <c r="E160" s="1331"/>
      <c r="F160" s="34"/>
      <c r="G160" s="34"/>
      <c r="H160" s="34"/>
      <c r="I160" s="34"/>
    </row>
    <row r="161" spans="1:9">
      <c r="A161" s="466" t="s">
        <v>723</v>
      </c>
      <c r="B161" s="467"/>
      <c r="C161" s="467"/>
      <c r="D161" s="467"/>
      <c r="E161" s="467"/>
      <c r="F161" s="34"/>
      <c r="G161" s="34"/>
      <c r="H161" s="34"/>
      <c r="I161" s="34"/>
    </row>
    <row r="162" spans="1:9" ht="16.5" thickBot="1">
      <c r="A162" s="466" t="s">
        <v>691</v>
      </c>
      <c r="B162" s="297"/>
      <c r="C162" s="297"/>
      <c r="D162" s="297"/>
      <c r="E162" s="297"/>
      <c r="F162" s="297"/>
      <c r="G162" s="297"/>
      <c r="H162" s="297"/>
      <c r="I162" s="297"/>
    </row>
    <row r="163" spans="1:9" ht="15.75" thickBot="1">
      <c r="A163" s="216" t="s">
        <v>538</v>
      </c>
      <c r="B163" s="1332" t="s">
        <v>724</v>
      </c>
      <c r="C163" s="1281"/>
      <c r="D163" s="1333" t="s">
        <v>725</v>
      </c>
      <c r="E163" s="1291"/>
      <c r="F163" s="1333" t="s">
        <v>726</v>
      </c>
      <c r="G163" s="1292"/>
      <c r="H163" s="1333" t="s">
        <v>727</v>
      </c>
      <c r="I163" s="1292"/>
    </row>
    <row r="164" spans="1:9" ht="24">
      <c r="A164" s="217" t="s">
        <v>541</v>
      </c>
      <c r="B164" s="469" t="s">
        <v>728</v>
      </c>
      <c r="C164" s="470" t="s">
        <v>729</v>
      </c>
      <c r="D164" s="217" t="s">
        <v>728</v>
      </c>
      <c r="E164" s="471" t="s">
        <v>729</v>
      </c>
      <c r="F164" s="217" t="s">
        <v>728</v>
      </c>
      <c r="G164" s="471" t="s">
        <v>729</v>
      </c>
      <c r="H164" s="217" t="s">
        <v>728</v>
      </c>
      <c r="I164" s="471" t="s">
        <v>729</v>
      </c>
    </row>
    <row r="165" spans="1:9">
      <c r="A165" s="472" t="s">
        <v>730</v>
      </c>
      <c r="B165" s="473"/>
      <c r="C165" s="474"/>
      <c r="D165" s="475"/>
      <c r="E165" s="476"/>
      <c r="F165" s="475"/>
      <c r="G165" s="476"/>
      <c r="H165" s="475">
        <f t="shared" ref="H165:H180" si="7">+D165-B165</f>
        <v>0</v>
      </c>
      <c r="I165" s="476">
        <f t="shared" ref="I165:I169" si="8">+C165-E165</f>
        <v>0</v>
      </c>
    </row>
    <row r="166" spans="1:9">
      <c r="A166" s="472" t="s">
        <v>731</v>
      </c>
      <c r="B166" s="473"/>
      <c r="C166" s="474"/>
      <c r="D166" s="475"/>
      <c r="E166" s="476"/>
      <c r="F166" s="475"/>
      <c r="G166" s="476"/>
      <c r="H166" s="475">
        <f t="shared" si="7"/>
        <v>0</v>
      </c>
      <c r="I166" s="476">
        <f t="shared" si="8"/>
        <v>0</v>
      </c>
    </row>
    <row r="167" spans="1:9">
      <c r="A167" s="472" t="s">
        <v>732</v>
      </c>
      <c r="B167" s="473"/>
      <c r="C167" s="474"/>
      <c r="D167" s="475"/>
      <c r="E167" s="476"/>
      <c r="F167" s="475"/>
      <c r="G167" s="476"/>
      <c r="H167" s="475">
        <f t="shared" si="7"/>
        <v>0</v>
      </c>
      <c r="I167" s="476">
        <f t="shared" si="8"/>
        <v>0</v>
      </c>
    </row>
    <row r="168" spans="1:9">
      <c r="A168" s="477" t="s">
        <v>733</v>
      </c>
      <c r="B168" s="473"/>
      <c r="C168" s="474"/>
      <c r="D168" s="475"/>
      <c r="E168" s="476"/>
      <c r="F168" s="475"/>
      <c r="G168" s="476"/>
      <c r="H168" s="475">
        <f t="shared" si="7"/>
        <v>0</v>
      </c>
      <c r="I168" s="476">
        <f t="shared" si="8"/>
        <v>0</v>
      </c>
    </row>
    <row r="169" spans="1:9">
      <c r="A169" s="472" t="s">
        <v>734</v>
      </c>
      <c r="B169" s="473"/>
      <c r="C169" s="474"/>
      <c r="D169" s="475"/>
      <c r="E169" s="476"/>
      <c r="F169" s="475"/>
      <c r="G169" s="476"/>
      <c r="H169" s="475">
        <f t="shared" si="7"/>
        <v>0</v>
      </c>
      <c r="I169" s="476">
        <f t="shared" si="8"/>
        <v>0</v>
      </c>
    </row>
    <row r="170" spans="1:9">
      <c r="A170" s="477" t="s">
        <v>735</v>
      </c>
      <c r="B170" s="473">
        <v>181</v>
      </c>
      <c r="C170" s="474">
        <v>54617</v>
      </c>
      <c r="D170" s="473">
        <v>181</v>
      </c>
      <c r="E170" s="474">
        <v>71600</v>
      </c>
      <c r="F170" s="473">
        <v>181</v>
      </c>
      <c r="G170" s="474">
        <f>+F170*400</f>
        <v>72400</v>
      </c>
      <c r="H170" s="475">
        <f t="shared" si="7"/>
        <v>0</v>
      </c>
      <c r="I170" s="476">
        <f>+C170-E170</f>
        <v>-16983</v>
      </c>
    </row>
    <row r="171" spans="1:9">
      <c r="A171" s="472" t="s">
        <v>736</v>
      </c>
      <c r="B171" s="473"/>
      <c r="C171" s="474"/>
      <c r="D171" s="475"/>
      <c r="E171" s="476"/>
      <c r="F171" s="475"/>
      <c r="G171" s="476"/>
      <c r="H171" s="475">
        <f t="shared" si="7"/>
        <v>0</v>
      </c>
      <c r="I171" s="476">
        <f t="shared" ref="I171:I180" si="9">+C171-E171</f>
        <v>0</v>
      </c>
    </row>
    <row r="172" spans="1:9">
      <c r="A172" s="472" t="s">
        <v>737</v>
      </c>
      <c r="B172" s="473"/>
      <c r="C172" s="474"/>
      <c r="D172" s="475"/>
      <c r="E172" s="476"/>
      <c r="F172" s="475"/>
      <c r="G172" s="476"/>
      <c r="H172" s="475">
        <f t="shared" si="7"/>
        <v>0</v>
      </c>
      <c r="I172" s="476">
        <f t="shared" si="9"/>
        <v>0</v>
      </c>
    </row>
    <row r="173" spans="1:9">
      <c r="A173" s="472" t="s">
        <v>738</v>
      </c>
      <c r="B173" s="473"/>
      <c r="C173" s="474"/>
      <c r="D173" s="475"/>
      <c r="E173" s="476"/>
      <c r="F173" s="475"/>
      <c r="G173" s="476"/>
      <c r="H173" s="475">
        <f t="shared" si="7"/>
        <v>0</v>
      </c>
      <c r="I173" s="476">
        <f t="shared" si="9"/>
        <v>0</v>
      </c>
    </row>
    <row r="174" spans="1:9">
      <c r="A174" s="472" t="s">
        <v>739</v>
      </c>
      <c r="B174" s="473">
        <v>181</v>
      </c>
      <c r="C174" s="474">
        <v>289758</v>
      </c>
      <c r="D174" s="475">
        <v>181</v>
      </c>
      <c r="E174" s="476">
        <v>319933</v>
      </c>
      <c r="F174" s="475">
        <v>181</v>
      </c>
      <c r="G174" s="476">
        <v>319933</v>
      </c>
      <c r="H174" s="475">
        <f t="shared" si="7"/>
        <v>0</v>
      </c>
      <c r="I174" s="476">
        <f t="shared" si="9"/>
        <v>-30175</v>
      </c>
    </row>
    <row r="175" spans="1:9">
      <c r="A175" s="472" t="s">
        <v>740</v>
      </c>
      <c r="B175" s="473"/>
      <c r="C175" s="474"/>
      <c r="D175" s="475"/>
      <c r="E175" s="476"/>
      <c r="F175" s="475"/>
      <c r="G175" s="476"/>
      <c r="H175" s="475">
        <f t="shared" si="7"/>
        <v>0</v>
      </c>
      <c r="I175" s="476">
        <f t="shared" si="9"/>
        <v>0</v>
      </c>
    </row>
    <row r="176" spans="1:9">
      <c r="A176" s="472" t="s">
        <v>741</v>
      </c>
      <c r="B176" s="473"/>
      <c r="C176" s="474"/>
      <c r="D176" s="475"/>
      <c r="E176" s="476"/>
      <c r="F176" s="475"/>
      <c r="G176" s="476"/>
      <c r="H176" s="475">
        <f t="shared" si="7"/>
        <v>0</v>
      </c>
      <c r="I176" s="476">
        <f t="shared" si="9"/>
        <v>0</v>
      </c>
    </row>
    <row r="177" spans="1:9">
      <c r="A177" s="472" t="s">
        <v>742</v>
      </c>
      <c r="B177" s="473"/>
      <c r="C177" s="474"/>
      <c r="D177" s="475"/>
      <c r="E177" s="476"/>
      <c r="F177" s="475"/>
      <c r="G177" s="476"/>
      <c r="H177" s="475">
        <f t="shared" si="7"/>
        <v>0</v>
      </c>
      <c r="I177" s="476">
        <f t="shared" si="9"/>
        <v>0</v>
      </c>
    </row>
    <row r="178" spans="1:9">
      <c r="A178" s="472" t="s">
        <v>743</v>
      </c>
      <c r="B178" s="473"/>
      <c r="C178" s="474"/>
      <c r="D178" s="475"/>
      <c r="E178" s="476"/>
      <c r="F178" s="475"/>
      <c r="G178" s="476"/>
      <c r="H178" s="475">
        <f t="shared" si="7"/>
        <v>0</v>
      </c>
      <c r="I178" s="476">
        <f t="shared" si="9"/>
        <v>0</v>
      </c>
    </row>
    <row r="179" spans="1:9">
      <c r="A179" s="472" t="s">
        <v>744</v>
      </c>
      <c r="B179" s="473"/>
      <c r="C179" s="474"/>
      <c r="D179" s="475"/>
      <c r="E179" s="476"/>
      <c r="F179" s="475"/>
      <c r="G179" s="476"/>
      <c r="H179" s="475">
        <f t="shared" si="7"/>
        <v>0</v>
      </c>
      <c r="I179" s="476">
        <f t="shared" si="9"/>
        <v>0</v>
      </c>
    </row>
    <row r="180" spans="1:9" ht="15.75" thickBot="1">
      <c r="A180" s="472" t="s">
        <v>749</v>
      </c>
      <c r="B180" s="473"/>
      <c r="C180" s="474"/>
      <c r="D180" s="475">
        <v>180</v>
      </c>
      <c r="E180" s="476">
        <v>1704980</v>
      </c>
      <c r="F180" s="475">
        <v>180</v>
      </c>
      <c r="G180" s="476">
        <v>1704980</v>
      </c>
      <c r="H180" s="475">
        <f t="shared" si="7"/>
        <v>180</v>
      </c>
      <c r="I180" s="476">
        <f t="shared" si="9"/>
        <v>-1704980</v>
      </c>
    </row>
    <row r="181" spans="1:9" ht="15.75" thickBot="1">
      <c r="A181" s="318" t="s">
        <v>746</v>
      </c>
      <c r="B181" s="320">
        <f>SUM(B165:B180)</f>
        <v>362</v>
      </c>
      <c r="C181" s="320">
        <f t="shared" ref="C181:I181" si="10">SUM(C165:C180)</f>
        <v>344375</v>
      </c>
      <c r="D181" s="320">
        <f t="shared" si="10"/>
        <v>542</v>
      </c>
      <c r="E181" s="320">
        <f t="shared" si="10"/>
        <v>2096513</v>
      </c>
      <c r="F181" s="320">
        <f t="shared" si="10"/>
        <v>542</v>
      </c>
      <c r="G181" s="320">
        <f t="shared" si="10"/>
        <v>2097313</v>
      </c>
      <c r="H181" s="320">
        <f t="shared" si="10"/>
        <v>180</v>
      </c>
      <c r="I181" s="320">
        <f t="shared" si="10"/>
        <v>-1752138</v>
      </c>
    </row>
    <row r="182" spans="1:9">
      <c r="A182" s="304" t="s">
        <v>747</v>
      </c>
      <c r="B182" s="215"/>
      <c r="C182" s="215"/>
      <c r="D182" s="215"/>
      <c r="E182" s="215"/>
      <c r="F182" s="215"/>
      <c r="G182" s="215"/>
      <c r="H182" s="215"/>
      <c r="I182" s="215"/>
    </row>
    <row r="183" spans="1:9">
      <c r="A183" s="304" t="s">
        <v>748</v>
      </c>
      <c r="B183" s="215"/>
      <c r="C183" s="215"/>
      <c r="D183" s="215"/>
      <c r="E183" s="215"/>
      <c r="F183" s="215"/>
      <c r="G183" s="215"/>
      <c r="H183" s="215"/>
      <c r="I183" s="215"/>
    </row>
    <row r="186" spans="1:9">
      <c r="A186" s="1331" t="s">
        <v>722</v>
      </c>
      <c r="B186" s="1331"/>
      <c r="C186" s="1331"/>
      <c r="D186" s="1331"/>
      <c r="E186" s="1331"/>
      <c r="F186" s="34"/>
      <c r="G186" s="34"/>
      <c r="H186" s="34"/>
      <c r="I186" s="34"/>
    </row>
    <row r="187" spans="1:9">
      <c r="A187" s="466" t="s">
        <v>723</v>
      </c>
      <c r="B187" s="467"/>
      <c r="C187" s="467"/>
      <c r="D187" s="467"/>
      <c r="E187" s="467"/>
      <c r="F187" s="34"/>
      <c r="G187" s="34"/>
      <c r="H187" s="34"/>
      <c r="I187" s="34"/>
    </row>
    <row r="188" spans="1:9" ht="16.5" thickBot="1">
      <c r="A188" s="466" t="s">
        <v>754</v>
      </c>
      <c r="B188" s="297"/>
      <c r="C188" s="297"/>
      <c r="D188" s="297"/>
      <c r="E188" s="297"/>
      <c r="F188" s="297"/>
      <c r="G188" s="297"/>
      <c r="H188" s="297"/>
      <c r="I188" s="297"/>
    </row>
    <row r="189" spans="1:9" ht="15.75" thickBot="1">
      <c r="A189" s="216" t="s">
        <v>538</v>
      </c>
      <c r="B189" s="1332" t="s">
        <v>724</v>
      </c>
      <c r="C189" s="1281"/>
      <c r="D189" s="1333" t="s">
        <v>725</v>
      </c>
      <c r="E189" s="1291"/>
      <c r="F189" s="1333" t="s">
        <v>726</v>
      </c>
      <c r="G189" s="1292"/>
      <c r="H189" s="1333" t="s">
        <v>727</v>
      </c>
      <c r="I189" s="1292"/>
    </row>
    <row r="190" spans="1:9" ht="24">
      <c r="A190" s="217" t="s">
        <v>541</v>
      </c>
      <c r="B190" s="469" t="s">
        <v>728</v>
      </c>
      <c r="C190" s="470" t="s">
        <v>729</v>
      </c>
      <c r="D190" s="217" t="s">
        <v>728</v>
      </c>
      <c r="E190" s="471" t="s">
        <v>729</v>
      </c>
      <c r="F190" s="217" t="s">
        <v>728</v>
      </c>
      <c r="G190" s="471" t="s">
        <v>729</v>
      </c>
      <c r="H190" s="217" t="s">
        <v>728</v>
      </c>
      <c r="I190" s="471" t="s">
        <v>729</v>
      </c>
    </row>
    <row r="191" spans="1:9">
      <c r="A191" s="505" t="s">
        <v>730</v>
      </c>
      <c r="B191" s="473">
        <v>143</v>
      </c>
      <c r="C191" s="491">
        <f>3503513+542800</f>
        <v>4046313</v>
      </c>
      <c r="D191" s="473">
        <v>144</v>
      </c>
      <c r="E191" s="491">
        <v>3871105</v>
      </c>
      <c r="F191" s="473">
        <v>144</v>
      </c>
      <c r="G191" s="491">
        <v>4641681</v>
      </c>
      <c r="H191" s="475">
        <f>+B191-D191</f>
        <v>-1</v>
      </c>
      <c r="I191" s="492">
        <f>+C191-E191</f>
        <v>175208</v>
      </c>
    </row>
    <row r="192" spans="1:9">
      <c r="A192" s="506" t="s">
        <v>735</v>
      </c>
      <c r="B192" s="473">
        <v>141</v>
      </c>
      <c r="C192" s="491">
        <v>131000</v>
      </c>
      <c r="D192" s="473">
        <v>142</v>
      </c>
      <c r="E192" s="491">
        <v>154800</v>
      </c>
      <c r="F192" s="473">
        <v>142</v>
      </c>
      <c r="G192" s="491">
        <v>127800</v>
      </c>
      <c r="H192" s="475">
        <f t="shared" ref="H192:I195" si="11">+B192-D192</f>
        <v>-1</v>
      </c>
      <c r="I192" s="492">
        <f t="shared" si="11"/>
        <v>-23800</v>
      </c>
    </row>
    <row r="193" spans="1:9">
      <c r="A193" s="505" t="s">
        <v>739</v>
      </c>
      <c r="B193" s="473">
        <v>143</v>
      </c>
      <c r="C193" s="491">
        <v>252200</v>
      </c>
      <c r="D193" s="473">
        <v>144</v>
      </c>
      <c r="E193" s="491">
        <v>216619</v>
      </c>
      <c r="F193" s="473">
        <v>144</v>
      </c>
      <c r="G193" s="491">
        <v>200502</v>
      </c>
      <c r="H193" s="475">
        <f t="shared" si="11"/>
        <v>-1</v>
      </c>
      <c r="I193" s="492">
        <f t="shared" si="11"/>
        <v>35581</v>
      </c>
    </row>
    <row r="194" spans="1:9">
      <c r="A194" s="505" t="s">
        <v>755</v>
      </c>
      <c r="B194" s="473">
        <v>143</v>
      </c>
      <c r="C194" s="491">
        <v>359924</v>
      </c>
      <c r="D194" s="473">
        <v>0</v>
      </c>
      <c r="E194" s="491">
        <v>0</v>
      </c>
      <c r="F194" s="473">
        <v>0</v>
      </c>
      <c r="G194" s="491">
        <v>0</v>
      </c>
      <c r="H194" s="475">
        <f t="shared" si="11"/>
        <v>143</v>
      </c>
      <c r="I194" s="492">
        <f t="shared" si="11"/>
        <v>359924</v>
      </c>
    </row>
    <row r="195" spans="1:9" ht="15.75" thickBot="1">
      <c r="A195" s="505" t="s">
        <v>756</v>
      </c>
      <c r="B195" s="473">
        <v>143</v>
      </c>
      <c r="C195" s="491">
        <v>342144</v>
      </c>
      <c r="D195" s="473">
        <v>143</v>
      </c>
      <c r="E195" s="491">
        <v>1950975</v>
      </c>
      <c r="F195" s="473">
        <v>143</v>
      </c>
      <c r="G195" s="491">
        <v>1570951</v>
      </c>
      <c r="H195" s="475">
        <f t="shared" si="11"/>
        <v>0</v>
      </c>
      <c r="I195" s="492">
        <f t="shared" si="11"/>
        <v>-1608831</v>
      </c>
    </row>
    <row r="196" spans="1:9" ht="15.75" thickBot="1">
      <c r="A196" s="318" t="s">
        <v>746</v>
      </c>
      <c r="B196" s="320"/>
      <c r="C196" s="465">
        <f>SUM(C191:C195)</f>
        <v>5131581</v>
      </c>
      <c r="D196" s="507"/>
      <c r="E196" s="465">
        <f>SUM(E191:E195)</f>
        <v>6193499</v>
      </c>
      <c r="F196" s="507"/>
      <c r="G196" s="465">
        <f>SUM(G191:G195)</f>
        <v>6540934</v>
      </c>
      <c r="H196" s="507"/>
      <c r="I196" s="465">
        <f>SUM(I191:I195)</f>
        <v>-1061918</v>
      </c>
    </row>
    <row r="197" spans="1:9">
      <c r="A197" s="304" t="s">
        <v>747</v>
      </c>
      <c r="B197" s="215"/>
      <c r="C197" s="215"/>
      <c r="D197" s="215"/>
      <c r="E197" s="215"/>
      <c r="F197" s="215"/>
      <c r="G197" s="215"/>
      <c r="H197" s="215"/>
      <c r="I197" s="215"/>
    </row>
    <row r="198" spans="1:9">
      <c r="A198" s="304" t="s">
        <v>748</v>
      </c>
      <c r="B198" s="215"/>
      <c r="C198" s="215"/>
      <c r="D198" s="215"/>
      <c r="E198" s="215"/>
      <c r="F198" s="215"/>
      <c r="G198" s="215"/>
      <c r="H198" s="215"/>
      <c r="I198" s="215"/>
    </row>
    <row r="199" spans="1:9">
      <c r="A199" s="304"/>
      <c r="B199" s="215"/>
      <c r="C199" s="215"/>
      <c r="D199" s="215"/>
      <c r="E199" s="215"/>
      <c r="F199" s="215"/>
      <c r="G199" s="508"/>
      <c r="H199" s="215"/>
      <c r="I199" s="215"/>
    </row>
    <row r="202" spans="1:9">
      <c r="A202" s="1331" t="s">
        <v>722</v>
      </c>
      <c r="B202" s="1331"/>
      <c r="C202" s="1331"/>
      <c r="D202" s="1331"/>
      <c r="E202" s="1331"/>
      <c r="F202" s="34"/>
      <c r="G202" s="34"/>
      <c r="H202" s="34"/>
      <c r="I202" s="34"/>
    </row>
    <row r="203" spans="1:9">
      <c r="A203" s="1306" t="s">
        <v>301</v>
      </c>
      <c r="B203" s="1306"/>
      <c r="C203" s="1306"/>
      <c r="D203" s="1306"/>
      <c r="E203" s="467"/>
      <c r="F203" s="34"/>
      <c r="G203" s="34"/>
      <c r="H203" s="34"/>
      <c r="I203" s="34"/>
    </row>
    <row r="204" spans="1:9" ht="16.5" thickBot="1">
      <c r="A204" s="1323" t="s">
        <v>460</v>
      </c>
      <c r="B204" s="1323"/>
      <c r="C204" s="174"/>
      <c r="D204" s="174"/>
      <c r="E204" s="297"/>
      <c r="F204" s="297"/>
      <c r="G204" s="297"/>
      <c r="H204" s="297"/>
      <c r="I204" s="297"/>
    </row>
    <row r="205" spans="1:9" ht="15.75" thickBot="1">
      <c r="A205" s="216" t="s">
        <v>538</v>
      </c>
      <c r="B205" s="1332" t="s">
        <v>724</v>
      </c>
      <c r="C205" s="1281"/>
      <c r="D205" s="1333" t="s">
        <v>725</v>
      </c>
      <c r="E205" s="1291"/>
      <c r="F205" s="1333" t="s">
        <v>726</v>
      </c>
      <c r="G205" s="1292"/>
      <c r="H205" s="1333" t="s">
        <v>727</v>
      </c>
      <c r="I205" s="1292"/>
    </row>
    <row r="206" spans="1:9" ht="24">
      <c r="A206" s="217" t="s">
        <v>541</v>
      </c>
      <c r="B206" s="469" t="s">
        <v>728</v>
      </c>
      <c r="C206" s="470" t="s">
        <v>729</v>
      </c>
      <c r="D206" s="217" t="s">
        <v>728</v>
      </c>
      <c r="E206" s="471" t="s">
        <v>729</v>
      </c>
      <c r="F206" s="217" t="s">
        <v>728</v>
      </c>
      <c r="G206" s="471" t="s">
        <v>729</v>
      </c>
      <c r="H206" s="217" t="s">
        <v>728</v>
      </c>
      <c r="I206" s="471" t="s">
        <v>729</v>
      </c>
    </row>
    <row r="207" spans="1:9">
      <c r="A207" s="472" t="s">
        <v>730</v>
      </c>
      <c r="B207" s="509">
        <v>1774</v>
      </c>
      <c r="C207" s="510">
        <v>68584126.840000004</v>
      </c>
      <c r="D207" s="511">
        <v>1632</v>
      </c>
      <c r="E207" s="512">
        <v>71880018.280000001</v>
      </c>
      <c r="F207" s="511">
        <v>1632</v>
      </c>
      <c r="G207" s="512">
        <v>79186246.159999996</v>
      </c>
      <c r="H207" s="511">
        <v>-142</v>
      </c>
      <c r="I207" s="512">
        <v>3295891.4399999976</v>
      </c>
    </row>
    <row r="208" spans="1:9">
      <c r="A208" s="472" t="s">
        <v>731</v>
      </c>
      <c r="B208" s="509"/>
      <c r="C208" s="510"/>
      <c r="D208" s="511"/>
      <c r="E208" s="512"/>
      <c r="F208" s="511"/>
      <c r="G208" s="512"/>
      <c r="H208" s="511">
        <v>0</v>
      </c>
      <c r="I208" s="512">
        <v>0</v>
      </c>
    </row>
    <row r="209" spans="1:9">
      <c r="A209" s="472" t="s">
        <v>732</v>
      </c>
      <c r="B209" s="509"/>
      <c r="C209" s="510"/>
      <c r="D209" s="511"/>
      <c r="E209" s="512"/>
      <c r="F209" s="511"/>
      <c r="G209" s="512"/>
      <c r="H209" s="511">
        <v>0</v>
      </c>
      <c r="I209" s="512">
        <v>0</v>
      </c>
    </row>
    <row r="210" spans="1:9">
      <c r="A210" s="477" t="s">
        <v>733</v>
      </c>
      <c r="B210" s="509"/>
      <c r="C210" s="510"/>
      <c r="D210" s="511"/>
      <c r="E210" s="512"/>
      <c r="F210" s="511"/>
      <c r="G210" s="512"/>
      <c r="H210" s="511">
        <v>0</v>
      </c>
      <c r="I210" s="512">
        <v>0</v>
      </c>
    </row>
    <row r="211" spans="1:9">
      <c r="A211" s="472" t="s">
        <v>734</v>
      </c>
      <c r="B211" s="509"/>
      <c r="C211" s="510"/>
      <c r="D211" s="511"/>
      <c r="E211" s="512"/>
      <c r="F211" s="511"/>
      <c r="G211" s="512"/>
      <c r="H211" s="511">
        <v>0</v>
      </c>
      <c r="I211" s="512">
        <v>0</v>
      </c>
    </row>
    <row r="212" spans="1:9">
      <c r="A212" s="477" t="s">
        <v>735</v>
      </c>
      <c r="B212" s="509">
        <v>1774</v>
      </c>
      <c r="C212" s="510">
        <v>992500</v>
      </c>
      <c r="D212" s="511">
        <v>1632</v>
      </c>
      <c r="E212" s="512">
        <v>1515296</v>
      </c>
      <c r="F212" s="511">
        <v>1632</v>
      </c>
      <c r="G212" s="512">
        <v>1515296</v>
      </c>
      <c r="H212" s="511">
        <v>142</v>
      </c>
      <c r="I212" s="512">
        <v>522796</v>
      </c>
    </row>
    <row r="213" spans="1:9">
      <c r="A213" s="472" t="s">
        <v>736</v>
      </c>
      <c r="B213" s="509"/>
      <c r="C213" s="510"/>
      <c r="D213" s="511"/>
      <c r="E213" s="512"/>
      <c r="F213" s="511"/>
      <c r="G213" s="512"/>
      <c r="H213" s="511">
        <v>0</v>
      </c>
      <c r="I213" s="512">
        <v>0</v>
      </c>
    </row>
    <row r="214" spans="1:9">
      <c r="A214" s="472" t="s">
        <v>737</v>
      </c>
      <c r="B214" s="509"/>
      <c r="C214" s="510"/>
      <c r="D214" s="511">
        <v>120</v>
      </c>
      <c r="E214" s="512">
        <v>272933.78999999998</v>
      </c>
      <c r="F214" s="511">
        <v>150</v>
      </c>
      <c r="G214" s="512">
        <v>350000</v>
      </c>
      <c r="H214" s="511">
        <v>30</v>
      </c>
      <c r="I214" s="512">
        <v>272933.78999999998</v>
      </c>
    </row>
    <row r="215" spans="1:9">
      <c r="A215" s="472" t="s">
        <v>738</v>
      </c>
      <c r="B215" s="509"/>
      <c r="C215" s="510"/>
      <c r="D215" s="511"/>
      <c r="E215" s="512"/>
      <c r="F215" s="511"/>
      <c r="G215" s="512"/>
      <c r="H215" s="511">
        <v>0</v>
      </c>
      <c r="I215" s="512">
        <v>0</v>
      </c>
    </row>
    <row r="216" spans="1:9">
      <c r="A216" s="472" t="s">
        <v>739</v>
      </c>
      <c r="B216" s="509">
        <v>1774</v>
      </c>
      <c r="C216" s="510">
        <v>3412020.5400000005</v>
      </c>
      <c r="D216" s="511">
        <v>1632</v>
      </c>
      <c r="E216" s="512">
        <v>3205875.930000002</v>
      </c>
      <c r="F216" s="511">
        <v>1632</v>
      </c>
      <c r="G216" s="512">
        <v>3215875.93</v>
      </c>
      <c r="H216" s="511">
        <v>142</v>
      </c>
      <c r="I216" s="512" t="s">
        <v>757</v>
      </c>
    </row>
    <row r="217" spans="1:9">
      <c r="A217" s="472" t="s">
        <v>740</v>
      </c>
      <c r="B217" s="509"/>
      <c r="C217" s="510"/>
      <c r="D217" s="511"/>
      <c r="E217" s="512"/>
      <c r="F217" s="511"/>
      <c r="G217" s="512"/>
      <c r="H217" s="511">
        <v>0</v>
      </c>
      <c r="I217" s="512">
        <v>0</v>
      </c>
    </row>
    <row r="218" spans="1:9">
      <c r="A218" s="472" t="s">
        <v>741</v>
      </c>
      <c r="B218" s="509"/>
      <c r="C218" s="510"/>
      <c r="D218" s="511"/>
      <c r="E218" s="512"/>
      <c r="F218" s="511"/>
      <c r="G218" s="512"/>
      <c r="H218" s="511">
        <v>0</v>
      </c>
      <c r="I218" s="512">
        <v>0</v>
      </c>
    </row>
    <row r="219" spans="1:9">
      <c r="A219" s="472" t="s">
        <v>742</v>
      </c>
      <c r="B219" s="509"/>
      <c r="C219" s="510"/>
      <c r="D219" s="511"/>
      <c r="E219" s="512"/>
      <c r="F219" s="511"/>
      <c r="G219" s="512"/>
      <c r="H219" s="511">
        <v>0</v>
      </c>
      <c r="I219" s="512">
        <v>0</v>
      </c>
    </row>
    <row r="220" spans="1:9">
      <c r="A220" s="472" t="s">
        <v>743</v>
      </c>
      <c r="B220" s="509">
        <v>204</v>
      </c>
      <c r="C220" s="510">
        <v>5685775</v>
      </c>
      <c r="D220" s="511">
        <v>177</v>
      </c>
      <c r="E220" s="512">
        <v>6140400</v>
      </c>
      <c r="F220" s="511">
        <v>177</v>
      </c>
      <c r="G220" s="512">
        <v>6240400</v>
      </c>
      <c r="H220" s="511">
        <v>27</v>
      </c>
      <c r="I220" s="512">
        <v>454625</v>
      </c>
    </row>
    <row r="221" spans="1:9">
      <c r="A221" s="472" t="s">
        <v>744</v>
      </c>
      <c r="B221" s="509"/>
      <c r="C221" s="510"/>
      <c r="D221" s="511"/>
      <c r="E221" s="512"/>
      <c r="F221" s="511"/>
      <c r="G221" s="512"/>
      <c r="H221" s="511">
        <v>0</v>
      </c>
      <c r="I221" s="512">
        <v>0</v>
      </c>
    </row>
    <row r="222" spans="1:9" ht="15.75" thickBot="1">
      <c r="A222" s="472" t="s">
        <v>749</v>
      </c>
      <c r="B222" s="509"/>
      <c r="C222" s="513"/>
      <c r="D222" s="511"/>
      <c r="E222" s="512"/>
      <c r="F222" s="511"/>
      <c r="G222" s="512"/>
      <c r="H222" s="511">
        <v>0</v>
      </c>
      <c r="I222" s="512">
        <v>0</v>
      </c>
    </row>
    <row r="223" spans="1:9" ht="15.75" thickBot="1">
      <c r="A223" s="318" t="s">
        <v>746</v>
      </c>
      <c r="B223" s="514">
        <f>SUM(B207:B222)</f>
        <v>5526</v>
      </c>
      <c r="C223" s="342">
        <f>SUM(C207:C222)</f>
        <v>78674422.38000001</v>
      </c>
      <c r="D223" s="342">
        <f t="shared" ref="D223:I223" si="12">SUM(D207:D222)</f>
        <v>5193</v>
      </c>
      <c r="E223" s="342">
        <f t="shared" si="12"/>
        <v>83014524.000000015</v>
      </c>
      <c r="F223" s="515">
        <f t="shared" si="12"/>
        <v>5223</v>
      </c>
      <c r="G223" s="342">
        <f t="shared" si="12"/>
        <v>90507818.090000004</v>
      </c>
      <c r="H223" s="515">
        <f t="shared" si="12"/>
        <v>199</v>
      </c>
      <c r="I223" s="342">
        <f t="shared" si="12"/>
        <v>4546246.2299999977</v>
      </c>
    </row>
    <row r="224" spans="1:9">
      <c r="A224" s="304" t="s">
        <v>747</v>
      </c>
      <c r="B224" s="215"/>
      <c r="C224" s="215"/>
      <c r="D224" s="215"/>
      <c r="E224" s="215"/>
      <c r="F224" s="215"/>
      <c r="G224" s="215"/>
      <c r="H224" s="215"/>
      <c r="I224" s="215"/>
    </row>
    <row r="225" spans="1:9">
      <c r="A225" s="304" t="s">
        <v>748</v>
      </c>
      <c r="B225" s="215"/>
      <c r="C225" s="215"/>
      <c r="D225" s="215"/>
      <c r="E225" s="215"/>
      <c r="F225" s="215"/>
      <c r="G225" s="215"/>
      <c r="H225" s="215"/>
      <c r="I225" s="215"/>
    </row>
    <row r="226" spans="1:9">
      <c r="A226" s="304"/>
      <c r="B226" s="215"/>
      <c r="C226" s="215"/>
      <c r="D226" s="215"/>
      <c r="E226" s="215"/>
      <c r="F226" s="215"/>
      <c r="G226" s="215"/>
      <c r="H226" s="215"/>
      <c r="I226" s="215"/>
    </row>
    <row r="229" spans="1:9">
      <c r="A229" s="1331" t="s">
        <v>722</v>
      </c>
      <c r="B229" s="1331"/>
      <c r="C229" s="1331"/>
      <c r="D229" s="1331"/>
      <c r="E229" s="1331"/>
      <c r="F229" s="34"/>
      <c r="G229" s="34"/>
      <c r="H229" s="34"/>
      <c r="I229" s="34"/>
    </row>
    <row r="230" spans="1:9" ht="15.75">
      <c r="A230" s="466" t="s">
        <v>723</v>
      </c>
      <c r="B230" s="297"/>
      <c r="C230" s="297"/>
      <c r="D230" s="297"/>
      <c r="E230" s="297"/>
      <c r="F230" s="297"/>
      <c r="G230" s="297"/>
      <c r="H230" s="297"/>
      <c r="I230" s="297"/>
    </row>
    <row r="231" spans="1:9" ht="16.5" thickBot="1">
      <c r="A231" s="466" t="s">
        <v>758</v>
      </c>
      <c r="B231" s="297"/>
      <c r="C231" s="297"/>
      <c r="D231" s="297"/>
      <c r="E231" s="297"/>
      <c r="F231" s="297"/>
      <c r="G231" s="297"/>
      <c r="H231" s="297"/>
      <c r="I231" s="297"/>
    </row>
    <row r="232" spans="1:9" ht="15.75" thickBot="1">
      <c r="A232" s="177" t="s">
        <v>538</v>
      </c>
      <c r="B232" s="1334" t="s">
        <v>724</v>
      </c>
      <c r="C232" s="1335"/>
      <c r="D232" s="1336" t="s">
        <v>725</v>
      </c>
      <c r="E232" s="1337"/>
      <c r="F232" s="1336" t="s">
        <v>726</v>
      </c>
      <c r="G232" s="1338"/>
      <c r="H232" s="1336" t="s">
        <v>727</v>
      </c>
      <c r="I232" s="1338"/>
    </row>
    <row r="233" spans="1:9" ht="22.5">
      <c r="A233" s="516" t="s">
        <v>541</v>
      </c>
      <c r="B233" s="517" t="s">
        <v>728</v>
      </c>
      <c r="C233" s="518" t="s">
        <v>729</v>
      </c>
      <c r="D233" s="516" t="s">
        <v>728</v>
      </c>
      <c r="E233" s="519" t="s">
        <v>729</v>
      </c>
      <c r="F233" s="516" t="s">
        <v>728</v>
      </c>
      <c r="G233" s="519" t="s">
        <v>729</v>
      </c>
      <c r="H233" s="516" t="s">
        <v>728</v>
      </c>
      <c r="I233" s="519" t="s">
        <v>729</v>
      </c>
    </row>
    <row r="234" spans="1:9">
      <c r="A234" s="520" t="s">
        <v>730</v>
      </c>
      <c r="B234" s="521">
        <v>657</v>
      </c>
      <c r="C234" s="522">
        <v>6748911</v>
      </c>
      <c r="D234" s="521">
        <v>657</v>
      </c>
      <c r="E234" s="522">
        <v>6748911</v>
      </c>
      <c r="F234" s="521">
        <v>657</v>
      </c>
      <c r="G234" s="522">
        <v>6748911</v>
      </c>
      <c r="H234" s="523">
        <v>0</v>
      </c>
      <c r="I234" s="524">
        <v>0</v>
      </c>
    </row>
    <row r="235" spans="1:9">
      <c r="A235" s="520" t="s">
        <v>731</v>
      </c>
      <c r="B235" s="521"/>
      <c r="C235" s="525"/>
      <c r="D235" s="526"/>
      <c r="E235" s="524"/>
      <c r="F235" s="526"/>
      <c r="G235" s="524"/>
      <c r="H235" s="523"/>
      <c r="I235" s="524"/>
    </row>
    <row r="236" spans="1:9">
      <c r="A236" s="520" t="s">
        <v>732</v>
      </c>
      <c r="B236" s="521"/>
      <c r="C236" s="525"/>
      <c r="D236" s="526"/>
      <c r="E236" s="524"/>
      <c r="F236" s="526"/>
      <c r="G236" s="524"/>
      <c r="H236" s="523"/>
      <c r="I236" s="524"/>
    </row>
    <row r="237" spans="1:9">
      <c r="A237" s="527" t="s">
        <v>733</v>
      </c>
      <c r="B237" s="521"/>
      <c r="C237" s="525"/>
      <c r="D237" s="526"/>
      <c r="E237" s="524"/>
      <c r="F237" s="526"/>
      <c r="G237" s="524"/>
      <c r="H237" s="523"/>
      <c r="I237" s="524"/>
    </row>
    <row r="238" spans="1:9">
      <c r="A238" s="520" t="s">
        <v>734</v>
      </c>
      <c r="B238" s="521">
        <v>16</v>
      </c>
      <c r="C238" s="522">
        <v>823680</v>
      </c>
      <c r="D238" s="521">
        <v>16</v>
      </c>
      <c r="E238" s="522">
        <v>823680</v>
      </c>
      <c r="F238" s="521">
        <v>16</v>
      </c>
      <c r="G238" s="522">
        <v>823680</v>
      </c>
      <c r="H238" s="523">
        <v>0</v>
      </c>
      <c r="I238" s="524">
        <v>0</v>
      </c>
    </row>
    <row r="239" spans="1:9">
      <c r="A239" s="527" t="s">
        <v>735</v>
      </c>
      <c r="B239" s="521">
        <v>657</v>
      </c>
      <c r="C239" s="522">
        <v>657000</v>
      </c>
      <c r="D239" s="521">
        <v>657</v>
      </c>
      <c r="E239" s="522">
        <v>657000</v>
      </c>
      <c r="F239" s="521">
        <v>657</v>
      </c>
      <c r="G239" s="522">
        <v>657000</v>
      </c>
      <c r="H239" s="523">
        <v>0</v>
      </c>
      <c r="I239" s="524">
        <v>0</v>
      </c>
    </row>
    <row r="240" spans="1:9">
      <c r="A240" s="520" t="s">
        <v>736</v>
      </c>
      <c r="B240" s="521"/>
      <c r="C240" s="525"/>
      <c r="D240" s="526"/>
      <c r="E240" s="524"/>
      <c r="F240" s="526"/>
      <c r="G240" s="524"/>
      <c r="H240" s="523"/>
      <c r="I240" s="524"/>
    </row>
    <row r="241" spans="1:9">
      <c r="A241" s="520" t="s">
        <v>737</v>
      </c>
      <c r="B241" s="521"/>
      <c r="C241" s="525"/>
      <c r="D241" s="526"/>
      <c r="E241" s="524"/>
      <c r="F241" s="526"/>
      <c r="G241" s="524"/>
      <c r="H241" s="523"/>
      <c r="I241" s="524"/>
    </row>
    <row r="242" spans="1:9">
      <c r="A242" s="520" t="s">
        <v>738</v>
      </c>
      <c r="B242" s="521"/>
      <c r="C242" s="525"/>
      <c r="D242" s="526"/>
      <c r="E242" s="524"/>
      <c r="F242" s="526"/>
      <c r="G242" s="524"/>
      <c r="H242" s="523"/>
      <c r="I242" s="524"/>
    </row>
    <row r="243" spans="1:9">
      <c r="A243" s="520" t="s">
        <v>739</v>
      </c>
      <c r="B243" s="521">
        <v>657</v>
      </c>
      <c r="C243" s="522">
        <v>686405</v>
      </c>
      <c r="D243" s="521">
        <v>657</v>
      </c>
      <c r="E243" s="522">
        <v>686405</v>
      </c>
      <c r="F243" s="521">
        <v>657</v>
      </c>
      <c r="G243" s="522">
        <v>686405</v>
      </c>
      <c r="H243" s="523">
        <v>0</v>
      </c>
      <c r="I243" s="524">
        <v>0</v>
      </c>
    </row>
    <row r="244" spans="1:9">
      <c r="A244" s="520" t="s">
        <v>740</v>
      </c>
      <c r="B244" s="521"/>
      <c r="C244" s="525"/>
      <c r="D244" s="526"/>
      <c r="E244" s="524"/>
      <c r="F244" s="526"/>
      <c r="G244" s="524"/>
      <c r="H244" s="523"/>
      <c r="I244" s="524"/>
    </row>
    <row r="245" spans="1:9">
      <c r="A245" s="520" t="s">
        <v>741</v>
      </c>
      <c r="B245" s="521"/>
      <c r="C245" s="525"/>
      <c r="D245" s="526"/>
      <c r="E245" s="524"/>
      <c r="F245" s="526"/>
      <c r="G245" s="524"/>
      <c r="H245" s="523"/>
      <c r="I245" s="524"/>
    </row>
    <row r="246" spans="1:9">
      <c r="A246" s="520" t="s">
        <v>742</v>
      </c>
      <c r="B246" s="521"/>
      <c r="C246" s="525"/>
      <c r="D246" s="526"/>
      <c r="E246" s="524"/>
      <c r="F246" s="526"/>
      <c r="G246" s="524"/>
      <c r="H246" s="523"/>
      <c r="I246" s="524"/>
    </row>
    <row r="247" spans="1:9">
      <c r="A247" s="520" t="s">
        <v>743</v>
      </c>
      <c r="B247" s="521">
        <v>657</v>
      </c>
      <c r="C247" s="522">
        <v>14656947</v>
      </c>
      <c r="D247" s="521">
        <v>657</v>
      </c>
      <c r="E247" s="522">
        <v>14656947</v>
      </c>
      <c r="F247" s="521">
        <v>657</v>
      </c>
      <c r="G247" s="522">
        <v>14656947</v>
      </c>
      <c r="H247" s="523">
        <v>0</v>
      </c>
      <c r="I247" s="524">
        <v>0</v>
      </c>
    </row>
    <row r="248" spans="1:9">
      <c r="A248" s="520" t="s">
        <v>744</v>
      </c>
      <c r="B248" s="528"/>
      <c r="C248" s="525"/>
      <c r="D248" s="526"/>
      <c r="E248" s="524"/>
      <c r="F248" s="523"/>
      <c r="G248" s="524"/>
      <c r="H248" s="523"/>
      <c r="I248" s="524"/>
    </row>
    <row r="249" spans="1:9" ht="15.75" thickBot="1">
      <c r="A249" s="520" t="s">
        <v>749</v>
      </c>
      <c r="B249" s="528"/>
      <c r="C249" s="522"/>
      <c r="D249" s="526"/>
      <c r="E249" s="524"/>
      <c r="F249" s="523"/>
      <c r="G249" s="524"/>
      <c r="H249" s="523"/>
      <c r="I249" s="524"/>
    </row>
    <row r="250" spans="1:9" ht="15.75" thickBot="1">
      <c r="A250" s="436" t="s">
        <v>746</v>
      </c>
      <c r="B250" s="529"/>
      <c r="C250" s="440">
        <f>SUM(C234:C249)</f>
        <v>23572943</v>
      </c>
      <c r="D250" s="530"/>
      <c r="E250" s="531">
        <f>SUM(E234:E249)</f>
        <v>23572943</v>
      </c>
      <c r="F250" s="530"/>
      <c r="G250" s="531">
        <f>SUM(G234:G249)</f>
        <v>23572943</v>
      </c>
      <c r="H250" s="523">
        <v>0</v>
      </c>
      <c r="I250" s="524">
        <v>0</v>
      </c>
    </row>
    <row r="251" spans="1:9">
      <c r="A251" s="302"/>
      <c r="B251" s="303"/>
      <c r="C251" s="532"/>
      <c r="D251" s="303"/>
      <c r="E251" s="532"/>
      <c r="F251" s="303"/>
      <c r="G251" s="532"/>
      <c r="H251" s="468"/>
      <c r="I251" s="468"/>
    </row>
    <row r="252" spans="1:9">
      <c r="A252" s="304" t="s">
        <v>748</v>
      </c>
      <c r="B252" s="215"/>
      <c r="C252" s="215"/>
      <c r="D252" s="215"/>
      <c r="E252" s="215"/>
      <c r="F252" s="215"/>
      <c r="G252" s="215"/>
      <c r="H252" s="215"/>
      <c r="I252" s="215"/>
    </row>
    <row r="255" spans="1:9">
      <c r="A255" s="1331" t="s">
        <v>722</v>
      </c>
      <c r="B255" s="1331"/>
      <c r="C255" s="1331"/>
      <c r="D255" s="1331"/>
      <c r="E255" s="1331"/>
      <c r="F255" s="34"/>
      <c r="G255" s="34"/>
      <c r="H255" s="34"/>
      <c r="I255" s="34"/>
    </row>
    <row r="256" spans="1:9" ht="15.75">
      <c r="A256" s="466" t="s">
        <v>723</v>
      </c>
      <c r="B256" s="297"/>
      <c r="C256" s="297"/>
      <c r="D256" s="297"/>
      <c r="E256" s="297"/>
      <c r="F256" s="297"/>
      <c r="G256" s="297"/>
      <c r="H256" s="297"/>
      <c r="I256" s="297"/>
    </row>
    <row r="257" spans="1:9" ht="16.5" thickBot="1">
      <c r="A257" s="466" t="s">
        <v>759</v>
      </c>
      <c r="B257" s="297"/>
      <c r="C257" s="297"/>
      <c r="D257" s="297"/>
      <c r="E257" s="297"/>
      <c r="F257" s="297"/>
      <c r="G257" s="297"/>
      <c r="H257" s="297"/>
      <c r="I257" s="297"/>
    </row>
    <row r="258" spans="1:9" ht="15.75" thickBot="1">
      <c r="A258" s="216" t="s">
        <v>538</v>
      </c>
      <c r="B258" s="1332" t="s">
        <v>724</v>
      </c>
      <c r="C258" s="1281"/>
      <c r="D258" s="1333" t="s">
        <v>725</v>
      </c>
      <c r="E258" s="1291"/>
      <c r="F258" s="1333" t="s">
        <v>726</v>
      </c>
      <c r="G258" s="1292"/>
      <c r="H258" s="1333" t="s">
        <v>727</v>
      </c>
      <c r="I258" s="1292"/>
    </row>
    <row r="259" spans="1:9" ht="24">
      <c r="A259" s="217" t="s">
        <v>541</v>
      </c>
      <c r="B259" s="469" t="s">
        <v>728</v>
      </c>
      <c r="C259" s="470" t="s">
        <v>729</v>
      </c>
      <c r="D259" s="217" t="s">
        <v>728</v>
      </c>
      <c r="E259" s="471" t="s">
        <v>729</v>
      </c>
      <c r="F259" s="217" t="s">
        <v>728</v>
      </c>
      <c r="G259" s="471" t="s">
        <v>729</v>
      </c>
      <c r="H259" s="217" t="s">
        <v>728</v>
      </c>
      <c r="I259" s="471" t="s">
        <v>729</v>
      </c>
    </row>
    <row r="260" spans="1:9">
      <c r="A260" s="533" t="s">
        <v>730</v>
      </c>
      <c r="B260" s="534">
        <v>66</v>
      </c>
      <c r="C260" s="535">
        <v>674339.16</v>
      </c>
      <c r="D260" s="536">
        <v>66</v>
      </c>
      <c r="E260" s="535">
        <v>674339.16</v>
      </c>
      <c r="F260" s="536">
        <v>66</v>
      </c>
      <c r="G260" s="535">
        <v>674339.16</v>
      </c>
      <c r="H260" s="536">
        <v>66</v>
      </c>
      <c r="I260" s="535">
        <f>+C260-E260</f>
        <v>0</v>
      </c>
    </row>
    <row r="261" spans="1:9">
      <c r="A261" s="533" t="s">
        <v>760</v>
      </c>
      <c r="B261" s="534"/>
      <c r="C261" s="537"/>
      <c r="D261" s="536"/>
      <c r="E261" s="537"/>
      <c r="F261" s="536"/>
      <c r="G261" s="537"/>
      <c r="H261" s="536"/>
      <c r="I261" s="537"/>
    </row>
    <row r="262" spans="1:9">
      <c r="A262" s="533" t="s">
        <v>732</v>
      </c>
      <c r="B262" s="534"/>
      <c r="C262" s="537"/>
      <c r="D262" s="536"/>
      <c r="E262" s="537"/>
      <c r="F262" s="536"/>
      <c r="G262" s="537"/>
      <c r="H262" s="536"/>
      <c r="I262" s="537"/>
    </row>
    <row r="263" spans="1:9">
      <c r="A263" s="533" t="s">
        <v>733</v>
      </c>
      <c r="B263" s="534"/>
      <c r="C263" s="537"/>
      <c r="D263" s="536"/>
      <c r="E263" s="537"/>
      <c r="F263" s="536"/>
      <c r="G263" s="537"/>
      <c r="H263" s="536"/>
      <c r="I263" s="537"/>
    </row>
    <row r="264" spans="1:9">
      <c r="A264" s="533" t="s">
        <v>734</v>
      </c>
      <c r="B264" s="534"/>
      <c r="C264" s="537"/>
      <c r="D264" s="536"/>
      <c r="E264" s="537"/>
      <c r="F264" s="536"/>
      <c r="G264" s="537"/>
      <c r="H264" s="536"/>
      <c r="I264" s="537"/>
    </row>
    <row r="265" spans="1:9">
      <c r="A265" s="533" t="s">
        <v>761</v>
      </c>
      <c r="B265" s="534">
        <v>66</v>
      </c>
      <c r="C265" s="535">
        <v>26400</v>
      </c>
      <c r="D265" s="536">
        <v>66</v>
      </c>
      <c r="E265" s="535">
        <v>26400</v>
      </c>
      <c r="F265" s="536">
        <v>66</v>
      </c>
      <c r="G265" s="535">
        <v>26400</v>
      </c>
      <c r="H265" s="536">
        <v>66</v>
      </c>
      <c r="I265" s="535">
        <f>+C265-E265</f>
        <v>0</v>
      </c>
    </row>
    <row r="266" spans="1:9">
      <c r="A266" s="533" t="s">
        <v>736</v>
      </c>
      <c r="B266" s="534"/>
      <c r="C266" s="537"/>
      <c r="D266" s="536"/>
      <c r="E266" s="537"/>
      <c r="F266" s="536"/>
      <c r="G266" s="537"/>
      <c r="H266" s="536"/>
      <c r="I266" s="537"/>
    </row>
    <row r="267" spans="1:9">
      <c r="A267" s="533" t="s">
        <v>737</v>
      </c>
      <c r="B267" s="534"/>
      <c r="C267" s="537"/>
      <c r="D267" s="536"/>
      <c r="E267" s="537"/>
      <c r="F267" s="536"/>
      <c r="G267" s="537"/>
      <c r="H267" s="536"/>
      <c r="I267" s="537"/>
    </row>
    <row r="268" spans="1:9">
      <c r="A268" s="533" t="s">
        <v>738</v>
      </c>
      <c r="B268" s="534"/>
      <c r="C268" s="537"/>
      <c r="D268" s="536"/>
      <c r="E268" s="537"/>
      <c r="F268" s="536"/>
      <c r="G268" s="537"/>
      <c r="H268" s="536"/>
      <c r="I268" s="537"/>
    </row>
    <row r="269" spans="1:9">
      <c r="A269" s="533" t="s">
        <v>739</v>
      </c>
      <c r="B269" s="534">
        <v>66</v>
      </c>
      <c r="C269" s="535">
        <v>66290.399999999994</v>
      </c>
      <c r="D269" s="536">
        <v>66</v>
      </c>
      <c r="E269" s="535">
        <v>66290.399999999994</v>
      </c>
      <c r="F269" s="536">
        <v>66</v>
      </c>
      <c r="G269" s="535">
        <v>66290.399999999994</v>
      </c>
      <c r="H269" s="536">
        <v>66</v>
      </c>
      <c r="I269" s="535">
        <f>+C269-E269</f>
        <v>0</v>
      </c>
    </row>
    <row r="270" spans="1:9">
      <c r="A270" s="533" t="s">
        <v>740</v>
      </c>
      <c r="B270" s="534">
        <v>66</v>
      </c>
      <c r="C270" s="535">
        <v>801000</v>
      </c>
      <c r="D270" s="536">
        <v>66</v>
      </c>
      <c r="E270" s="535">
        <v>874800</v>
      </c>
      <c r="F270" s="536">
        <v>66</v>
      </c>
      <c r="G270" s="535">
        <v>874800</v>
      </c>
      <c r="H270" s="536">
        <v>66</v>
      </c>
      <c r="I270" s="535">
        <v>-73800</v>
      </c>
    </row>
    <row r="271" spans="1:9">
      <c r="A271" s="533" t="s">
        <v>741</v>
      </c>
      <c r="B271" s="534"/>
      <c r="C271" s="537"/>
      <c r="D271" s="536"/>
      <c r="E271" s="537"/>
      <c r="F271" s="536"/>
      <c r="G271" s="537"/>
      <c r="H271" s="536"/>
      <c r="I271" s="537"/>
    </row>
    <row r="272" spans="1:9">
      <c r="A272" s="533" t="s">
        <v>762</v>
      </c>
      <c r="B272" s="534"/>
      <c r="C272" s="537"/>
      <c r="D272" s="536"/>
      <c r="E272" s="537"/>
      <c r="F272" s="536"/>
      <c r="G272" s="537"/>
      <c r="H272" s="536"/>
      <c r="I272" s="537"/>
    </row>
    <row r="273" spans="1:9">
      <c r="A273" s="533" t="s">
        <v>743</v>
      </c>
      <c r="B273" s="534"/>
      <c r="C273" s="537"/>
      <c r="D273" s="536"/>
      <c r="E273" s="537"/>
      <c r="F273" s="536"/>
      <c r="G273" s="537"/>
      <c r="H273" s="536"/>
      <c r="I273" s="537"/>
    </row>
    <row r="274" spans="1:9">
      <c r="A274" s="538" t="s">
        <v>763</v>
      </c>
      <c r="B274" s="534"/>
      <c r="C274" s="539"/>
      <c r="D274" s="536"/>
      <c r="E274" s="537"/>
      <c r="F274" s="536"/>
      <c r="G274" s="537"/>
      <c r="H274" s="536"/>
      <c r="I274" s="537"/>
    </row>
    <row r="275" spans="1:9" ht="15.75" thickBot="1">
      <c r="A275" s="540" t="s">
        <v>749</v>
      </c>
      <c r="B275" s="541"/>
      <c r="C275" s="539"/>
      <c r="D275" s="542"/>
      <c r="E275" s="543"/>
      <c r="F275" s="542"/>
      <c r="G275" s="543"/>
      <c r="H275" s="542"/>
      <c r="I275" s="543"/>
    </row>
    <row r="276" spans="1:9" ht="15.75" thickBot="1">
      <c r="A276" s="544" t="s">
        <v>764</v>
      </c>
      <c r="B276" s="545"/>
      <c r="C276" s="546">
        <f>+C260+C265+C269+C270</f>
        <v>1568029.56</v>
      </c>
      <c r="D276" s="547"/>
      <c r="E276" s="548">
        <f>+E260+E265+E269+E270</f>
        <v>1641829.56</v>
      </c>
      <c r="F276" s="549"/>
      <c r="G276" s="548">
        <f>+G260+G265+G269+G270</f>
        <v>1641829.56</v>
      </c>
      <c r="H276" s="549"/>
      <c r="I276" s="550">
        <f>+I270</f>
        <v>-73800</v>
      </c>
    </row>
    <row r="277" spans="1:9">
      <c r="A277" s="304" t="s">
        <v>747</v>
      </c>
      <c r="B277" s="215"/>
      <c r="C277" s="215"/>
      <c r="D277" s="215"/>
      <c r="E277" s="215"/>
      <c r="F277" s="215"/>
      <c r="G277" s="215"/>
      <c r="H277" s="215"/>
      <c r="I277" s="215"/>
    </row>
    <row r="278" spans="1:9">
      <c r="A278" s="304" t="s">
        <v>748</v>
      </c>
      <c r="B278" s="215"/>
      <c r="C278" s="215"/>
      <c r="D278" s="215"/>
      <c r="E278" s="215"/>
      <c r="F278" s="215"/>
      <c r="G278" s="215"/>
      <c r="H278" s="215"/>
      <c r="I278" s="215"/>
    </row>
    <row r="279" spans="1:9">
      <c r="A279" s="304"/>
      <c r="B279" s="215"/>
      <c r="C279" s="215"/>
      <c r="D279" s="215"/>
      <c r="E279" s="215"/>
      <c r="F279" s="215"/>
      <c r="G279" s="215"/>
      <c r="H279" s="215"/>
      <c r="I279" s="215"/>
    </row>
    <row r="280" spans="1:9">
      <c r="A280" s="295"/>
      <c r="B280" s="295"/>
      <c r="C280" s="295"/>
      <c r="D280" s="295"/>
      <c r="E280" s="295"/>
      <c r="F280" s="295"/>
      <c r="G280" s="295"/>
      <c r="H280" s="295"/>
      <c r="I280" s="295"/>
    </row>
    <row r="281" spans="1:9">
      <c r="A281" s="1331" t="s">
        <v>722</v>
      </c>
      <c r="B281" s="1331"/>
      <c r="C281" s="1331"/>
      <c r="D281" s="1331"/>
      <c r="E281" s="1331"/>
      <c r="F281" s="34"/>
      <c r="G281" s="34"/>
      <c r="H281" s="34"/>
      <c r="I281" s="34"/>
    </row>
    <row r="282" spans="1:9" ht="15.75">
      <c r="A282" s="466" t="s">
        <v>723</v>
      </c>
      <c r="B282" s="297"/>
      <c r="C282" s="297"/>
      <c r="D282" s="297"/>
      <c r="E282" s="297"/>
      <c r="F282" s="297"/>
      <c r="G282" s="297"/>
      <c r="H282" s="297"/>
      <c r="I282" s="297"/>
    </row>
    <row r="283" spans="1:9" ht="16.5" thickBot="1">
      <c r="A283" s="466" t="s">
        <v>765</v>
      </c>
      <c r="B283" s="297"/>
      <c r="C283" s="297"/>
      <c r="D283" s="297"/>
      <c r="E283" s="297"/>
      <c r="F283" s="297"/>
      <c r="G283" s="297"/>
      <c r="H283" s="297"/>
      <c r="I283" s="297"/>
    </row>
    <row r="284" spans="1:9" ht="15.75" thickBot="1">
      <c r="A284" s="216" t="s">
        <v>538</v>
      </c>
      <c r="B284" s="1332" t="s">
        <v>724</v>
      </c>
      <c r="C284" s="1281"/>
      <c r="D284" s="1333" t="s">
        <v>725</v>
      </c>
      <c r="E284" s="1291"/>
      <c r="F284" s="1333" t="s">
        <v>726</v>
      </c>
      <c r="G284" s="1292"/>
      <c r="H284" s="1333" t="s">
        <v>727</v>
      </c>
      <c r="I284" s="1292"/>
    </row>
    <row r="285" spans="1:9" ht="24.75" thickBot="1">
      <c r="A285" s="217" t="s">
        <v>541</v>
      </c>
      <c r="B285" s="469" t="s">
        <v>728</v>
      </c>
      <c r="C285" s="470" t="s">
        <v>729</v>
      </c>
      <c r="D285" s="217" t="s">
        <v>728</v>
      </c>
      <c r="E285" s="471" t="s">
        <v>729</v>
      </c>
      <c r="F285" s="217" t="s">
        <v>728</v>
      </c>
      <c r="G285" s="471" t="s">
        <v>729</v>
      </c>
      <c r="H285" s="217" t="s">
        <v>728</v>
      </c>
      <c r="I285" s="471" t="s">
        <v>729</v>
      </c>
    </row>
    <row r="286" spans="1:9">
      <c r="A286" s="472" t="s">
        <v>730</v>
      </c>
      <c r="B286" s="551">
        <v>16</v>
      </c>
      <c r="C286" s="552">
        <v>121839.24</v>
      </c>
      <c r="D286" s="551">
        <v>16</v>
      </c>
      <c r="E286" s="552">
        <v>121839.24</v>
      </c>
      <c r="F286" s="551">
        <v>16</v>
      </c>
      <c r="G286" s="552">
        <v>121839.24</v>
      </c>
      <c r="H286" s="553">
        <v>0</v>
      </c>
      <c r="I286" s="554">
        <v>0</v>
      </c>
    </row>
    <row r="287" spans="1:9">
      <c r="A287" s="472" t="s">
        <v>731</v>
      </c>
      <c r="B287" s="551"/>
      <c r="C287" s="555"/>
      <c r="D287" s="551"/>
      <c r="E287" s="555"/>
      <c r="F287" s="551"/>
      <c r="G287" s="555"/>
      <c r="H287" s="553"/>
      <c r="I287" s="554"/>
    </row>
    <row r="288" spans="1:9">
      <c r="A288" s="472" t="s">
        <v>732</v>
      </c>
      <c r="B288" s="551"/>
      <c r="C288" s="556"/>
      <c r="D288" s="551"/>
      <c r="E288" s="556"/>
      <c r="F288" s="551"/>
      <c r="G288" s="556"/>
      <c r="H288" s="553"/>
      <c r="I288" s="554"/>
    </row>
    <row r="289" spans="1:9">
      <c r="A289" s="477" t="s">
        <v>733</v>
      </c>
      <c r="B289" s="551"/>
      <c r="C289" s="556"/>
      <c r="D289" s="551"/>
      <c r="E289" s="556"/>
      <c r="F289" s="551"/>
      <c r="G289" s="556"/>
      <c r="H289" s="553"/>
      <c r="I289" s="554"/>
    </row>
    <row r="290" spans="1:9">
      <c r="A290" s="472" t="s">
        <v>734</v>
      </c>
      <c r="B290" s="551"/>
      <c r="C290" s="556"/>
      <c r="D290" s="551"/>
      <c r="E290" s="556"/>
      <c r="F290" s="551"/>
      <c r="G290" s="556"/>
      <c r="H290" s="553"/>
      <c r="I290" s="554"/>
    </row>
    <row r="291" spans="1:9">
      <c r="A291" s="477" t="s">
        <v>735</v>
      </c>
      <c r="B291" s="551">
        <v>16</v>
      </c>
      <c r="C291" s="556">
        <v>16000</v>
      </c>
      <c r="D291" s="551">
        <v>16</v>
      </c>
      <c r="E291" s="556">
        <v>16000</v>
      </c>
      <c r="F291" s="551">
        <v>16</v>
      </c>
      <c r="G291" s="556">
        <v>16000</v>
      </c>
      <c r="H291" s="553">
        <v>0</v>
      </c>
      <c r="I291" s="554">
        <v>0</v>
      </c>
    </row>
    <row r="292" spans="1:9">
      <c r="A292" s="472" t="s">
        <v>736</v>
      </c>
      <c r="B292" s="551"/>
      <c r="C292" s="556"/>
      <c r="D292" s="551"/>
      <c r="E292" s="556"/>
      <c r="F292" s="551"/>
      <c r="G292" s="556"/>
      <c r="H292" s="553"/>
      <c r="I292" s="554"/>
    </row>
    <row r="293" spans="1:9">
      <c r="A293" s="472" t="s">
        <v>737</v>
      </c>
      <c r="B293" s="551"/>
      <c r="C293" s="556"/>
      <c r="D293" s="551"/>
      <c r="E293" s="556"/>
      <c r="F293" s="551"/>
      <c r="G293" s="556"/>
      <c r="H293" s="553"/>
      <c r="I293" s="554"/>
    </row>
    <row r="294" spans="1:9">
      <c r="A294" s="472" t="s">
        <v>738</v>
      </c>
      <c r="B294" s="551"/>
      <c r="C294" s="556"/>
      <c r="D294" s="551"/>
      <c r="E294" s="556"/>
      <c r="F294" s="551"/>
      <c r="G294" s="556"/>
      <c r="H294" s="553"/>
      <c r="I294" s="554"/>
    </row>
    <row r="295" spans="1:9">
      <c r="A295" s="472" t="s">
        <v>739</v>
      </c>
      <c r="B295" s="551">
        <v>16</v>
      </c>
      <c r="C295" s="556">
        <v>16070.4</v>
      </c>
      <c r="D295" s="551">
        <v>16</v>
      </c>
      <c r="E295" s="556">
        <v>16070.4</v>
      </c>
      <c r="F295" s="551">
        <v>16</v>
      </c>
      <c r="G295" s="556">
        <v>16070.4</v>
      </c>
      <c r="H295" s="553">
        <v>0</v>
      </c>
      <c r="I295" s="554">
        <v>0</v>
      </c>
    </row>
    <row r="296" spans="1:9">
      <c r="A296" s="472" t="s">
        <v>740</v>
      </c>
      <c r="B296" s="551"/>
      <c r="C296" s="556"/>
      <c r="D296" s="551"/>
      <c r="E296" s="556"/>
      <c r="F296" s="551"/>
      <c r="G296" s="556"/>
      <c r="H296" s="553"/>
      <c r="I296" s="554"/>
    </row>
    <row r="297" spans="1:9">
      <c r="A297" s="472" t="s">
        <v>741</v>
      </c>
      <c r="B297" s="551">
        <v>16</v>
      </c>
      <c r="C297" s="556">
        <v>32000</v>
      </c>
      <c r="D297" s="551">
        <v>16</v>
      </c>
      <c r="E297" s="556">
        <v>32000</v>
      </c>
      <c r="F297" s="551">
        <v>16</v>
      </c>
      <c r="G297" s="556">
        <v>32000</v>
      </c>
      <c r="H297" s="553">
        <v>0</v>
      </c>
      <c r="I297" s="554">
        <v>0</v>
      </c>
    </row>
    <row r="298" spans="1:9">
      <c r="A298" s="472" t="s">
        <v>742</v>
      </c>
      <c r="B298" s="551"/>
      <c r="C298" s="556"/>
      <c r="D298" s="551"/>
      <c r="E298" s="556"/>
      <c r="F298" s="551"/>
      <c r="G298" s="556"/>
      <c r="H298" s="553"/>
      <c r="I298" s="554"/>
    </row>
    <row r="299" spans="1:9">
      <c r="A299" s="472" t="s">
        <v>743</v>
      </c>
      <c r="B299" s="551">
        <v>16</v>
      </c>
      <c r="C299" s="556">
        <v>343203.36</v>
      </c>
      <c r="D299" s="551">
        <v>16</v>
      </c>
      <c r="E299" s="556">
        <v>343203.36</v>
      </c>
      <c r="F299" s="551">
        <v>16</v>
      </c>
      <c r="G299" s="556">
        <v>343203.36</v>
      </c>
      <c r="H299" s="553">
        <v>0</v>
      </c>
      <c r="I299" s="554">
        <v>0</v>
      </c>
    </row>
    <row r="300" spans="1:9">
      <c r="A300" s="472" t="s">
        <v>744</v>
      </c>
      <c r="B300" s="551">
        <v>16</v>
      </c>
      <c r="C300" s="556">
        <v>7500</v>
      </c>
      <c r="D300" s="551">
        <v>16</v>
      </c>
      <c r="E300" s="556">
        <v>7500</v>
      </c>
      <c r="F300" s="551">
        <v>16</v>
      </c>
      <c r="G300" s="556">
        <v>7500</v>
      </c>
      <c r="H300" s="553">
        <v>0</v>
      </c>
      <c r="I300" s="554">
        <v>0</v>
      </c>
    </row>
    <row r="301" spans="1:9" ht="15.75" thickBot="1">
      <c r="A301" s="472" t="s">
        <v>749</v>
      </c>
      <c r="B301" s="557"/>
      <c r="C301" s="558"/>
      <c r="D301" s="557"/>
      <c r="E301" s="558"/>
      <c r="F301" s="557"/>
      <c r="G301" s="558"/>
      <c r="H301" s="553"/>
      <c r="I301" s="554"/>
    </row>
    <row r="302" spans="1:9" ht="15.75" thickBot="1">
      <c r="A302" s="318" t="s">
        <v>746</v>
      </c>
      <c r="B302" s="559">
        <v>16</v>
      </c>
      <c r="C302" s="502">
        <f>SUM(C286:C301)</f>
        <v>536613</v>
      </c>
      <c r="D302" s="559">
        <v>16</v>
      </c>
      <c r="E302" s="502">
        <f>SUM(E286:E301)</f>
        <v>536613</v>
      </c>
      <c r="F302" s="559">
        <v>16</v>
      </c>
      <c r="G302" s="502">
        <f>SUM(G286:G301)</f>
        <v>536613</v>
      </c>
      <c r="H302" s="478"/>
      <c r="I302" s="479"/>
    </row>
    <row r="303" spans="1:9">
      <c r="A303" s="304" t="s">
        <v>747</v>
      </c>
      <c r="B303" s="215"/>
      <c r="C303" s="215"/>
      <c r="D303" s="215"/>
      <c r="E303" s="215"/>
      <c r="F303" s="215"/>
      <c r="G303" s="215"/>
      <c r="H303" s="215"/>
      <c r="I303" s="215"/>
    </row>
    <row r="304" spans="1:9">
      <c r="A304" s="304" t="s">
        <v>748</v>
      </c>
      <c r="B304" s="215"/>
      <c r="C304" s="215"/>
      <c r="D304" s="215"/>
      <c r="E304" s="215"/>
      <c r="F304" s="215"/>
      <c r="G304" s="215"/>
      <c r="H304" s="215"/>
      <c r="I304" s="215"/>
    </row>
    <row r="305" spans="1:9">
      <c r="A305" s="304"/>
      <c r="B305" s="215"/>
      <c r="C305" s="215"/>
      <c r="D305" s="215"/>
      <c r="E305" s="215"/>
      <c r="F305" s="215"/>
      <c r="G305" s="215"/>
      <c r="H305" s="215"/>
      <c r="I305" s="215"/>
    </row>
    <row r="306" spans="1:9">
      <c r="A306" s="295"/>
      <c r="B306" s="295"/>
      <c r="C306" s="295"/>
      <c r="D306" s="295"/>
      <c r="E306" s="295"/>
      <c r="F306" s="295"/>
      <c r="G306" s="295"/>
      <c r="H306" s="295"/>
      <c r="I306" s="295"/>
    </row>
  </sheetData>
  <mergeCells count="64">
    <mergeCell ref="A1:E1"/>
    <mergeCell ref="B4:C4"/>
    <mergeCell ref="D4:E4"/>
    <mergeCell ref="F4:G4"/>
    <mergeCell ref="H4:I4"/>
    <mergeCell ref="A27:E27"/>
    <mergeCell ref="A28:C28"/>
    <mergeCell ref="A29:B29"/>
    <mergeCell ref="B30:C30"/>
    <mergeCell ref="D30:E30"/>
    <mergeCell ref="A106:E106"/>
    <mergeCell ref="F30:G30"/>
    <mergeCell ref="H30:I30"/>
    <mergeCell ref="A54:E54"/>
    <mergeCell ref="B57:C57"/>
    <mergeCell ref="D57:E57"/>
    <mergeCell ref="F57:G57"/>
    <mergeCell ref="H57:I57"/>
    <mergeCell ref="A80:E80"/>
    <mergeCell ref="B83:C83"/>
    <mergeCell ref="D83:E83"/>
    <mergeCell ref="F83:G83"/>
    <mergeCell ref="H83:I83"/>
    <mergeCell ref="H163:I163"/>
    <mergeCell ref="A186:E186"/>
    <mergeCell ref="B109:C109"/>
    <mergeCell ref="D109:E109"/>
    <mergeCell ref="F109:G109"/>
    <mergeCell ref="H109:I109"/>
    <mergeCell ref="A132:E132"/>
    <mergeCell ref="B135:C135"/>
    <mergeCell ref="D135:E135"/>
    <mergeCell ref="F135:G135"/>
    <mergeCell ref="H135:I135"/>
    <mergeCell ref="A203:D203"/>
    <mergeCell ref="A160:E160"/>
    <mergeCell ref="B163:C163"/>
    <mergeCell ref="D163:E163"/>
    <mergeCell ref="F163:G163"/>
    <mergeCell ref="B189:C189"/>
    <mergeCell ref="D189:E189"/>
    <mergeCell ref="F189:G189"/>
    <mergeCell ref="H189:I189"/>
    <mergeCell ref="A202:E202"/>
    <mergeCell ref="B258:C258"/>
    <mergeCell ref="D258:E258"/>
    <mergeCell ref="F258:G258"/>
    <mergeCell ref="H258:I258"/>
    <mergeCell ref="A204:B204"/>
    <mergeCell ref="B205:C205"/>
    <mergeCell ref="D205:E205"/>
    <mergeCell ref="F205:G205"/>
    <mergeCell ref="H205:I205"/>
    <mergeCell ref="A229:E229"/>
    <mergeCell ref="B232:C232"/>
    <mergeCell ref="D232:E232"/>
    <mergeCell ref="F232:G232"/>
    <mergeCell ref="H232:I232"/>
    <mergeCell ref="A255:E255"/>
    <mergeCell ref="A281:E281"/>
    <mergeCell ref="B284:C284"/>
    <mergeCell ref="D284:E284"/>
    <mergeCell ref="F284:G284"/>
    <mergeCell ref="H284:I28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Q222"/>
  <sheetViews>
    <sheetView topLeftCell="A193" workbookViewId="0">
      <selection activeCell="A202" sqref="A202:AJ222"/>
    </sheetView>
  </sheetViews>
  <sheetFormatPr baseColWidth="10" defaultRowHeight="15"/>
  <cols>
    <col min="1" max="1" width="17.85546875" customWidth="1"/>
  </cols>
  <sheetData>
    <row r="1" spans="1:36">
      <c r="A1" s="563" t="s">
        <v>766</v>
      </c>
      <c r="B1" s="564"/>
      <c r="C1" s="564"/>
      <c r="D1" s="564"/>
      <c r="E1" s="564"/>
      <c r="F1" s="564"/>
      <c r="G1" s="564"/>
      <c r="H1" s="564"/>
      <c r="I1" s="564"/>
      <c r="J1" s="564"/>
      <c r="K1" s="564"/>
      <c r="L1" s="564"/>
      <c r="M1" s="564"/>
      <c r="N1" s="564"/>
      <c r="O1" s="564"/>
      <c r="P1" s="564"/>
      <c r="Q1" s="564"/>
      <c r="R1" s="564"/>
      <c r="S1" s="564"/>
      <c r="T1" s="564"/>
      <c r="U1" s="564"/>
      <c r="V1" s="564"/>
      <c r="W1" s="564"/>
      <c r="X1" s="564"/>
      <c r="Y1" s="564"/>
      <c r="Z1" s="564"/>
      <c r="AA1" s="564"/>
      <c r="AB1" s="564"/>
      <c r="AC1" s="564"/>
      <c r="AD1" s="564"/>
      <c r="AE1" s="564"/>
      <c r="AF1" s="564"/>
      <c r="AG1" s="564"/>
      <c r="AH1" s="564"/>
      <c r="AI1" s="564"/>
    </row>
    <row r="2" spans="1:36">
      <c r="A2" s="565" t="s">
        <v>494</v>
      </c>
      <c r="B2" s="565"/>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64"/>
      <c r="AF2" s="564"/>
      <c r="AG2" s="564"/>
      <c r="AH2" s="564"/>
      <c r="AI2" s="564"/>
    </row>
    <row r="3" spans="1:36">
      <c r="A3" s="563" t="s">
        <v>537</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c r="AB3" s="565"/>
      <c r="AC3" s="565"/>
      <c r="AD3" s="565"/>
      <c r="AE3" s="564"/>
      <c r="AF3" s="564"/>
      <c r="AG3" s="564"/>
      <c r="AH3" s="564"/>
      <c r="AI3" s="564"/>
    </row>
    <row r="4" spans="1:36" ht="15.75" thickBot="1">
      <c r="A4" s="563" t="s">
        <v>767</v>
      </c>
      <c r="B4" s="563"/>
      <c r="C4" s="563"/>
      <c r="D4" s="563"/>
      <c r="E4" s="563"/>
      <c r="F4" s="563"/>
      <c r="G4" s="563"/>
      <c r="H4" s="563"/>
      <c r="I4" s="563"/>
      <c r="J4" s="563"/>
      <c r="K4" s="563"/>
      <c r="L4" s="563"/>
      <c r="M4" s="563"/>
      <c r="N4" s="563"/>
      <c r="O4" s="563"/>
      <c r="P4" s="563"/>
      <c r="Q4" s="563"/>
      <c r="R4" s="563"/>
      <c r="S4" s="563"/>
      <c r="T4" s="563"/>
      <c r="U4" s="563"/>
      <c r="V4" s="563"/>
      <c r="W4" s="563"/>
      <c r="X4" s="563"/>
      <c r="Y4" s="563"/>
      <c r="Z4" s="563"/>
      <c r="AA4" s="563"/>
      <c r="AB4" s="563"/>
      <c r="AC4" s="563"/>
      <c r="AD4" s="563"/>
      <c r="AE4" s="563"/>
      <c r="AF4" s="563"/>
      <c r="AG4" s="563"/>
      <c r="AH4" s="563"/>
      <c r="AI4" s="563"/>
    </row>
    <row r="5" spans="1:36" ht="15.75" thickBot="1">
      <c r="A5" s="1358" t="s">
        <v>768</v>
      </c>
      <c r="B5" s="1361" t="s">
        <v>769</v>
      </c>
      <c r="C5" s="1362"/>
      <c r="D5" s="1362"/>
      <c r="E5" s="1362"/>
      <c r="F5" s="1362"/>
      <c r="G5" s="1362"/>
      <c r="H5" s="1362"/>
      <c r="I5" s="1362"/>
      <c r="J5" s="1362"/>
      <c r="K5" s="1362"/>
      <c r="L5" s="1362"/>
      <c r="M5" s="1362"/>
      <c r="N5" s="1362"/>
      <c r="O5" s="1362"/>
      <c r="P5" s="1362"/>
      <c r="Q5" s="1363" t="s">
        <v>770</v>
      </c>
      <c r="R5" s="1362"/>
      <c r="S5" s="1362"/>
      <c r="T5" s="1362"/>
      <c r="U5" s="1362"/>
      <c r="V5" s="1362"/>
      <c r="W5" s="1362"/>
      <c r="X5" s="1362"/>
      <c r="Y5" s="1362"/>
      <c r="Z5" s="1362"/>
      <c r="AA5" s="1362"/>
      <c r="AB5" s="1362"/>
      <c r="AC5" s="1362"/>
      <c r="AD5" s="1362"/>
      <c r="AE5" s="1364"/>
      <c r="AF5" s="1365" t="s">
        <v>771</v>
      </c>
      <c r="AG5" s="1364"/>
      <c r="AH5" s="1365" t="s">
        <v>772</v>
      </c>
      <c r="AI5" s="1364"/>
    </row>
    <row r="6" spans="1:36" ht="97.5">
      <c r="A6" s="1359"/>
      <c r="B6" s="566" t="s">
        <v>773</v>
      </c>
      <c r="C6" s="567" t="s">
        <v>774</v>
      </c>
      <c r="D6" s="568" t="s">
        <v>775</v>
      </c>
      <c r="E6" s="568" t="s">
        <v>776</v>
      </c>
      <c r="F6" s="568" t="s">
        <v>777</v>
      </c>
      <c r="G6" s="568" t="s">
        <v>778</v>
      </c>
      <c r="H6" s="568" t="s">
        <v>779</v>
      </c>
      <c r="I6" s="568" t="s">
        <v>780</v>
      </c>
      <c r="J6" s="568" t="s">
        <v>781</v>
      </c>
      <c r="K6" s="568" t="s">
        <v>782</v>
      </c>
      <c r="L6" s="568" t="s">
        <v>783</v>
      </c>
      <c r="M6" s="568" t="s">
        <v>784</v>
      </c>
      <c r="N6" s="569" t="s">
        <v>785</v>
      </c>
      <c r="O6" s="570" t="s">
        <v>786</v>
      </c>
      <c r="P6" s="571" t="s">
        <v>787</v>
      </c>
      <c r="Q6" s="566" t="s">
        <v>773</v>
      </c>
      <c r="R6" s="567" t="s">
        <v>774</v>
      </c>
      <c r="S6" s="568" t="s">
        <v>788</v>
      </c>
      <c r="T6" s="568" t="s">
        <v>776</v>
      </c>
      <c r="U6" s="568" t="s">
        <v>777</v>
      </c>
      <c r="V6" s="568" t="s">
        <v>778</v>
      </c>
      <c r="W6" s="568" t="s">
        <v>779</v>
      </c>
      <c r="X6" s="568" t="s">
        <v>780</v>
      </c>
      <c r="Y6" s="568" t="s">
        <v>781</v>
      </c>
      <c r="Z6" s="568" t="s">
        <v>782</v>
      </c>
      <c r="AA6" s="568" t="s">
        <v>783</v>
      </c>
      <c r="AB6" s="568" t="s">
        <v>784</v>
      </c>
      <c r="AC6" s="569" t="s">
        <v>785</v>
      </c>
      <c r="AD6" s="570" t="s">
        <v>786</v>
      </c>
      <c r="AE6" s="571" t="s">
        <v>789</v>
      </c>
      <c r="AF6" s="572" t="s">
        <v>790</v>
      </c>
      <c r="AG6" s="572" t="s">
        <v>791</v>
      </c>
      <c r="AH6" s="572" t="s">
        <v>773</v>
      </c>
      <c r="AI6" s="571" t="s">
        <v>792</v>
      </c>
    </row>
    <row r="7" spans="1:36" ht="15.75" thickBot="1">
      <c r="A7" s="1360"/>
      <c r="B7" s="573" t="s">
        <v>793</v>
      </c>
      <c r="C7" s="574" t="s">
        <v>794</v>
      </c>
      <c r="D7" s="575" t="s">
        <v>795</v>
      </c>
      <c r="E7" s="575" t="s">
        <v>796</v>
      </c>
      <c r="F7" s="576" t="s">
        <v>797</v>
      </c>
      <c r="G7" s="576" t="s">
        <v>798</v>
      </c>
      <c r="H7" s="576" t="s">
        <v>799</v>
      </c>
      <c r="I7" s="576" t="s">
        <v>800</v>
      </c>
      <c r="J7" s="576" t="s">
        <v>801</v>
      </c>
      <c r="K7" s="576" t="s">
        <v>802</v>
      </c>
      <c r="L7" s="576" t="s">
        <v>803</v>
      </c>
      <c r="M7" s="576" t="s">
        <v>804</v>
      </c>
      <c r="N7" s="577" t="s">
        <v>805</v>
      </c>
      <c r="O7" s="578" t="s">
        <v>806</v>
      </c>
      <c r="P7" s="579" t="s">
        <v>807</v>
      </c>
      <c r="Q7" s="573" t="s">
        <v>793</v>
      </c>
      <c r="R7" s="574" t="s">
        <v>794</v>
      </c>
      <c r="S7" s="575" t="s">
        <v>795</v>
      </c>
      <c r="T7" s="575" t="s">
        <v>796</v>
      </c>
      <c r="U7" s="576" t="s">
        <v>797</v>
      </c>
      <c r="V7" s="576" t="s">
        <v>798</v>
      </c>
      <c r="W7" s="576" t="s">
        <v>799</v>
      </c>
      <c r="X7" s="576" t="s">
        <v>800</v>
      </c>
      <c r="Y7" s="576" t="s">
        <v>801</v>
      </c>
      <c r="Z7" s="576" t="s">
        <v>802</v>
      </c>
      <c r="AA7" s="576" t="s">
        <v>803</v>
      </c>
      <c r="AB7" s="576" t="s">
        <v>804</v>
      </c>
      <c r="AC7" s="577" t="s">
        <v>805</v>
      </c>
      <c r="AD7" s="578" t="s">
        <v>806</v>
      </c>
      <c r="AE7" s="579" t="s">
        <v>807</v>
      </c>
      <c r="AF7" s="580"/>
      <c r="AG7" s="573"/>
      <c r="AH7" s="580"/>
      <c r="AI7" s="573"/>
    </row>
    <row r="8" spans="1:36">
      <c r="A8" s="581"/>
      <c r="B8" s="582"/>
      <c r="C8" s="583"/>
      <c r="D8" s="583"/>
      <c r="E8" s="583"/>
      <c r="F8" s="583"/>
      <c r="G8" s="583"/>
      <c r="H8" s="583"/>
      <c r="I8" s="583"/>
      <c r="J8" s="583"/>
      <c r="K8" s="583"/>
      <c r="L8" s="583"/>
      <c r="M8" s="583"/>
      <c r="N8" s="584"/>
      <c r="O8" s="585"/>
      <c r="P8" s="586"/>
      <c r="Q8" s="582"/>
      <c r="R8" s="583"/>
      <c r="S8" s="583"/>
      <c r="T8" s="583"/>
      <c r="U8" s="583"/>
      <c r="V8" s="583"/>
      <c r="W8" s="583"/>
      <c r="X8" s="583"/>
      <c r="Y8" s="583"/>
      <c r="Z8" s="583"/>
      <c r="AA8" s="583"/>
      <c r="AB8" s="583"/>
      <c r="AC8" s="584"/>
      <c r="AD8" s="585"/>
      <c r="AE8" s="586"/>
      <c r="AF8" s="586"/>
      <c r="AG8" s="582"/>
      <c r="AH8" s="586"/>
      <c r="AI8" s="582"/>
    </row>
    <row r="9" spans="1:36">
      <c r="A9" s="582" t="s">
        <v>808</v>
      </c>
      <c r="B9" s="582">
        <v>96</v>
      </c>
      <c r="C9" s="583">
        <v>905</v>
      </c>
      <c r="D9" s="583">
        <v>1111</v>
      </c>
      <c r="E9" s="583"/>
      <c r="F9" s="583"/>
      <c r="G9" s="583"/>
      <c r="H9" s="583"/>
      <c r="I9" s="583"/>
      <c r="J9" s="583"/>
      <c r="K9" s="583">
        <f>SUM(C9:J9)</f>
        <v>2016</v>
      </c>
      <c r="L9" s="583">
        <v>1000</v>
      </c>
      <c r="M9" s="583"/>
      <c r="N9" s="584">
        <f>SUM(L9:M9)</f>
        <v>1000</v>
      </c>
      <c r="O9" s="585">
        <f>K9*12+N9</f>
        <v>25192</v>
      </c>
      <c r="P9" s="586">
        <f>B9*O9</f>
        <v>2418432</v>
      </c>
      <c r="Q9" s="582">
        <v>84</v>
      </c>
      <c r="R9" s="583">
        <v>835</v>
      </c>
      <c r="S9" s="583">
        <v>1229</v>
      </c>
      <c r="T9" s="583"/>
      <c r="U9" s="583"/>
      <c r="V9" s="583"/>
      <c r="W9" s="583"/>
      <c r="X9" s="583"/>
      <c r="Y9" s="583"/>
      <c r="Z9" s="583">
        <f>SUM(R9:Y9)</f>
        <v>2064</v>
      </c>
      <c r="AA9" s="583">
        <v>1000</v>
      </c>
      <c r="AB9" s="583"/>
      <c r="AC9" s="584">
        <f>SUM(AA9:AB9)</f>
        <v>1000</v>
      </c>
      <c r="AD9" s="585">
        <f>Z9*12+AC9</f>
        <v>25768</v>
      </c>
      <c r="AE9" s="586">
        <f>Q9*AD9</f>
        <v>2164512</v>
      </c>
      <c r="AF9" s="586">
        <f>O9-AD9</f>
        <v>-576</v>
      </c>
      <c r="AG9" s="582">
        <f>P9-AE9</f>
        <v>253920</v>
      </c>
      <c r="AH9" s="586">
        <v>84</v>
      </c>
      <c r="AI9" s="582">
        <v>795683</v>
      </c>
    </row>
    <row r="10" spans="1:36">
      <c r="A10" s="582" t="s">
        <v>809</v>
      </c>
      <c r="B10" s="582"/>
      <c r="C10" s="583"/>
      <c r="D10" s="583"/>
      <c r="E10" s="583"/>
      <c r="F10" s="583"/>
      <c r="G10" s="583"/>
      <c r="H10" s="583"/>
      <c r="I10" s="583"/>
      <c r="J10" s="583"/>
      <c r="K10" s="583"/>
      <c r="L10" s="583"/>
      <c r="M10" s="583"/>
      <c r="N10" s="584"/>
      <c r="O10" s="585"/>
      <c r="P10" s="586"/>
      <c r="Q10" s="582"/>
      <c r="R10" s="583"/>
      <c r="S10" s="583"/>
      <c r="T10" s="583"/>
      <c r="U10" s="583"/>
      <c r="V10" s="583"/>
      <c r="W10" s="583"/>
      <c r="X10" s="583"/>
      <c r="Y10" s="583"/>
      <c r="Z10" s="583"/>
      <c r="AA10" s="583"/>
      <c r="AB10" s="583"/>
      <c r="AC10" s="584"/>
      <c r="AD10" s="585"/>
      <c r="AE10" s="586"/>
      <c r="AF10" s="586"/>
      <c r="AG10" s="582"/>
      <c r="AH10" s="586"/>
      <c r="AI10" s="582"/>
    </row>
    <row r="11" spans="1:36">
      <c r="A11" s="582"/>
      <c r="B11" s="582"/>
      <c r="C11" s="583"/>
      <c r="D11" s="583"/>
      <c r="E11" s="583"/>
      <c r="F11" s="583"/>
      <c r="G11" s="583"/>
      <c r="H11" s="583"/>
      <c r="I11" s="583"/>
      <c r="J11" s="583"/>
      <c r="K11" s="583"/>
      <c r="L11" s="583"/>
      <c r="M11" s="583"/>
      <c r="N11" s="584"/>
      <c r="O11" s="585"/>
      <c r="P11" s="586"/>
      <c r="Q11" s="582"/>
      <c r="R11" s="583"/>
      <c r="S11" s="583"/>
      <c r="T11" s="583"/>
      <c r="U11" s="583"/>
      <c r="V11" s="583"/>
      <c r="W11" s="583"/>
      <c r="X11" s="583"/>
      <c r="Y11" s="583"/>
      <c r="Z11" s="583"/>
      <c r="AA11" s="583"/>
      <c r="AB11" s="583"/>
      <c r="AC11" s="584"/>
      <c r="AD11" s="585"/>
      <c r="AE11" s="586"/>
      <c r="AF11" s="586"/>
      <c r="AG11" s="582"/>
      <c r="AH11" s="586"/>
      <c r="AI11" s="582"/>
    </row>
    <row r="12" spans="1:36" ht="15.75" thickBot="1">
      <c r="A12" s="587"/>
      <c r="B12" s="588"/>
      <c r="C12" s="589"/>
      <c r="D12" s="589"/>
      <c r="E12" s="589"/>
      <c r="F12" s="589"/>
      <c r="G12" s="589"/>
      <c r="H12" s="589"/>
      <c r="I12" s="589"/>
      <c r="J12" s="589"/>
      <c r="K12" s="589"/>
      <c r="L12" s="589"/>
      <c r="M12" s="589"/>
      <c r="N12" s="590"/>
      <c r="O12" s="591"/>
      <c r="P12" s="592"/>
      <c r="Q12" s="588"/>
      <c r="R12" s="589"/>
      <c r="S12" s="589"/>
      <c r="T12" s="589"/>
      <c r="U12" s="589"/>
      <c r="V12" s="589"/>
      <c r="W12" s="589"/>
      <c r="X12" s="589"/>
      <c r="Y12" s="589"/>
      <c r="Z12" s="589"/>
      <c r="AA12" s="589"/>
      <c r="AB12" s="589"/>
      <c r="AC12" s="590"/>
      <c r="AD12" s="591"/>
      <c r="AE12" s="592"/>
      <c r="AF12" s="592"/>
      <c r="AG12" s="588"/>
      <c r="AH12" s="592"/>
      <c r="AI12" s="588"/>
    </row>
    <row r="13" spans="1:36" ht="15.75" thickBot="1">
      <c r="A13" s="593" t="s">
        <v>0</v>
      </c>
      <c r="B13" s="594"/>
      <c r="C13" s="595"/>
      <c r="D13" s="596"/>
      <c r="E13" s="596"/>
      <c r="F13" s="596"/>
      <c r="G13" s="596"/>
      <c r="H13" s="596"/>
      <c r="I13" s="596"/>
      <c r="J13" s="596"/>
      <c r="K13" s="596"/>
      <c r="L13" s="596"/>
      <c r="M13" s="596"/>
      <c r="N13" s="597"/>
      <c r="O13" s="598"/>
      <c r="P13" s="599"/>
      <c r="Q13" s="587"/>
      <c r="R13" s="595"/>
      <c r="S13" s="596"/>
      <c r="T13" s="596"/>
      <c r="U13" s="596"/>
      <c r="V13" s="596"/>
      <c r="W13" s="596"/>
      <c r="X13" s="596"/>
      <c r="Y13" s="596"/>
      <c r="Z13" s="596"/>
      <c r="AA13" s="596"/>
      <c r="AB13" s="596"/>
      <c r="AC13" s="597"/>
      <c r="AD13" s="598"/>
      <c r="AE13" s="599"/>
      <c r="AF13" s="599"/>
      <c r="AG13" s="587"/>
      <c r="AH13" s="599"/>
      <c r="AI13" s="587"/>
    </row>
    <row r="14" spans="1:36">
      <c r="A14" s="584"/>
      <c r="B14" s="584"/>
      <c r="C14" s="584"/>
      <c r="D14" s="584"/>
      <c r="E14" s="584"/>
      <c r="F14" s="584"/>
      <c r="G14" s="584"/>
      <c r="H14" s="584"/>
      <c r="I14" s="584"/>
      <c r="J14" s="584"/>
      <c r="K14" s="584"/>
      <c r="L14" s="584"/>
      <c r="M14" s="584"/>
      <c r="N14" s="584"/>
      <c r="O14" s="584"/>
      <c r="P14" s="584"/>
      <c r="Q14" s="584"/>
      <c r="R14" s="584"/>
      <c r="S14" s="584"/>
      <c r="T14" s="584"/>
      <c r="U14" s="584"/>
      <c r="V14" s="584"/>
      <c r="W14" s="584"/>
      <c r="X14" s="584"/>
      <c r="Y14" s="584"/>
      <c r="Z14" s="584"/>
      <c r="AA14" s="584"/>
      <c r="AB14" s="584"/>
      <c r="AC14" s="584"/>
      <c r="AD14" s="584"/>
      <c r="AE14" s="584"/>
      <c r="AF14" s="584"/>
      <c r="AG14" s="584"/>
      <c r="AH14" s="584"/>
      <c r="AI14" s="584"/>
    </row>
    <row r="15" spans="1:36">
      <c r="A15" s="584"/>
      <c r="B15" s="584"/>
      <c r="C15" s="584"/>
      <c r="D15" s="584"/>
      <c r="E15" s="584"/>
      <c r="F15" s="584"/>
      <c r="G15" s="584"/>
      <c r="H15" s="584"/>
      <c r="I15" s="584"/>
      <c r="J15" s="584"/>
      <c r="K15" s="584"/>
      <c r="L15" s="584"/>
      <c r="M15" s="584"/>
      <c r="N15" s="584"/>
      <c r="O15" s="584"/>
      <c r="P15" s="584"/>
      <c r="Q15" s="584"/>
      <c r="R15" s="584"/>
      <c r="S15" s="584"/>
      <c r="T15" s="584"/>
      <c r="U15" s="584"/>
      <c r="V15" s="584"/>
      <c r="W15" s="584"/>
      <c r="X15" s="584"/>
      <c r="Y15" s="584"/>
      <c r="Z15" s="584"/>
      <c r="AA15" s="584"/>
      <c r="AB15" s="584"/>
      <c r="AC15" s="584"/>
      <c r="AD15" s="584"/>
      <c r="AE15" s="584"/>
      <c r="AF15" s="584"/>
      <c r="AG15" s="584"/>
      <c r="AH15" s="584"/>
      <c r="AI15" s="584"/>
    </row>
    <row r="16" spans="1:36">
      <c r="A16" s="560" t="s">
        <v>766</v>
      </c>
      <c r="B16" s="305"/>
      <c r="C16" s="305"/>
      <c r="D16" s="305"/>
      <c r="E16" s="305"/>
      <c r="F16" s="305"/>
      <c r="G16" s="305"/>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4"/>
    </row>
    <row r="17" spans="1:36">
      <c r="A17" s="1330" t="s">
        <v>578</v>
      </c>
      <c r="B17" s="1330"/>
      <c r="C17" s="1330"/>
      <c r="D17" s="561"/>
      <c r="E17" s="561"/>
      <c r="F17" s="561"/>
      <c r="G17" s="561"/>
      <c r="H17" s="561"/>
      <c r="I17" s="561"/>
      <c r="J17" s="561"/>
      <c r="K17" s="561"/>
      <c r="L17" s="561"/>
      <c r="M17" s="561"/>
      <c r="N17" s="561"/>
      <c r="O17" s="561"/>
      <c r="P17" s="561"/>
      <c r="Q17" s="561"/>
      <c r="R17" s="561"/>
      <c r="S17" s="561"/>
      <c r="T17" s="561"/>
      <c r="U17" s="561"/>
      <c r="V17" s="561"/>
      <c r="W17" s="561"/>
      <c r="X17" s="561"/>
      <c r="Y17" s="561"/>
      <c r="Z17" s="561"/>
      <c r="AA17" s="561"/>
      <c r="AB17" s="561"/>
      <c r="AC17" s="561"/>
      <c r="AD17" s="561"/>
      <c r="AE17" s="305"/>
      <c r="AF17" s="305"/>
      <c r="AG17" s="305"/>
      <c r="AH17" s="305"/>
      <c r="AI17" s="305"/>
      <c r="AJ17" s="34"/>
    </row>
    <row r="18" spans="1:36" ht="15.75" thickBot="1">
      <c r="A18" s="343" t="s">
        <v>579</v>
      </c>
      <c r="B18" s="343"/>
      <c r="C18" s="300"/>
      <c r="D18" s="560"/>
      <c r="E18" s="560"/>
      <c r="F18" s="560"/>
      <c r="G18" s="560"/>
      <c r="H18" s="560"/>
      <c r="I18" s="560"/>
      <c r="J18" s="560"/>
      <c r="K18" s="560"/>
      <c r="L18" s="560"/>
      <c r="M18" s="560"/>
      <c r="N18" s="560"/>
      <c r="O18" s="560"/>
      <c r="P18" s="560"/>
      <c r="Q18" s="560"/>
      <c r="R18" s="560"/>
      <c r="S18" s="560"/>
      <c r="T18" s="560"/>
      <c r="U18" s="560"/>
      <c r="V18" s="560"/>
      <c r="W18" s="560"/>
      <c r="X18" s="560"/>
      <c r="Y18" s="560"/>
      <c r="Z18" s="560"/>
      <c r="AA18" s="560"/>
      <c r="AB18" s="560"/>
      <c r="AC18" s="560"/>
      <c r="AD18" s="560"/>
      <c r="AE18" s="560"/>
      <c r="AF18" s="560"/>
      <c r="AG18" s="560"/>
      <c r="AH18" s="560"/>
      <c r="AI18" s="560"/>
      <c r="AJ18" s="34"/>
    </row>
    <row r="19" spans="1:36" ht="15.75" thickBot="1">
      <c r="A19" s="1314" t="s">
        <v>768</v>
      </c>
      <c r="B19" s="1346" t="s">
        <v>769</v>
      </c>
      <c r="C19" s="1291"/>
      <c r="D19" s="1291"/>
      <c r="E19" s="1291"/>
      <c r="F19" s="1291"/>
      <c r="G19" s="1291"/>
      <c r="H19" s="1291"/>
      <c r="I19" s="1291"/>
      <c r="J19" s="1291"/>
      <c r="K19" s="1291"/>
      <c r="L19" s="1291"/>
      <c r="M19" s="1291"/>
      <c r="N19" s="1291"/>
      <c r="O19" s="1291"/>
      <c r="P19" s="1291"/>
      <c r="Q19" s="1347" t="s">
        <v>770</v>
      </c>
      <c r="R19" s="1291"/>
      <c r="S19" s="1291"/>
      <c r="T19" s="1291"/>
      <c r="U19" s="1291"/>
      <c r="V19" s="1291"/>
      <c r="W19" s="1291"/>
      <c r="X19" s="1291"/>
      <c r="Y19" s="1291"/>
      <c r="Z19" s="1291"/>
      <c r="AA19" s="1291"/>
      <c r="AB19" s="1291"/>
      <c r="AC19" s="1291"/>
      <c r="AD19" s="1291"/>
      <c r="AE19" s="1292"/>
      <c r="AF19" s="1348" t="s">
        <v>771</v>
      </c>
      <c r="AG19" s="1292"/>
      <c r="AH19" s="1348" t="s">
        <v>772</v>
      </c>
      <c r="AI19" s="1292"/>
      <c r="AJ19" s="34"/>
    </row>
    <row r="20" spans="1:36" ht="97.5">
      <c r="A20" s="1345"/>
      <c r="B20" s="600" t="s">
        <v>773</v>
      </c>
      <c r="C20" s="601" t="s">
        <v>774</v>
      </c>
      <c r="D20" s="602" t="s">
        <v>775</v>
      </c>
      <c r="E20" s="602" t="s">
        <v>776</v>
      </c>
      <c r="F20" s="602" t="s">
        <v>777</v>
      </c>
      <c r="G20" s="602" t="s">
        <v>778</v>
      </c>
      <c r="H20" s="602" t="s">
        <v>779</v>
      </c>
      <c r="I20" s="602" t="s">
        <v>780</v>
      </c>
      <c r="J20" s="602" t="s">
        <v>781</v>
      </c>
      <c r="K20" s="602" t="s">
        <v>782</v>
      </c>
      <c r="L20" s="602" t="s">
        <v>783</v>
      </c>
      <c r="M20" s="602" t="s">
        <v>784</v>
      </c>
      <c r="N20" s="603" t="s">
        <v>785</v>
      </c>
      <c r="O20" s="604" t="s">
        <v>786</v>
      </c>
      <c r="P20" s="605" t="s">
        <v>787</v>
      </c>
      <c r="Q20" s="600" t="s">
        <v>773</v>
      </c>
      <c r="R20" s="601" t="s">
        <v>774</v>
      </c>
      <c r="S20" s="602" t="s">
        <v>788</v>
      </c>
      <c r="T20" s="602" t="s">
        <v>776</v>
      </c>
      <c r="U20" s="602" t="s">
        <v>777</v>
      </c>
      <c r="V20" s="602" t="s">
        <v>778</v>
      </c>
      <c r="W20" s="602" t="s">
        <v>779</v>
      </c>
      <c r="X20" s="602" t="s">
        <v>780</v>
      </c>
      <c r="Y20" s="602" t="s">
        <v>781</v>
      </c>
      <c r="Z20" s="602" t="s">
        <v>782</v>
      </c>
      <c r="AA20" s="602" t="s">
        <v>783</v>
      </c>
      <c r="AB20" s="602" t="s">
        <v>784</v>
      </c>
      <c r="AC20" s="603" t="s">
        <v>785</v>
      </c>
      <c r="AD20" s="604" t="s">
        <v>786</v>
      </c>
      <c r="AE20" s="605" t="s">
        <v>789</v>
      </c>
      <c r="AF20" s="606" t="s">
        <v>790</v>
      </c>
      <c r="AG20" s="606" t="s">
        <v>791</v>
      </c>
      <c r="AH20" s="606" t="s">
        <v>773</v>
      </c>
      <c r="AI20" s="605" t="s">
        <v>792</v>
      </c>
      <c r="AJ20" s="34"/>
    </row>
    <row r="21" spans="1:36" ht="15.75" thickBot="1">
      <c r="A21" s="1280"/>
      <c r="B21" s="607" t="s">
        <v>793</v>
      </c>
      <c r="C21" s="608" t="s">
        <v>794</v>
      </c>
      <c r="D21" s="609" t="s">
        <v>795</v>
      </c>
      <c r="E21" s="609" t="s">
        <v>796</v>
      </c>
      <c r="F21" s="610" t="s">
        <v>797</v>
      </c>
      <c r="G21" s="610" t="s">
        <v>798</v>
      </c>
      <c r="H21" s="610" t="s">
        <v>799</v>
      </c>
      <c r="I21" s="610" t="s">
        <v>800</v>
      </c>
      <c r="J21" s="610" t="s">
        <v>801</v>
      </c>
      <c r="K21" s="610" t="s">
        <v>802</v>
      </c>
      <c r="L21" s="610" t="s">
        <v>803</v>
      </c>
      <c r="M21" s="610" t="s">
        <v>804</v>
      </c>
      <c r="N21" s="611" t="s">
        <v>805</v>
      </c>
      <c r="O21" s="612" t="s">
        <v>806</v>
      </c>
      <c r="P21" s="613" t="s">
        <v>807</v>
      </c>
      <c r="Q21" s="607" t="s">
        <v>793</v>
      </c>
      <c r="R21" s="608" t="s">
        <v>794</v>
      </c>
      <c r="S21" s="609" t="s">
        <v>795</v>
      </c>
      <c r="T21" s="609" t="s">
        <v>796</v>
      </c>
      <c r="U21" s="610" t="s">
        <v>797</v>
      </c>
      <c r="V21" s="610" t="s">
        <v>798</v>
      </c>
      <c r="W21" s="610" t="s">
        <v>799</v>
      </c>
      <c r="X21" s="610" t="s">
        <v>800</v>
      </c>
      <c r="Y21" s="610" t="s">
        <v>801</v>
      </c>
      <c r="Z21" s="610" t="s">
        <v>802</v>
      </c>
      <c r="AA21" s="610" t="s">
        <v>803</v>
      </c>
      <c r="AB21" s="610" t="s">
        <v>804</v>
      </c>
      <c r="AC21" s="611" t="s">
        <v>805</v>
      </c>
      <c r="AD21" s="612" t="s">
        <v>806</v>
      </c>
      <c r="AE21" s="613" t="s">
        <v>807</v>
      </c>
      <c r="AF21" s="614"/>
      <c r="AG21" s="607"/>
      <c r="AH21" s="614"/>
      <c r="AI21" s="607"/>
      <c r="AJ21" s="34"/>
    </row>
    <row r="22" spans="1:36">
      <c r="A22" s="615" t="s">
        <v>808</v>
      </c>
      <c r="B22" s="616"/>
      <c r="C22" s="617"/>
      <c r="D22" s="618"/>
      <c r="E22" s="618"/>
      <c r="F22" s="619"/>
      <c r="G22" s="619"/>
      <c r="H22" s="619"/>
      <c r="I22" s="619"/>
      <c r="J22" s="619"/>
      <c r="K22" s="619"/>
      <c r="L22" s="619"/>
      <c r="M22" s="619"/>
      <c r="N22" s="620"/>
      <c r="O22" s="621"/>
      <c r="P22" s="622"/>
      <c r="Q22" s="616"/>
      <c r="R22" s="623"/>
      <c r="S22" s="618"/>
      <c r="T22" s="618"/>
      <c r="U22" s="619"/>
      <c r="V22" s="619"/>
      <c r="W22" s="619"/>
      <c r="X22" s="619"/>
      <c r="Y22" s="619"/>
      <c r="Z22" s="624">
        <f>SUM(R22:Y22)</f>
        <v>0</v>
      </c>
      <c r="AA22" s="619"/>
      <c r="AB22" s="619"/>
      <c r="AC22" s="620"/>
      <c r="AD22" s="621"/>
      <c r="AE22" s="622"/>
      <c r="AF22" s="625"/>
      <c r="AG22" s="616"/>
      <c r="AH22" s="625"/>
      <c r="AI22" s="616"/>
      <c r="AJ22" s="34"/>
    </row>
    <row r="23" spans="1:36">
      <c r="A23" s="235" t="s">
        <v>556</v>
      </c>
      <c r="B23" s="235">
        <v>1</v>
      </c>
      <c r="C23" s="235">
        <v>1021.74</v>
      </c>
      <c r="D23" s="626"/>
      <c r="E23" s="626"/>
      <c r="F23" s="626">
        <v>2101.33</v>
      </c>
      <c r="G23" s="627"/>
      <c r="H23" s="626"/>
      <c r="I23" s="626"/>
      <c r="J23" s="626"/>
      <c r="K23" s="624">
        <f>SUM(C23:J23)</f>
        <v>3123.0699999999997</v>
      </c>
      <c r="L23" s="626">
        <v>1000</v>
      </c>
      <c r="M23" s="626">
        <v>2000</v>
      </c>
      <c r="N23" s="295">
        <f>L23+M23</f>
        <v>3000</v>
      </c>
      <c r="O23" s="628">
        <f>(K23*12)+N23</f>
        <v>40476.839999999997</v>
      </c>
      <c r="P23" s="629">
        <f>B23*O23</f>
        <v>40476.839999999997</v>
      </c>
      <c r="Q23" s="235">
        <v>1</v>
      </c>
      <c r="R23" s="235">
        <v>796.39</v>
      </c>
      <c r="S23" s="626"/>
      <c r="T23" s="626"/>
      <c r="U23" s="626">
        <v>2101.33</v>
      </c>
      <c r="V23" s="627"/>
      <c r="W23" s="626"/>
      <c r="X23" s="626"/>
      <c r="Y23" s="626"/>
      <c r="Z23" s="624">
        <f t="shared" ref="Z23:Z27" si="0">SUM(R23:Y23)</f>
        <v>2897.72</v>
      </c>
      <c r="AA23" s="626">
        <v>1000</v>
      </c>
      <c r="AB23" s="626">
        <v>2000</v>
      </c>
      <c r="AC23" s="295">
        <f>AA23+AB23</f>
        <v>3000</v>
      </c>
      <c r="AD23" s="628">
        <f>(Z23*12)+AC23</f>
        <v>37772.639999999999</v>
      </c>
      <c r="AE23" s="629">
        <f>Q23*AD23</f>
        <v>37772.639999999999</v>
      </c>
      <c r="AF23" s="630">
        <f>+O23-AD23</f>
        <v>2704.1999999999971</v>
      </c>
      <c r="AG23" s="631">
        <f>+P23-AE23</f>
        <v>2704.1999999999971</v>
      </c>
      <c r="AH23" s="632">
        <v>1</v>
      </c>
      <c r="AI23" s="633">
        <f>+AE23</f>
        <v>37772.639999999999</v>
      </c>
      <c r="AJ23" s="34"/>
    </row>
    <row r="24" spans="1:36">
      <c r="A24" s="235" t="s">
        <v>558</v>
      </c>
      <c r="B24" s="235">
        <v>6</v>
      </c>
      <c r="C24" s="235">
        <v>767.81</v>
      </c>
      <c r="D24" s="626"/>
      <c r="E24" s="626"/>
      <c r="F24" s="626">
        <v>1941.33</v>
      </c>
      <c r="G24" s="626"/>
      <c r="H24" s="626"/>
      <c r="I24" s="626"/>
      <c r="J24" s="626"/>
      <c r="K24" s="624">
        <f t="shared" ref="K24:K27" si="1">SUM(C24:J24)</f>
        <v>2709.14</v>
      </c>
      <c r="L24" s="626">
        <v>1000</v>
      </c>
      <c r="M24" s="626">
        <v>2000</v>
      </c>
      <c r="N24" s="295">
        <f t="shared" ref="N24:N27" si="2">L24+M24</f>
        <v>3000</v>
      </c>
      <c r="O24" s="628">
        <f t="shared" ref="O24:O27" si="3">(K24*12)+N24</f>
        <v>35509.68</v>
      </c>
      <c r="P24" s="629">
        <f t="shared" ref="P24:P27" si="4">B24*O24</f>
        <v>213058.08000000002</v>
      </c>
      <c r="Q24" s="235">
        <v>6</v>
      </c>
      <c r="R24" s="235">
        <v>757.49</v>
      </c>
      <c r="S24" s="626"/>
      <c r="T24" s="626"/>
      <c r="U24" s="626">
        <v>1941.33</v>
      </c>
      <c r="V24" s="626"/>
      <c r="W24" s="626"/>
      <c r="X24" s="626"/>
      <c r="Y24" s="626"/>
      <c r="Z24" s="624">
        <f t="shared" si="0"/>
        <v>2698.8199999999997</v>
      </c>
      <c r="AA24" s="626">
        <v>1000</v>
      </c>
      <c r="AB24" s="626">
        <v>2000</v>
      </c>
      <c r="AC24" s="295">
        <f t="shared" ref="AC24:AC27" si="5">AA24+AB24</f>
        <v>3000</v>
      </c>
      <c r="AD24" s="628">
        <f t="shared" ref="AD24:AD27" si="6">(Z24*12)+AC24</f>
        <v>35385.839999999997</v>
      </c>
      <c r="AE24" s="629">
        <f t="shared" ref="AE24:AE27" si="7">Q24*AD24</f>
        <v>212315.03999999998</v>
      </c>
      <c r="AF24" s="630">
        <f t="shared" ref="AF24:AG27" si="8">+O24-AD24</f>
        <v>123.84000000000378</v>
      </c>
      <c r="AG24" s="631">
        <f t="shared" si="8"/>
        <v>743.04000000003725</v>
      </c>
      <c r="AH24" s="632">
        <v>6</v>
      </c>
      <c r="AI24" s="633">
        <f t="shared" ref="AI24:AI27" si="9">+AE24</f>
        <v>212315.03999999998</v>
      </c>
      <c r="AJ24" s="34"/>
    </row>
    <row r="25" spans="1:36">
      <c r="A25" s="235" t="s">
        <v>559</v>
      </c>
      <c r="B25" s="235">
        <v>1</v>
      </c>
      <c r="C25" s="235">
        <v>761.08</v>
      </c>
      <c r="D25" s="626"/>
      <c r="E25" s="626"/>
      <c r="F25" s="626">
        <v>1781.33</v>
      </c>
      <c r="G25" s="626"/>
      <c r="H25" s="626"/>
      <c r="I25" s="626"/>
      <c r="J25" s="626"/>
      <c r="K25" s="624">
        <f t="shared" si="1"/>
        <v>2542.41</v>
      </c>
      <c r="L25" s="626">
        <v>1000</v>
      </c>
      <c r="M25" s="626">
        <f>2000*1</f>
        <v>2000</v>
      </c>
      <c r="N25" s="295">
        <f t="shared" si="2"/>
        <v>3000</v>
      </c>
      <c r="O25" s="628">
        <f t="shared" si="3"/>
        <v>33508.92</v>
      </c>
      <c r="P25" s="629">
        <f t="shared" si="4"/>
        <v>33508.92</v>
      </c>
      <c r="Q25" s="235">
        <v>1</v>
      </c>
      <c r="R25" s="235">
        <v>738.1</v>
      </c>
      <c r="S25" s="626"/>
      <c r="T25" s="626"/>
      <c r="U25" s="626">
        <v>1781.33</v>
      </c>
      <c r="V25" s="626"/>
      <c r="W25" s="626"/>
      <c r="X25" s="626"/>
      <c r="Y25" s="626"/>
      <c r="Z25" s="624">
        <f t="shared" si="0"/>
        <v>2519.4299999999998</v>
      </c>
      <c r="AA25" s="626">
        <v>1000</v>
      </c>
      <c r="AB25" s="626">
        <f>2000*1</f>
        <v>2000</v>
      </c>
      <c r="AC25" s="295">
        <f t="shared" si="5"/>
        <v>3000</v>
      </c>
      <c r="AD25" s="628">
        <f t="shared" si="6"/>
        <v>33233.159999999996</v>
      </c>
      <c r="AE25" s="629">
        <f t="shared" si="7"/>
        <v>33233.159999999996</v>
      </c>
      <c r="AF25" s="630">
        <f t="shared" si="8"/>
        <v>275.76000000000204</v>
      </c>
      <c r="AG25" s="631">
        <f t="shared" si="8"/>
        <v>275.76000000000204</v>
      </c>
      <c r="AH25" s="632">
        <v>1</v>
      </c>
      <c r="AI25" s="633">
        <f t="shared" si="9"/>
        <v>33233.159999999996</v>
      </c>
      <c r="AJ25" s="34"/>
    </row>
    <row r="26" spans="1:36">
      <c r="A26" s="235" t="s">
        <v>562</v>
      </c>
      <c r="B26" s="235">
        <v>1</v>
      </c>
      <c r="C26" s="235">
        <v>671</v>
      </c>
      <c r="D26" s="626"/>
      <c r="E26" s="626"/>
      <c r="F26" s="626">
        <v>1621.33</v>
      </c>
      <c r="G26" s="626"/>
      <c r="H26" s="626"/>
      <c r="I26" s="626"/>
      <c r="J26" s="626"/>
      <c r="K26" s="624">
        <f t="shared" si="1"/>
        <v>2292.33</v>
      </c>
      <c r="L26" s="626">
        <v>1000</v>
      </c>
      <c r="M26" s="626">
        <v>2000</v>
      </c>
      <c r="N26" s="295">
        <f t="shared" si="2"/>
        <v>3000</v>
      </c>
      <c r="O26" s="628">
        <f t="shared" si="3"/>
        <v>30507.96</v>
      </c>
      <c r="P26" s="629">
        <f t="shared" si="4"/>
        <v>30507.96</v>
      </c>
      <c r="Q26" s="235">
        <v>1</v>
      </c>
      <c r="R26" s="235">
        <v>698.59</v>
      </c>
      <c r="S26" s="626"/>
      <c r="T26" s="626"/>
      <c r="U26" s="626">
        <v>1621.33</v>
      </c>
      <c r="V26" s="626"/>
      <c r="W26" s="626"/>
      <c r="X26" s="626"/>
      <c r="Y26" s="626"/>
      <c r="Z26" s="624">
        <f t="shared" si="0"/>
        <v>2319.92</v>
      </c>
      <c r="AA26" s="626">
        <v>1000</v>
      </c>
      <c r="AB26" s="626">
        <v>2000</v>
      </c>
      <c r="AC26" s="295">
        <f t="shared" si="5"/>
        <v>3000</v>
      </c>
      <c r="AD26" s="628">
        <f t="shared" si="6"/>
        <v>30839.040000000001</v>
      </c>
      <c r="AE26" s="629">
        <f t="shared" si="7"/>
        <v>30839.040000000001</v>
      </c>
      <c r="AF26" s="630">
        <f t="shared" si="8"/>
        <v>-331.08000000000175</v>
      </c>
      <c r="AG26" s="631">
        <f t="shared" si="8"/>
        <v>-331.08000000000175</v>
      </c>
      <c r="AH26" s="632">
        <v>1</v>
      </c>
      <c r="AI26" s="633">
        <f t="shared" si="9"/>
        <v>30839.040000000001</v>
      </c>
      <c r="AJ26" s="34"/>
    </row>
    <row r="27" spans="1:36">
      <c r="A27" s="235" t="s">
        <v>566</v>
      </c>
      <c r="B27" s="235">
        <v>16</v>
      </c>
      <c r="C27" s="235">
        <v>547.1</v>
      </c>
      <c r="D27" s="626"/>
      <c r="E27" s="626"/>
      <c r="F27" s="626">
        <v>1541.33</v>
      </c>
      <c r="G27" s="626"/>
      <c r="H27" s="626"/>
      <c r="I27" s="626"/>
      <c r="J27" s="626"/>
      <c r="K27" s="624">
        <f t="shared" si="1"/>
        <v>2088.4299999999998</v>
      </c>
      <c r="L27" s="626">
        <v>1000</v>
      </c>
      <c r="M27" s="626">
        <v>2000</v>
      </c>
      <c r="N27" s="295">
        <f t="shared" si="2"/>
        <v>3000</v>
      </c>
      <c r="O27" s="628">
        <f t="shared" si="3"/>
        <v>28061.159999999996</v>
      </c>
      <c r="P27" s="629">
        <f t="shared" si="4"/>
        <v>448978.55999999994</v>
      </c>
      <c r="Q27" s="235">
        <v>16</v>
      </c>
      <c r="R27" s="235">
        <v>574.92999999999995</v>
      </c>
      <c r="S27" s="626"/>
      <c r="T27" s="626"/>
      <c r="U27" s="626">
        <v>1541.33</v>
      </c>
      <c r="V27" s="626"/>
      <c r="W27" s="626"/>
      <c r="X27" s="626"/>
      <c r="Y27" s="626"/>
      <c r="Z27" s="624">
        <f t="shared" si="0"/>
        <v>2116.2599999999998</v>
      </c>
      <c r="AA27" s="626">
        <v>1000</v>
      </c>
      <c r="AB27" s="626">
        <v>2000</v>
      </c>
      <c r="AC27" s="295">
        <f t="shared" si="5"/>
        <v>3000</v>
      </c>
      <c r="AD27" s="628">
        <f t="shared" si="6"/>
        <v>28395.119999999995</v>
      </c>
      <c r="AE27" s="629">
        <f t="shared" si="7"/>
        <v>454321.91999999993</v>
      </c>
      <c r="AF27" s="630">
        <f t="shared" si="8"/>
        <v>-333.95999999999913</v>
      </c>
      <c r="AG27" s="631">
        <f t="shared" si="8"/>
        <v>-5343.359999999986</v>
      </c>
      <c r="AH27" s="632">
        <v>16</v>
      </c>
      <c r="AI27" s="633">
        <f t="shared" si="9"/>
        <v>454321.91999999993</v>
      </c>
      <c r="AJ27" s="34"/>
    </row>
    <row r="28" spans="1:36">
      <c r="A28" s="235" t="s">
        <v>584</v>
      </c>
      <c r="B28" s="235"/>
      <c r="C28" s="235"/>
      <c r="D28" s="634"/>
      <c r="E28" s="635"/>
      <c r="F28" s="635"/>
      <c r="G28" s="635"/>
      <c r="H28" s="636"/>
      <c r="I28" s="635"/>
      <c r="J28" s="635"/>
      <c r="K28" s="637"/>
      <c r="L28" s="635"/>
      <c r="M28" s="635"/>
      <c r="N28" s="262"/>
      <c r="O28" s="638"/>
      <c r="P28" s="639"/>
      <c r="Q28" s="235"/>
      <c r="R28" s="235"/>
      <c r="S28" s="634"/>
      <c r="T28" s="635"/>
      <c r="U28" s="635"/>
      <c r="V28" s="635"/>
      <c r="W28" s="635"/>
      <c r="X28" s="635"/>
      <c r="Y28" s="635"/>
      <c r="Z28" s="637"/>
      <c r="AA28" s="635"/>
      <c r="AB28" s="635"/>
      <c r="AC28" s="262"/>
      <c r="AD28" s="638"/>
      <c r="AE28" s="639"/>
      <c r="AF28" s="630"/>
      <c r="AG28" s="631"/>
      <c r="AH28" s="632">
        <v>1</v>
      </c>
      <c r="AI28" s="633">
        <f>27028-3317.8</f>
        <v>23710.2</v>
      </c>
      <c r="AJ28" s="34"/>
    </row>
    <row r="29" spans="1:36" ht="15.75" thickBot="1">
      <c r="A29" s="640" t="s">
        <v>0</v>
      </c>
      <c r="B29" s="641">
        <f>SUM(B23:B27)</f>
        <v>25</v>
      </c>
      <c r="C29" s="641">
        <f>SUM(C23:C27)</f>
        <v>3768.73</v>
      </c>
      <c r="D29" s="641"/>
      <c r="E29" s="642"/>
      <c r="F29" s="641">
        <f>SUM(F23:F27)</f>
        <v>8986.65</v>
      </c>
      <c r="G29" s="641"/>
      <c r="H29" s="642"/>
      <c r="I29" s="642"/>
      <c r="J29" s="642"/>
      <c r="K29" s="643">
        <f t="shared" ref="K29:S29" si="10">SUM(K23:K27)</f>
        <v>12755.38</v>
      </c>
      <c r="L29" s="641">
        <f t="shared" si="10"/>
        <v>5000</v>
      </c>
      <c r="M29" s="641">
        <f t="shared" si="10"/>
        <v>10000</v>
      </c>
      <c r="N29" s="641">
        <f t="shared" si="10"/>
        <v>15000</v>
      </c>
      <c r="O29" s="643">
        <f t="shared" si="10"/>
        <v>168064.56</v>
      </c>
      <c r="P29" s="643">
        <f t="shared" si="10"/>
        <v>766530.36</v>
      </c>
      <c r="Q29" s="641">
        <f t="shared" si="10"/>
        <v>25</v>
      </c>
      <c r="R29" s="641">
        <f t="shared" si="10"/>
        <v>3565.5</v>
      </c>
      <c r="S29" s="641">
        <f t="shared" si="10"/>
        <v>0</v>
      </c>
      <c r="T29" s="642"/>
      <c r="U29" s="641">
        <f>SUM(U23:U27)</f>
        <v>8986.65</v>
      </c>
      <c r="V29" s="641">
        <f>SUM(V23:V27)</f>
        <v>0</v>
      </c>
      <c r="W29" s="642"/>
      <c r="X29" s="642"/>
      <c r="Y29" s="642"/>
      <c r="Z29" s="643">
        <f t="shared" ref="Z29" si="11">SUM(Z23:Z27)</f>
        <v>12552.15</v>
      </c>
      <c r="AA29" s="641">
        <f>SUM(AA23:AA27)</f>
        <v>5000</v>
      </c>
      <c r="AB29" s="641">
        <f t="shared" ref="AB29:AG29" si="12">SUM(AB23:AB27)</f>
        <v>10000</v>
      </c>
      <c r="AC29" s="641">
        <f t="shared" si="12"/>
        <v>15000</v>
      </c>
      <c r="AD29" s="643">
        <f t="shared" si="12"/>
        <v>165625.79999999999</v>
      </c>
      <c r="AE29" s="643">
        <f t="shared" si="12"/>
        <v>768481.79999999981</v>
      </c>
      <c r="AF29" s="643">
        <f t="shared" si="12"/>
        <v>2438.760000000002</v>
      </c>
      <c r="AG29" s="643">
        <f t="shared" si="12"/>
        <v>-1951.4399999999514</v>
      </c>
      <c r="AH29" s="644">
        <f>SUM(AH23:AH28)</f>
        <v>26</v>
      </c>
      <c r="AI29" s="643">
        <f>SUM(AI23:AI28)</f>
        <v>792191.99999999977</v>
      </c>
      <c r="AJ29" s="34"/>
    </row>
    <row r="30" spans="1:36">
      <c r="A30" s="295" t="s">
        <v>810</v>
      </c>
      <c r="B30" s="295"/>
      <c r="C30" s="295"/>
      <c r="D30" s="295"/>
      <c r="E30" s="295"/>
      <c r="F30" s="295"/>
      <c r="G30" s="295"/>
      <c r="H30" s="295"/>
      <c r="I30" s="295"/>
      <c r="J30" s="295"/>
      <c r="K30" s="295"/>
      <c r="L30" s="295"/>
      <c r="M30" s="295"/>
      <c r="N30" s="295"/>
      <c r="O30" s="295"/>
      <c r="P30" s="645"/>
      <c r="Q30" s="295"/>
      <c r="R30" s="295"/>
      <c r="S30" s="295"/>
      <c r="T30" s="295"/>
      <c r="U30" s="295"/>
      <c r="V30" s="295"/>
      <c r="W30" s="295"/>
      <c r="X30" s="295"/>
      <c r="Y30" s="295"/>
      <c r="Z30" s="295"/>
      <c r="AA30" s="295"/>
      <c r="AB30" s="295"/>
      <c r="AC30" s="295"/>
      <c r="AD30" s="295"/>
      <c r="AE30" s="295"/>
      <c r="AF30" s="295"/>
      <c r="AG30" s="295"/>
      <c r="AH30" s="295"/>
      <c r="AI30" s="645"/>
      <c r="AJ30" s="34"/>
    </row>
    <row r="31" spans="1:36">
      <c r="A31" s="295"/>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34"/>
    </row>
    <row r="32" spans="1:36">
      <c r="A32" s="295"/>
      <c r="B32" s="295"/>
      <c r="C32" s="295"/>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645"/>
      <c r="AE32" s="295"/>
      <c r="AF32" s="295"/>
      <c r="AG32" s="295"/>
      <c r="AH32" s="295"/>
      <c r="AI32" s="295"/>
      <c r="AJ32" s="34"/>
    </row>
    <row r="33" spans="1:43">
      <c r="A33" s="560" t="s">
        <v>766</v>
      </c>
      <c r="B33" s="305"/>
      <c r="C33" s="305"/>
      <c r="D33" s="305"/>
      <c r="E33" s="305"/>
      <c r="F33" s="305"/>
      <c r="G33" s="646"/>
      <c r="H33" s="646"/>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4"/>
      <c r="AK33" s="34"/>
      <c r="AL33" s="34"/>
      <c r="AM33" s="34"/>
      <c r="AN33" s="34"/>
      <c r="AO33" s="34"/>
      <c r="AP33" s="34"/>
      <c r="AQ33" s="34"/>
    </row>
    <row r="34" spans="1:43">
      <c r="A34" s="561" t="s">
        <v>811</v>
      </c>
      <c r="B34" s="561"/>
      <c r="C34" s="561"/>
      <c r="D34" s="561"/>
      <c r="E34" s="561"/>
      <c r="F34" s="561"/>
      <c r="G34" s="647"/>
      <c r="H34" s="647"/>
      <c r="I34" s="561"/>
      <c r="J34" s="561"/>
      <c r="K34" s="561"/>
      <c r="L34" s="561"/>
      <c r="M34" s="561"/>
      <c r="N34" s="561"/>
      <c r="O34" s="561"/>
      <c r="P34" s="561"/>
      <c r="Q34" s="561"/>
      <c r="R34" s="561"/>
      <c r="S34" s="561"/>
      <c r="T34" s="561"/>
      <c r="U34" s="561"/>
      <c r="V34" s="561"/>
      <c r="W34" s="561"/>
      <c r="X34" s="561"/>
      <c r="Y34" s="561"/>
      <c r="Z34" s="561"/>
      <c r="AA34" s="561"/>
      <c r="AB34" s="561"/>
      <c r="AC34" s="561"/>
      <c r="AD34" s="561"/>
      <c r="AE34" s="305"/>
      <c r="AF34" s="305"/>
      <c r="AG34" s="305"/>
      <c r="AH34" s="305"/>
      <c r="AI34" s="305"/>
      <c r="AJ34" s="34"/>
      <c r="AK34" s="34"/>
      <c r="AL34" s="34"/>
      <c r="AM34" s="34"/>
      <c r="AN34" s="34"/>
      <c r="AO34" s="34"/>
      <c r="AP34" s="34"/>
      <c r="AQ34" s="34"/>
    </row>
    <row r="35" spans="1:43" ht="15.75" thickBot="1">
      <c r="A35" s="560" t="s">
        <v>812</v>
      </c>
      <c r="B35" s="560"/>
      <c r="C35" s="560"/>
      <c r="D35" s="560"/>
      <c r="E35" s="560"/>
      <c r="F35" s="560"/>
      <c r="G35" s="648"/>
      <c r="H35" s="648"/>
      <c r="I35" s="560"/>
      <c r="J35" s="560"/>
      <c r="K35" s="560"/>
      <c r="L35" s="560"/>
      <c r="M35" s="560"/>
      <c r="N35" s="560"/>
      <c r="O35" s="560"/>
      <c r="P35" s="560"/>
      <c r="Q35" s="560"/>
      <c r="R35" s="560"/>
      <c r="S35" s="560"/>
      <c r="T35" s="560"/>
      <c r="U35" s="560"/>
      <c r="V35" s="560"/>
      <c r="W35" s="560"/>
      <c r="X35" s="560"/>
      <c r="Y35" s="560"/>
      <c r="Z35" s="560"/>
      <c r="AA35" s="560"/>
      <c r="AB35" s="560"/>
      <c r="AC35" s="560"/>
      <c r="AD35" s="560"/>
      <c r="AE35" s="560"/>
      <c r="AF35" s="560"/>
      <c r="AG35" s="560"/>
      <c r="AH35" s="560"/>
      <c r="AI35" s="560"/>
      <c r="AJ35" s="34"/>
      <c r="AK35" s="34"/>
      <c r="AL35" s="34"/>
      <c r="AM35" s="34"/>
      <c r="AN35" s="34"/>
      <c r="AO35" s="34"/>
      <c r="AP35" s="34"/>
      <c r="AQ35" s="34"/>
    </row>
    <row r="36" spans="1:43" ht="15.75" thickBot="1">
      <c r="A36" s="1314" t="s">
        <v>768</v>
      </c>
      <c r="B36" s="1346" t="s">
        <v>769</v>
      </c>
      <c r="C36" s="1291"/>
      <c r="D36" s="1291"/>
      <c r="E36" s="1291"/>
      <c r="F36" s="1291"/>
      <c r="G36" s="1291"/>
      <c r="H36" s="1291"/>
      <c r="I36" s="1291"/>
      <c r="J36" s="1291"/>
      <c r="K36" s="1291"/>
      <c r="L36" s="1291"/>
      <c r="M36" s="1291"/>
      <c r="N36" s="1291"/>
      <c r="O36" s="1281"/>
      <c r="P36" s="1281"/>
      <c r="Q36" s="1347" t="s">
        <v>770</v>
      </c>
      <c r="R36" s="1291"/>
      <c r="S36" s="1291"/>
      <c r="T36" s="1291"/>
      <c r="U36" s="1291"/>
      <c r="V36" s="1291"/>
      <c r="W36" s="1291"/>
      <c r="X36" s="1291"/>
      <c r="Y36" s="1291"/>
      <c r="Z36" s="1291"/>
      <c r="AA36" s="1291"/>
      <c r="AB36" s="1291"/>
      <c r="AC36" s="1291"/>
      <c r="AD36" s="1291"/>
      <c r="AE36" s="1292"/>
      <c r="AF36" s="1348" t="s">
        <v>771</v>
      </c>
      <c r="AG36" s="1292"/>
      <c r="AH36" s="1348" t="s">
        <v>772</v>
      </c>
      <c r="AI36" s="1292"/>
      <c r="AJ36" s="34"/>
      <c r="AK36" s="34"/>
      <c r="AL36" s="34"/>
      <c r="AM36" s="34"/>
      <c r="AN36" s="34"/>
      <c r="AO36" s="34"/>
      <c r="AP36" s="34"/>
      <c r="AQ36" s="34"/>
    </row>
    <row r="37" spans="1:43" ht="97.5">
      <c r="A37" s="1345"/>
      <c r="B37" s="600" t="s">
        <v>773</v>
      </c>
      <c r="C37" s="601" t="s">
        <v>774</v>
      </c>
      <c r="D37" s="602" t="s">
        <v>775</v>
      </c>
      <c r="E37" s="602" t="s">
        <v>776</v>
      </c>
      <c r="F37" s="602" t="s">
        <v>777</v>
      </c>
      <c r="G37" s="649" t="s">
        <v>778</v>
      </c>
      <c r="H37" s="649" t="s">
        <v>779</v>
      </c>
      <c r="I37" s="602" t="s">
        <v>780</v>
      </c>
      <c r="J37" s="602" t="s">
        <v>781</v>
      </c>
      <c r="K37" s="602" t="s">
        <v>782</v>
      </c>
      <c r="L37" s="602" t="s">
        <v>783</v>
      </c>
      <c r="M37" s="602" t="s">
        <v>784</v>
      </c>
      <c r="N37" s="603" t="s">
        <v>785</v>
      </c>
      <c r="O37" s="650" t="s">
        <v>786</v>
      </c>
      <c r="P37" s="651" t="s">
        <v>787</v>
      </c>
      <c r="Q37" s="605" t="s">
        <v>773</v>
      </c>
      <c r="R37" s="601" t="s">
        <v>774</v>
      </c>
      <c r="S37" s="602" t="s">
        <v>788</v>
      </c>
      <c r="T37" s="602" t="s">
        <v>776</v>
      </c>
      <c r="U37" s="602" t="s">
        <v>777</v>
      </c>
      <c r="V37" s="602" t="s">
        <v>778</v>
      </c>
      <c r="W37" s="602" t="s">
        <v>779</v>
      </c>
      <c r="X37" s="602" t="s">
        <v>780</v>
      </c>
      <c r="Y37" s="602" t="s">
        <v>781</v>
      </c>
      <c r="Z37" s="602" t="s">
        <v>782</v>
      </c>
      <c r="AA37" s="602" t="s">
        <v>783</v>
      </c>
      <c r="AB37" s="602" t="s">
        <v>784</v>
      </c>
      <c r="AC37" s="603" t="s">
        <v>785</v>
      </c>
      <c r="AD37" s="604" t="s">
        <v>786</v>
      </c>
      <c r="AE37" s="605" t="s">
        <v>789</v>
      </c>
      <c r="AF37" s="606" t="s">
        <v>790</v>
      </c>
      <c r="AG37" s="606" t="s">
        <v>791</v>
      </c>
      <c r="AH37" s="606" t="s">
        <v>773</v>
      </c>
      <c r="AI37" s="605" t="s">
        <v>792</v>
      </c>
      <c r="AJ37" s="34"/>
      <c r="AK37" s="34"/>
      <c r="AL37" s="34"/>
      <c r="AM37" s="34"/>
      <c r="AN37" s="34"/>
      <c r="AO37" s="34"/>
      <c r="AP37" s="34"/>
      <c r="AQ37" s="34"/>
    </row>
    <row r="38" spans="1:43" ht="15.75" thickBot="1">
      <c r="A38" s="1280"/>
      <c r="B38" s="607" t="s">
        <v>793</v>
      </c>
      <c r="C38" s="608" t="s">
        <v>794</v>
      </c>
      <c r="D38" s="609" t="s">
        <v>795</v>
      </c>
      <c r="E38" s="609" t="s">
        <v>796</v>
      </c>
      <c r="F38" s="610" t="s">
        <v>797</v>
      </c>
      <c r="G38" s="652" t="s">
        <v>798</v>
      </c>
      <c r="H38" s="652" t="s">
        <v>799</v>
      </c>
      <c r="I38" s="610" t="s">
        <v>800</v>
      </c>
      <c r="J38" s="610" t="s">
        <v>801</v>
      </c>
      <c r="K38" s="610" t="s">
        <v>802</v>
      </c>
      <c r="L38" s="610" t="s">
        <v>803</v>
      </c>
      <c r="M38" s="610" t="s">
        <v>804</v>
      </c>
      <c r="N38" s="611" t="s">
        <v>805</v>
      </c>
      <c r="O38" s="653" t="s">
        <v>806</v>
      </c>
      <c r="P38" s="654" t="s">
        <v>807</v>
      </c>
      <c r="Q38" s="614" t="s">
        <v>793</v>
      </c>
      <c r="R38" s="608" t="s">
        <v>794</v>
      </c>
      <c r="S38" s="609" t="s">
        <v>795</v>
      </c>
      <c r="T38" s="609" t="s">
        <v>796</v>
      </c>
      <c r="U38" s="610" t="s">
        <v>797</v>
      </c>
      <c r="V38" s="610" t="s">
        <v>798</v>
      </c>
      <c r="W38" s="610" t="s">
        <v>799</v>
      </c>
      <c r="X38" s="610" t="s">
        <v>800</v>
      </c>
      <c r="Y38" s="610" t="s">
        <v>801</v>
      </c>
      <c r="Z38" s="610" t="s">
        <v>802</v>
      </c>
      <c r="AA38" s="610" t="s">
        <v>803</v>
      </c>
      <c r="AB38" s="610" t="s">
        <v>804</v>
      </c>
      <c r="AC38" s="611" t="s">
        <v>805</v>
      </c>
      <c r="AD38" s="612" t="s">
        <v>806</v>
      </c>
      <c r="AE38" s="613" t="s">
        <v>807</v>
      </c>
      <c r="AF38" s="614"/>
      <c r="AG38" s="607"/>
      <c r="AH38" s="614"/>
      <c r="AI38" s="607"/>
      <c r="AJ38" s="34"/>
      <c r="AK38" s="34"/>
      <c r="AL38" s="34"/>
      <c r="AM38" s="34"/>
      <c r="AN38" s="34"/>
      <c r="AO38" s="34"/>
      <c r="AP38" s="34"/>
      <c r="AQ38" s="34"/>
    </row>
    <row r="39" spans="1:43">
      <c r="A39" s="226"/>
      <c r="B39" s="235"/>
      <c r="C39" s="626"/>
      <c r="D39" s="626"/>
      <c r="E39" s="626"/>
      <c r="F39" s="626"/>
      <c r="G39" s="655"/>
      <c r="H39" s="655"/>
      <c r="I39" s="626"/>
      <c r="J39" s="626"/>
      <c r="K39" s="626"/>
      <c r="L39" s="626"/>
      <c r="M39" s="626"/>
      <c r="N39" s="295"/>
      <c r="O39" s="656"/>
      <c r="P39" s="657"/>
      <c r="Q39" s="658"/>
      <c r="R39" s="626"/>
      <c r="S39" s="626"/>
      <c r="T39" s="626"/>
      <c r="U39" s="626"/>
      <c r="V39" s="626"/>
      <c r="W39" s="626"/>
      <c r="X39" s="626"/>
      <c r="Y39" s="626"/>
      <c r="Z39" s="626"/>
      <c r="AA39" s="626"/>
      <c r="AB39" s="626"/>
      <c r="AC39" s="295"/>
      <c r="AD39" s="659"/>
      <c r="AE39" s="658"/>
      <c r="AF39" s="658"/>
      <c r="AG39" s="235"/>
      <c r="AH39" s="658"/>
      <c r="AI39" s="235"/>
      <c r="AJ39" s="34"/>
      <c r="AK39" s="34"/>
      <c r="AL39" s="34"/>
      <c r="AM39" s="34"/>
      <c r="AN39" s="34"/>
      <c r="AO39" s="34"/>
      <c r="AP39" s="34"/>
      <c r="AQ39" s="34"/>
    </row>
    <row r="40" spans="1:43">
      <c r="A40" s="235" t="s">
        <v>808</v>
      </c>
      <c r="B40" s="235"/>
      <c r="C40" s="626"/>
      <c r="D40" s="626"/>
      <c r="E40" s="626"/>
      <c r="F40" s="626"/>
      <c r="G40" s="655"/>
      <c r="H40" s="655"/>
      <c r="I40" s="626"/>
      <c r="J40" s="626"/>
      <c r="K40" s="626"/>
      <c r="L40" s="626"/>
      <c r="M40" s="626"/>
      <c r="N40" s="295"/>
      <c r="O40" s="656"/>
      <c r="P40" s="657"/>
      <c r="Q40" s="658"/>
      <c r="R40" s="626"/>
      <c r="S40" s="626"/>
      <c r="T40" s="626"/>
      <c r="U40" s="626"/>
      <c r="V40" s="626"/>
      <c r="W40" s="626"/>
      <c r="X40" s="626"/>
      <c r="Y40" s="626"/>
      <c r="Z40" s="626"/>
      <c r="AA40" s="626"/>
      <c r="AB40" s="626"/>
      <c r="AC40" s="295"/>
      <c r="AD40" s="659"/>
      <c r="AE40" s="658"/>
      <c r="AF40" s="658"/>
      <c r="AG40" s="235"/>
      <c r="AH40" s="658"/>
      <c r="AI40" s="235"/>
      <c r="AJ40" s="34"/>
      <c r="AK40" s="34"/>
      <c r="AL40" s="34"/>
      <c r="AM40" s="34"/>
      <c r="AN40" s="34"/>
      <c r="AO40" s="34"/>
      <c r="AP40" s="34"/>
      <c r="AQ40" s="34"/>
    </row>
    <row r="41" spans="1:43">
      <c r="A41" s="315" t="s">
        <v>554</v>
      </c>
      <c r="B41" s="660"/>
      <c r="E41" s="626"/>
      <c r="F41" s="626"/>
      <c r="G41" s="655"/>
      <c r="H41" s="655"/>
      <c r="I41" s="626"/>
      <c r="J41" s="626"/>
      <c r="K41" s="626"/>
      <c r="L41" s="626"/>
      <c r="M41" s="626"/>
      <c r="N41" s="295"/>
      <c r="O41" s="656"/>
      <c r="P41" s="657"/>
      <c r="Q41" s="314"/>
      <c r="T41" s="626"/>
      <c r="U41" s="626"/>
      <c r="V41" s="626"/>
      <c r="W41" s="626"/>
      <c r="X41" s="626"/>
      <c r="Y41" s="626"/>
      <c r="Z41" s="626"/>
      <c r="AA41" s="626"/>
      <c r="AB41" s="626"/>
      <c r="AC41" s="295"/>
      <c r="AD41" s="659"/>
      <c r="AE41" s="658"/>
      <c r="AF41" s="658"/>
      <c r="AG41" s="235"/>
      <c r="AH41" s="658"/>
      <c r="AI41" s="235"/>
      <c r="AJ41" s="34"/>
      <c r="AK41" s="34"/>
      <c r="AL41" s="34"/>
      <c r="AM41" s="34"/>
      <c r="AN41" s="34"/>
      <c r="AO41" s="34"/>
      <c r="AP41" s="34"/>
      <c r="AQ41" s="34"/>
    </row>
    <row r="42" spans="1:43">
      <c r="A42" s="313" t="s">
        <v>556</v>
      </c>
      <c r="B42" s="660">
        <v>1</v>
      </c>
      <c r="C42">
        <v>1594.5500000000002</v>
      </c>
      <c r="D42">
        <v>5293</v>
      </c>
      <c r="E42" s="626"/>
      <c r="F42" s="626"/>
      <c r="G42" s="655"/>
      <c r="H42" s="655"/>
      <c r="I42" s="626"/>
      <c r="J42" s="626"/>
      <c r="K42" s="655">
        <f t="shared" ref="K42" si="13">C42+D42+E42+F42+G42+H42+I42+J42</f>
        <v>6887.55</v>
      </c>
      <c r="L42" s="626">
        <v>1000</v>
      </c>
      <c r="M42" s="626"/>
      <c r="N42" s="295">
        <f t="shared" ref="N42:N67" si="14">L42+M42</f>
        <v>1000</v>
      </c>
      <c r="O42" s="661">
        <f t="shared" ref="O42:O67" si="15">K42*12+N42</f>
        <v>83650.600000000006</v>
      </c>
      <c r="P42" s="662">
        <f t="shared" ref="P42:P67" si="16">B42*O42</f>
        <v>83650.600000000006</v>
      </c>
      <c r="Q42" s="314">
        <v>1</v>
      </c>
      <c r="R42">
        <v>1594.5500000000002</v>
      </c>
      <c r="S42">
        <v>5293</v>
      </c>
      <c r="T42" s="626"/>
      <c r="U42" s="626"/>
      <c r="V42" s="626"/>
      <c r="W42" s="626"/>
      <c r="X42" s="626"/>
      <c r="Y42" s="626"/>
      <c r="Z42" s="626">
        <f t="shared" ref="Z42:Z46" si="17">R42+S42+T42+U42+V42+W42+X42+Y42</f>
        <v>6887.55</v>
      </c>
      <c r="AA42" s="626">
        <v>1000</v>
      </c>
      <c r="AB42" s="626"/>
      <c r="AC42" s="295">
        <f t="shared" ref="AC42:AC46" si="18">AA42+AB42</f>
        <v>1000</v>
      </c>
      <c r="AD42" s="659">
        <f t="shared" ref="AD42:AD46" si="19">Z42*12+AC42</f>
        <v>83650.600000000006</v>
      </c>
      <c r="AE42" s="663">
        <f t="shared" ref="AE42:AE46" si="20">Q42*AD42</f>
        <v>83650.600000000006</v>
      </c>
      <c r="AF42" s="658">
        <f t="shared" ref="AF42:AF46" si="21">P42-AE42</f>
        <v>0</v>
      </c>
      <c r="AG42" s="235">
        <f t="shared" ref="AG42:AG46" si="22">B42-Q42</f>
        <v>0</v>
      </c>
      <c r="AH42" s="658"/>
      <c r="AI42" s="235"/>
      <c r="AJ42" s="34"/>
      <c r="AK42" s="34"/>
      <c r="AL42" s="34"/>
      <c r="AM42" s="34"/>
      <c r="AN42" s="34"/>
      <c r="AO42" s="34"/>
      <c r="AP42" s="34"/>
      <c r="AQ42" s="34"/>
    </row>
    <row r="43" spans="1:43">
      <c r="A43" s="313" t="s">
        <v>557</v>
      </c>
      <c r="B43" s="660">
        <v>4</v>
      </c>
      <c r="C43">
        <v>1512.68</v>
      </c>
      <c r="D43">
        <v>4300</v>
      </c>
      <c r="E43" s="626"/>
      <c r="F43" s="626"/>
      <c r="G43" s="655"/>
      <c r="H43" s="655"/>
      <c r="I43" s="626"/>
      <c r="J43" s="626"/>
      <c r="K43" s="655">
        <f t="shared" ref="K43:K67" si="23">C43+D43+E43+F43+I43+J43</f>
        <v>5812.68</v>
      </c>
      <c r="L43" s="626">
        <v>1000</v>
      </c>
      <c r="M43" s="626"/>
      <c r="N43" s="295">
        <f t="shared" si="14"/>
        <v>1000</v>
      </c>
      <c r="O43" s="661">
        <f t="shared" si="15"/>
        <v>70752.160000000003</v>
      </c>
      <c r="P43" s="662">
        <f t="shared" si="16"/>
        <v>283008.64000000001</v>
      </c>
      <c r="Q43" s="314">
        <v>4</v>
      </c>
      <c r="R43">
        <v>1512.68</v>
      </c>
      <c r="S43">
        <v>4300</v>
      </c>
      <c r="T43" s="626"/>
      <c r="U43" s="626"/>
      <c r="V43" s="626"/>
      <c r="W43" s="626"/>
      <c r="X43" s="626"/>
      <c r="Y43" s="626"/>
      <c r="Z43" s="626">
        <f t="shared" si="17"/>
        <v>5812.68</v>
      </c>
      <c r="AA43" s="626">
        <v>1000</v>
      </c>
      <c r="AB43" s="626"/>
      <c r="AC43" s="295">
        <f t="shared" si="18"/>
        <v>1000</v>
      </c>
      <c r="AD43" s="659">
        <f t="shared" si="19"/>
        <v>70752.160000000003</v>
      </c>
      <c r="AE43" s="663">
        <f>Q43*AD43</f>
        <v>283008.64000000001</v>
      </c>
      <c r="AF43" s="658">
        <f t="shared" si="21"/>
        <v>0</v>
      </c>
      <c r="AG43" s="235">
        <f t="shared" si="22"/>
        <v>0</v>
      </c>
      <c r="AH43" s="658"/>
      <c r="AI43" s="235"/>
      <c r="AJ43" s="34"/>
      <c r="AK43" s="34"/>
      <c r="AL43" s="34"/>
      <c r="AM43" s="34"/>
      <c r="AN43" s="34"/>
      <c r="AO43" s="34"/>
      <c r="AP43" s="34"/>
      <c r="AQ43" s="34"/>
    </row>
    <row r="44" spans="1:43">
      <c r="A44" s="313" t="s">
        <v>558</v>
      </c>
      <c r="B44" s="660">
        <v>6</v>
      </c>
      <c r="C44">
        <v>1450.9099999999999</v>
      </c>
      <c r="D44" s="664">
        <v>1650</v>
      </c>
      <c r="E44" s="626"/>
      <c r="F44" s="626"/>
      <c r="G44" s="655"/>
      <c r="H44" s="655"/>
      <c r="I44" s="626"/>
      <c r="J44" s="626"/>
      <c r="K44" s="655">
        <f t="shared" si="23"/>
        <v>3100.91</v>
      </c>
      <c r="L44" s="626">
        <v>1000</v>
      </c>
      <c r="M44" s="626"/>
      <c r="N44" s="295">
        <f t="shared" si="14"/>
        <v>1000</v>
      </c>
      <c r="O44" s="661">
        <f t="shared" si="15"/>
        <v>38210.92</v>
      </c>
      <c r="P44" s="662">
        <f t="shared" si="16"/>
        <v>229265.52</v>
      </c>
      <c r="Q44" s="314">
        <v>6</v>
      </c>
      <c r="R44">
        <v>1450.9099999999999</v>
      </c>
      <c r="S44">
        <v>1650</v>
      </c>
      <c r="T44" s="626"/>
      <c r="U44" s="626"/>
      <c r="V44" s="626"/>
      <c r="W44" s="626"/>
      <c r="X44" s="626"/>
      <c r="Y44" s="626"/>
      <c r="Z44" s="626">
        <f t="shared" si="17"/>
        <v>3100.91</v>
      </c>
      <c r="AA44" s="626">
        <v>1000</v>
      </c>
      <c r="AB44" s="626"/>
      <c r="AC44" s="295">
        <f t="shared" si="18"/>
        <v>1000</v>
      </c>
      <c r="AD44" s="659">
        <f t="shared" si="19"/>
        <v>38210.92</v>
      </c>
      <c r="AE44" s="663">
        <f>Q44*AD44</f>
        <v>229265.52</v>
      </c>
      <c r="AF44" s="658">
        <f t="shared" si="21"/>
        <v>0</v>
      </c>
      <c r="AG44" s="235">
        <f t="shared" si="22"/>
        <v>0</v>
      </c>
      <c r="AH44" s="658"/>
      <c r="AI44" s="235"/>
      <c r="AJ44" s="34"/>
      <c r="AK44" s="34"/>
      <c r="AL44" s="34"/>
      <c r="AM44" s="34"/>
      <c r="AN44" s="34"/>
      <c r="AO44" s="34"/>
      <c r="AP44" s="34"/>
      <c r="AQ44" s="34"/>
    </row>
    <row r="45" spans="1:43">
      <c r="A45" s="313" t="s">
        <v>559</v>
      </c>
      <c r="B45" s="660">
        <v>3</v>
      </c>
      <c r="C45">
        <v>1215.54</v>
      </c>
      <c r="D45">
        <v>1225</v>
      </c>
      <c r="E45" s="626"/>
      <c r="F45" s="626"/>
      <c r="G45" s="655"/>
      <c r="H45" s="655"/>
      <c r="I45" s="626"/>
      <c r="J45" s="626"/>
      <c r="K45" s="655">
        <f t="shared" si="23"/>
        <v>2440.54</v>
      </c>
      <c r="L45" s="626">
        <v>1000</v>
      </c>
      <c r="M45" s="626"/>
      <c r="N45" s="295">
        <f t="shared" si="14"/>
        <v>1000</v>
      </c>
      <c r="O45" s="661">
        <f t="shared" si="15"/>
        <v>30286.48</v>
      </c>
      <c r="P45" s="662">
        <f t="shared" si="16"/>
        <v>90859.44</v>
      </c>
      <c r="Q45" s="314">
        <v>3</v>
      </c>
      <c r="R45">
        <v>1215.54</v>
      </c>
      <c r="S45">
        <v>1225</v>
      </c>
      <c r="T45" s="626"/>
      <c r="U45" s="626"/>
      <c r="V45" s="626"/>
      <c r="W45" s="626"/>
      <c r="X45" s="626"/>
      <c r="Y45" s="626"/>
      <c r="Z45" s="626">
        <f t="shared" si="17"/>
        <v>2440.54</v>
      </c>
      <c r="AA45" s="626">
        <v>1000</v>
      </c>
      <c r="AB45" s="626"/>
      <c r="AC45" s="295">
        <f t="shared" si="18"/>
        <v>1000</v>
      </c>
      <c r="AD45" s="659">
        <f t="shared" si="19"/>
        <v>30286.48</v>
      </c>
      <c r="AE45" s="663">
        <f t="shared" si="20"/>
        <v>90859.44</v>
      </c>
      <c r="AF45" s="658">
        <f t="shared" si="21"/>
        <v>0</v>
      </c>
      <c r="AG45" s="235">
        <f t="shared" si="22"/>
        <v>0</v>
      </c>
      <c r="AH45" s="658"/>
      <c r="AI45" s="235"/>
      <c r="AJ45" s="34"/>
      <c r="AK45" s="34"/>
      <c r="AL45" s="34"/>
      <c r="AM45" s="34"/>
      <c r="AN45" s="34"/>
      <c r="AO45" s="34"/>
      <c r="AP45" s="34"/>
      <c r="AQ45" s="34"/>
    </row>
    <row r="46" spans="1:43">
      <c r="A46" s="313" t="s">
        <v>560</v>
      </c>
      <c r="B46" s="660">
        <v>4</v>
      </c>
      <c r="C46">
        <v>1167.95</v>
      </c>
      <c r="D46">
        <v>1210</v>
      </c>
      <c r="E46" s="626"/>
      <c r="F46" s="626"/>
      <c r="G46" s="655"/>
      <c r="H46" s="655"/>
      <c r="I46" s="626"/>
      <c r="J46" s="626"/>
      <c r="K46" s="655">
        <f t="shared" si="23"/>
        <v>2377.9499999999998</v>
      </c>
      <c r="L46" s="626">
        <v>1000</v>
      </c>
      <c r="M46" s="626"/>
      <c r="N46" s="295">
        <f t="shared" si="14"/>
        <v>1000</v>
      </c>
      <c r="O46" s="661">
        <f t="shared" si="15"/>
        <v>29535.399999999998</v>
      </c>
      <c r="P46" s="662">
        <f t="shared" si="16"/>
        <v>118141.59999999999</v>
      </c>
      <c r="Q46" s="314">
        <v>4</v>
      </c>
      <c r="R46">
        <v>1167.95</v>
      </c>
      <c r="S46">
        <v>1210</v>
      </c>
      <c r="T46" s="626"/>
      <c r="U46" s="626"/>
      <c r="V46" s="626"/>
      <c r="W46" s="626"/>
      <c r="X46" s="626"/>
      <c r="Y46" s="626"/>
      <c r="Z46" s="626">
        <f t="shared" si="17"/>
        <v>2377.9499999999998</v>
      </c>
      <c r="AA46" s="626">
        <v>1000</v>
      </c>
      <c r="AB46" s="626"/>
      <c r="AC46" s="295">
        <f t="shared" si="18"/>
        <v>1000</v>
      </c>
      <c r="AD46" s="659">
        <f t="shared" si="19"/>
        <v>29535.399999999998</v>
      </c>
      <c r="AE46" s="663">
        <f t="shared" si="20"/>
        <v>118141.59999999999</v>
      </c>
      <c r="AF46" s="658">
        <f t="shared" si="21"/>
        <v>0</v>
      </c>
      <c r="AG46" s="235">
        <f t="shared" si="22"/>
        <v>0</v>
      </c>
      <c r="AH46" s="658"/>
      <c r="AI46" s="235"/>
      <c r="AJ46" s="34"/>
      <c r="AK46" s="34"/>
      <c r="AL46" s="34"/>
      <c r="AM46" s="34"/>
      <c r="AN46" s="34"/>
      <c r="AO46" s="34"/>
      <c r="AP46" s="34"/>
      <c r="AQ46" s="34"/>
    </row>
    <row r="47" spans="1:43">
      <c r="A47" s="315" t="s">
        <v>561</v>
      </c>
      <c r="B47" s="660"/>
      <c r="E47" s="626"/>
      <c r="F47" s="626"/>
      <c r="G47" s="655"/>
      <c r="H47" s="655"/>
      <c r="I47" s="626"/>
      <c r="J47" s="626"/>
      <c r="K47" s="655"/>
      <c r="L47" s="626"/>
      <c r="M47" s="626"/>
      <c r="N47" s="295"/>
      <c r="O47" s="661"/>
      <c r="P47" s="662"/>
      <c r="Q47" s="314"/>
      <c r="T47" s="626"/>
      <c r="U47" s="626"/>
      <c r="V47" s="626"/>
      <c r="W47" s="626"/>
      <c r="X47" s="626"/>
      <c r="Y47" s="626"/>
      <c r="Z47" s="626"/>
      <c r="AA47" s="626"/>
      <c r="AB47" s="626"/>
      <c r="AC47" s="295"/>
      <c r="AD47" s="659"/>
      <c r="AE47" s="663"/>
      <c r="AF47" s="658"/>
      <c r="AG47" s="235"/>
      <c r="AH47" s="658"/>
      <c r="AI47" s="235"/>
      <c r="AJ47" s="34"/>
      <c r="AK47" s="34"/>
      <c r="AL47" s="34"/>
      <c r="AM47" s="34"/>
      <c r="AN47" s="34"/>
      <c r="AO47" s="34"/>
      <c r="AP47" s="34"/>
      <c r="AQ47" s="34"/>
    </row>
    <row r="48" spans="1:43">
      <c r="A48" s="313" t="s">
        <v>580</v>
      </c>
      <c r="B48" s="660">
        <v>2</v>
      </c>
      <c r="C48">
        <v>1092.17</v>
      </c>
      <c r="D48">
        <v>1110</v>
      </c>
      <c r="E48" s="626"/>
      <c r="F48" s="626"/>
      <c r="G48" s="655"/>
      <c r="H48" s="655"/>
      <c r="I48" s="626"/>
      <c r="J48" s="626"/>
      <c r="K48" s="655">
        <f>C48+D48+E48+F48+I48+J48</f>
        <v>2202.17</v>
      </c>
      <c r="L48" s="626">
        <v>1000</v>
      </c>
      <c r="M48" s="626"/>
      <c r="N48" s="295">
        <f t="shared" si="14"/>
        <v>1000</v>
      </c>
      <c r="O48" s="661">
        <f t="shared" si="15"/>
        <v>27426.04</v>
      </c>
      <c r="P48" s="662">
        <f t="shared" si="16"/>
        <v>54852.08</v>
      </c>
      <c r="Q48" s="314">
        <v>2</v>
      </c>
      <c r="R48">
        <v>1092.17</v>
      </c>
      <c r="S48">
        <v>1110</v>
      </c>
      <c r="T48" s="626"/>
      <c r="U48" s="626"/>
      <c r="V48" s="626"/>
      <c r="W48" s="626"/>
      <c r="X48" s="626"/>
      <c r="Y48" s="626"/>
      <c r="Z48" s="626">
        <f t="shared" ref="Z48:Z105" si="24">R48+S48+T48+U48+V48+W48+X48+Y48</f>
        <v>2202.17</v>
      </c>
      <c r="AA48" s="626">
        <v>1000</v>
      </c>
      <c r="AB48" s="626"/>
      <c r="AC48" s="295">
        <f t="shared" ref="AC48:AC105" si="25">AA48+AB48</f>
        <v>1000</v>
      </c>
      <c r="AD48" s="659">
        <f t="shared" ref="AD48:AD105" si="26">Z48*12+AC48</f>
        <v>27426.04</v>
      </c>
      <c r="AE48" s="663">
        <f t="shared" ref="AE48:AE105" si="27">Q48*AD48</f>
        <v>54852.08</v>
      </c>
      <c r="AF48" s="658">
        <f t="shared" ref="AF48:AF105" si="28">P48-AE48</f>
        <v>0</v>
      </c>
      <c r="AG48" s="235">
        <f t="shared" ref="AG48:AG105" si="29">B48-Q48</f>
        <v>0</v>
      </c>
      <c r="AH48" s="658"/>
      <c r="AI48" s="235"/>
      <c r="AJ48" s="34"/>
      <c r="AK48" s="34"/>
      <c r="AL48" s="34"/>
      <c r="AM48" s="34"/>
      <c r="AN48" s="34"/>
      <c r="AO48" s="34"/>
      <c r="AP48" s="34"/>
      <c r="AQ48" s="34"/>
    </row>
    <row r="49" spans="1:43">
      <c r="A49" s="313" t="s">
        <v>564</v>
      </c>
      <c r="B49" s="660">
        <v>33</v>
      </c>
      <c r="C49">
        <v>1033.3400000000001</v>
      </c>
      <c r="D49">
        <v>1110</v>
      </c>
      <c r="E49" s="626"/>
      <c r="F49" s="626"/>
      <c r="H49" s="655"/>
      <c r="I49" s="626"/>
      <c r="J49" s="626"/>
      <c r="K49" s="655">
        <f t="shared" si="23"/>
        <v>2143.34</v>
      </c>
      <c r="L49" s="626">
        <v>1000</v>
      </c>
      <c r="M49" s="626"/>
      <c r="N49" s="295">
        <f t="shared" si="14"/>
        <v>1000</v>
      </c>
      <c r="O49" s="661">
        <f t="shared" si="15"/>
        <v>26720.080000000002</v>
      </c>
      <c r="P49" s="662">
        <f t="shared" si="16"/>
        <v>881762.64</v>
      </c>
      <c r="Q49" s="314">
        <v>33</v>
      </c>
      <c r="R49">
        <v>1033.3400000000001</v>
      </c>
      <c r="S49">
        <v>1110</v>
      </c>
      <c r="T49" s="626"/>
      <c r="U49" s="626"/>
      <c r="V49" s="626"/>
      <c r="W49" s="626"/>
      <c r="X49" s="626"/>
      <c r="Y49" s="626"/>
      <c r="Z49" s="626">
        <f t="shared" si="24"/>
        <v>2143.34</v>
      </c>
      <c r="AA49" s="626">
        <v>1000</v>
      </c>
      <c r="AB49" s="626"/>
      <c r="AC49" s="295">
        <f t="shared" si="25"/>
        <v>1000</v>
      </c>
      <c r="AD49" s="659">
        <f t="shared" si="26"/>
        <v>26720.080000000002</v>
      </c>
      <c r="AE49" s="663">
        <f t="shared" si="27"/>
        <v>881762.64</v>
      </c>
      <c r="AF49" s="658">
        <f t="shared" si="28"/>
        <v>0</v>
      </c>
      <c r="AG49" s="235">
        <f t="shared" si="29"/>
        <v>0</v>
      </c>
      <c r="AH49" s="658"/>
      <c r="AI49" s="235"/>
      <c r="AJ49" s="34"/>
      <c r="AK49" s="34"/>
      <c r="AL49" s="34"/>
      <c r="AM49" s="34"/>
      <c r="AN49" s="34"/>
      <c r="AO49" s="34"/>
      <c r="AP49" s="34"/>
      <c r="AQ49" s="34"/>
    </row>
    <row r="50" spans="1:43">
      <c r="A50" s="315" t="s">
        <v>565</v>
      </c>
      <c r="B50" s="660"/>
      <c r="E50" s="626"/>
      <c r="F50" s="626"/>
      <c r="G50" s="655"/>
      <c r="H50" s="655"/>
      <c r="I50" s="626"/>
      <c r="J50" s="626"/>
      <c r="K50" s="655"/>
      <c r="L50" s="626"/>
      <c r="M50" s="626"/>
      <c r="N50" s="295"/>
      <c r="O50" s="661"/>
      <c r="P50" s="662"/>
      <c r="Q50" s="314"/>
      <c r="T50" s="626"/>
      <c r="U50" s="626"/>
      <c r="V50" s="626"/>
      <c r="W50" s="626"/>
      <c r="X50" s="626"/>
      <c r="Y50" s="626"/>
      <c r="Z50" s="626"/>
      <c r="AA50" s="626"/>
      <c r="AB50" s="626"/>
      <c r="AC50" s="295"/>
      <c r="AD50" s="659"/>
      <c r="AE50" s="663"/>
      <c r="AF50" s="658"/>
      <c r="AG50" s="235"/>
      <c r="AH50" s="658"/>
      <c r="AI50" s="235"/>
      <c r="AJ50" s="34"/>
      <c r="AK50" s="34"/>
      <c r="AL50" s="34"/>
      <c r="AM50" s="34"/>
      <c r="AN50" s="34"/>
      <c r="AO50" s="34"/>
      <c r="AP50" s="34"/>
      <c r="AQ50" s="34"/>
    </row>
    <row r="51" spans="1:43">
      <c r="A51" s="313" t="s">
        <v>566</v>
      </c>
      <c r="B51" s="660">
        <v>110</v>
      </c>
      <c r="C51">
        <v>970.42000000000007</v>
      </c>
      <c r="D51">
        <v>1070</v>
      </c>
      <c r="E51" s="626"/>
      <c r="F51" s="626"/>
      <c r="G51" s="655"/>
      <c r="H51" s="655"/>
      <c r="I51" s="626"/>
      <c r="J51" s="626"/>
      <c r="K51" s="655">
        <f t="shared" si="23"/>
        <v>2040.42</v>
      </c>
      <c r="L51" s="626">
        <v>1000</v>
      </c>
      <c r="M51" s="626"/>
      <c r="N51" s="295">
        <f t="shared" si="14"/>
        <v>1000</v>
      </c>
      <c r="O51" s="661">
        <f t="shared" si="15"/>
        <v>25485.040000000001</v>
      </c>
      <c r="P51" s="662">
        <f t="shared" si="16"/>
        <v>2803354.4</v>
      </c>
      <c r="Q51" s="314">
        <v>110</v>
      </c>
      <c r="R51">
        <v>970.42000000000007</v>
      </c>
      <c r="S51">
        <v>1070</v>
      </c>
      <c r="T51" s="626"/>
      <c r="U51" s="626"/>
      <c r="V51" s="626"/>
      <c r="W51" s="626"/>
      <c r="X51" s="626"/>
      <c r="Y51" s="626"/>
      <c r="Z51" s="626">
        <f t="shared" si="24"/>
        <v>2040.42</v>
      </c>
      <c r="AA51" s="626">
        <v>1000</v>
      </c>
      <c r="AB51" s="626"/>
      <c r="AC51" s="295">
        <f t="shared" si="25"/>
        <v>1000</v>
      </c>
      <c r="AD51" s="659">
        <f t="shared" si="26"/>
        <v>25485.040000000001</v>
      </c>
      <c r="AE51" s="663">
        <f t="shared" si="27"/>
        <v>2803354.4</v>
      </c>
      <c r="AF51" s="658">
        <f t="shared" si="28"/>
        <v>0</v>
      </c>
      <c r="AG51" s="235">
        <f t="shared" si="29"/>
        <v>0</v>
      </c>
      <c r="AH51" s="658"/>
      <c r="AI51" s="235"/>
      <c r="AJ51" s="34"/>
      <c r="AK51" s="34"/>
      <c r="AL51" s="34"/>
      <c r="AM51" s="34"/>
      <c r="AN51" s="34"/>
      <c r="AO51" s="34"/>
      <c r="AP51" s="34"/>
      <c r="AQ51" s="34"/>
    </row>
    <row r="52" spans="1:43">
      <c r="A52" s="313" t="s">
        <v>567</v>
      </c>
      <c r="B52" s="660">
        <v>3</v>
      </c>
      <c r="C52">
        <v>961.88</v>
      </c>
      <c r="D52">
        <v>1070</v>
      </c>
      <c r="E52" s="626"/>
      <c r="F52" s="626"/>
      <c r="G52" s="655"/>
      <c r="H52" s="655"/>
      <c r="I52" s="626"/>
      <c r="J52" s="626"/>
      <c r="K52" s="655">
        <f t="shared" si="23"/>
        <v>2031.88</v>
      </c>
      <c r="L52" s="626">
        <v>1000</v>
      </c>
      <c r="M52" s="626"/>
      <c r="N52" s="295">
        <f t="shared" si="14"/>
        <v>1000</v>
      </c>
      <c r="O52" s="661">
        <f t="shared" si="15"/>
        <v>25382.560000000001</v>
      </c>
      <c r="P52" s="662">
        <f t="shared" si="16"/>
        <v>76147.680000000008</v>
      </c>
      <c r="Q52" s="314">
        <v>3</v>
      </c>
      <c r="R52">
        <v>961.88</v>
      </c>
      <c r="S52">
        <v>1070</v>
      </c>
      <c r="T52" s="626"/>
      <c r="U52" s="626"/>
      <c r="V52" s="626"/>
      <c r="W52" s="626"/>
      <c r="X52" s="626"/>
      <c r="Y52" s="626"/>
      <c r="Z52" s="626">
        <f t="shared" si="24"/>
        <v>2031.88</v>
      </c>
      <c r="AA52" s="626">
        <v>1000</v>
      </c>
      <c r="AB52" s="626"/>
      <c r="AC52" s="295">
        <f t="shared" si="25"/>
        <v>1000</v>
      </c>
      <c r="AD52" s="659">
        <f t="shared" si="26"/>
        <v>25382.560000000001</v>
      </c>
      <c r="AE52" s="663">
        <f t="shared" si="27"/>
        <v>76147.680000000008</v>
      </c>
      <c r="AF52" s="658">
        <f t="shared" si="28"/>
        <v>0</v>
      </c>
      <c r="AG52" s="235">
        <f t="shared" si="29"/>
        <v>0</v>
      </c>
      <c r="AH52" s="658"/>
      <c r="AI52" s="235"/>
      <c r="AJ52" s="34"/>
      <c r="AK52" s="34"/>
      <c r="AL52" s="34"/>
      <c r="AM52" s="34"/>
      <c r="AN52" s="34"/>
      <c r="AO52" s="34"/>
      <c r="AP52" s="34"/>
      <c r="AQ52" s="34"/>
    </row>
    <row r="53" spans="1:43">
      <c r="A53" s="313" t="s">
        <v>581</v>
      </c>
      <c r="B53" s="660">
        <v>20</v>
      </c>
      <c r="C53">
        <v>953.32</v>
      </c>
      <c r="D53">
        <v>1070</v>
      </c>
      <c r="E53" s="626"/>
      <c r="F53" s="626"/>
      <c r="G53" s="655"/>
      <c r="H53" s="655"/>
      <c r="I53" s="626"/>
      <c r="J53" s="626"/>
      <c r="K53" s="655">
        <f t="shared" si="23"/>
        <v>2023.3200000000002</v>
      </c>
      <c r="L53" s="626">
        <v>1000</v>
      </c>
      <c r="M53" s="626"/>
      <c r="N53" s="295">
        <f t="shared" si="14"/>
        <v>1000</v>
      </c>
      <c r="O53" s="661">
        <f t="shared" si="15"/>
        <v>25279.840000000004</v>
      </c>
      <c r="P53" s="662">
        <f t="shared" si="16"/>
        <v>505596.80000000005</v>
      </c>
      <c r="Q53" s="314">
        <v>20</v>
      </c>
      <c r="R53">
        <v>953.32</v>
      </c>
      <c r="S53">
        <v>1070</v>
      </c>
      <c r="T53" s="626"/>
      <c r="U53" s="626"/>
      <c r="V53" s="626"/>
      <c r="W53" s="626"/>
      <c r="X53" s="626"/>
      <c r="Y53" s="626"/>
      <c r="Z53" s="626">
        <f t="shared" si="24"/>
        <v>2023.3200000000002</v>
      </c>
      <c r="AA53" s="626">
        <v>1000</v>
      </c>
      <c r="AB53" s="626"/>
      <c r="AC53" s="295">
        <f t="shared" si="25"/>
        <v>1000</v>
      </c>
      <c r="AD53" s="659">
        <f t="shared" si="26"/>
        <v>25279.840000000004</v>
      </c>
      <c r="AE53" s="663">
        <f t="shared" si="27"/>
        <v>505596.80000000005</v>
      </c>
      <c r="AF53" s="658">
        <f t="shared" si="28"/>
        <v>0</v>
      </c>
      <c r="AG53" s="235">
        <f t="shared" si="29"/>
        <v>0</v>
      </c>
      <c r="AH53" s="658"/>
      <c r="AI53" s="235"/>
      <c r="AJ53" s="34"/>
      <c r="AK53" s="34"/>
      <c r="AL53" s="34"/>
      <c r="AM53" s="34"/>
      <c r="AN53" s="34"/>
      <c r="AO53" s="34"/>
      <c r="AP53" s="34"/>
      <c r="AQ53" s="34"/>
    </row>
    <row r="54" spans="1:43">
      <c r="A54" s="313" t="s">
        <v>582</v>
      </c>
      <c r="B54" s="660">
        <v>43</v>
      </c>
      <c r="C54">
        <v>947.83</v>
      </c>
      <c r="D54">
        <v>1070</v>
      </c>
      <c r="E54" s="626"/>
      <c r="F54" s="626"/>
      <c r="G54" s="655"/>
      <c r="H54" s="655"/>
      <c r="I54" s="626"/>
      <c r="J54" s="626"/>
      <c r="K54" s="655">
        <f t="shared" si="23"/>
        <v>2017.83</v>
      </c>
      <c r="L54" s="626">
        <v>1000</v>
      </c>
      <c r="M54" s="626"/>
      <c r="N54" s="295">
        <f t="shared" si="14"/>
        <v>1000</v>
      </c>
      <c r="O54" s="661">
        <f t="shared" si="15"/>
        <v>25213.96</v>
      </c>
      <c r="P54" s="662">
        <f t="shared" si="16"/>
        <v>1084200.28</v>
      </c>
      <c r="Q54" s="314">
        <v>43</v>
      </c>
      <c r="R54">
        <v>947.83</v>
      </c>
      <c r="S54">
        <v>1070</v>
      </c>
      <c r="T54" s="626"/>
      <c r="U54" s="626"/>
      <c r="V54" s="626"/>
      <c r="W54" s="626"/>
      <c r="X54" s="626"/>
      <c r="Y54" s="626"/>
      <c r="Z54" s="626">
        <f t="shared" si="24"/>
        <v>2017.83</v>
      </c>
      <c r="AA54" s="626">
        <v>1000</v>
      </c>
      <c r="AB54" s="626"/>
      <c r="AC54" s="295">
        <f t="shared" si="25"/>
        <v>1000</v>
      </c>
      <c r="AD54" s="659">
        <f t="shared" si="26"/>
        <v>25213.96</v>
      </c>
      <c r="AE54" s="663">
        <f t="shared" si="27"/>
        <v>1084200.28</v>
      </c>
      <c r="AF54" s="658">
        <f t="shared" si="28"/>
        <v>0</v>
      </c>
      <c r="AG54" s="235">
        <f t="shared" si="29"/>
        <v>0</v>
      </c>
      <c r="AH54" s="658"/>
      <c r="AI54" s="235"/>
      <c r="AJ54" s="34"/>
      <c r="AK54" s="34"/>
      <c r="AL54" s="34"/>
      <c r="AM54" s="34"/>
      <c r="AN54" s="34"/>
      <c r="AO54" s="34"/>
      <c r="AP54" s="34"/>
      <c r="AQ54" s="34"/>
    </row>
    <row r="55" spans="1:43">
      <c r="A55" s="313" t="s">
        <v>568</v>
      </c>
      <c r="B55" s="660">
        <v>125</v>
      </c>
      <c r="C55">
        <v>946.04</v>
      </c>
      <c r="D55">
        <v>1070</v>
      </c>
      <c r="E55" s="626"/>
      <c r="F55" s="626"/>
      <c r="G55" s="655"/>
      <c r="H55" s="655"/>
      <c r="I55" s="626"/>
      <c r="J55" s="626"/>
      <c r="K55" s="655">
        <f t="shared" si="23"/>
        <v>2016.04</v>
      </c>
      <c r="L55" s="626">
        <v>1000</v>
      </c>
      <c r="M55" s="626"/>
      <c r="N55" s="295">
        <f t="shared" si="14"/>
        <v>1000</v>
      </c>
      <c r="O55" s="661">
        <f t="shared" si="15"/>
        <v>25192.48</v>
      </c>
      <c r="P55" s="662">
        <f t="shared" si="16"/>
        <v>3149060</v>
      </c>
      <c r="Q55" s="314">
        <v>125</v>
      </c>
      <c r="R55">
        <v>946.04</v>
      </c>
      <c r="S55">
        <v>1070</v>
      </c>
      <c r="T55" s="626"/>
      <c r="U55" s="626"/>
      <c r="V55" s="626"/>
      <c r="W55" s="626"/>
      <c r="X55" s="626"/>
      <c r="Y55" s="626"/>
      <c r="Z55" s="626">
        <f t="shared" si="24"/>
        <v>2016.04</v>
      </c>
      <c r="AA55" s="626">
        <v>1000</v>
      </c>
      <c r="AB55" s="626"/>
      <c r="AC55" s="295">
        <f t="shared" si="25"/>
        <v>1000</v>
      </c>
      <c r="AD55" s="659">
        <f t="shared" si="26"/>
        <v>25192.48</v>
      </c>
      <c r="AE55" s="663">
        <f t="shared" si="27"/>
        <v>3149060</v>
      </c>
      <c r="AF55" s="658">
        <f t="shared" si="28"/>
        <v>0</v>
      </c>
      <c r="AG55" s="235">
        <f t="shared" si="29"/>
        <v>0</v>
      </c>
      <c r="AH55" s="658"/>
      <c r="AI55" s="235"/>
      <c r="AJ55" s="34"/>
      <c r="AK55" s="34"/>
      <c r="AL55" s="34"/>
      <c r="AM55" s="34"/>
      <c r="AN55" s="34"/>
      <c r="AO55" s="34"/>
      <c r="AP55" s="34"/>
      <c r="AQ55" s="34"/>
    </row>
    <row r="56" spans="1:43">
      <c r="A56" s="313" t="s">
        <v>583</v>
      </c>
      <c r="B56" s="660">
        <v>3</v>
      </c>
      <c r="C56">
        <v>944.27</v>
      </c>
      <c r="D56">
        <v>1070</v>
      </c>
      <c r="E56" s="626"/>
      <c r="F56" s="626"/>
      <c r="G56" s="655"/>
      <c r="H56" s="655"/>
      <c r="I56" s="626"/>
      <c r="J56" s="626"/>
      <c r="K56" s="655">
        <f t="shared" si="23"/>
        <v>2014.27</v>
      </c>
      <c r="L56" s="626">
        <v>1000</v>
      </c>
      <c r="M56" s="626"/>
      <c r="N56" s="295">
        <f t="shared" si="14"/>
        <v>1000</v>
      </c>
      <c r="O56" s="661">
        <f t="shared" si="15"/>
        <v>25171.239999999998</v>
      </c>
      <c r="P56" s="662">
        <f t="shared" si="16"/>
        <v>75513.72</v>
      </c>
      <c r="Q56" s="314">
        <v>3</v>
      </c>
      <c r="R56">
        <v>944.27</v>
      </c>
      <c r="S56">
        <v>1070</v>
      </c>
      <c r="T56" s="626"/>
      <c r="U56" s="626"/>
      <c r="V56" s="626"/>
      <c r="W56" s="626"/>
      <c r="X56" s="626"/>
      <c r="Y56" s="626"/>
      <c r="Z56" s="626">
        <f t="shared" si="24"/>
        <v>2014.27</v>
      </c>
      <c r="AA56" s="626">
        <v>1000</v>
      </c>
      <c r="AB56" s="626"/>
      <c r="AC56" s="295">
        <f t="shared" si="25"/>
        <v>1000</v>
      </c>
      <c r="AD56" s="659">
        <f t="shared" si="26"/>
        <v>25171.239999999998</v>
      </c>
      <c r="AE56" s="663">
        <f t="shared" si="27"/>
        <v>75513.72</v>
      </c>
      <c r="AF56" s="658">
        <f t="shared" si="28"/>
        <v>0</v>
      </c>
      <c r="AG56" s="235">
        <f t="shared" si="29"/>
        <v>0</v>
      </c>
      <c r="AH56" s="658"/>
      <c r="AI56" s="235"/>
      <c r="AJ56" s="34"/>
      <c r="AK56" s="34"/>
      <c r="AL56" s="34"/>
      <c r="AM56" s="34"/>
      <c r="AN56" s="34"/>
      <c r="AO56" s="34"/>
      <c r="AP56" s="34"/>
      <c r="AQ56" s="34"/>
    </row>
    <row r="57" spans="1:43">
      <c r="A57" s="315" t="s">
        <v>569</v>
      </c>
      <c r="B57" s="660"/>
      <c r="E57" s="626"/>
      <c r="F57" s="626"/>
      <c r="G57" s="655"/>
      <c r="H57" s="655"/>
      <c r="I57" s="626"/>
      <c r="J57" s="626"/>
      <c r="K57" s="655"/>
      <c r="L57" s="626"/>
      <c r="M57" s="626"/>
      <c r="N57" s="295"/>
      <c r="O57" s="661"/>
      <c r="P57" s="662"/>
      <c r="Q57" s="314"/>
      <c r="T57" s="626"/>
      <c r="U57" s="626"/>
      <c r="V57" s="626"/>
      <c r="W57" s="626"/>
      <c r="X57" s="626"/>
      <c r="Y57" s="626"/>
      <c r="Z57" s="626"/>
      <c r="AA57" s="626"/>
      <c r="AB57" s="626"/>
      <c r="AC57" s="295"/>
      <c r="AD57" s="659"/>
      <c r="AE57" s="663"/>
      <c r="AF57" s="658"/>
      <c r="AG57" s="235"/>
      <c r="AH57" s="658"/>
      <c r="AI57" s="235"/>
      <c r="AJ57" s="34"/>
      <c r="AK57" s="34"/>
      <c r="AL57" s="34"/>
      <c r="AM57" s="34"/>
      <c r="AN57" s="34"/>
      <c r="AO57" s="34"/>
      <c r="AP57" s="34"/>
      <c r="AQ57" s="34"/>
    </row>
    <row r="58" spans="1:43">
      <c r="A58" s="313" t="s">
        <v>570</v>
      </c>
      <c r="B58" s="660">
        <v>35</v>
      </c>
      <c r="C58">
        <v>926.41</v>
      </c>
      <c r="D58">
        <v>1070</v>
      </c>
      <c r="E58" s="626"/>
      <c r="F58" s="626"/>
      <c r="G58" s="655"/>
      <c r="H58" s="655"/>
      <c r="I58" s="626"/>
      <c r="J58" s="626"/>
      <c r="K58" s="655">
        <f t="shared" si="23"/>
        <v>1996.4099999999999</v>
      </c>
      <c r="L58" s="626">
        <v>1000</v>
      </c>
      <c r="M58" s="626"/>
      <c r="N58" s="295">
        <f t="shared" si="14"/>
        <v>1000</v>
      </c>
      <c r="O58" s="661">
        <f t="shared" si="15"/>
        <v>24956.92</v>
      </c>
      <c r="P58" s="662">
        <f t="shared" si="16"/>
        <v>873492.2</v>
      </c>
      <c r="Q58" s="314">
        <v>35</v>
      </c>
      <c r="R58">
        <v>926.41</v>
      </c>
      <c r="S58">
        <v>1070</v>
      </c>
      <c r="T58" s="626"/>
      <c r="U58" s="626"/>
      <c r="V58" s="626"/>
      <c r="W58" s="626"/>
      <c r="X58" s="626"/>
      <c r="Y58" s="626"/>
      <c r="Z58" s="626">
        <f t="shared" si="24"/>
        <v>1996.4099999999999</v>
      </c>
      <c r="AA58" s="626">
        <v>1000</v>
      </c>
      <c r="AB58" s="626"/>
      <c r="AC58" s="295">
        <f t="shared" si="25"/>
        <v>1000</v>
      </c>
      <c r="AD58" s="659">
        <f t="shared" si="26"/>
        <v>24956.92</v>
      </c>
      <c r="AE58" s="663">
        <f t="shared" si="27"/>
        <v>873492.2</v>
      </c>
      <c r="AF58" s="658">
        <f t="shared" si="28"/>
        <v>0</v>
      </c>
      <c r="AG58" s="235">
        <f t="shared" si="29"/>
        <v>0</v>
      </c>
      <c r="AH58" s="658"/>
      <c r="AI58" s="235"/>
      <c r="AJ58" s="34"/>
      <c r="AK58" s="34"/>
      <c r="AL58" s="34"/>
      <c r="AM58" s="34"/>
      <c r="AN58" s="34"/>
      <c r="AO58" s="34"/>
      <c r="AP58" s="34"/>
      <c r="AQ58" s="34"/>
    </row>
    <row r="59" spans="1:43">
      <c r="A59" s="313" t="s">
        <v>584</v>
      </c>
      <c r="B59" s="660">
        <v>56</v>
      </c>
      <c r="C59">
        <v>918.31999999999994</v>
      </c>
      <c r="D59">
        <v>1070</v>
      </c>
      <c r="E59" s="626"/>
      <c r="F59" s="626"/>
      <c r="G59" s="655"/>
      <c r="H59" s="655"/>
      <c r="I59" s="626"/>
      <c r="J59" s="626"/>
      <c r="K59" s="655">
        <f t="shared" si="23"/>
        <v>1988.32</v>
      </c>
      <c r="L59" s="626">
        <v>1000</v>
      </c>
      <c r="M59" s="626"/>
      <c r="N59" s="295">
        <f t="shared" si="14"/>
        <v>1000</v>
      </c>
      <c r="O59" s="661">
        <f t="shared" si="15"/>
        <v>24859.84</v>
      </c>
      <c r="P59" s="662">
        <f t="shared" si="16"/>
        <v>1392151.04</v>
      </c>
      <c r="Q59" s="314">
        <v>56</v>
      </c>
      <c r="R59">
        <v>918.31999999999994</v>
      </c>
      <c r="S59">
        <v>1070</v>
      </c>
      <c r="T59" s="626"/>
      <c r="U59" s="626"/>
      <c r="V59" s="626"/>
      <c r="W59" s="626"/>
      <c r="X59" s="626"/>
      <c r="Y59" s="626"/>
      <c r="Z59" s="626">
        <f t="shared" si="24"/>
        <v>1988.32</v>
      </c>
      <c r="AA59" s="626">
        <v>1000</v>
      </c>
      <c r="AB59" s="626"/>
      <c r="AC59" s="295">
        <f t="shared" si="25"/>
        <v>1000</v>
      </c>
      <c r="AD59" s="659">
        <f t="shared" si="26"/>
        <v>24859.84</v>
      </c>
      <c r="AE59" s="663">
        <f t="shared" si="27"/>
        <v>1392151.04</v>
      </c>
      <c r="AF59" s="658">
        <f t="shared" si="28"/>
        <v>0</v>
      </c>
      <c r="AG59" s="235">
        <f t="shared" si="29"/>
        <v>0</v>
      </c>
      <c r="AH59" s="658"/>
      <c r="AI59" s="235"/>
      <c r="AJ59" s="34"/>
      <c r="AK59" s="34"/>
      <c r="AL59" s="34"/>
      <c r="AM59" s="34"/>
      <c r="AN59" s="34"/>
      <c r="AO59" s="34"/>
      <c r="AP59" s="34"/>
      <c r="AQ59" s="34"/>
    </row>
    <row r="60" spans="1:43">
      <c r="A60" s="313" t="s">
        <v>585</v>
      </c>
      <c r="B60" s="660">
        <v>11</v>
      </c>
      <c r="C60">
        <v>902.13</v>
      </c>
      <c r="D60">
        <v>1070</v>
      </c>
      <c r="E60" s="626"/>
      <c r="F60" s="626"/>
      <c r="G60" s="655"/>
      <c r="H60" s="655"/>
      <c r="I60" s="626"/>
      <c r="J60" s="626"/>
      <c r="K60" s="655">
        <f t="shared" si="23"/>
        <v>1972.13</v>
      </c>
      <c r="L60" s="626">
        <v>1000</v>
      </c>
      <c r="M60" s="626"/>
      <c r="N60" s="295">
        <f t="shared" si="14"/>
        <v>1000</v>
      </c>
      <c r="O60" s="661">
        <f t="shared" si="15"/>
        <v>24665.56</v>
      </c>
      <c r="P60" s="662">
        <f t="shared" si="16"/>
        <v>271321.16000000003</v>
      </c>
      <c r="Q60" s="314">
        <v>11</v>
      </c>
      <c r="R60">
        <v>902.13</v>
      </c>
      <c r="S60">
        <v>1070</v>
      </c>
      <c r="T60" s="626"/>
      <c r="U60" s="626"/>
      <c r="V60" s="626"/>
      <c r="W60" s="626"/>
      <c r="X60" s="626"/>
      <c r="Y60" s="626"/>
      <c r="Z60" s="626">
        <f t="shared" si="24"/>
        <v>1972.13</v>
      </c>
      <c r="AA60" s="626">
        <v>1000</v>
      </c>
      <c r="AB60" s="626"/>
      <c r="AC60" s="295">
        <f t="shared" si="25"/>
        <v>1000</v>
      </c>
      <c r="AD60" s="659">
        <f t="shared" si="26"/>
        <v>24665.56</v>
      </c>
      <c r="AE60" s="663">
        <f t="shared" si="27"/>
        <v>271321.16000000003</v>
      </c>
      <c r="AF60" s="658">
        <f t="shared" si="28"/>
        <v>0</v>
      </c>
      <c r="AG60" s="235">
        <f t="shared" si="29"/>
        <v>0</v>
      </c>
      <c r="AH60" s="658"/>
      <c r="AI60" s="235"/>
      <c r="AJ60" s="34"/>
      <c r="AK60" s="34"/>
      <c r="AL60" s="34"/>
      <c r="AM60" s="34"/>
      <c r="AN60" s="34"/>
      <c r="AO60" s="34"/>
      <c r="AP60" s="34"/>
      <c r="AQ60" s="34"/>
    </row>
    <row r="61" spans="1:43">
      <c r="A61" s="313" t="s">
        <v>572</v>
      </c>
      <c r="B61" s="660">
        <v>957</v>
      </c>
      <c r="C61">
        <v>894.04000000000008</v>
      </c>
      <c r="D61">
        <v>1070</v>
      </c>
      <c r="E61" s="626"/>
      <c r="F61" s="626"/>
      <c r="G61" s="655"/>
      <c r="H61" s="655"/>
      <c r="I61" s="626"/>
      <c r="J61" s="626"/>
      <c r="K61" s="655">
        <f t="shared" si="23"/>
        <v>1964.04</v>
      </c>
      <c r="L61" s="626">
        <v>1000</v>
      </c>
      <c r="M61" s="626"/>
      <c r="N61" s="295">
        <f t="shared" si="14"/>
        <v>1000</v>
      </c>
      <c r="O61" s="661">
        <f t="shared" si="15"/>
        <v>24568.48</v>
      </c>
      <c r="P61" s="662">
        <f t="shared" si="16"/>
        <v>23512035.359999999</v>
      </c>
      <c r="Q61" s="314">
        <v>957</v>
      </c>
      <c r="R61">
        <v>894.04000000000008</v>
      </c>
      <c r="S61">
        <v>1070</v>
      </c>
      <c r="T61" s="626"/>
      <c r="U61" s="626"/>
      <c r="V61" s="626"/>
      <c r="W61" s="626"/>
      <c r="X61" s="626"/>
      <c r="Y61" s="626"/>
      <c r="Z61" s="626">
        <f t="shared" si="24"/>
        <v>1964.04</v>
      </c>
      <c r="AA61" s="626">
        <v>1000</v>
      </c>
      <c r="AB61" s="626"/>
      <c r="AC61" s="295">
        <f t="shared" si="25"/>
        <v>1000</v>
      </c>
      <c r="AD61" s="659">
        <f t="shared" si="26"/>
        <v>24568.48</v>
      </c>
      <c r="AE61" s="663">
        <f t="shared" si="27"/>
        <v>23512035.359999999</v>
      </c>
      <c r="AF61" s="658">
        <f t="shared" si="28"/>
        <v>0</v>
      </c>
      <c r="AG61" s="235">
        <f t="shared" si="29"/>
        <v>0</v>
      </c>
      <c r="AH61" s="658"/>
      <c r="AI61" s="235"/>
      <c r="AJ61" s="34"/>
      <c r="AK61" s="34"/>
      <c r="AL61" s="34"/>
      <c r="AM61" s="34"/>
      <c r="AN61" s="34"/>
      <c r="AO61" s="34"/>
      <c r="AP61" s="34"/>
      <c r="AQ61" s="34"/>
    </row>
    <row r="62" spans="1:43">
      <c r="A62" s="315" t="s">
        <v>586</v>
      </c>
      <c r="B62" s="660"/>
      <c r="E62" s="626"/>
      <c r="F62" s="626"/>
      <c r="G62" s="655"/>
      <c r="H62" s="655"/>
      <c r="I62" s="626"/>
      <c r="J62" s="626"/>
      <c r="K62" s="655"/>
      <c r="L62" s="626"/>
      <c r="M62" s="626"/>
      <c r="N62" s="295"/>
      <c r="O62" s="661"/>
      <c r="P62" s="662"/>
      <c r="Q62" s="314"/>
      <c r="T62" s="626"/>
      <c r="U62" s="626"/>
      <c r="V62" s="626"/>
      <c r="W62" s="626"/>
      <c r="X62" s="626"/>
      <c r="Y62" s="626"/>
      <c r="Z62" s="626"/>
      <c r="AA62" s="626"/>
      <c r="AB62" s="626"/>
      <c r="AC62" s="295"/>
      <c r="AD62" s="659"/>
      <c r="AE62" s="663"/>
      <c r="AF62" s="658"/>
      <c r="AG62" s="235"/>
      <c r="AH62" s="658"/>
      <c r="AI62" s="235"/>
      <c r="AJ62" s="34"/>
      <c r="AK62" s="34"/>
      <c r="AL62" s="34"/>
      <c r="AM62" s="34"/>
      <c r="AN62" s="34"/>
      <c r="AO62" s="34"/>
      <c r="AP62" s="34"/>
      <c r="AQ62" s="34"/>
    </row>
    <row r="63" spans="1:43">
      <c r="A63" s="313" t="s">
        <v>564</v>
      </c>
      <c r="B63" s="660">
        <v>1</v>
      </c>
      <c r="C63">
        <v>1092.17</v>
      </c>
      <c r="D63">
        <v>1110</v>
      </c>
      <c r="E63" s="626"/>
      <c r="F63" s="626"/>
      <c r="G63" s="655"/>
      <c r="H63" s="655"/>
      <c r="I63" s="626"/>
      <c r="J63" s="626"/>
      <c r="K63" s="655">
        <f t="shared" si="23"/>
        <v>2202.17</v>
      </c>
      <c r="L63" s="626">
        <v>1000</v>
      </c>
      <c r="M63" s="626"/>
      <c r="N63" s="295">
        <f t="shared" si="14"/>
        <v>1000</v>
      </c>
      <c r="O63" s="661">
        <f t="shared" si="15"/>
        <v>27426.04</v>
      </c>
      <c r="P63" s="662">
        <f t="shared" si="16"/>
        <v>27426.04</v>
      </c>
      <c r="Q63" s="314">
        <v>1</v>
      </c>
      <c r="R63">
        <v>1092.17</v>
      </c>
      <c r="S63">
        <v>1110</v>
      </c>
      <c r="T63" s="626"/>
      <c r="U63" s="626"/>
      <c r="V63" s="626"/>
      <c r="W63" s="626"/>
      <c r="X63" s="626"/>
      <c r="Y63" s="626"/>
      <c r="Z63" s="626">
        <f t="shared" si="24"/>
        <v>2202.17</v>
      </c>
      <c r="AA63" s="626">
        <v>1000</v>
      </c>
      <c r="AB63" s="626"/>
      <c r="AC63" s="295">
        <f t="shared" si="25"/>
        <v>1000</v>
      </c>
      <c r="AD63" s="659">
        <f t="shared" si="26"/>
        <v>27426.04</v>
      </c>
      <c r="AE63" s="663">
        <f t="shared" si="27"/>
        <v>27426.04</v>
      </c>
      <c r="AF63" s="658">
        <f t="shared" si="28"/>
        <v>0</v>
      </c>
      <c r="AG63" s="235">
        <f t="shared" si="29"/>
        <v>0</v>
      </c>
      <c r="AH63" s="658"/>
      <c r="AI63" s="235"/>
      <c r="AJ63" s="34"/>
      <c r="AK63" s="34"/>
      <c r="AL63" s="34"/>
      <c r="AM63" s="34"/>
      <c r="AN63" s="34"/>
      <c r="AO63" s="34"/>
      <c r="AP63" s="34"/>
      <c r="AQ63" s="34"/>
    </row>
    <row r="64" spans="1:43">
      <c r="A64" s="315" t="s">
        <v>587</v>
      </c>
      <c r="B64" s="660"/>
      <c r="E64" s="626"/>
      <c r="F64" s="626"/>
      <c r="G64" s="655"/>
      <c r="H64" s="655"/>
      <c r="I64" s="626"/>
      <c r="J64" s="626"/>
      <c r="K64" s="655"/>
      <c r="L64" s="626"/>
      <c r="M64" s="626"/>
      <c r="N64" s="295"/>
      <c r="O64" s="661"/>
      <c r="P64" s="662"/>
      <c r="Q64" s="314"/>
      <c r="T64" s="626"/>
      <c r="U64" s="626"/>
      <c r="V64" s="626"/>
      <c r="W64" s="626"/>
      <c r="X64" s="626"/>
      <c r="Y64" s="626"/>
      <c r="Z64" s="626"/>
      <c r="AA64" s="626"/>
      <c r="AB64" s="626"/>
      <c r="AC64" s="295"/>
      <c r="AD64" s="659"/>
      <c r="AE64" s="663"/>
      <c r="AF64" s="658"/>
      <c r="AG64" s="235"/>
      <c r="AH64" s="658"/>
      <c r="AI64" s="235"/>
      <c r="AJ64" s="34"/>
      <c r="AK64" s="34"/>
      <c r="AL64" s="34"/>
      <c r="AM64" s="34"/>
      <c r="AN64" s="34"/>
      <c r="AO64" s="34"/>
      <c r="AP64" s="34"/>
      <c r="AQ64" s="34"/>
    </row>
    <row r="65" spans="1:43">
      <c r="A65" s="313" t="s">
        <v>568</v>
      </c>
      <c r="B65" s="660">
        <v>3</v>
      </c>
      <c r="C65" s="665">
        <v>991.39333333333332</v>
      </c>
      <c r="D65" s="665">
        <v>1083.3333333333333</v>
      </c>
      <c r="E65" s="626"/>
      <c r="F65" s="626"/>
      <c r="G65" s="655"/>
      <c r="H65" s="655"/>
      <c r="I65" s="626"/>
      <c r="J65" s="626"/>
      <c r="K65" s="655">
        <f t="shared" si="23"/>
        <v>2074.7266666666665</v>
      </c>
      <c r="L65" s="626">
        <v>1000</v>
      </c>
      <c r="M65" s="626"/>
      <c r="N65" s="295">
        <f t="shared" si="14"/>
        <v>1000</v>
      </c>
      <c r="O65" s="661">
        <f t="shared" si="15"/>
        <v>25896.719999999998</v>
      </c>
      <c r="P65" s="662">
        <f t="shared" si="16"/>
        <v>77690.159999999989</v>
      </c>
      <c r="Q65" s="314">
        <v>3</v>
      </c>
      <c r="R65">
        <v>991.39333333333332</v>
      </c>
      <c r="S65">
        <v>1083.3333333333333</v>
      </c>
      <c r="T65" s="626"/>
      <c r="U65" s="626"/>
      <c r="V65" s="626"/>
      <c r="W65" s="626"/>
      <c r="X65" s="626"/>
      <c r="Y65" s="626"/>
      <c r="Z65" s="626">
        <f t="shared" si="24"/>
        <v>2074.7266666666665</v>
      </c>
      <c r="AA65" s="626">
        <v>1000</v>
      </c>
      <c r="AB65" s="626"/>
      <c r="AC65" s="295">
        <f t="shared" si="25"/>
        <v>1000</v>
      </c>
      <c r="AD65" s="659">
        <f t="shared" si="26"/>
        <v>25896.719999999998</v>
      </c>
      <c r="AE65" s="663">
        <f t="shared" si="27"/>
        <v>77690.159999999989</v>
      </c>
      <c r="AF65" s="658">
        <f t="shared" si="28"/>
        <v>0</v>
      </c>
      <c r="AG65" s="235">
        <f t="shared" si="29"/>
        <v>0</v>
      </c>
      <c r="AH65" s="658"/>
      <c r="AI65" s="235"/>
      <c r="AJ65" s="34"/>
      <c r="AK65" s="34"/>
      <c r="AL65" s="34"/>
      <c r="AM65" s="34"/>
      <c r="AN65" s="34"/>
      <c r="AO65" s="34"/>
      <c r="AP65" s="34"/>
      <c r="AQ65" s="34"/>
    </row>
    <row r="66" spans="1:43">
      <c r="A66" s="315" t="s">
        <v>588</v>
      </c>
      <c r="B66" s="660"/>
      <c r="E66" s="626"/>
      <c r="F66" s="626"/>
      <c r="G66" s="655"/>
      <c r="H66" s="655"/>
      <c r="I66" s="626"/>
      <c r="J66" s="626"/>
      <c r="K66" s="655"/>
      <c r="L66" s="626"/>
      <c r="M66" s="626"/>
      <c r="N66" s="295"/>
      <c r="O66" s="661"/>
      <c r="P66" s="662"/>
      <c r="Q66" s="314"/>
      <c r="T66" s="626"/>
      <c r="U66" s="626"/>
      <c r="V66" s="626"/>
      <c r="W66" s="626"/>
      <c r="X66" s="626"/>
      <c r="Y66" s="626"/>
      <c r="Z66" s="626"/>
      <c r="AA66" s="626"/>
      <c r="AB66" s="626"/>
      <c r="AC66" s="295"/>
      <c r="AD66" s="659"/>
      <c r="AE66" s="663"/>
      <c r="AF66" s="658"/>
      <c r="AG66" s="235"/>
      <c r="AH66" s="658"/>
      <c r="AI66" s="235"/>
      <c r="AJ66" s="34"/>
      <c r="AK66" s="34"/>
      <c r="AL66" s="34"/>
      <c r="AM66" s="34"/>
      <c r="AN66" s="34"/>
      <c r="AO66" s="34"/>
      <c r="AP66" s="34"/>
      <c r="AQ66" s="34"/>
    </row>
    <row r="67" spans="1:43">
      <c r="A67" s="313" t="s">
        <v>572</v>
      </c>
      <c r="B67" s="660">
        <v>3</v>
      </c>
      <c r="C67">
        <v>926.96999999999991</v>
      </c>
      <c r="D67">
        <v>1070</v>
      </c>
      <c r="E67" s="626"/>
      <c r="F67" s="626"/>
      <c r="G67" s="655"/>
      <c r="H67" s="655"/>
      <c r="I67" s="626"/>
      <c r="J67" s="626"/>
      <c r="K67" s="655">
        <f t="shared" si="23"/>
        <v>1996.9699999999998</v>
      </c>
      <c r="L67" s="626">
        <v>1000</v>
      </c>
      <c r="M67" s="626"/>
      <c r="N67" s="295">
        <f t="shared" si="14"/>
        <v>1000</v>
      </c>
      <c r="O67" s="661">
        <f t="shared" si="15"/>
        <v>24963.64</v>
      </c>
      <c r="P67" s="662">
        <f t="shared" si="16"/>
        <v>74890.92</v>
      </c>
      <c r="Q67" s="314">
        <v>3</v>
      </c>
      <c r="R67">
        <v>926.96999999999991</v>
      </c>
      <c r="S67">
        <v>1070</v>
      </c>
      <c r="T67" s="626"/>
      <c r="U67" s="626"/>
      <c r="V67" s="626"/>
      <c r="W67" s="626"/>
      <c r="X67" s="626"/>
      <c r="Y67" s="626"/>
      <c r="Z67" s="626">
        <f t="shared" si="24"/>
        <v>1996.9699999999998</v>
      </c>
      <c r="AA67" s="626">
        <v>1000</v>
      </c>
      <c r="AB67" s="626"/>
      <c r="AC67" s="295">
        <f t="shared" si="25"/>
        <v>1000</v>
      </c>
      <c r="AD67" s="659">
        <f t="shared" si="26"/>
        <v>24963.64</v>
      </c>
      <c r="AE67" s="663">
        <f t="shared" si="27"/>
        <v>74890.92</v>
      </c>
      <c r="AF67" s="658">
        <f t="shared" si="28"/>
        <v>0</v>
      </c>
      <c r="AG67" s="235">
        <f t="shared" si="29"/>
        <v>0</v>
      </c>
      <c r="AH67" s="658"/>
      <c r="AI67" s="235"/>
      <c r="AJ67" s="34"/>
      <c r="AK67" s="34"/>
      <c r="AL67" s="34"/>
      <c r="AM67" s="34"/>
      <c r="AN67" s="34"/>
      <c r="AO67" s="34"/>
      <c r="AP67" s="34"/>
      <c r="AQ67" s="34"/>
    </row>
    <row r="68" spans="1:43">
      <c r="A68" s="313"/>
      <c r="B68" s="660"/>
      <c r="E68" s="626"/>
      <c r="F68" s="626"/>
      <c r="G68" s="655"/>
      <c r="H68" s="655"/>
      <c r="I68" s="626"/>
      <c r="J68" s="626"/>
      <c r="K68" s="655"/>
      <c r="L68" s="626"/>
      <c r="M68" s="626"/>
      <c r="N68" s="295"/>
      <c r="O68" s="661"/>
      <c r="P68" s="662"/>
      <c r="Q68" s="314"/>
      <c r="T68" s="626"/>
      <c r="U68" s="626"/>
      <c r="V68" s="626"/>
      <c r="W68" s="626"/>
      <c r="X68" s="626"/>
      <c r="Y68" s="626"/>
      <c r="Z68" s="626"/>
      <c r="AA68" s="626"/>
      <c r="AB68" s="626"/>
      <c r="AC68" s="295"/>
      <c r="AD68" s="659"/>
      <c r="AE68" s="663"/>
      <c r="AF68" s="658"/>
      <c r="AG68" s="235"/>
      <c r="AH68" s="658"/>
      <c r="AI68" s="235"/>
      <c r="AJ68" s="34"/>
      <c r="AK68" s="34"/>
      <c r="AL68" s="34"/>
      <c r="AM68" s="34"/>
      <c r="AN68" s="34"/>
      <c r="AO68" s="34"/>
      <c r="AP68" s="34"/>
      <c r="AQ68" s="34"/>
    </row>
    <row r="69" spans="1:43">
      <c r="A69" s="235" t="s">
        <v>813</v>
      </c>
      <c r="B69" s="660"/>
      <c r="E69" s="626"/>
      <c r="F69" s="626"/>
      <c r="G69" s="655"/>
      <c r="H69" s="655"/>
      <c r="I69" s="626"/>
      <c r="J69" s="626"/>
      <c r="K69" s="655"/>
      <c r="L69" s="626"/>
      <c r="M69" s="626"/>
      <c r="N69" s="295"/>
      <c r="O69" s="661"/>
      <c r="P69" s="662"/>
      <c r="Q69" s="314"/>
      <c r="T69" s="626"/>
      <c r="U69" s="626"/>
      <c r="V69" s="626"/>
      <c r="W69" s="626"/>
      <c r="X69" s="626"/>
      <c r="Y69" s="626"/>
      <c r="Z69" s="626"/>
      <c r="AA69" s="626"/>
      <c r="AB69" s="626"/>
      <c r="AC69" s="295"/>
      <c r="AD69" s="659"/>
      <c r="AE69" s="663"/>
      <c r="AF69" s="658"/>
      <c r="AG69" s="235"/>
      <c r="AH69" s="658"/>
      <c r="AI69" s="235"/>
      <c r="AJ69" s="34"/>
      <c r="AK69" s="34"/>
      <c r="AL69" s="34"/>
      <c r="AM69" s="34"/>
      <c r="AN69" s="34"/>
      <c r="AO69" s="34"/>
      <c r="AP69" s="34"/>
      <c r="AQ69" s="34"/>
    </row>
    <row r="70" spans="1:43">
      <c r="A70" s="235" t="s">
        <v>809</v>
      </c>
      <c r="B70" s="660"/>
      <c r="E70" s="626"/>
      <c r="F70" s="626"/>
      <c r="G70" s="655"/>
      <c r="H70" s="655"/>
      <c r="I70" s="626"/>
      <c r="J70" s="626"/>
      <c r="K70" s="655"/>
      <c r="L70" s="626"/>
      <c r="M70" s="626"/>
      <c r="N70" s="295"/>
      <c r="O70" s="661"/>
      <c r="P70" s="662"/>
      <c r="Q70" s="314"/>
      <c r="T70" s="626"/>
      <c r="U70" s="626"/>
      <c r="V70" s="626"/>
      <c r="W70" s="626"/>
      <c r="X70" s="626"/>
      <c r="Y70" s="626"/>
      <c r="Z70" s="626"/>
      <c r="AA70" s="626"/>
      <c r="AB70" s="626"/>
      <c r="AC70" s="295"/>
      <c r="AD70" s="659"/>
      <c r="AE70" s="663"/>
      <c r="AF70" s="658"/>
      <c r="AG70" s="235"/>
      <c r="AH70" s="658"/>
      <c r="AI70" s="235"/>
      <c r="AJ70" s="34"/>
      <c r="AK70" s="34"/>
      <c r="AL70" s="34"/>
      <c r="AM70" s="34"/>
      <c r="AN70" s="34"/>
      <c r="AO70" s="34"/>
      <c r="AP70" s="34"/>
      <c r="AQ70" s="34"/>
    </row>
    <row r="71" spans="1:43">
      <c r="A71" s="235" t="s">
        <v>809</v>
      </c>
      <c r="B71" s="660"/>
      <c r="E71" s="626"/>
      <c r="F71" s="626"/>
      <c r="G71" s="655"/>
      <c r="H71" s="655"/>
      <c r="I71" s="626"/>
      <c r="J71" s="626"/>
      <c r="K71" s="655"/>
      <c r="L71" s="626"/>
      <c r="M71" s="626"/>
      <c r="N71" s="295"/>
      <c r="O71" s="661"/>
      <c r="P71" s="662"/>
      <c r="Q71" s="314"/>
      <c r="T71" s="626"/>
      <c r="U71" s="626"/>
      <c r="V71" s="626"/>
      <c r="W71" s="626"/>
      <c r="X71" s="626"/>
      <c r="Y71" s="626"/>
      <c r="Z71" s="626"/>
      <c r="AA71" s="626"/>
      <c r="AB71" s="626"/>
      <c r="AC71" s="295"/>
      <c r="AD71" s="659"/>
      <c r="AE71" s="663"/>
      <c r="AF71" s="658"/>
      <c r="AG71" s="235"/>
      <c r="AH71" s="658"/>
      <c r="AI71" s="235"/>
      <c r="AJ71" s="34"/>
      <c r="AK71" s="34"/>
      <c r="AL71" s="34"/>
      <c r="AM71" s="34"/>
      <c r="AN71" s="34"/>
      <c r="AO71" s="34"/>
      <c r="AP71" s="34"/>
      <c r="AQ71" s="34"/>
    </row>
    <row r="72" spans="1:43">
      <c r="A72" s="235" t="s">
        <v>814</v>
      </c>
      <c r="B72" s="660"/>
      <c r="E72" s="626"/>
      <c r="F72" s="626"/>
      <c r="G72" s="655"/>
      <c r="H72" s="655"/>
      <c r="I72" s="626"/>
      <c r="J72" s="626"/>
      <c r="K72" s="655"/>
      <c r="L72" s="626"/>
      <c r="M72" s="626"/>
      <c r="N72" s="295"/>
      <c r="O72" s="661"/>
      <c r="P72" s="662"/>
      <c r="Q72" s="314"/>
      <c r="T72" s="626"/>
      <c r="U72" s="626"/>
      <c r="V72" s="626"/>
      <c r="W72" s="626"/>
      <c r="X72" s="626"/>
      <c r="Y72" s="626"/>
      <c r="Z72" s="626"/>
      <c r="AA72" s="626"/>
      <c r="AB72" s="626"/>
      <c r="AC72" s="295"/>
      <c r="AD72" s="659"/>
      <c r="AE72" s="663"/>
      <c r="AF72" s="658"/>
      <c r="AG72" s="235"/>
      <c r="AH72" s="658"/>
      <c r="AI72" s="235"/>
      <c r="AJ72" s="34"/>
      <c r="AK72" s="34"/>
      <c r="AL72" s="34"/>
      <c r="AM72" s="34"/>
      <c r="AN72" s="34"/>
      <c r="AO72" s="34"/>
      <c r="AP72" s="34"/>
      <c r="AQ72" s="34"/>
    </row>
    <row r="73" spans="1:43">
      <c r="A73" s="315" t="s">
        <v>589</v>
      </c>
      <c r="B73" s="660"/>
      <c r="E73" s="626"/>
      <c r="F73" s="626"/>
      <c r="G73" s="655"/>
      <c r="H73" s="655"/>
      <c r="I73" s="626"/>
      <c r="J73" s="626"/>
      <c r="K73" s="655"/>
      <c r="L73" s="626"/>
      <c r="M73" s="626"/>
      <c r="N73" s="295"/>
      <c r="O73" s="661"/>
      <c r="P73" s="662"/>
      <c r="Q73" s="314"/>
      <c r="T73" s="626"/>
      <c r="U73" s="626"/>
      <c r="V73" s="626"/>
      <c r="W73" s="626"/>
      <c r="X73" s="626"/>
      <c r="Y73" s="626"/>
      <c r="Z73" s="626"/>
      <c r="AA73" s="626"/>
      <c r="AB73" s="626"/>
      <c r="AC73" s="295"/>
      <c r="AD73" s="659"/>
      <c r="AE73" s="663"/>
      <c r="AF73" s="658"/>
      <c r="AG73" s="235"/>
      <c r="AH73" s="658"/>
      <c r="AI73" s="235"/>
      <c r="AJ73" s="34"/>
      <c r="AK73" s="34"/>
      <c r="AL73" s="34"/>
      <c r="AM73" s="34"/>
      <c r="AN73" s="34"/>
      <c r="AO73" s="34"/>
      <c r="AP73" s="34"/>
      <c r="AQ73" s="34"/>
    </row>
    <row r="74" spans="1:43">
      <c r="A74" s="313" t="s">
        <v>590</v>
      </c>
      <c r="B74" s="660">
        <v>3</v>
      </c>
      <c r="C74">
        <v>1321.97</v>
      </c>
      <c r="E74" s="626"/>
      <c r="F74" s="626"/>
      <c r="G74" s="655"/>
      <c r="H74" s="655"/>
      <c r="I74" s="626"/>
      <c r="J74" s="626"/>
      <c r="K74" s="655">
        <f>C74+D74+E74+F74+I74+J74</f>
        <v>1321.97</v>
      </c>
      <c r="L74" s="626">
        <v>1000</v>
      </c>
      <c r="M74" s="626"/>
      <c r="N74" s="295">
        <f t="shared" ref="N74" si="30">L74+M74</f>
        <v>1000</v>
      </c>
      <c r="O74" s="661">
        <f t="shared" ref="O74" si="31">K74*12+N74</f>
        <v>16863.64</v>
      </c>
      <c r="P74" s="662">
        <f t="shared" ref="P74" si="32">B74*O74</f>
        <v>50590.92</v>
      </c>
      <c r="Q74" s="314">
        <v>3</v>
      </c>
      <c r="R74">
        <v>1321.97</v>
      </c>
      <c r="T74" s="626"/>
      <c r="U74" s="626"/>
      <c r="V74" s="626"/>
      <c r="W74" s="626"/>
      <c r="X74" s="626"/>
      <c r="Y74" s="626"/>
      <c r="Z74" s="626">
        <f t="shared" ref="Z74" si="33">R74+S74+T74+U74+V74+W74+X74+Y74</f>
        <v>1321.97</v>
      </c>
      <c r="AA74" s="626">
        <v>1000</v>
      </c>
      <c r="AB74" s="626"/>
      <c r="AC74" s="295">
        <f t="shared" ref="AC74" si="34">AA74+AB74</f>
        <v>1000</v>
      </c>
      <c r="AD74" s="659">
        <f t="shared" ref="AD74" si="35">Z74*12+AC74</f>
        <v>16863.64</v>
      </c>
      <c r="AE74" s="663">
        <f t="shared" ref="AE74" si="36">Q74*AD74</f>
        <v>50590.92</v>
      </c>
      <c r="AF74" s="658">
        <f t="shared" ref="AF74" si="37">P74-AE74</f>
        <v>0</v>
      </c>
      <c r="AG74" s="235">
        <f t="shared" ref="AG74" si="38">B74-Q74</f>
        <v>0</v>
      </c>
      <c r="AH74" s="658"/>
      <c r="AI74" s="235"/>
      <c r="AJ74" s="34"/>
      <c r="AK74" s="34"/>
      <c r="AL74" s="34"/>
      <c r="AM74" s="34"/>
      <c r="AN74" s="34"/>
      <c r="AO74" s="34"/>
      <c r="AP74" s="34"/>
      <c r="AQ74" s="34"/>
    </row>
    <row r="75" spans="1:43">
      <c r="A75" s="315" t="s">
        <v>591</v>
      </c>
      <c r="B75" s="660"/>
      <c r="E75" s="626"/>
      <c r="F75" s="626"/>
      <c r="G75" s="655"/>
      <c r="H75" s="655"/>
      <c r="I75" s="626"/>
      <c r="J75" s="626"/>
      <c r="K75" s="655"/>
      <c r="L75" s="626"/>
      <c r="M75" s="626"/>
      <c r="N75" s="295"/>
      <c r="O75" s="661"/>
      <c r="P75" s="662"/>
      <c r="Q75" s="314"/>
      <c r="T75" s="626"/>
      <c r="U75" s="626"/>
      <c r="V75" s="626"/>
      <c r="W75" s="626"/>
      <c r="X75" s="626"/>
      <c r="Y75" s="626"/>
      <c r="Z75" s="626"/>
      <c r="AA75" s="626"/>
      <c r="AB75" s="626"/>
      <c r="AC75" s="295"/>
      <c r="AD75" s="659"/>
      <c r="AE75" s="663"/>
      <c r="AF75" s="658"/>
      <c r="AG75" s="235"/>
      <c r="AH75" s="658"/>
      <c r="AI75" s="235"/>
      <c r="AJ75" s="34"/>
      <c r="AK75" s="34"/>
      <c r="AL75" s="34"/>
      <c r="AM75" s="34"/>
      <c r="AN75" s="34"/>
      <c r="AO75" s="34"/>
      <c r="AP75" s="34"/>
      <c r="AQ75" s="34"/>
    </row>
    <row r="76" spans="1:43">
      <c r="A76" s="313" t="s">
        <v>592</v>
      </c>
      <c r="B76" s="660">
        <v>3</v>
      </c>
      <c r="C76">
        <v>3539.6200000000003</v>
      </c>
      <c r="E76" s="626"/>
      <c r="F76" s="626"/>
      <c r="G76" s="666"/>
      <c r="H76" s="666"/>
      <c r="I76" s="626"/>
      <c r="J76" s="626"/>
      <c r="K76" s="655">
        <f>C76+D76+E76+F76+I76+J76</f>
        <v>3539.6200000000003</v>
      </c>
      <c r="L76" s="626">
        <v>1000</v>
      </c>
      <c r="M76" s="626"/>
      <c r="N76" s="295">
        <f t="shared" ref="N76:N105" si="39">L76+M76</f>
        <v>1000</v>
      </c>
      <c r="O76" s="661">
        <f t="shared" ref="O76:O105" si="40">K76*12+N76</f>
        <v>43475.44</v>
      </c>
      <c r="P76" s="662">
        <f t="shared" ref="P76:P105" si="41">B76*O76</f>
        <v>130426.32</v>
      </c>
      <c r="Q76" s="314">
        <v>3</v>
      </c>
      <c r="R76">
        <v>3539.6200000000003</v>
      </c>
      <c r="T76" s="626"/>
      <c r="U76" s="626"/>
      <c r="V76" s="626"/>
      <c r="W76" s="626"/>
      <c r="X76" s="626"/>
      <c r="Y76" s="626"/>
      <c r="Z76" s="626">
        <f t="shared" si="24"/>
        <v>3539.6200000000003</v>
      </c>
      <c r="AA76" s="626">
        <v>1000</v>
      </c>
      <c r="AB76" s="626"/>
      <c r="AC76" s="295">
        <f t="shared" si="25"/>
        <v>1000</v>
      </c>
      <c r="AD76" s="659">
        <f t="shared" si="26"/>
        <v>43475.44</v>
      </c>
      <c r="AE76" s="663">
        <f t="shared" si="27"/>
        <v>130426.32</v>
      </c>
      <c r="AF76" s="658">
        <f t="shared" si="28"/>
        <v>0</v>
      </c>
      <c r="AG76" s="235">
        <f t="shared" si="29"/>
        <v>0</v>
      </c>
      <c r="AH76" s="658"/>
      <c r="AI76" s="235"/>
      <c r="AJ76" s="34"/>
      <c r="AK76" s="34"/>
      <c r="AL76" s="34"/>
      <c r="AM76" s="34"/>
      <c r="AN76" s="34"/>
      <c r="AO76" s="34"/>
      <c r="AP76" s="34"/>
      <c r="AQ76" s="34"/>
    </row>
    <row r="77" spans="1:43">
      <c r="A77" s="315" t="s">
        <v>593</v>
      </c>
      <c r="B77" s="660"/>
      <c r="E77" s="626"/>
      <c r="F77" s="626"/>
      <c r="G77" s="655"/>
      <c r="H77" s="655"/>
      <c r="I77" s="626"/>
      <c r="J77" s="626"/>
      <c r="K77" s="655"/>
      <c r="L77" s="626"/>
      <c r="M77" s="626"/>
      <c r="N77" s="295"/>
      <c r="O77" s="661"/>
      <c r="P77" s="662"/>
      <c r="Q77" s="314"/>
      <c r="T77" s="626"/>
      <c r="U77" s="626"/>
      <c r="V77" s="626"/>
      <c r="W77" s="626"/>
      <c r="X77" s="626"/>
      <c r="Y77" s="626"/>
      <c r="Z77" s="626"/>
      <c r="AA77" s="626"/>
      <c r="AB77" s="626"/>
      <c r="AC77" s="295"/>
      <c r="AD77" s="659"/>
      <c r="AE77" s="663"/>
      <c r="AF77" s="658"/>
      <c r="AG77" s="235"/>
      <c r="AH77" s="658"/>
      <c r="AI77" s="235"/>
      <c r="AJ77" s="34"/>
      <c r="AK77" s="34"/>
      <c r="AL77" s="34"/>
      <c r="AM77" s="34"/>
      <c r="AN77" s="34"/>
      <c r="AO77" s="34"/>
      <c r="AP77" s="34"/>
      <c r="AQ77" s="34"/>
    </row>
    <row r="78" spans="1:43">
      <c r="A78" s="313" t="s">
        <v>594</v>
      </c>
      <c r="B78" s="660">
        <v>20</v>
      </c>
      <c r="C78">
        <v>6540.0514999999996</v>
      </c>
      <c r="E78" s="626"/>
      <c r="F78" s="626"/>
      <c r="G78" s="655"/>
      <c r="H78" s="655"/>
      <c r="I78" s="626"/>
      <c r="J78" s="626"/>
      <c r="K78" s="655">
        <f t="shared" ref="K78:K105" si="42">C78+D78+E78+F78+I78+J78</f>
        <v>6540.0514999999996</v>
      </c>
      <c r="L78" s="626">
        <v>1000</v>
      </c>
      <c r="M78" s="626"/>
      <c r="N78" s="295">
        <f t="shared" si="39"/>
        <v>1000</v>
      </c>
      <c r="O78" s="661">
        <f t="shared" si="40"/>
        <v>79480.617999999988</v>
      </c>
      <c r="P78" s="662">
        <f t="shared" si="41"/>
        <v>1589612.3599999999</v>
      </c>
      <c r="Q78" s="314">
        <v>20</v>
      </c>
      <c r="R78">
        <v>6540.0514999999996</v>
      </c>
      <c r="T78" s="626"/>
      <c r="U78" s="626"/>
      <c r="V78" s="626"/>
      <c r="W78" s="626"/>
      <c r="X78" s="626"/>
      <c r="Y78" s="626"/>
      <c r="Z78" s="626">
        <f t="shared" si="24"/>
        <v>6540.0514999999996</v>
      </c>
      <c r="AA78" s="626">
        <v>1000</v>
      </c>
      <c r="AB78" s="626"/>
      <c r="AC78" s="295">
        <f t="shared" si="25"/>
        <v>1000</v>
      </c>
      <c r="AD78" s="659">
        <f t="shared" si="26"/>
        <v>79480.617999999988</v>
      </c>
      <c r="AE78" s="663">
        <f t="shared" si="27"/>
        <v>1589612.3599999999</v>
      </c>
      <c r="AF78" s="658">
        <f t="shared" si="28"/>
        <v>0</v>
      </c>
      <c r="AG78" s="235">
        <f t="shared" si="29"/>
        <v>0</v>
      </c>
      <c r="AH78" s="658"/>
      <c r="AI78" s="235"/>
      <c r="AJ78" s="34"/>
      <c r="AK78" s="34"/>
      <c r="AL78" s="34"/>
      <c r="AM78" s="34"/>
      <c r="AN78" s="34"/>
      <c r="AO78" s="34"/>
      <c r="AP78" s="34"/>
      <c r="AQ78" s="34"/>
    </row>
    <row r="79" spans="1:43">
      <c r="A79" s="313" t="s">
        <v>595</v>
      </c>
      <c r="B79" s="660">
        <v>170</v>
      </c>
      <c r="C79">
        <v>5717.9004705882353</v>
      </c>
      <c r="E79" s="626"/>
      <c r="F79" s="626"/>
      <c r="G79" s="655"/>
      <c r="H79" s="655"/>
      <c r="I79" s="626"/>
      <c r="J79" s="626"/>
      <c r="K79" s="655">
        <f t="shared" si="42"/>
        <v>5717.9004705882353</v>
      </c>
      <c r="L79" s="626">
        <v>1000</v>
      </c>
      <c r="M79" s="626"/>
      <c r="N79" s="295">
        <f t="shared" si="39"/>
        <v>1000</v>
      </c>
      <c r="O79" s="661">
        <f t="shared" si="40"/>
        <v>69614.80564705882</v>
      </c>
      <c r="P79" s="662">
        <f t="shared" si="41"/>
        <v>11834516.959999999</v>
      </c>
      <c r="Q79" s="314">
        <v>170</v>
      </c>
      <c r="R79">
        <v>5717.9004705882353</v>
      </c>
      <c r="T79" s="626"/>
      <c r="U79" s="626"/>
      <c r="V79" s="626"/>
      <c r="W79" s="626"/>
      <c r="X79" s="626"/>
      <c r="Y79" s="626"/>
      <c r="Z79" s="626">
        <f t="shared" si="24"/>
        <v>5717.9004705882353</v>
      </c>
      <c r="AA79" s="626">
        <v>1000</v>
      </c>
      <c r="AB79" s="626"/>
      <c r="AC79" s="295">
        <f t="shared" si="25"/>
        <v>1000</v>
      </c>
      <c r="AD79" s="659">
        <f t="shared" si="26"/>
        <v>69614.80564705882</v>
      </c>
      <c r="AE79" s="663">
        <f t="shared" si="27"/>
        <v>11834516.959999999</v>
      </c>
      <c r="AF79" s="658">
        <f t="shared" si="28"/>
        <v>0</v>
      </c>
      <c r="AG79" s="235">
        <f t="shared" si="29"/>
        <v>0</v>
      </c>
      <c r="AH79" s="658"/>
      <c r="AI79" s="235"/>
      <c r="AJ79" s="34"/>
      <c r="AK79" s="34"/>
      <c r="AL79" s="34"/>
      <c r="AM79" s="34"/>
      <c r="AN79" s="34"/>
      <c r="AO79" s="34"/>
      <c r="AP79" s="34"/>
      <c r="AQ79" s="34"/>
    </row>
    <row r="80" spans="1:43">
      <c r="A80" s="313" t="s">
        <v>596</v>
      </c>
      <c r="B80" s="660">
        <v>300</v>
      </c>
      <c r="C80">
        <v>5164.7743</v>
      </c>
      <c r="E80" s="626"/>
      <c r="F80" s="626"/>
      <c r="G80" s="655"/>
      <c r="H80" s="655"/>
      <c r="I80" s="626"/>
      <c r="J80" s="626"/>
      <c r="K80" s="655">
        <f t="shared" si="42"/>
        <v>5164.7743</v>
      </c>
      <c r="L80" s="626">
        <v>1000</v>
      </c>
      <c r="M80" s="626"/>
      <c r="N80" s="295">
        <f t="shared" si="39"/>
        <v>1000</v>
      </c>
      <c r="O80" s="661">
        <f t="shared" si="40"/>
        <v>62977.291599999997</v>
      </c>
      <c r="P80" s="662">
        <f t="shared" si="41"/>
        <v>18893187.48</v>
      </c>
      <c r="Q80" s="314">
        <v>300</v>
      </c>
      <c r="R80">
        <v>5164.7743</v>
      </c>
      <c r="T80" s="626"/>
      <c r="U80" s="626"/>
      <c r="V80" s="626"/>
      <c r="W80" s="626"/>
      <c r="X80" s="626"/>
      <c r="Y80" s="626"/>
      <c r="Z80" s="626">
        <f t="shared" si="24"/>
        <v>5164.7743</v>
      </c>
      <c r="AA80" s="626">
        <v>1000</v>
      </c>
      <c r="AB80" s="626"/>
      <c r="AC80" s="295">
        <f t="shared" si="25"/>
        <v>1000</v>
      </c>
      <c r="AD80" s="659">
        <f t="shared" si="26"/>
        <v>62977.291599999997</v>
      </c>
      <c r="AE80" s="663">
        <f t="shared" si="27"/>
        <v>18893187.48</v>
      </c>
      <c r="AF80" s="658">
        <f t="shared" si="28"/>
        <v>0</v>
      </c>
      <c r="AG80" s="235">
        <f t="shared" si="29"/>
        <v>0</v>
      </c>
      <c r="AH80" s="658"/>
      <c r="AI80" s="235"/>
      <c r="AJ80" s="34"/>
      <c r="AK80" s="34"/>
      <c r="AL80" s="34"/>
      <c r="AM80" s="34"/>
      <c r="AN80" s="34"/>
      <c r="AO80" s="34"/>
      <c r="AP80" s="34"/>
      <c r="AQ80" s="34"/>
    </row>
    <row r="81" spans="1:43">
      <c r="A81" s="313" t="s">
        <v>597</v>
      </c>
      <c r="B81" s="660">
        <v>241</v>
      </c>
      <c r="C81">
        <v>4920.6991701244815</v>
      </c>
      <c r="E81" s="626"/>
      <c r="F81" s="626"/>
      <c r="G81" s="655"/>
      <c r="H81" s="655"/>
      <c r="I81" s="626"/>
      <c r="J81" s="626"/>
      <c r="K81" s="655">
        <f t="shared" si="42"/>
        <v>4920.6991701244815</v>
      </c>
      <c r="L81" s="626">
        <v>1000</v>
      </c>
      <c r="M81" s="626"/>
      <c r="N81" s="295">
        <f t="shared" si="39"/>
        <v>1000</v>
      </c>
      <c r="O81" s="661">
        <f t="shared" si="40"/>
        <v>60048.390041493782</v>
      </c>
      <c r="P81" s="662">
        <f t="shared" si="41"/>
        <v>14471662.000000002</v>
      </c>
      <c r="Q81" s="314">
        <v>241</v>
      </c>
      <c r="R81">
        <v>4920.6991701244815</v>
      </c>
      <c r="T81" s="626"/>
      <c r="U81" s="626"/>
      <c r="V81" s="626"/>
      <c r="W81" s="626"/>
      <c r="X81" s="626"/>
      <c r="Y81" s="626"/>
      <c r="Z81" s="626">
        <f t="shared" si="24"/>
        <v>4920.6991701244815</v>
      </c>
      <c r="AA81" s="626">
        <v>1000</v>
      </c>
      <c r="AB81" s="626"/>
      <c r="AC81" s="295">
        <f t="shared" si="25"/>
        <v>1000</v>
      </c>
      <c r="AD81" s="659">
        <f t="shared" si="26"/>
        <v>60048.390041493782</v>
      </c>
      <c r="AE81" s="663">
        <f t="shared" si="27"/>
        <v>14471662.000000002</v>
      </c>
      <c r="AF81" s="658">
        <f t="shared" si="28"/>
        <v>0</v>
      </c>
      <c r="AG81" s="235">
        <f t="shared" si="29"/>
        <v>0</v>
      </c>
      <c r="AH81" s="658"/>
      <c r="AI81" s="235"/>
      <c r="AJ81" s="34"/>
      <c r="AK81" s="34"/>
      <c r="AL81" s="34"/>
      <c r="AM81" s="34"/>
      <c r="AN81" s="34"/>
      <c r="AO81" s="34"/>
      <c r="AP81" s="34"/>
      <c r="AQ81" s="34"/>
    </row>
    <row r="82" spans="1:43">
      <c r="A82" s="313" t="s">
        <v>598</v>
      </c>
      <c r="B82" s="660">
        <v>70</v>
      </c>
      <c r="C82">
        <v>4561.1734285714292</v>
      </c>
      <c r="E82" s="626"/>
      <c r="F82" s="626"/>
      <c r="G82" s="655"/>
      <c r="H82" s="655"/>
      <c r="I82" s="626"/>
      <c r="J82" s="626"/>
      <c r="K82" s="655">
        <f t="shared" si="42"/>
        <v>4561.1734285714292</v>
      </c>
      <c r="L82" s="626">
        <v>1000</v>
      </c>
      <c r="M82" s="626"/>
      <c r="N82" s="295">
        <f t="shared" si="39"/>
        <v>1000</v>
      </c>
      <c r="O82" s="661">
        <f t="shared" si="40"/>
        <v>55734.081142857147</v>
      </c>
      <c r="P82" s="662">
        <f t="shared" si="41"/>
        <v>3901385.68</v>
      </c>
      <c r="Q82" s="314">
        <v>70</v>
      </c>
      <c r="R82">
        <v>4561.1734285714292</v>
      </c>
      <c r="T82" s="626"/>
      <c r="U82" s="626"/>
      <c r="V82" s="626"/>
      <c r="W82" s="626"/>
      <c r="X82" s="626"/>
      <c r="Y82" s="626"/>
      <c r="Z82" s="626">
        <f t="shared" si="24"/>
        <v>4561.1734285714292</v>
      </c>
      <c r="AA82" s="626">
        <v>1000</v>
      </c>
      <c r="AB82" s="626"/>
      <c r="AC82" s="295">
        <f t="shared" si="25"/>
        <v>1000</v>
      </c>
      <c r="AD82" s="659">
        <f t="shared" si="26"/>
        <v>55734.081142857147</v>
      </c>
      <c r="AE82" s="663">
        <f t="shared" si="27"/>
        <v>3901385.68</v>
      </c>
      <c r="AF82" s="658">
        <f t="shared" si="28"/>
        <v>0</v>
      </c>
      <c r="AG82" s="235">
        <f t="shared" si="29"/>
        <v>0</v>
      </c>
      <c r="AH82" s="658"/>
      <c r="AI82" s="235"/>
      <c r="AJ82" s="34"/>
      <c r="AK82" s="34"/>
      <c r="AL82" s="34"/>
      <c r="AM82" s="34"/>
      <c r="AN82" s="34"/>
      <c r="AO82" s="34"/>
      <c r="AP82" s="34"/>
      <c r="AQ82" s="34"/>
    </row>
    <row r="83" spans="1:43">
      <c r="A83" s="313" t="s">
        <v>599</v>
      </c>
      <c r="B83" s="660">
        <v>24</v>
      </c>
      <c r="C83">
        <v>3761.3633333333332</v>
      </c>
      <c r="E83" s="626"/>
      <c r="F83" s="626"/>
      <c r="G83" s="655"/>
      <c r="H83" s="655"/>
      <c r="I83" s="626"/>
      <c r="J83" s="626"/>
      <c r="K83" s="655">
        <f t="shared" si="42"/>
        <v>3761.3633333333332</v>
      </c>
      <c r="L83" s="626">
        <v>1000</v>
      </c>
      <c r="M83" s="626"/>
      <c r="N83" s="295">
        <f t="shared" si="39"/>
        <v>1000</v>
      </c>
      <c r="O83" s="661">
        <f t="shared" si="40"/>
        <v>46136.36</v>
      </c>
      <c r="P83" s="662">
        <f t="shared" si="41"/>
        <v>1107272.6400000001</v>
      </c>
      <c r="Q83" s="314">
        <v>24</v>
      </c>
      <c r="R83">
        <v>3761.3633333333332</v>
      </c>
      <c r="T83" s="626"/>
      <c r="U83" s="626"/>
      <c r="V83" s="626"/>
      <c r="W83" s="626"/>
      <c r="X83" s="626"/>
      <c r="Y83" s="626"/>
      <c r="Z83" s="626">
        <f t="shared" si="24"/>
        <v>3761.3633333333332</v>
      </c>
      <c r="AA83" s="626">
        <v>1000</v>
      </c>
      <c r="AB83" s="626"/>
      <c r="AC83" s="295">
        <f t="shared" si="25"/>
        <v>1000</v>
      </c>
      <c r="AD83" s="659">
        <f t="shared" si="26"/>
        <v>46136.36</v>
      </c>
      <c r="AE83" s="663">
        <f t="shared" si="27"/>
        <v>1107272.6400000001</v>
      </c>
      <c r="AF83" s="658">
        <f t="shared" si="28"/>
        <v>0</v>
      </c>
      <c r="AG83" s="235">
        <f t="shared" si="29"/>
        <v>0</v>
      </c>
      <c r="AH83" s="658"/>
      <c r="AI83" s="235"/>
      <c r="AJ83" s="34"/>
      <c r="AK83" s="34"/>
      <c r="AL83" s="34"/>
      <c r="AM83" s="34"/>
      <c r="AN83" s="34"/>
      <c r="AO83" s="34"/>
      <c r="AP83" s="34"/>
      <c r="AQ83" s="34"/>
    </row>
    <row r="84" spans="1:43">
      <c r="A84" s="313" t="s">
        <v>600</v>
      </c>
      <c r="B84" s="660">
        <v>1</v>
      </c>
      <c r="C84">
        <v>4724.6900000000005</v>
      </c>
      <c r="E84" s="626"/>
      <c r="F84" s="626"/>
      <c r="G84" s="655"/>
      <c r="H84" s="655"/>
      <c r="I84" s="626"/>
      <c r="J84" s="626"/>
      <c r="K84" s="655">
        <f t="shared" si="42"/>
        <v>4724.6900000000005</v>
      </c>
      <c r="L84" s="626">
        <v>1000</v>
      </c>
      <c r="M84" s="626"/>
      <c r="N84" s="295">
        <f t="shared" si="39"/>
        <v>1000</v>
      </c>
      <c r="O84" s="661">
        <f t="shared" si="40"/>
        <v>57696.280000000006</v>
      </c>
      <c r="P84" s="662">
        <f t="shared" si="41"/>
        <v>57696.280000000006</v>
      </c>
      <c r="Q84" s="314">
        <v>1</v>
      </c>
      <c r="R84">
        <v>4724.6900000000005</v>
      </c>
      <c r="T84" s="626"/>
      <c r="U84" s="626"/>
      <c r="V84" s="626"/>
      <c r="W84" s="626"/>
      <c r="X84" s="626"/>
      <c r="Y84" s="626"/>
      <c r="Z84" s="626">
        <f t="shared" si="24"/>
        <v>4724.6900000000005</v>
      </c>
      <c r="AA84" s="626">
        <v>1000</v>
      </c>
      <c r="AB84" s="626"/>
      <c r="AC84" s="295">
        <f t="shared" si="25"/>
        <v>1000</v>
      </c>
      <c r="AD84" s="659">
        <f t="shared" si="26"/>
        <v>57696.280000000006</v>
      </c>
      <c r="AE84" s="663">
        <f t="shared" si="27"/>
        <v>57696.280000000006</v>
      </c>
      <c r="AF84" s="658">
        <f t="shared" si="28"/>
        <v>0</v>
      </c>
      <c r="AG84" s="235">
        <f t="shared" si="29"/>
        <v>0</v>
      </c>
      <c r="AH84" s="658"/>
      <c r="AI84" s="235"/>
      <c r="AJ84" s="34"/>
      <c r="AK84" s="34"/>
      <c r="AL84" s="34"/>
      <c r="AM84" s="34"/>
      <c r="AN84" s="34"/>
      <c r="AO84" s="34"/>
      <c r="AP84" s="34"/>
      <c r="AQ84" s="34"/>
    </row>
    <row r="85" spans="1:43">
      <c r="A85" s="313" t="s">
        <v>601</v>
      </c>
      <c r="B85" s="660">
        <v>3</v>
      </c>
      <c r="C85">
        <v>3556.0499999999997</v>
      </c>
      <c r="E85" s="626"/>
      <c r="F85" s="626"/>
      <c r="G85" s="655"/>
      <c r="H85" s="655"/>
      <c r="I85" s="626"/>
      <c r="J85" s="626"/>
      <c r="K85" s="655">
        <f t="shared" si="42"/>
        <v>3556.0499999999997</v>
      </c>
      <c r="L85" s="626">
        <v>1000</v>
      </c>
      <c r="M85" s="626"/>
      <c r="N85" s="295">
        <f t="shared" si="39"/>
        <v>1000</v>
      </c>
      <c r="O85" s="661">
        <f t="shared" si="40"/>
        <v>43672.6</v>
      </c>
      <c r="P85" s="662">
        <f t="shared" si="41"/>
        <v>131017.79999999999</v>
      </c>
      <c r="Q85" s="314">
        <v>3</v>
      </c>
      <c r="R85">
        <v>3556.0499999999997</v>
      </c>
      <c r="T85" s="626"/>
      <c r="U85" s="626"/>
      <c r="V85" s="626"/>
      <c r="W85" s="626"/>
      <c r="X85" s="626"/>
      <c r="Y85" s="626"/>
      <c r="Z85" s="626">
        <f t="shared" si="24"/>
        <v>3556.0499999999997</v>
      </c>
      <c r="AA85" s="626">
        <v>1000</v>
      </c>
      <c r="AB85" s="626"/>
      <c r="AC85" s="295">
        <f t="shared" si="25"/>
        <v>1000</v>
      </c>
      <c r="AD85" s="659">
        <f t="shared" si="26"/>
        <v>43672.6</v>
      </c>
      <c r="AE85" s="663">
        <f t="shared" si="27"/>
        <v>131017.79999999999</v>
      </c>
      <c r="AF85" s="658">
        <f t="shared" si="28"/>
        <v>0</v>
      </c>
      <c r="AG85" s="235">
        <f t="shared" si="29"/>
        <v>0</v>
      </c>
      <c r="AH85" s="658"/>
      <c r="AI85" s="235"/>
      <c r="AJ85" s="34"/>
      <c r="AK85" s="34"/>
      <c r="AL85" s="34"/>
      <c r="AM85" s="34"/>
      <c r="AN85" s="34"/>
      <c r="AO85" s="34"/>
      <c r="AP85" s="34"/>
      <c r="AQ85" s="34"/>
    </row>
    <row r="86" spans="1:43">
      <c r="A86" s="313" t="s">
        <v>602</v>
      </c>
      <c r="B86" s="660">
        <v>21</v>
      </c>
      <c r="C86">
        <v>3163.9790476190474</v>
      </c>
      <c r="E86" s="626"/>
      <c r="F86" s="626"/>
      <c r="G86" s="655"/>
      <c r="H86" s="655"/>
      <c r="I86" s="626"/>
      <c r="J86" s="626"/>
      <c r="K86" s="655">
        <f t="shared" si="42"/>
        <v>3163.9790476190474</v>
      </c>
      <c r="L86" s="626">
        <v>1000</v>
      </c>
      <c r="M86" s="626"/>
      <c r="N86" s="295">
        <f t="shared" si="39"/>
        <v>1000</v>
      </c>
      <c r="O86" s="661">
        <f t="shared" si="40"/>
        <v>38967.748571428572</v>
      </c>
      <c r="P86" s="662">
        <f t="shared" si="41"/>
        <v>818322.72</v>
      </c>
      <c r="Q86" s="314">
        <v>21</v>
      </c>
      <c r="R86">
        <v>3163.9790476190474</v>
      </c>
      <c r="T86" s="626"/>
      <c r="U86" s="626"/>
      <c r="V86" s="626"/>
      <c r="W86" s="626"/>
      <c r="X86" s="626"/>
      <c r="Y86" s="626"/>
      <c r="Z86" s="626">
        <f t="shared" si="24"/>
        <v>3163.9790476190474</v>
      </c>
      <c r="AA86" s="626">
        <v>1000</v>
      </c>
      <c r="AB86" s="626"/>
      <c r="AC86" s="295">
        <f t="shared" si="25"/>
        <v>1000</v>
      </c>
      <c r="AD86" s="659">
        <f t="shared" si="26"/>
        <v>38967.748571428572</v>
      </c>
      <c r="AE86" s="663">
        <f t="shared" si="27"/>
        <v>818322.72</v>
      </c>
      <c r="AF86" s="658">
        <f t="shared" si="28"/>
        <v>0</v>
      </c>
      <c r="AG86" s="235">
        <f t="shared" si="29"/>
        <v>0</v>
      </c>
      <c r="AH86" s="658"/>
      <c r="AI86" s="235"/>
      <c r="AJ86" s="34"/>
      <c r="AK86" s="34"/>
      <c r="AL86" s="34"/>
      <c r="AM86" s="34"/>
      <c r="AN86" s="34"/>
      <c r="AO86" s="34"/>
      <c r="AP86" s="34"/>
      <c r="AQ86" s="34"/>
    </row>
    <row r="87" spans="1:43">
      <c r="A87" s="313" t="s">
        <v>603</v>
      </c>
      <c r="B87" s="660">
        <v>29</v>
      </c>
      <c r="C87">
        <v>2895.2806896551724</v>
      </c>
      <c r="E87" s="626"/>
      <c r="F87" s="626"/>
      <c r="G87" s="655"/>
      <c r="H87" s="655"/>
      <c r="I87" s="626"/>
      <c r="J87" s="626"/>
      <c r="K87" s="655">
        <f t="shared" si="42"/>
        <v>2895.2806896551724</v>
      </c>
      <c r="L87" s="626">
        <v>1000</v>
      </c>
      <c r="M87" s="626"/>
      <c r="N87" s="295">
        <f t="shared" si="39"/>
        <v>1000</v>
      </c>
      <c r="O87" s="661">
        <f t="shared" si="40"/>
        <v>35743.368275862071</v>
      </c>
      <c r="P87" s="662">
        <f t="shared" si="41"/>
        <v>1036557.68</v>
      </c>
      <c r="Q87" s="314">
        <v>29</v>
      </c>
      <c r="R87">
        <v>2895.2806896551724</v>
      </c>
      <c r="T87" s="626"/>
      <c r="U87" s="626"/>
      <c r="V87" s="626"/>
      <c r="W87" s="626"/>
      <c r="X87" s="626"/>
      <c r="Y87" s="626"/>
      <c r="Z87" s="626">
        <f t="shared" si="24"/>
        <v>2895.2806896551724</v>
      </c>
      <c r="AA87" s="626">
        <v>1000</v>
      </c>
      <c r="AB87" s="626"/>
      <c r="AC87" s="295">
        <f t="shared" si="25"/>
        <v>1000</v>
      </c>
      <c r="AD87" s="659">
        <f t="shared" si="26"/>
        <v>35743.368275862071</v>
      </c>
      <c r="AE87" s="663">
        <f t="shared" si="27"/>
        <v>1036557.68</v>
      </c>
      <c r="AF87" s="658">
        <f t="shared" si="28"/>
        <v>0</v>
      </c>
      <c r="AG87" s="235">
        <f t="shared" si="29"/>
        <v>0</v>
      </c>
      <c r="AH87" s="658"/>
      <c r="AI87" s="235"/>
      <c r="AJ87" s="34"/>
      <c r="AK87" s="34"/>
      <c r="AL87" s="34"/>
      <c r="AM87" s="34"/>
      <c r="AN87" s="34"/>
      <c r="AO87" s="34"/>
      <c r="AP87" s="34"/>
      <c r="AQ87" s="34"/>
    </row>
    <row r="88" spans="1:43">
      <c r="A88" s="313" t="s">
        <v>604</v>
      </c>
      <c r="B88" s="660">
        <v>12</v>
      </c>
      <c r="C88">
        <v>2615.6758333333332</v>
      </c>
      <c r="E88" s="626"/>
      <c r="F88" s="626"/>
      <c r="H88" s="655"/>
      <c r="I88" s="626"/>
      <c r="J88" s="626"/>
      <c r="K88" s="655">
        <f t="shared" si="42"/>
        <v>2615.6758333333332</v>
      </c>
      <c r="L88" s="626">
        <v>1000</v>
      </c>
      <c r="M88" s="626"/>
      <c r="N88" s="295">
        <f t="shared" si="39"/>
        <v>1000</v>
      </c>
      <c r="O88" s="661">
        <f t="shared" si="40"/>
        <v>32388.11</v>
      </c>
      <c r="P88" s="662">
        <f t="shared" si="41"/>
        <v>388657.32</v>
      </c>
      <c r="Q88" s="314">
        <v>12</v>
      </c>
      <c r="R88">
        <v>2615.6758333333332</v>
      </c>
      <c r="T88" s="626"/>
      <c r="U88" s="626"/>
      <c r="V88" s="626"/>
      <c r="W88" s="626"/>
      <c r="X88" s="626"/>
      <c r="Y88" s="626"/>
      <c r="Z88" s="626">
        <f t="shared" si="24"/>
        <v>2615.6758333333332</v>
      </c>
      <c r="AA88" s="626">
        <v>1000</v>
      </c>
      <c r="AB88" s="626"/>
      <c r="AC88" s="295">
        <f t="shared" si="25"/>
        <v>1000</v>
      </c>
      <c r="AD88" s="659">
        <f t="shared" si="26"/>
        <v>32388.11</v>
      </c>
      <c r="AE88" s="663">
        <f t="shared" si="27"/>
        <v>388657.32</v>
      </c>
      <c r="AF88" s="658">
        <f t="shared" si="28"/>
        <v>0</v>
      </c>
      <c r="AG88" s="235">
        <f t="shared" si="29"/>
        <v>0</v>
      </c>
      <c r="AH88" s="658"/>
      <c r="AI88" s="235"/>
      <c r="AJ88" s="34"/>
      <c r="AK88" s="34"/>
      <c r="AL88" s="34"/>
      <c r="AM88" s="34"/>
      <c r="AN88" s="34"/>
      <c r="AO88" s="34"/>
      <c r="AP88" s="34"/>
      <c r="AQ88" s="34"/>
    </row>
    <row r="89" spans="1:43">
      <c r="A89" s="313" t="s">
        <v>605</v>
      </c>
      <c r="B89" s="660">
        <v>15</v>
      </c>
      <c r="C89">
        <v>4507.3166666666666</v>
      </c>
      <c r="E89" s="626"/>
      <c r="F89" s="626"/>
      <c r="G89" s="655"/>
      <c r="H89" s="655"/>
      <c r="I89" s="626"/>
      <c r="J89" s="626"/>
      <c r="K89" s="655">
        <f t="shared" si="42"/>
        <v>4507.3166666666666</v>
      </c>
      <c r="L89" s="626">
        <v>1000</v>
      </c>
      <c r="M89" s="626"/>
      <c r="N89" s="295">
        <f t="shared" si="39"/>
        <v>1000</v>
      </c>
      <c r="O89" s="661">
        <f t="shared" si="40"/>
        <v>55087.8</v>
      </c>
      <c r="P89" s="662">
        <f t="shared" si="41"/>
        <v>826317</v>
      </c>
      <c r="Q89" s="314">
        <v>15</v>
      </c>
      <c r="R89">
        <v>4507.3166666666666</v>
      </c>
      <c r="T89" s="626"/>
      <c r="U89" s="626"/>
      <c r="V89" s="626"/>
      <c r="W89" s="626"/>
      <c r="X89" s="626"/>
      <c r="Y89" s="626"/>
      <c r="Z89" s="626">
        <f t="shared" si="24"/>
        <v>4507.3166666666666</v>
      </c>
      <c r="AA89" s="626">
        <v>1000</v>
      </c>
      <c r="AB89" s="626"/>
      <c r="AC89" s="295">
        <f t="shared" si="25"/>
        <v>1000</v>
      </c>
      <c r="AD89" s="659">
        <f t="shared" si="26"/>
        <v>55087.8</v>
      </c>
      <c r="AE89" s="663">
        <f t="shared" si="27"/>
        <v>826317</v>
      </c>
      <c r="AF89" s="658">
        <f t="shared" si="28"/>
        <v>0</v>
      </c>
      <c r="AG89" s="235">
        <f t="shared" si="29"/>
        <v>0</v>
      </c>
      <c r="AH89" s="658"/>
      <c r="AI89" s="235"/>
      <c r="AJ89" s="34"/>
      <c r="AK89" s="34"/>
      <c r="AL89" s="34"/>
      <c r="AM89" s="34"/>
      <c r="AN89" s="34"/>
      <c r="AO89" s="34"/>
      <c r="AP89" s="34"/>
      <c r="AQ89" s="34"/>
    </row>
    <row r="90" spans="1:43">
      <c r="A90" s="313" t="s">
        <v>606</v>
      </c>
      <c r="B90" s="660">
        <v>113</v>
      </c>
      <c r="C90">
        <v>3827.8207079646018</v>
      </c>
      <c r="E90" s="626"/>
      <c r="F90" s="626"/>
      <c r="G90" s="655"/>
      <c r="H90" s="655"/>
      <c r="I90" s="626"/>
      <c r="J90" s="626"/>
      <c r="K90" s="655">
        <f t="shared" si="42"/>
        <v>3827.8207079646018</v>
      </c>
      <c r="L90" s="626">
        <v>1000</v>
      </c>
      <c r="M90" s="626"/>
      <c r="N90" s="295">
        <f t="shared" si="39"/>
        <v>1000</v>
      </c>
      <c r="O90" s="661">
        <f t="shared" si="40"/>
        <v>46933.848495575221</v>
      </c>
      <c r="P90" s="662">
        <f t="shared" si="41"/>
        <v>5303524.88</v>
      </c>
      <c r="Q90" s="314">
        <v>113</v>
      </c>
      <c r="R90">
        <v>3827.8207079646018</v>
      </c>
      <c r="T90" s="626"/>
      <c r="U90" s="626"/>
      <c r="V90" s="626"/>
      <c r="W90" s="626"/>
      <c r="X90" s="626"/>
      <c r="Y90" s="626"/>
      <c r="Z90" s="626">
        <f t="shared" si="24"/>
        <v>3827.8207079646018</v>
      </c>
      <c r="AA90" s="626">
        <v>1000</v>
      </c>
      <c r="AB90" s="626"/>
      <c r="AC90" s="295">
        <f t="shared" si="25"/>
        <v>1000</v>
      </c>
      <c r="AD90" s="659">
        <f t="shared" si="26"/>
        <v>46933.848495575221</v>
      </c>
      <c r="AE90" s="663">
        <f t="shared" si="27"/>
        <v>5303524.88</v>
      </c>
      <c r="AF90" s="658">
        <f t="shared" si="28"/>
        <v>0</v>
      </c>
      <c r="AG90" s="235">
        <f t="shared" si="29"/>
        <v>0</v>
      </c>
      <c r="AH90" s="658"/>
      <c r="AI90" s="235"/>
      <c r="AJ90" s="34"/>
      <c r="AK90" s="34"/>
      <c r="AL90" s="34"/>
      <c r="AM90" s="34"/>
      <c r="AN90" s="34"/>
      <c r="AO90" s="34"/>
      <c r="AP90" s="34"/>
      <c r="AQ90" s="34"/>
    </row>
    <row r="91" spans="1:43">
      <c r="A91" s="313" t="s">
        <v>607</v>
      </c>
      <c r="B91" s="660">
        <v>467</v>
      </c>
      <c r="C91">
        <v>3309.2255888650966</v>
      </c>
      <c r="E91" s="626"/>
      <c r="F91" s="626"/>
      <c r="G91" s="655"/>
      <c r="H91" s="655"/>
      <c r="I91" s="626"/>
      <c r="J91" s="626"/>
      <c r="K91" s="655">
        <f t="shared" si="42"/>
        <v>3309.2255888650966</v>
      </c>
      <c r="L91" s="626">
        <v>1000</v>
      </c>
      <c r="M91" s="626"/>
      <c r="N91" s="295">
        <f t="shared" si="39"/>
        <v>1000</v>
      </c>
      <c r="O91" s="661">
        <f t="shared" si="40"/>
        <v>40710.707066381161</v>
      </c>
      <c r="P91" s="662">
        <f t="shared" si="41"/>
        <v>19011900.200000003</v>
      </c>
      <c r="Q91" s="314">
        <v>467</v>
      </c>
      <c r="R91">
        <v>3309.2255888650966</v>
      </c>
      <c r="T91" s="626"/>
      <c r="U91" s="626"/>
      <c r="V91" s="626"/>
      <c r="W91" s="626"/>
      <c r="X91" s="626"/>
      <c r="Y91" s="626"/>
      <c r="Z91" s="626">
        <f t="shared" si="24"/>
        <v>3309.2255888650966</v>
      </c>
      <c r="AA91" s="626">
        <v>1000</v>
      </c>
      <c r="AB91" s="626"/>
      <c r="AC91" s="295">
        <f t="shared" si="25"/>
        <v>1000</v>
      </c>
      <c r="AD91" s="659">
        <f t="shared" si="26"/>
        <v>40710.707066381161</v>
      </c>
      <c r="AE91" s="663">
        <f t="shared" si="27"/>
        <v>19011900.200000003</v>
      </c>
      <c r="AF91" s="658">
        <f t="shared" si="28"/>
        <v>0</v>
      </c>
      <c r="AG91" s="235">
        <f t="shared" si="29"/>
        <v>0</v>
      </c>
      <c r="AH91" s="658"/>
      <c r="AI91" s="235"/>
      <c r="AJ91" s="34"/>
      <c r="AK91" s="34"/>
      <c r="AL91" s="34"/>
      <c r="AM91" s="34"/>
      <c r="AN91" s="34"/>
      <c r="AO91" s="34"/>
      <c r="AP91" s="34"/>
      <c r="AQ91" s="34"/>
    </row>
    <row r="92" spans="1:43">
      <c r="A92" s="313" t="s">
        <v>608</v>
      </c>
      <c r="B92" s="660">
        <v>1381</v>
      </c>
      <c r="C92">
        <v>3009.199036929761</v>
      </c>
      <c r="E92" s="626"/>
      <c r="F92" s="626"/>
      <c r="G92" s="655"/>
      <c r="H92" s="655"/>
      <c r="I92" s="626"/>
      <c r="J92" s="626"/>
      <c r="K92" s="655">
        <f t="shared" si="42"/>
        <v>3009.199036929761</v>
      </c>
      <c r="L92" s="626">
        <v>1000</v>
      </c>
      <c r="M92" s="626"/>
      <c r="N92" s="295">
        <f t="shared" si="39"/>
        <v>1000</v>
      </c>
      <c r="O92" s="661">
        <f t="shared" si="40"/>
        <v>37110.388443157135</v>
      </c>
      <c r="P92" s="662">
        <f t="shared" si="41"/>
        <v>51249446.440000005</v>
      </c>
      <c r="Q92" s="314">
        <v>1381</v>
      </c>
      <c r="R92">
        <v>3009.199036929761</v>
      </c>
      <c r="T92" s="626"/>
      <c r="U92" s="626"/>
      <c r="V92" s="626"/>
      <c r="W92" s="626"/>
      <c r="X92" s="626"/>
      <c r="Y92" s="626"/>
      <c r="Z92" s="626">
        <f t="shared" si="24"/>
        <v>3009.199036929761</v>
      </c>
      <c r="AA92" s="626">
        <v>1000</v>
      </c>
      <c r="AB92" s="626"/>
      <c r="AC92" s="295">
        <f t="shared" si="25"/>
        <v>1000</v>
      </c>
      <c r="AD92" s="659">
        <f t="shared" si="26"/>
        <v>37110.388443157135</v>
      </c>
      <c r="AE92" s="663">
        <f t="shared" si="27"/>
        <v>51249446.440000005</v>
      </c>
      <c r="AF92" s="658">
        <f t="shared" si="28"/>
        <v>0</v>
      </c>
      <c r="AG92" s="235">
        <f t="shared" si="29"/>
        <v>0</v>
      </c>
      <c r="AH92" s="658"/>
      <c r="AI92" s="235"/>
      <c r="AJ92" s="34"/>
      <c r="AK92" s="34"/>
      <c r="AL92" s="34"/>
      <c r="AM92" s="34"/>
      <c r="AN92" s="34"/>
      <c r="AO92" s="34"/>
      <c r="AP92" s="34"/>
      <c r="AQ92" s="34"/>
    </row>
    <row r="93" spans="1:43">
      <c r="A93" s="313" t="s">
        <v>609</v>
      </c>
      <c r="B93" s="660">
        <v>1893</v>
      </c>
      <c r="C93">
        <v>2823.0914632857894</v>
      </c>
      <c r="E93" s="626"/>
      <c r="F93" s="626"/>
      <c r="G93" s="655"/>
      <c r="H93" s="655"/>
      <c r="I93" s="626"/>
      <c r="J93" s="626"/>
      <c r="K93" s="655">
        <f t="shared" si="42"/>
        <v>2823.0914632857894</v>
      </c>
      <c r="L93" s="626">
        <v>1000</v>
      </c>
      <c r="M93" s="626"/>
      <c r="N93" s="295">
        <f t="shared" si="39"/>
        <v>1000</v>
      </c>
      <c r="O93" s="661">
        <f t="shared" si="40"/>
        <v>34877.097559429472</v>
      </c>
      <c r="P93" s="662">
        <f t="shared" si="41"/>
        <v>66022345.679999992</v>
      </c>
      <c r="Q93" s="314">
        <v>1893</v>
      </c>
      <c r="R93">
        <v>2823.0914632857894</v>
      </c>
      <c r="T93" s="626"/>
      <c r="U93" s="626"/>
      <c r="V93" s="626"/>
      <c r="W93" s="626"/>
      <c r="X93" s="626"/>
      <c r="Y93" s="626"/>
      <c r="Z93" s="626">
        <f t="shared" si="24"/>
        <v>2823.0914632857894</v>
      </c>
      <c r="AA93" s="626">
        <v>1000</v>
      </c>
      <c r="AB93" s="626"/>
      <c r="AC93" s="295">
        <f t="shared" si="25"/>
        <v>1000</v>
      </c>
      <c r="AD93" s="659">
        <f t="shared" si="26"/>
        <v>34877.097559429472</v>
      </c>
      <c r="AE93" s="663">
        <f t="shared" si="27"/>
        <v>66022345.679999992</v>
      </c>
      <c r="AF93" s="658">
        <f t="shared" si="28"/>
        <v>0</v>
      </c>
      <c r="AG93" s="235">
        <f t="shared" si="29"/>
        <v>0</v>
      </c>
      <c r="AH93" s="658"/>
      <c r="AI93" s="235"/>
      <c r="AJ93" s="34"/>
      <c r="AK93" s="34"/>
      <c r="AL93" s="34"/>
      <c r="AM93" s="34"/>
      <c r="AN93" s="34"/>
      <c r="AO93" s="34"/>
      <c r="AP93" s="34"/>
      <c r="AQ93" s="34"/>
    </row>
    <row r="94" spans="1:43">
      <c r="A94" s="313" t="s">
        <v>610</v>
      </c>
      <c r="B94" s="660">
        <v>1211</v>
      </c>
      <c r="C94">
        <v>2531.4251032204788</v>
      </c>
      <c r="E94" s="626"/>
      <c r="F94" s="626"/>
      <c r="G94" s="655"/>
      <c r="H94" s="655"/>
      <c r="I94" s="626"/>
      <c r="J94" s="626"/>
      <c r="K94" s="655">
        <f t="shared" si="42"/>
        <v>2531.4251032204788</v>
      </c>
      <c r="L94" s="626">
        <v>1000</v>
      </c>
      <c r="M94" s="626"/>
      <c r="N94" s="295">
        <f t="shared" si="39"/>
        <v>1000</v>
      </c>
      <c r="O94" s="661">
        <f t="shared" si="40"/>
        <v>31377.101238645744</v>
      </c>
      <c r="P94" s="662">
        <f t="shared" si="41"/>
        <v>37997669.599999994</v>
      </c>
      <c r="Q94" s="314">
        <v>1211</v>
      </c>
      <c r="R94">
        <v>2531.4251032204788</v>
      </c>
      <c r="T94" s="626"/>
      <c r="U94" s="626"/>
      <c r="V94" s="626"/>
      <c r="W94" s="626"/>
      <c r="X94" s="626"/>
      <c r="Y94" s="626"/>
      <c r="Z94" s="626">
        <f t="shared" si="24"/>
        <v>2531.4251032204788</v>
      </c>
      <c r="AA94" s="626">
        <v>1000</v>
      </c>
      <c r="AB94" s="626"/>
      <c r="AC94" s="295">
        <f t="shared" si="25"/>
        <v>1000</v>
      </c>
      <c r="AD94" s="659">
        <f t="shared" si="26"/>
        <v>31377.101238645744</v>
      </c>
      <c r="AE94" s="663">
        <f t="shared" si="27"/>
        <v>37997669.599999994</v>
      </c>
      <c r="AF94" s="658">
        <f t="shared" si="28"/>
        <v>0</v>
      </c>
      <c r="AG94" s="235">
        <f t="shared" si="29"/>
        <v>0</v>
      </c>
      <c r="AH94" s="658"/>
      <c r="AI94" s="235"/>
      <c r="AJ94" s="34"/>
      <c r="AK94" s="34"/>
      <c r="AL94" s="34"/>
      <c r="AM94" s="34"/>
      <c r="AN94" s="34"/>
      <c r="AO94" s="34"/>
      <c r="AP94" s="34"/>
      <c r="AQ94" s="34"/>
    </row>
    <row r="95" spans="1:43">
      <c r="A95" s="313" t="s">
        <v>611</v>
      </c>
      <c r="B95" s="660">
        <v>2</v>
      </c>
      <c r="C95">
        <v>4625.8499999999995</v>
      </c>
      <c r="E95" s="626"/>
      <c r="F95" s="626"/>
      <c r="G95" s="655"/>
      <c r="H95" s="655"/>
      <c r="I95" s="626"/>
      <c r="J95" s="626"/>
      <c r="K95" s="655">
        <f t="shared" si="42"/>
        <v>4625.8499999999995</v>
      </c>
      <c r="L95" s="626">
        <v>1000</v>
      </c>
      <c r="M95" s="626"/>
      <c r="N95" s="295">
        <f t="shared" si="39"/>
        <v>1000</v>
      </c>
      <c r="O95" s="661">
        <f t="shared" si="40"/>
        <v>56510.2</v>
      </c>
      <c r="P95" s="662">
        <f t="shared" si="41"/>
        <v>113020.4</v>
      </c>
      <c r="Q95" s="314">
        <v>2</v>
      </c>
      <c r="R95">
        <v>4625.8499999999995</v>
      </c>
      <c r="T95" s="626"/>
      <c r="U95" s="626"/>
      <c r="V95" s="626"/>
      <c r="W95" s="626"/>
      <c r="X95" s="626"/>
      <c r="Y95" s="626"/>
      <c r="Z95" s="626">
        <f t="shared" si="24"/>
        <v>4625.8499999999995</v>
      </c>
      <c r="AA95" s="626">
        <v>1000</v>
      </c>
      <c r="AB95" s="626"/>
      <c r="AC95" s="295">
        <f t="shared" si="25"/>
        <v>1000</v>
      </c>
      <c r="AD95" s="659">
        <f t="shared" si="26"/>
        <v>56510.2</v>
      </c>
      <c r="AE95" s="663">
        <f t="shared" si="27"/>
        <v>113020.4</v>
      </c>
      <c r="AF95" s="658">
        <f t="shared" si="28"/>
        <v>0</v>
      </c>
      <c r="AG95" s="235">
        <f t="shared" si="29"/>
        <v>0</v>
      </c>
      <c r="AH95" s="658"/>
      <c r="AI95" s="235"/>
      <c r="AJ95" s="34"/>
      <c r="AK95" s="34"/>
      <c r="AL95" s="34"/>
      <c r="AM95" s="34"/>
      <c r="AN95" s="34"/>
      <c r="AO95" s="34"/>
      <c r="AP95" s="34"/>
      <c r="AQ95" s="34"/>
    </row>
    <row r="96" spans="1:43">
      <c r="A96" s="313" t="s">
        <v>612</v>
      </c>
      <c r="B96" s="660">
        <v>1</v>
      </c>
      <c r="C96">
        <v>6887.8</v>
      </c>
      <c r="E96" s="626"/>
      <c r="F96" s="626"/>
      <c r="G96" s="655"/>
      <c r="H96" s="655"/>
      <c r="I96" s="626"/>
      <c r="J96" s="626"/>
      <c r="K96" s="655">
        <f t="shared" si="42"/>
        <v>6887.8</v>
      </c>
      <c r="L96" s="626">
        <v>1000</v>
      </c>
      <c r="M96" s="626"/>
      <c r="N96" s="295">
        <f t="shared" si="39"/>
        <v>1000</v>
      </c>
      <c r="O96" s="661">
        <f t="shared" si="40"/>
        <v>83653.600000000006</v>
      </c>
      <c r="P96" s="662">
        <f t="shared" si="41"/>
        <v>83653.600000000006</v>
      </c>
      <c r="Q96" s="314">
        <v>1</v>
      </c>
      <c r="R96">
        <v>6887.8</v>
      </c>
      <c r="T96" s="626"/>
      <c r="U96" s="626"/>
      <c r="V96" s="626"/>
      <c r="W96" s="626"/>
      <c r="X96" s="626"/>
      <c r="Y96" s="626"/>
      <c r="Z96" s="626">
        <f t="shared" si="24"/>
        <v>6887.8</v>
      </c>
      <c r="AA96" s="626">
        <v>1000</v>
      </c>
      <c r="AB96" s="626"/>
      <c r="AC96" s="295">
        <f t="shared" si="25"/>
        <v>1000</v>
      </c>
      <c r="AD96" s="659">
        <f t="shared" si="26"/>
        <v>83653.600000000006</v>
      </c>
      <c r="AE96" s="663">
        <f t="shared" si="27"/>
        <v>83653.600000000006</v>
      </c>
      <c r="AF96" s="658">
        <f t="shared" si="28"/>
        <v>0</v>
      </c>
      <c r="AG96" s="235">
        <f t="shared" si="29"/>
        <v>0</v>
      </c>
      <c r="AH96" s="658"/>
      <c r="AI96" s="235"/>
      <c r="AJ96" s="34"/>
      <c r="AK96" s="34"/>
      <c r="AL96" s="34"/>
      <c r="AM96" s="34"/>
      <c r="AN96" s="34"/>
      <c r="AO96" s="34"/>
      <c r="AP96" s="34"/>
      <c r="AQ96" s="34"/>
    </row>
    <row r="97" spans="1:43">
      <c r="A97" s="315" t="s">
        <v>613</v>
      </c>
      <c r="B97" s="660"/>
      <c r="E97" s="626"/>
      <c r="F97" s="626"/>
      <c r="G97" s="655"/>
      <c r="H97" s="655"/>
      <c r="I97" s="626"/>
      <c r="J97" s="626"/>
      <c r="K97" s="655"/>
      <c r="L97" s="626"/>
      <c r="M97" s="626"/>
      <c r="N97" s="295"/>
      <c r="O97" s="661"/>
      <c r="P97" s="662"/>
      <c r="Q97" s="314"/>
      <c r="T97" s="626"/>
      <c r="U97" s="626"/>
      <c r="V97" s="626"/>
      <c r="W97" s="626"/>
      <c r="X97" s="626"/>
      <c r="Y97" s="626"/>
      <c r="Z97" s="626"/>
      <c r="AA97" s="626"/>
      <c r="AB97" s="626"/>
      <c r="AC97" s="295"/>
      <c r="AD97" s="659"/>
      <c r="AE97" s="663"/>
      <c r="AF97" s="658"/>
      <c r="AG97" s="235"/>
      <c r="AH97" s="658"/>
      <c r="AI97" s="235"/>
      <c r="AJ97" s="34"/>
      <c r="AK97" s="34"/>
      <c r="AL97" s="34"/>
      <c r="AM97" s="34"/>
      <c r="AN97" s="34"/>
      <c r="AO97" s="34"/>
      <c r="AP97" s="34"/>
      <c r="AQ97" s="34"/>
    </row>
    <row r="98" spans="1:43">
      <c r="A98" s="313" t="s">
        <v>614</v>
      </c>
      <c r="B98" s="660">
        <v>3</v>
      </c>
      <c r="C98">
        <v>3246.2099999999996</v>
      </c>
      <c r="E98" s="626"/>
      <c r="F98" s="626"/>
      <c r="G98" s="655"/>
      <c r="H98" s="655"/>
      <c r="I98" s="626"/>
      <c r="J98" s="626"/>
      <c r="K98" s="655">
        <f t="shared" si="42"/>
        <v>3246.2099999999996</v>
      </c>
      <c r="L98" s="626">
        <v>1000</v>
      </c>
      <c r="M98" s="626"/>
      <c r="N98" s="295">
        <f t="shared" si="39"/>
        <v>1000</v>
      </c>
      <c r="O98" s="661">
        <f t="shared" si="40"/>
        <v>39954.519999999997</v>
      </c>
      <c r="P98" s="662">
        <f t="shared" si="41"/>
        <v>119863.56</v>
      </c>
      <c r="Q98" s="314">
        <v>3</v>
      </c>
      <c r="R98">
        <v>3246.2099999999996</v>
      </c>
      <c r="T98" s="626"/>
      <c r="U98" s="626"/>
      <c r="V98" s="626"/>
      <c r="W98" s="626"/>
      <c r="X98" s="626"/>
      <c r="Y98" s="626"/>
      <c r="Z98" s="626">
        <f t="shared" si="24"/>
        <v>3246.2099999999996</v>
      </c>
      <c r="AA98" s="626">
        <v>1000</v>
      </c>
      <c r="AB98" s="626"/>
      <c r="AC98" s="295">
        <f t="shared" si="25"/>
        <v>1000</v>
      </c>
      <c r="AD98" s="659">
        <f t="shared" si="26"/>
        <v>39954.519999999997</v>
      </c>
      <c r="AE98" s="663">
        <f t="shared" si="27"/>
        <v>119863.56</v>
      </c>
      <c r="AF98" s="658">
        <f t="shared" si="28"/>
        <v>0</v>
      </c>
      <c r="AG98" s="235">
        <f t="shared" si="29"/>
        <v>0</v>
      </c>
      <c r="AH98" s="658"/>
      <c r="AI98" s="235"/>
      <c r="AJ98" s="34"/>
      <c r="AK98" s="34"/>
      <c r="AL98" s="34"/>
      <c r="AM98" s="34"/>
      <c r="AN98" s="34"/>
      <c r="AO98" s="34"/>
      <c r="AP98" s="34"/>
      <c r="AQ98" s="34"/>
    </row>
    <row r="99" spans="1:43">
      <c r="A99" s="313" t="s">
        <v>615</v>
      </c>
      <c r="B99" s="660">
        <v>2335</v>
      </c>
      <c r="C99" s="665">
        <v>2712.9169593147749</v>
      </c>
      <c r="E99" s="626"/>
      <c r="F99" s="626"/>
      <c r="G99" s="655"/>
      <c r="H99" s="655"/>
      <c r="I99" s="626"/>
      <c r="J99" s="626"/>
      <c r="K99" s="655">
        <f t="shared" si="42"/>
        <v>2712.9169593147749</v>
      </c>
      <c r="L99" s="626">
        <v>1000</v>
      </c>
      <c r="M99" s="626"/>
      <c r="N99" s="295">
        <f t="shared" si="39"/>
        <v>1000</v>
      </c>
      <c r="O99" s="661">
        <f t="shared" si="40"/>
        <v>33555.0035117773</v>
      </c>
      <c r="P99" s="662">
        <f t="shared" si="41"/>
        <v>78350933.200000003</v>
      </c>
      <c r="Q99" s="314">
        <v>2335</v>
      </c>
      <c r="R99">
        <v>2712.9169593147749</v>
      </c>
      <c r="T99" s="626"/>
      <c r="U99" s="626"/>
      <c r="V99" s="626"/>
      <c r="W99" s="626"/>
      <c r="X99" s="626"/>
      <c r="Y99" s="626"/>
      <c r="Z99" s="626">
        <f t="shared" si="24"/>
        <v>2712.9169593147749</v>
      </c>
      <c r="AA99" s="626">
        <v>1000</v>
      </c>
      <c r="AB99" s="626"/>
      <c r="AC99" s="295">
        <f t="shared" si="25"/>
        <v>1000</v>
      </c>
      <c r="AD99" s="659">
        <f t="shared" si="26"/>
        <v>33555.0035117773</v>
      </c>
      <c r="AE99" s="663">
        <f t="shared" si="27"/>
        <v>78350933.200000003</v>
      </c>
      <c r="AF99" s="658">
        <f t="shared" si="28"/>
        <v>0</v>
      </c>
      <c r="AG99" s="235">
        <f t="shared" si="29"/>
        <v>0</v>
      </c>
      <c r="AH99" s="658"/>
      <c r="AI99" s="235"/>
      <c r="AJ99" s="34"/>
      <c r="AK99" s="34"/>
      <c r="AL99" s="34"/>
      <c r="AM99" s="34"/>
      <c r="AN99" s="34"/>
      <c r="AO99" s="34"/>
      <c r="AP99" s="34"/>
      <c r="AQ99" s="34"/>
    </row>
    <row r="100" spans="1:43">
      <c r="A100" s="315" t="s">
        <v>616</v>
      </c>
      <c r="B100" s="660"/>
      <c r="E100" s="626"/>
      <c r="F100" s="626"/>
      <c r="G100" s="655"/>
      <c r="H100" s="655"/>
      <c r="I100" s="626"/>
      <c r="J100" s="626"/>
      <c r="K100" s="655"/>
      <c r="L100" s="626"/>
      <c r="M100" s="626"/>
      <c r="N100" s="295"/>
      <c r="O100" s="661"/>
      <c r="P100" s="662"/>
      <c r="Q100" s="314"/>
      <c r="T100" s="626"/>
      <c r="U100" s="626"/>
      <c r="V100" s="626"/>
      <c r="W100" s="626"/>
      <c r="X100" s="626"/>
      <c r="Y100" s="626"/>
      <c r="Z100" s="626"/>
      <c r="AA100" s="626"/>
      <c r="AB100" s="626"/>
      <c r="AC100" s="295"/>
      <c r="AD100" s="659"/>
      <c r="AE100" s="663"/>
      <c r="AF100" s="658"/>
      <c r="AG100" s="235"/>
      <c r="AH100" s="658"/>
      <c r="AI100" s="235"/>
      <c r="AJ100" s="34"/>
      <c r="AK100" s="34"/>
      <c r="AL100" s="34"/>
      <c r="AM100" s="34"/>
      <c r="AN100" s="34"/>
      <c r="AO100" s="34"/>
      <c r="AP100" s="34"/>
      <c r="AQ100" s="34"/>
    </row>
    <row r="101" spans="1:43">
      <c r="A101" s="313" t="s">
        <v>617</v>
      </c>
      <c r="B101" s="660">
        <v>646</v>
      </c>
      <c r="C101" s="665">
        <v>1535.247987616099</v>
      </c>
      <c r="E101" s="626"/>
      <c r="F101" s="626"/>
      <c r="G101" s="655"/>
      <c r="H101" s="655"/>
      <c r="I101" s="626"/>
      <c r="J101" s="626"/>
      <c r="K101" s="655">
        <f t="shared" si="42"/>
        <v>1535.247987616099</v>
      </c>
      <c r="L101" s="626">
        <v>1000</v>
      </c>
      <c r="M101" s="626"/>
      <c r="N101" s="295">
        <f t="shared" si="39"/>
        <v>1000</v>
      </c>
      <c r="O101" s="661">
        <f t="shared" si="40"/>
        <v>19422.975851393188</v>
      </c>
      <c r="P101" s="662">
        <f t="shared" si="41"/>
        <v>12547242.4</v>
      </c>
      <c r="Q101" s="314">
        <v>646</v>
      </c>
      <c r="R101">
        <v>1535.247987616099</v>
      </c>
      <c r="T101" s="626"/>
      <c r="U101" s="626"/>
      <c r="V101" s="626"/>
      <c r="W101" s="626"/>
      <c r="X101" s="626"/>
      <c r="Y101" s="626"/>
      <c r="Z101" s="626">
        <f t="shared" si="24"/>
        <v>1535.247987616099</v>
      </c>
      <c r="AA101" s="626">
        <v>1000</v>
      </c>
      <c r="AB101" s="626"/>
      <c r="AC101" s="295">
        <f t="shared" si="25"/>
        <v>1000</v>
      </c>
      <c r="AD101" s="659">
        <f t="shared" si="26"/>
        <v>19422.975851393188</v>
      </c>
      <c r="AE101" s="663">
        <f t="shared" si="27"/>
        <v>12547242.4</v>
      </c>
      <c r="AF101" s="658">
        <f t="shared" si="28"/>
        <v>0</v>
      </c>
      <c r="AG101" s="235">
        <f t="shared" si="29"/>
        <v>0</v>
      </c>
      <c r="AH101" s="658"/>
      <c r="AI101" s="235"/>
      <c r="AJ101" s="34"/>
      <c r="AK101" s="34"/>
      <c r="AL101" s="34"/>
      <c r="AM101" s="34"/>
      <c r="AN101" s="34"/>
      <c r="AO101" s="34"/>
      <c r="AP101" s="34"/>
      <c r="AQ101" s="34"/>
    </row>
    <row r="102" spans="1:43">
      <c r="A102" s="315" t="s">
        <v>618</v>
      </c>
      <c r="B102" s="660"/>
      <c r="E102" s="626"/>
      <c r="F102" s="626"/>
      <c r="G102" s="655"/>
      <c r="H102" s="655"/>
      <c r="I102" s="626"/>
      <c r="J102" s="626"/>
      <c r="K102" s="655"/>
      <c r="L102" s="626"/>
      <c r="M102" s="626"/>
      <c r="N102" s="295"/>
      <c r="O102" s="661"/>
      <c r="P102" s="662"/>
      <c r="Q102" s="314"/>
      <c r="T102" s="626"/>
      <c r="U102" s="626"/>
      <c r="V102" s="626"/>
      <c r="W102" s="626"/>
      <c r="X102" s="626"/>
      <c r="Y102" s="626"/>
      <c r="Z102" s="626"/>
      <c r="AA102" s="626"/>
      <c r="AB102" s="626"/>
      <c r="AC102" s="295"/>
      <c r="AD102" s="659"/>
      <c r="AE102" s="663"/>
      <c r="AF102" s="658"/>
      <c r="AG102" s="235"/>
      <c r="AH102" s="658"/>
      <c r="AI102" s="235"/>
      <c r="AJ102" s="34"/>
      <c r="AK102" s="34"/>
      <c r="AL102" s="34"/>
      <c r="AM102" s="34"/>
      <c r="AN102" s="34"/>
      <c r="AO102" s="34"/>
      <c r="AP102" s="34"/>
      <c r="AQ102" s="34"/>
    </row>
    <row r="103" spans="1:43">
      <c r="A103" s="313" t="s">
        <v>597</v>
      </c>
      <c r="B103" s="660">
        <v>59</v>
      </c>
      <c r="C103">
        <v>4338.79</v>
      </c>
      <c r="E103" s="626"/>
      <c r="F103" s="626"/>
      <c r="G103" s="655"/>
      <c r="H103" s="655"/>
      <c r="I103" s="626"/>
      <c r="J103" s="626"/>
      <c r="K103" s="655">
        <f t="shared" si="42"/>
        <v>4338.79</v>
      </c>
      <c r="L103" s="626">
        <v>1000</v>
      </c>
      <c r="M103" s="626"/>
      <c r="N103" s="295">
        <f t="shared" si="39"/>
        <v>1000</v>
      </c>
      <c r="O103" s="661">
        <f t="shared" si="40"/>
        <v>53065.479999999996</v>
      </c>
      <c r="P103" s="662">
        <f t="shared" si="41"/>
        <v>3130863.32</v>
      </c>
      <c r="Q103" s="314">
        <v>59</v>
      </c>
      <c r="R103">
        <v>4338.79</v>
      </c>
      <c r="T103" s="626"/>
      <c r="U103" s="626"/>
      <c r="V103" s="626"/>
      <c r="W103" s="626"/>
      <c r="X103" s="626"/>
      <c r="Y103" s="626"/>
      <c r="Z103" s="626">
        <f t="shared" si="24"/>
        <v>4338.79</v>
      </c>
      <c r="AA103" s="626">
        <v>1000</v>
      </c>
      <c r="AB103" s="626"/>
      <c r="AC103" s="295">
        <f t="shared" si="25"/>
        <v>1000</v>
      </c>
      <c r="AD103" s="659">
        <f t="shared" si="26"/>
        <v>53065.479999999996</v>
      </c>
      <c r="AE103" s="663">
        <f t="shared" si="27"/>
        <v>3130863.32</v>
      </c>
      <c r="AF103" s="658">
        <f t="shared" si="28"/>
        <v>0</v>
      </c>
      <c r="AG103" s="235">
        <f t="shared" si="29"/>
        <v>0</v>
      </c>
      <c r="AH103" s="658"/>
      <c r="AI103" s="235"/>
      <c r="AJ103" s="34"/>
      <c r="AK103" s="34"/>
      <c r="AL103" s="34"/>
      <c r="AM103" s="34"/>
      <c r="AN103" s="34"/>
      <c r="AO103" s="34"/>
      <c r="AP103" s="34"/>
      <c r="AQ103" s="34"/>
    </row>
    <row r="104" spans="1:43">
      <c r="A104" s="313" t="s">
        <v>598</v>
      </c>
      <c r="B104" s="660">
        <v>51</v>
      </c>
      <c r="C104" s="665">
        <v>3254.0966666666664</v>
      </c>
      <c r="E104" s="626"/>
      <c r="F104" s="626"/>
      <c r="G104" s="655"/>
      <c r="H104" s="655"/>
      <c r="I104" s="626"/>
      <c r="J104" s="626"/>
      <c r="K104" s="655">
        <f t="shared" si="42"/>
        <v>3254.0966666666664</v>
      </c>
      <c r="L104" s="626">
        <v>1000</v>
      </c>
      <c r="M104" s="626"/>
      <c r="N104" s="295">
        <f t="shared" si="39"/>
        <v>1000</v>
      </c>
      <c r="O104" s="661">
        <f t="shared" si="40"/>
        <v>40049.159999999996</v>
      </c>
      <c r="P104" s="662">
        <f t="shared" si="41"/>
        <v>2042507.16</v>
      </c>
      <c r="Q104" s="314">
        <v>51</v>
      </c>
      <c r="R104">
        <v>3254.0966666666664</v>
      </c>
      <c r="T104" s="626"/>
      <c r="U104" s="626"/>
      <c r="V104" s="626"/>
      <c r="W104" s="626"/>
      <c r="X104" s="626"/>
      <c r="Y104" s="626"/>
      <c r="Z104" s="626">
        <f t="shared" si="24"/>
        <v>3254.0966666666664</v>
      </c>
      <c r="AA104" s="626">
        <v>1000</v>
      </c>
      <c r="AB104" s="626"/>
      <c r="AC104" s="295">
        <f t="shared" si="25"/>
        <v>1000</v>
      </c>
      <c r="AD104" s="659">
        <f t="shared" si="26"/>
        <v>40049.159999999996</v>
      </c>
      <c r="AE104" s="663">
        <f t="shared" si="27"/>
        <v>2042507.16</v>
      </c>
      <c r="AF104" s="658">
        <f t="shared" si="28"/>
        <v>0</v>
      </c>
      <c r="AG104" s="235">
        <f t="shared" si="29"/>
        <v>0</v>
      </c>
      <c r="AH104" s="658"/>
      <c r="AI104" s="235"/>
      <c r="AJ104" s="34"/>
      <c r="AK104" s="34"/>
      <c r="AL104" s="34"/>
      <c r="AM104" s="34"/>
      <c r="AN104" s="34"/>
      <c r="AO104" s="34"/>
      <c r="AP104" s="34"/>
      <c r="AQ104" s="34"/>
    </row>
    <row r="105" spans="1:43">
      <c r="A105" s="313" t="s">
        <v>599</v>
      </c>
      <c r="B105" s="660">
        <v>103</v>
      </c>
      <c r="C105">
        <v>2911.8402912621359</v>
      </c>
      <c r="E105" s="626"/>
      <c r="F105" s="626"/>
      <c r="G105" s="655"/>
      <c r="H105" s="655"/>
      <c r="I105" s="626"/>
      <c r="J105" s="626"/>
      <c r="K105" s="655">
        <f t="shared" si="42"/>
        <v>2911.8402912621359</v>
      </c>
      <c r="L105" s="626">
        <v>1000</v>
      </c>
      <c r="M105" s="626"/>
      <c r="N105" s="295">
        <f t="shared" si="39"/>
        <v>1000</v>
      </c>
      <c r="O105" s="661">
        <f t="shared" si="40"/>
        <v>35942.083495145635</v>
      </c>
      <c r="P105" s="662">
        <f t="shared" si="41"/>
        <v>3702034.6000000006</v>
      </c>
      <c r="Q105" s="314">
        <v>103</v>
      </c>
      <c r="R105">
        <v>2911.8402912621359</v>
      </c>
      <c r="T105" s="626"/>
      <c r="U105" s="626"/>
      <c r="V105" s="626"/>
      <c r="W105" s="626"/>
      <c r="X105" s="626"/>
      <c r="Y105" s="626"/>
      <c r="Z105" s="626">
        <f t="shared" si="24"/>
        <v>2911.8402912621359</v>
      </c>
      <c r="AA105" s="626">
        <v>1000</v>
      </c>
      <c r="AB105" s="626"/>
      <c r="AC105" s="295">
        <f t="shared" si="25"/>
        <v>1000</v>
      </c>
      <c r="AD105" s="659">
        <f t="shared" si="26"/>
        <v>35942.083495145635</v>
      </c>
      <c r="AE105" s="663">
        <f t="shared" si="27"/>
        <v>3702034.6000000006</v>
      </c>
      <c r="AF105" s="658">
        <f t="shared" si="28"/>
        <v>0</v>
      </c>
      <c r="AG105" s="235">
        <f t="shared" si="29"/>
        <v>0</v>
      </c>
      <c r="AH105" s="658"/>
      <c r="AI105" s="235"/>
      <c r="AJ105" s="34"/>
      <c r="AK105" s="34"/>
      <c r="AL105" s="34"/>
      <c r="AM105" s="34"/>
      <c r="AN105" s="34"/>
      <c r="AO105" s="34"/>
      <c r="AP105" s="34"/>
      <c r="AQ105" s="34"/>
    </row>
    <row r="106" spans="1:43">
      <c r="A106" s="313"/>
      <c r="B106" s="660"/>
      <c r="E106" s="626"/>
      <c r="F106" s="626"/>
      <c r="G106" s="655"/>
      <c r="H106" s="655"/>
      <c r="I106" s="626"/>
      <c r="J106" s="626"/>
      <c r="K106" s="626"/>
      <c r="L106" s="626"/>
      <c r="M106" s="626"/>
      <c r="N106" s="295"/>
      <c r="O106" s="661"/>
      <c r="P106" s="662"/>
      <c r="Q106" s="314"/>
      <c r="T106" s="626"/>
      <c r="U106" s="626"/>
      <c r="V106" s="626"/>
      <c r="W106" s="626"/>
      <c r="X106" s="626"/>
      <c r="Y106" s="626"/>
      <c r="Z106" s="626"/>
      <c r="AA106" s="626"/>
      <c r="AB106" s="626"/>
      <c r="AC106" s="295"/>
      <c r="AD106" s="659"/>
      <c r="AE106" s="658"/>
      <c r="AF106" s="658"/>
      <c r="AG106" s="235"/>
      <c r="AH106" s="658"/>
      <c r="AI106" s="235"/>
      <c r="AJ106" s="34"/>
      <c r="AK106" s="34"/>
      <c r="AL106" s="34"/>
      <c r="AM106" s="34"/>
      <c r="AN106" s="34"/>
      <c r="AO106" s="34"/>
      <c r="AP106" s="34"/>
      <c r="AQ106" s="34"/>
    </row>
    <row r="107" spans="1:43">
      <c r="A107" s="235"/>
      <c r="B107" s="235"/>
      <c r="C107" s="626"/>
      <c r="D107" s="626"/>
      <c r="E107" s="626"/>
      <c r="F107" s="626"/>
      <c r="G107" s="655"/>
      <c r="H107" s="655"/>
      <c r="I107" s="626"/>
      <c r="J107" s="626"/>
      <c r="K107" s="626"/>
      <c r="L107" s="626"/>
      <c r="M107" s="626"/>
      <c r="N107" s="295">
        <f t="shared" ref="N107:N108" si="43">L107+M107</f>
        <v>0</v>
      </c>
      <c r="O107" s="656">
        <f t="shared" ref="O107:O108" si="44">K107*12+N107</f>
        <v>0</v>
      </c>
      <c r="P107" s="657">
        <f t="shared" ref="P107:P108" si="45">B107*O107</f>
        <v>0</v>
      </c>
      <c r="Q107" s="658"/>
      <c r="R107" s="626"/>
      <c r="S107" s="626"/>
      <c r="T107" s="626"/>
      <c r="U107" s="626"/>
      <c r="V107" s="626"/>
      <c r="W107" s="626"/>
      <c r="X107" s="626"/>
      <c r="Y107" s="626"/>
      <c r="Z107" s="626"/>
      <c r="AA107" s="626"/>
      <c r="AB107" s="626"/>
      <c r="AC107" s="295">
        <f t="shared" ref="AC107:AC108" si="46">AA107+AB107</f>
        <v>0</v>
      </c>
      <c r="AD107" s="659">
        <f t="shared" ref="AD107:AD108" si="47">Z107*12+AC107</f>
        <v>0</v>
      </c>
      <c r="AE107" s="658">
        <f t="shared" ref="AE107:AE108" si="48">Q107*AD107</f>
        <v>0</v>
      </c>
      <c r="AF107" s="658"/>
      <c r="AG107" s="235"/>
      <c r="AH107" s="658"/>
      <c r="AI107" s="235"/>
      <c r="AJ107" s="34"/>
      <c r="AK107" s="34"/>
      <c r="AL107" s="34"/>
      <c r="AM107" s="34"/>
      <c r="AN107" s="34"/>
      <c r="AO107" s="34"/>
      <c r="AP107" s="34"/>
      <c r="AQ107" s="34"/>
    </row>
    <row r="108" spans="1:43" ht="15.75" thickBot="1">
      <c r="A108" s="667"/>
      <c r="B108" s="273"/>
      <c r="C108" s="636"/>
      <c r="D108" s="636"/>
      <c r="E108" s="636"/>
      <c r="F108" s="636"/>
      <c r="G108" s="668"/>
      <c r="H108" s="668"/>
      <c r="I108" s="636"/>
      <c r="J108" s="636"/>
      <c r="K108" s="636"/>
      <c r="L108" s="636"/>
      <c r="M108" s="636"/>
      <c r="N108" s="295">
        <f t="shared" si="43"/>
        <v>0</v>
      </c>
      <c r="O108" s="656">
        <f t="shared" si="44"/>
        <v>0</v>
      </c>
      <c r="P108" s="657">
        <f t="shared" si="45"/>
        <v>0</v>
      </c>
      <c r="Q108" s="669"/>
      <c r="R108" s="636"/>
      <c r="S108" s="636"/>
      <c r="T108" s="636"/>
      <c r="U108" s="636"/>
      <c r="V108" s="636"/>
      <c r="W108" s="636"/>
      <c r="X108" s="636"/>
      <c r="Y108" s="636"/>
      <c r="Z108" s="636"/>
      <c r="AA108" s="636"/>
      <c r="AB108" s="636"/>
      <c r="AC108" s="295">
        <f t="shared" si="46"/>
        <v>0</v>
      </c>
      <c r="AD108" s="659">
        <f t="shared" si="47"/>
        <v>0</v>
      </c>
      <c r="AE108" s="658">
        <f t="shared" si="48"/>
        <v>0</v>
      </c>
      <c r="AF108" s="669"/>
      <c r="AG108" s="273"/>
      <c r="AH108" s="669"/>
      <c r="AI108" s="273"/>
      <c r="AJ108" s="34"/>
      <c r="AK108" s="34"/>
      <c r="AL108" s="34"/>
      <c r="AM108" s="34"/>
      <c r="AN108" s="34"/>
      <c r="AO108" s="34"/>
      <c r="AP108" s="34"/>
      <c r="AQ108" s="34"/>
    </row>
    <row r="109" spans="1:43" ht="15.75" thickBot="1">
      <c r="A109" s="640" t="s">
        <v>0</v>
      </c>
      <c r="B109" s="641">
        <f t="shared" ref="B109:AH109" si="49">SUM(B39:B108)</f>
        <v>10600</v>
      </c>
      <c r="C109" s="670">
        <f t="shared" si="49"/>
        <v>123446.39157835045</v>
      </c>
      <c r="D109" s="671">
        <f t="shared" si="49"/>
        <v>29861.333333333332</v>
      </c>
      <c r="E109" s="672">
        <f t="shared" si="49"/>
        <v>0</v>
      </c>
      <c r="F109" s="673">
        <f t="shared" si="49"/>
        <v>0</v>
      </c>
      <c r="G109" s="674">
        <f t="shared" si="49"/>
        <v>0</v>
      </c>
      <c r="H109" s="674">
        <f t="shared" si="49"/>
        <v>0</v>
      </c>
      <c r="I109" s="674">
        <f t="shared" si="49"/>
        <v>0</v>
      </c>
      <c r="J109" s="674">
        <f t="shared" si="49"/>
        <v>0</v>
      </c>
      <c r="K109" s="674">
        <f t="shared" si="49"/>
        <v>153307.72491168382</v>
      </c>
      <c r="L109" s="674">
        <f t="shared" si="49"/>
        <v>47000</v>
      </c>
      <c r="M109" s="675">
        <f t="shared" si="49"/>
        <v>0</v>
      </c>
      <c r="N109" s="675">
        <f t="shared" si="49"/>
        <v>47000</v>
      </c>
      <c r="O109" s="675">
        <f t="shared" si="49"/>
        <v>1886692.6989402056</v>
      </c>
      <c r="P109" s="675">
        <f t="shared" si="49"/>
        <v>370576648.48000002</v>
      </c>
      <c r="Q109" s="675">
        <f t="shared" si="49"/>
        <v>10600</v>
      </c>
      <c r="R109" s="675">
        <f t="shared" si="49"/>
        <v>123446.39157835045</v>
      </c>
      <c r="S109" s="675">
        <f t="shared" si="49"/>
        <v>29861.333333333332</v>
      </c>
      <c r="T109" s="675">
        <f t="shared" si="49"/>
        <v>0</v>
      </c>
      <c r="U109" s="675">
        <f t="shared" si="49"/>
        <v>0</v>
      </c>
      <c r="V109" s="675">
        <f t="shared" si="49"/>
        <v>0</v>
      </c>
      <c r="W109" s="675">
        <f t="shared" si="49"/>
        <v>0</v>
      </c>
      <c r="X109" s="675">
        <f t="shared" si="49"/>
        <v>0</v>
      </c>
      <c r="Y109" s="675">
        <f t="shared" si="49"/>
        <v>0</v>
      </c>
      <c r="Z109" s="675">
        <f t="shared" si="49"/>
        <v>153307.72491168382</v>
      </c>
      <c r="AA109" s="675">
        <f t="shared" si="49"/>
        <v>47000</v>
      </c>
      <c r="AB109" s="675">
        <f t="shared" si="49"/>
        <v>0</v>
      </c>
      <c r="AC109" s="675">
        <f t="shared" si="49"/>
        <v>47000</v>
      </c>
      <c r="AD109" s="675">
        <f t="shared" si="49"/>
        <v>1886692.6989402056</v>
      </c>
      <c r="AE109" s="675">
        <f t="shared" si="49"/>
        <v>370576648.48000002</v>
      </c>
      <c r="AF109" s="675">
        <f t="shared" si="49"/>
        <v>0</v>
      </c>
      <c r="AG109" s="675">
        <f t="shared" si="49"/>
        <v>0</v>
      </c>
      <c r="AH109" s="675">
        <f t="shared" si="49"/>
        <v>0</v>
      </c>
      <c r="AI109" s="675">
        <f t="shared" ref="AI109" si="50">SUM(AI39:AI108)</f>
        <v>0</v>
      </c>
      <c r="AJ109" s="34"/>
      <c r="AK109" s="34"/>
      <c r="AL109" s="34"/>
      <c r="AM109" s="34"/>
      <c r="AN109" s="34"/>
      <c r="AO109" s="34"/>
      <c r="AP109" s="34"/>
      <c r="AQ109" s="34"/>
    </row>
    <row r="110" spans="1:43">
      <c r="A110" s="295" t="s">
        <v>810</v>
      </c>
      <c r="B110" s="295"/>
      <c r="C110" s="295"/>
      <c r="D110" s="295"/>
      <c r="E110" s="295"/>
      <c r="F110" s="295"/>
      <c r="G110" s="676"/>
      <c r="H110" s="676"/>
      <c r="I110" s="295"/>
      <c r="J110" s="295"/>
      <c r="K110" s="295"/>
      <c r="L110" s="295"/>
      <c r="M110" s="295"/>
      <c r="N110" s="295"/>
      <c r="O110" s="295"/>
      <c r="P110" s="295"/>
      <c r="Q110" s="295"/>
      <c r="R110" s="295"/>
      <c r="S110" s="295"/>
      <c r="T110" s="295"/>
      <c r="U110" s="295"/>
      <c r="V110" s="295"/>
      <c r="W110" s="295"/>
      <c r="X110" s="295"/>
      <c r="Y110" s="295"/>
      <c r="Z110" s="295"/>
      <c r="AA110" s="295"/>
      <c r="AB110" s="295"/>
      <c r="AC110" s="295"/>
      <c r="AD110" s="295"/>
      <c r="AE110" s="295"/>
      <c r="AF110" s="295"/>
      <c r="AG110" s="295"/>
      <c r="AH110" s="295"/>
      <c r="AI110" s="295"/>
      <c r="AJ110" s="34"/>
      <c r="AK110" s="34"/>
      <c r="AL110" s="34"/>
      <c r="AM110" s="34"/>
      <c r="AN110" s="34"/>
      <c r="AO110" s="34"/>
      <c r="AP110" s="34"/>
      <c r="AQ110" s="34"/>
    </row>
    <row r="111" spans="1:43">
      <c r="A111" s="295"/>
      <c r="B111" s="295"/>
      <c r="C111" s="295"/>
      <c r="D111" s="295"/>
      <c r="E111" s="295"/>
      <c r="F111" s="295"/>
      <c r="G111" s="676"/>
      <c r="H111" s="676"/>
      <c r="I111" s="295"/>
      <c r="J111" s="295"/>
      <c r="K111" s="295"/>
      <c r="L111" s="295"/>
      <c r="M111" s="295"/>
      <c r="N111" s="295"/>
      <c r="O111" s="295"/>
      <c r="P111" s="295"/>
      <c r="Q111" s="295"/>
      <c r="R111" s="295"/>
      <c r="S111" s="295"/>
      <c r="T111" s="295"/>
      <c r="U111" s="295"/>
      <c r="V111" s="295"/>
      <c r="W111" s="295"/>
      <c r="X111" s="295"/>
      <c r="Y111" s="295"/>
      <c r="Z111" s="295"/>
      <c r="AA111" s="295"/>
      <c r="AB111" s="295"/>
      <c r="AC111" s="295"/>
      <c r="AD111" s="295"/>
      <c r="AE111" s="295"/>
      <c r="AF111" s="295"/>
      <c r="AG111" s="295"/>
      <c r="AH111" s="295"/>
      <c r="AI111" s="295"/>
      <c r="AJ111" s="34"/>
      <c r="AK111" s="34"/>
      <c r="AL111" s="34"/>
      <c r="AM111" s="34"/>
      <c r="AN111" s="34"/>
      <c r="AO111" s="34"/>
      <c r="AP111" s="34"/>
      <c r="AQ111" s="34"/>
    </row>
    <row r="112" spans="1:43">
      <c r="A112" s="295"/>
      <c r="B112" s="295"/>
      <c r="C112" s="295"/>
      <c r="D112" s="295"/>
      <c r="E112" s="295"/>
      <c r="F112" s="295"/>
      <c r="G112" s="676"/>
      <c r="H112" s="676"/>
      <c r="I112" s="295"/>
      <c r="J112" s="295"/>
      <c r="K112" s="295"/>
      <c r="L112" s="295"/>
      <c r="M112" s="295"/>
      <c r="N112" s="295"/>
      <c r="O112" s="295"/>
      <c r="P112" s="295"/>
      <c r="Q112" s="295"/>
      <c r="R112" s="295"/>
      <c r="S112" s="295"/>
      <c r="T112" s="295"/>
      <c r="U112" s="295"/>
      <c r="V112" s="295"/>
      <c r="W112" s="295"/>
      <c r="X112" s="295"/>
      <c r="Y112" s="295"/>
      <c r="Z112" s="295"/>
      <c r="AA112" s="295"/>
      <c r="AB112" s="295"/>
      <c r="AC112" s="295"/>
      <c r="AD112" s="295"/>
      <c r="AE112" s="295"/>
      <c r="AF112" s="295"/>
      <c r="AG112" s="295"/>
      <c r="AH112" s="295"/>
      <c r="AI112" s="295"/>
      <c r="AJ112" s="34"/>
      <c r="AK112" s="34"/>
      <c r="AL112" s="34"/>
      <c r="AM112" s="34"/>
      <c r="AN112" s="34"/>
      <c r="AO112" s="34"/>
      <c r="AP112" s="34"/>
      <c r="AQ112" s="34"/>
    </row>
    <row r="113" spans="1:43">
      <c r="A113" s="677" t="s">
        <v>766</v>
      </c>
      <c r="B113" s="403"/>
      <c r="C113" s="403"/>
      <c r="D113" s="403"/>
      <c r="E113" s="403"/>
      <c r="F113" s="403"/>
      <c r="G113" s="403"/>
      <c r="H113" s="403"/>
      <c r="I113" s="403"/>
      <c r="J113" s="403"/>
      <c r="K113" s="403"/>
      <c r="L113" s="403"/>
      <c r="M113" s="403"/>
      <c r="N113" s="403"/>
      <c r="O113" s="403"/>
      <c r="P113" s="403"/>
      <c r="Q113" s="403"/>
      <c r="R113" s="403"/>
      <c r="S113" s="403"/>
      <c r="T113" s="403"/>
      <c r="U113" s="403"/>
      <c r="V113" s="403"/>
      <c r="W113" s="403"/>
      <c r="X113" s="403"/>
      <c r="Y113" s="403"/>
      <c r="Z113" s="403"/>
      <c r="AA113" s="403"/>
      <c r="AB113" s="403"/>
      <c r="AC113" s="403"/>
      <c r="AD113" s="403"/>
      <c r="AE113" s="403"/>
      <c r="AF113" s="403"/>
      <c r="AG113" s="403"/>
      <c r="AH113" s="403"/>
      <c r="AI113" s="403"/>
      <c r="AJ113" s="34"/>
      <c r="AK113" s="34"/>
      <c r="AL113" s="34"/>
      <c r="AM113" s="34"/>
      <c r="AN113" s="34"/>
      <c r="AO113" s="34"/>
      <c r="AP113" s="34"/>
      <c r="AQ113" s="34"/>
    </row>
    <row r="114" spans="1:43">
      <c r="A114" s="401" t="s">
        <v>815</v>
      </c>
      <c r="B114" s="678"/>
      <c r="C114" s="678"/>
      <c r="D114" s="678"/>
      <c r="E114" s="678"/>
      <c r="F114" s="678"/>
      <c r="G114" s="678"/>
      <c r="H114" s="678"/>
      <c r="I114" s="678"/>
      <c r="J114" s="678"/>
      <c r="K114" s="678"/>
      <c r="L114" s="678"/>
      <c r="M114" s="678"/>
      <c r="N114" s="678"/>
      <c r="O114" s="678"/>
      <c r="P114" s="678"/>
      <c r="Q114" s="678"/>
      <c r="R114" s="678"/>
      <c r="S114" s="678"/>
      <c r="T114" s="678"/>
      <c r="U114" s="678"/>
      <c r="V114" s="678"/>
      <c r="W114" s="678"/>
      <c r="X114" s="678"/>
      <c r="Y114" s="678"/>
      <c r="Z114" s="678"/>
      <c r="AA114" s="678"/>
      <c r="AB114" s="678"/>
      <c r="AC114" s="678"/>
      <c r="AD114" s="678"/>
      <c r="AE114" s="403"/>
      <c r="AF114" s="403"/>
      <c r="AG114" s="403"/>
      <c r="AH114" s="403"/>
      <c r="AI114" s="403"/>
      <c r="AJ114" s="34"/>
      <c r="AK114" s="34"/>
      <c r="AL114" s="34"/>
      <c r="AM114" s="34"/>
      <c r="AN114" s="34"/>
      <c r="AO114" s="34"/>
      <c r="AP114" s="34"/>
      <c r="AQ114" s="34"/>
    </row>
    <row r="115" spans="1:43" ht="15.75" thickBot="1">
      <c r="A115" s="402" t="s">
        <v>751</v>
      </c>
      <c r="B115" s="677"/>
      <c r="C115" s="677"/>
      <c r="D115" s="677"/>
      <c r="E115" s="677"/>
      <c r="F115" s="677"/>
      <c r="G115" s="677"/>
      <c r="H115" s="677"/>
      <c r="I115" s="677"/>
      <c r="J115" s="677"/>
      <c r="K115" s="677"/>
      <c r="L115" s="677"/>
      <c r="M115" s="677"/>
      <c r="N115" s="677"/>
      <c r="O115" s="677"/>
      <c r="P115" s="677"/>
      <c r="Q115" s="677"/>
      <c r="R115" s="677"/>
      <c r="S115" s="677"/>
      <c r="T115" s="677"/>
      <c r="U115" s="677"/>
      <c r="V115" s="677"/>
      <c r="W115" s="677"/>
      <c r="X115" s="677"/>
      <c r="Y115" s="677"/>
      <c r="Z115" s="677"/>
      <c r="AA115" s="677"/>
      <c r="AB115" s="677"/>
      <c r="AC115" s="677"/>
      <c r="AD115" s="677"/>
      <c r="AE115" s="677"/>
      <c r="AF115" s="677"/>
      <c r="AG115" s="677"/>
      <c r="AH115" s="677"/>
      <c r="AI115" s="677"/>
      <c r="AJ115" s="34"/>
      <c r="AK115" s="34"/>
      <c r="AL115" s="34"/>
      <c r="AM115" s="34"/>
      <c r="AN115" s="34"/>
      <c r="AO115" s="34"/>
      <c r="AP115" s="34"/>
      <c r="AQ115" s="34"/>
    </row>
    <row r="116" spans="1:43" ht="15.75" thickBot="1">
      <c r="A116" s="1350" t="s">
        <v>768</v>
      </c>
      <c r="B116" s="1353" t="s">
        <v>769</v>
      </c>
      <c r="C116" s="1354"/>
      <c r="D116" s="1354"/>
      <c r="E116" s="1354"/>
      <c r="F116" s="1354"/>
      <c r="G116" s="1354"/>
      <c r="H116" s="1354"/>
      <c r="I116" s="1354"/>
      <c r="J116" s="1354"/>
      <c r="K116" s="1354"/>
      <c r="L116" s="1354"/>
      <c r="M116" s="1354"/>
      <c r="N116" s="1354"/>
      <c r="O116" s="1354"/>
      <c r="P116" s="1354"/>
      <c r="Q116" s="1355" t="s">
        <v>770</v>
      </c>
      <c r="R116" s="1354"/>
      <c r="S116" s="1354"/>
      <c r="T116" s="1354"/>
      <c r="U116" s="1354"/>
      <c r="V116" s="1354"/>
      <c r="W116" s="1354"/>
      <c r="X116" s="1354"/>
      <c r="Y116" s="1354"/>
      <c r="Z116" s="1354"/>
      <c r="AA116" s="1354"/>
      <c r="AB116" s="1354"/>
      <c r="AC116" s="1354"/>
      <c r="AD116" s="1354"/>
      <c r="AE116" s="1356"/>
      <c r="AF116" s="1357" t="s">
        <v>771</v>
      </c>
      <c r="AG116" s="1356"/>
      <c r="AH116" s="1357" t="s">
        <v>772</v>
      </c>
      <c r="AI116" s="1356"/>
      <c r="AJ116" s="34"/>
      <c r="AK116" s="34"/>
      <c r="AL116" s="34"/>
      <c r="AM116" s="34"/>
      <c r="AN116" s="34"/>
      <c r="AO116" s="34"/>
      <c r="AP116" s="34"/>
      <c r="AQ116" s="34"/>
    </row>
    <row r="117" spans="1:43" ht="97.5">
      <c r="A117" s="1351"/>
      <c r="B117" s="679" t="s">
        <v>773</v>
      </c>
      <c r="C117" s="680" t="s">
        <v>774</v>
      </c>
      <c r="D117" s="681" t="s">
        <v>775</v>
      </c>
      <c r="E117" s="681" t="s">
        <v>776</v>
      </c>
      <c r="F117" s="681" t="s">
        <v>777</v>
      </c>
      <c r="G117" s="681" t="s">
        <v>778</v>
      </c>
      <c r="H117" s="681" t="s">
        <v>779</v>
      </c>
      <c r="I117" s="681" t="s">
        <v>780</v>
      </c>
      <c r="J117" s="681" t="s">
        <v>781</v>
      </c>
      <c r="K117" s="681" t="s">
        <v>782</v>
      </c>
      <c r="L117" s="681" t="s">
        <v>783</v>
      </c>
      <c r="M117" s="681" t="s">
        <v>784</v>
      </c>
      <c r="N117" s="682" t="s">
        <v>785</v>
      </c>
      <c r="O117" s="683" t="s">
        <v>786</v>
      </c>
      <c r="P117" s="684" t="s">
        <v>787</v>
      </c>
      <c r="Q117" s="679" t="s">
        <v>773</v>
      </c>
      <c r="R117" s="680" t="s">
        <v>774</v>
      </c>
      <c r="S117" s="681" t="s">
        <v>788</v>
      </c>
      <c r="T117" s="681" t="s">
        <v>776</v>
      </c>
      <c r="U117" s="681" t="s">
        <v>777</v>
      </c>
      <c r="V117" s="681" t="s">
        <v>778</v>
      </c>
      <c r="W117" s="681" t="s">
        <v>779</v>
      </c>
      <c r="X117" s="681" t="s">
        <v>780</v>
      </c>
      <c r="Y117" s="681" t="s">
        <v>781</v>
      </c>
      <c r="Z117" s="681" t="s">
        <v>782</v>
      </c>
      <c r="AA117" s="681" t="s">
        <v>783</v>
      </c>
      <c r="AB117" s="681" t="s">
        <v>784</v>
      </c>
      <c r="AC117" s="682" t="s">
        <v>785</v>
      </c>
      <c r="AD117" s="683" t="s">
        <v>786</v>
      </c>
      <c r="AE117" s="684" t="s">
        <v>789</v>
      </c>
      <c r="AF117" s="685" t="s">
        <v>790</v>
      </c>
      <c r="AG117" s="685" t="s">
        <v>791</v>
      </c>
      <c r="AH117" s="685" t="s">
        <v>773</v>
      </c>
      <c r="AI117" s="684" t="s">
        <v>792</v>
      </c>
      <c r="AJ117" s="34"/>
      <c r="AK117" s="34"/>
      <c r="AL117" s="34"/>
      <c r="AM117" s="34"/>
      <c r="AN117" s="34"/>
      <c r="AO117" s="34"/>
      <c r="AP117" s="34"/>
      <c r="AQ117" s="34"/>
    </row>
    <row r="118" spans="1:43" ht="15.75" thickBot="1">
      <c r="A118" s="1352"/>
      <c r="B118" s="686" t="s">
        <v>793</v>
      </c>
      <c r="C118" s="687" t="s">
        <v>794</v>
      </c>
      <c r="D118" s="688" t="s">
        <v>795</v>
      </c>
      <c r="E118" s="688" t="s">
        <v>796</v>
      </c>
      <c r="F118" s="689" t="s">
        <v>797</v>
      </c>
      <c r="G118" s="689" t="s">
        <v>798</v>
      </c>
      <c r="H118" s="689" t="s">
        <v>799</v>
      </c>
      <c r="I118" s="689" t="s">
        <v>800</v>
      </c>
      <c r="J118" s="689" t="s">
        <v>801</v>
      </c>
      <c r="K118" s="689" t="s">
        <v>802</v>
      </c>
      <c r="L118" s="689" t="s">
        <v>803</v>
      </c>
      <c r="M118" s="689" t="s">
        <v>804</v>
      </c>
      <c r="N118" s="690" t="s">
        <v>805</v>
      </c>
      <c r="O118" s="691" t="s">
        <v>806</v>
      </c>
      <c r="P118" s="692" t="s">
        <v>807</v>
      </c>
      <c r="Q118" s="686" t="s">
        <v>793</v>
      </c>
      <c r="R118" s="687" t="s">
        <v>794</v>
      </c>
      <c r="S118" s="688" t="s">
        <v>795</v>
      </c>
      <c r="T118" s="688" t="s">
        <v>796</v>
      </c>
      <c r="U118" s="689" t="s">
        <v>797</v>
      </c>
      <c r="V118" s="689" t="s">
        <v>798</v>
      </c>
      <c r="W118" s="689" t="s">
        <v>799</v>
      </c>
      <c r="X118" s="689" t="s">
        <v>800</v>
      </c>
      <c r="Y118" s="689" t="s">
        <v>801</v>
      </c>
      <c r="Z118" s="689" t="s">
        <v>802</v>
      </c>
      <c r="AA118" s="689" t="s">
        <v>803</v>
      </c>
      <c r="AB118" s="689" t="s">
        <v>804</v>
      </c>
      <c r="AC118" s="690" t="s">
        <v>805</v>
      </c>
      <c r="AD118" s="691" t="s">
        <v>806</v>
      </c>
      <c r="AE118" s="692" t="s">
        <v>807</v>
      </c>
      <c r="AF118" s="693"/>
      <c r="AG118" s="686"/>
      <c r="AH118" s="693"/>
      <c r="AI118" s="686"/>
      <c r="AJ118" s="34"/>
      <c r="AK118" s="34"/>
      <c r="AL118" s="34"/>
      <c r="AM118" s="34"/>
      <c r="AN118" s="34"/>
      <c r="AO118" s="34"/>
      <c r="AP118" s="34"/>
      <c r="AQ118" s="34"/>
    </row>
    <row r="119" spans="1:43">
      <c r="A119" s="694"/>
      <c r="B119" s="695"/>
      <c r="C119" s="696"/>
      <c r="D119" s="696"/>
      <c r="E119" s="696"/>
      <c r="F119" s="696"/>
      <c r="G119" s="696"/>
      <c r="H119" s="696"/>
      <c r="I119" s="696"/>
      <c r="J119" s="696"/>
      <c r="K119" s="696"/>
      <c r="L119" s="696"/>
      <c r="M119" s="696"/>
      <c r="N119" s="402"/>
      <c r="O119" s="697"/>
      <c r="P119" s="698"/>
      <c r="Q119" s="695"/>
      <c r="R119" s="696"/>
      <c r="S119" s="696"/>
      <c r="T119" s="696"/>
      <c r="U119" s="696"/>
      <c r="V119" s="696"/>
      <c r="W119" s="696"/>
      <c r="X119" s="696"/>
      <c r="Y119" s="696"/>
      <c r="Z119" s="696"/>
      <c r="AA119" s="696"/>
      <c r="AB119" s="696"/>
      <c r="AC119" s="402"/>
      <c r="AD119" s="697"/>
      <c r="AE119" s="698"/>
      <c r="AF119" s="698"/>
      <c r="AG119" s="695"/>
      <c r="AH119" s="698"/>
      <c r="AI119" s="695"/>
      <c r="AJ119" s="34"/>
      <c r="AK119" s="34"/>
      <c r="AL119" s="34"/>
      <c r="AM119" s="34"/>
      <c r="AN119" s="34"/>
      <c r="AO119" s="34"/>
      <c r="AP119" s="34"/>
      <c r="AQ119" s="34"/>
    </row>
    <row r="120" spans="1:43">
      <c r="A120" s="695" t="s">
        <v>808</v>
      </c>
      <c r="B120" s="695">
        <v>55</v>
      </c>
      <c r="C120" s="699">
        <v>89941</v>
      </c>
      <c r="D120" s="699">
        <v>124205.75</v>
      </c>
      <c r="E120" s="699"/>
      <c r="F120" s="699"/>
      <c r="G120" s="699"/>
      <c r="H120" s="699"/>
      <c r="I120" s="699"/>
      <c r="J120" s="699"/>
      <c r="K120" s="699">
        <f>SUM(C120:J120)</f>
        <v>214146.75</v>
      </c>
      <c r="L120" s="699">
        <v>55000</v>
      </c>
      <c r="M120" s="699"/>
      <c r="N120" s="700"/>
      <c r="O120" s="699">
        <f>(K120*12)+L120</f>
        <v>2624761</v>
      </c>
      <c r="P120" s="695">
        <v>55</v>
      </c>
      <c r="Q120" s="695">
        <v>55</v>
      </c>
      <c r="R120" s="699">
        <v>55225.888888888803</v>
      </c>
      <c r="S120" s="699">
        <v>136100</v>
      </c>
      <c r="T120" s="699"/>
      <c r="U120" s="699"/>
      <c r="V120" s="699"/>
      <c r="W120" s="699"/>
      <c r="X120" s="699"/>
      <c r="Y120" s="699"/>
      <c r="Z120" s="699">
        <f>SUM(R120:Y120)</f>
        <v>191325.88888888882</v>
      </c>
      <c r="AA120" s="699">
        <v>55000</v>
      </c>
      <c r="AB120" s="699"/>
      <c r="AC120" s="700"/>
      <c r="AD120" s="701">
        <f>(Z120*12)+AA120</f>
        <v>2350910.666666666</v>
      </c>
      <c r="AE120" s="695">
        <v>55</v>
      </c>
      <c r="AF120" s="702">
        <f>O120-AD120</f>
        <v>273850.33333333395</v>
      </c>
      <c r="AG120" s="695"/>
      <c r="AH120" s="698">
        <v>55</v>
      </c>
      <c r="AI120" s="695"/>
    </row>
    <row r="121" spans="1:43">
      <c r="A121" s="695" t="s">
        <v>809</v>
      </c>
      <c r="B121" s="695"/>
      <c r="C121" s="699"/>
      <c r="D121" s="699"/>
      <c r="E121" s="699"/>
      <c r="F121" s="699"/>
      <c r="G121" s="699"/>
      <c r="H121" s="699"/>
      <c r="I121" s="699"/>
      <c r="J121" s="699"/>
      <c r="K121" s="699">
        <f t="shared" ref="K121:K138" si="51">SUM(C121:J121)</f>
        <v>0</v>
      </c>
      <c r="L121" s="699"/>
      <c r="M121" s="699"/>
      <c r="N121" s="700"/>
      <c r="O121" s="699">
        <f t="shared" ref="O121:O138" si="52">(K121*12)+L121</f>
        <v>0</v>
      </c>
      <c r="P121" s="703"/>
      <c r="Q121" s="704"/>
      <c r="R121" s="699"/>
      <c r="S121" s="699"/>
      <c r="T121" s="699"/>
      <c r="U121" s="699"/>
      <c r="V121" s="699"/>
      <c r="W121" s="699"/>
      <c r="X121" s="699"/>
      <c r="Y121" s="699"/>
      <c r="Z121" s="699">
        <f t="shared" ref="Z121:Z138" si="53">SUM(R121:Y121)</f>
        <v>0</v>
      </c>
      <c r="AA121" s="699"/>
      <c r="AB121" s="699"/>
      <c r="AC121" s="402"/>
      <c r="AD121" s="701">
        <f t="shared" ref="AD121:AD138" si="54">(Z121*12)+AA121</f>
        <v>0</v>
      </c>
      <c r="AE121" s="698"/>
      <c r="AF121" s="702">
        <f t="shared" ref="AF121:AF138" si="55">O121-AD121</f>
        <v>0</v>
      </c>
      <c r="AG121" s="695"/>
      <c r="AH121" s="698"/>
      <c r="AI121" s="695"/>
    </row>
    <row r="122" spans="1:43">
      <c r="A122" s="695" t="s">
        <v>809</v>
      </c>
      <c r="B122" s="695"/>
      <c r="C122" s="699"/>
      <c r="D122" s="699"/>
      <c r="E122" s="699"/>
      <c r="F122" s="699"/>
      <c r="G122" s="699"/>
      <c r="H122" s="699"/>
      <c r="I122" s="699"/>
      <c r="J122" s="699"/>
      <c r="K122" s="699">
        <f t="shared" si="51"/>
        <v>0</v>
      </c>
      <c r="L122" s="699"/>
      <c r="M122" s="699"/>
      <c r="N122" s="700"/>
      <c r="O122" s="699">
        <f t="shared" si="52"/>
        <v>0</v>
      </c>
      <c r="P122" s="703"/>
      <c r="Q122" s="704"/>
      <c r="R122" s="699"/>
      <c r="S122" s="699"/>
      <c r="T122" s="699"/>
      <c r="U122" s="699"/>
      <c r="V122" s="699"/>
      <c r="W122" s="699"/>
      <c r="X122" s="699"/>
      <c r="Y122" s="699"/>
      <c r="Z122" s="699">
        <f t="shared" si="53"/>
        <v>0</v>
      </c>
      <c r="AA122" s="699"/>
      <c r="AB122" s="699"/>
      <c r="AC122" s="402"/>
      <c r="AD122" s="701">
        <f t="shared" si="54"/>
        <v>0</v>
      </c>
      <c r="AE122" s="698"/>
      <c r="AF122" s="702">
        <f t="shared" si="55"/>
        <v>0</v>
      </c>
      <c r="AG122" s="695"/>
      <c r="AH122" s="698"/>
      <c r="AI122" s="695"/>
    </row>
    <row r="123" spans="1:43">
      <c r="A123" s="695" t="s">
        <v>813</v>
      </c>
      <c r="B123" s="695">
        <v>154</v>
      </c>
      <c r="C123" s="699">
        <v>274832.91666666599</v>
      </c>
      <c r="D123" s="699"/>
      <c r="E123" s="699"/>
      <c r="F123" s="699"/>
      <c r="G123" s="699"/>
      <c r="H123" s="699"/>
      <c r="I123" s="699">
        <v>24645.5</v>
      </c>
      <c r="J123" s="699"/>
      <c r="K123" s="699">
        <f t="shared" si="51"/>
        <v>299478.41666666599</v>
      </c>
      <c r="L123" s="699">
        <v>154000</v>
      </c>
      <c r="M123" s="699"/>
      <c r="N123" s="700"/>
      <c r="O123" s="699">
        <f t="shared" si="52"/>
        <v>3747740.9999999916</v>
      </c>
      <c r="P123" s="695">
        <v>154</v>
      </c>
      <c r="Q123" s="695">
        <v>154</v>
      </c>
      <c r="R123" s="699">
        <v>334111.11111111101</v>
      </c>
      <c r="S123" s="699"/>
      <c r="T123" s="699"/>
      <c r="U123" s="699"/>
      <c r="V123" s="699"/>
      <c r="W123" s="699"/>
      <c r="X123" s="699">
        <v>25482.2377777777</v>
      </c>
      <c r="Y123" s="699"/>
      <c r="Z123" s="699">
        <f t="shared" si="53"/>
        <v>359593.34888888872</v>
      </c>
      <c r="AA123" s="699">
        <v>154000</v>
      </c>
      <c r="AB123" s="699"/>
      <c r="AC123" s="700"/>
      <c r="AD123" s="701">
        <f t="shared" si="54"/>
        <v>4469120.1866666647</v>
      </c>
      <c r="AE123" s="698">
        <v>154</v>
      </c>
      <c r="AF123" s="702">
        <f t="shared" si="55"/>
        <v>-721379.18666667305</v>
      </c>
      <c r="AG123" s="695"/>
      <c r="AH123" s="698">
        <v>154</v>
      </c>
      <c r="AI123" s="695"/>
    </row>
    <row r="124" spans="1:43">
      <c r="A124" s="695" t="s">
        <v>809</v>
      </c>
      <c r="B124" s="695"/>
      <c r="C124" s="699"/>
      <c r="D124" s="699"/>
      <c r="E124" s="699"/>
      <c r="F124" s="699"/>
      <c r="G124" s="699"/>
      <c r="H124" s="699"/>
      <c r="I124" s="699"/>
      <c r="J124" s="699"/>
      <c r="K124" s="699">
        <f t="shared" si="51"/>
        <v>0</v>
      </c>
      <c r="L124" s="699"/>
      <c r="M124" s="699"/>
      <c r="N124" s="700"/>
      <c r="O124" s="699">
        <f t="shared" si="52"/>
        <v>0</v>
      </c>
      <c r="P124" s="703"/>
      <c r="Q124" s="695"/>
      <c r="R124" s="699"/>
      <c r="S124" s="699"/>
      <c r="T124" s="699"/>
      <c r="U124" s="699"/>
      <c r="V124" s="699"/>
      <c r="W124" s="699"/>
      <c r="X124" s="699"/>
      <c r="Y124" s="699"/>
      <c r="Z124" s="699">
        <f t="shared" si="53"/>
        <v>0</v>
      </c>
      <c r="AA124" s="699"/>
      <c r="AB124" s="699"/>
      <c r="AC124" s="700"/>
      <c r="AD124" s="701">
        <f t="shared" si="54"/>
        <v>0</v>
      </c>
      <c r="AE124" s="698"/>
      <c r="AF124" s="702">
        <f t="shared" si="55"/>
        <v>0</v>
      </c>
      <c r="AG124" s="695"/>
      <c r="AH124" s="698"/>
      <c r="AI124" s="695"/>
    </row>
    <row r="125" spans="1:43">
      <c r="A125" s="695" t="s">
        <v>809</v>
      </c>
      <c r="B125" s="695"/>
      <c r="C125" s="699"/>
      <c r="D125" s="699"/>
      <c r="E125" s="699"/>
      <c r="F125" s="699"/>
      <c r="G125" s="699"/>
      <c r="H125" s="699"/>
      <c r="I125" s="699"/>
      <c r="J125" s="699"/>
      <c r="K125" s="699">
        <f t="shared" si="51"/>
        <v>0</v>
      </c>
      <c r="L125" s="699"/>
      <c r="M125" s="699"/>
      <c r="N125" s="700"/>
      <c r="O125" s="699">
        <f t="shared" si="52"/>
        <v>0</v>
      </c>
      <c r="P125" s="703"/>
      <c r="Q125" s="695"/>
      <c r="R125" s="699"/>
      <c r="S125" s="699"/>
      <c r="T125" s="699"/>
      <c r="U125" s="699"/>
      <c r="V125" s="699"/>
      <c r="W125" s="699"/>
      <c r="X125" s="699"/>
      <c r="Y125" s="699"/>
      <c r="Z125" s="699">
        <f t="shared" si="53"/>
        <v>0</v>
      </c>
      <c r="AA125" s="699"/>
      <c r="AB125" s="699"/>
      <c r="AC125" s="700"/>
      <c r="AD125" s="701">
        <f t="shared" si="54"/>
        <v>0</v>
      </c>
      <c r="AE125" s="698"/>
      <c r="AF125" s="702">
        <f t="shared" si="55"/>
        <v>0</v>
      </c>
      <c r="AG125" s="695"/>
      <c r="AH125" s="698"/>
      <c r="AI125" s="695"/>
    </row>
    <row r="126" spans="1:43">
      <c r="A126" s="695" t="s">
        <v>816</v>
      </c>
      <c r="B126" s="695"/>
      <c r="C126" s="699"/>
      <c r="D126" s="699"/>
      <c r="E126" s="699"/>
      <c r="F126" s="699"/>
      <c r="G126" s="699"/>
      <c r="H126" s="699"/>
      <c r="I126" s="699"/>
      <c r="J126" s="699"/>
      <c r="K126" s="699">
        <f t="shared" si="51"/>
        <v>0</v>
      </c>
      <c r="L126" s="699"/>
      <c r="M126" s="699"/>
      <c r="N126" s="700"/>
      <c r="O126" s="699">
        <f t="shared" si="52"/>
        <v>0</v>
      </c>
      <c r="P126" s="703"/>
      <c r="Q126" s="695"/>
      <c r="R126" s="699"/>
      <c r="S126" s="699"/>
      <c r="T126" s="699"/>
      <c r="U126" s="699"/>
      <c r="V126" s="699"/>
      <c r="W126" s="699"/>
      <c r="X126" s="699"/>
      <c r="Y126" s="699"/>
      <c r="Z126" s="699">
        <f t="shared" si="53"/>
        <v>0</v>
      </c>
      <c r="AA126" s="699"/>
      <c r="AB126" s="699"/>
      <c r="AC126" s="700"/>
      <c r="AD126" s="701">
        <f t="shared" si="54"/>
        <v>0</v>
      </c>
      <c r="AE126" s="698"/>
      <c r="AF126" s="702">
        <f t="shared" si="55"/>
        <v>0</v>
      </c>
      <c r="AG126" s="695"/>
      <c r="AH126" s="698"/>
      <c r="AI126" s="695"/>
    </row>
    <row r="127" spans="1:43">
      <c r="A127" s="695" t="s">
        <v>809</v>
      </c>
      <c r="B127" s="695"/>
      <c r="C127" s="699"/>
      <c r="D127" s="699"/>
      <c r="E127" s="699"/>
      <c r="F127" s="699"/>
      <c r="G127" s="699"/>
      <c r="H127" s="699"/>
      <c r="I127" s="699"/>
      <c r="J127" s="699"/>
      <c r="K127" s="699">
        <f t="shared" si="51"/>
        <v>0</v>
      </c>
      <c r="L127" s="699"/>
      <c r="M127" s="699"/>
      <c r="N127" s="700"/>
      <c r="O127" s="699">
        <f t="shared" si="52"/>
        <v>0</v>
      </c>
      <c r="P127" s="703"/>
      <c r="Q127" s="695"/>
      <c r="R127" s="699"/>
      <c r="S127" s="699"/>
      <c r="T127" s="699"/>
      <c r="U127" s="699"/>
      <c r="V127" s="699"/>
      <c r="W127" s="699"/>
      <c r="X127" s="699"/>
      <c r="Y127" s="699"/>
      <c r="Z127" s="699">
        <f t="shared" si="53"/>
        <v>0</v>
      </c>
      <c r="AA127" s="699"/>
      <c r="AB127" s="699"/>
      <c r="AC127" s="700"/>
      <c r="AD127" s="701">
        <f t="shared" si="54"/>
        <v>0</v>
      </c>
      <c r="AE127" s="698"/>
      <c r="AF127" s="702">
        <f t="shared" si="55"/>
        <v>0</v>
      </c>
      <c r="AG127" s="695"/>
      <c r="AH127" s="698"/>
      <c r="AI127" s="695"/>
    </row>
    <row r="128" spans="1:43">
      <c r="A128" s="695" t="s">
        <v>809</v>
      </c>
      <c r="B128" s="695"/>
      <c r="C128" s="699"/>
      <c r="D128" s="699"/>
      <c r="E128" s="699"/>
      <c r="F128" s="699"/>
      <c r="G128" s="699"/>
      <c r="H128" s="699"/>
      <c r="I128" s="699"/>
      <c r="J128" s="699"/>
      <c r="K128" s="699">
        <f t="shared" si="51"/>
        <v>0</v>
      </c>
      <c r="L128" s="699"/>
      <c r="M128" s="699"/>
      <c r="N128" s="700"/>
      <c r="O128" s="699">
        <f t="shared" si="52"/>
        <v>0</v>
      </c>
      <c r="P128" s="703"/>
      <c r="Q128" s="695"/>
      <c r="R128" s="699"/>
      <c r="S128" s="699"/>
      <c r="T128" s="699"/>
      <c r="U128" s="699"/>
      <c r="V128" s="699"/>
      <c r="W128" s="699"/>
      <c r="X128" s="699"/>
      <c r="Y128" s="699"/>
      <c r="Z128" s="699">
        <f t="shared" si="53"/>
        <v>0</v>
      </c>
      <c r="AA128" s="699"/>
      <c r="AB128" s="699"/>
      <c r="AC128" s="700"/>
      <c r="AD128" s="701">
        <f t="shared" si="54"/>
        <v>0</v>
      </c>
      <c r="AE128" s="698"/>
      <c r="AF128" s="702">
        <f t="shared" si="55"/>
        <v>0</v>
      </c>
      <c r="AG128" s="695"/>
      <c r="AH128" s="698"/>
      <c r="AI128" s="695"/>
    </row>
    <row r="129" spans="1:36">
      <c r="A129" s="695" t="s">
        <v>817</v>
      </c>
      <c r="B129" s="695">
        <v>101</v>
      </c>
      <c r="C129" s="699">
        <v>385113.16666666599</v>
      </c>
      <c r="D129" s="699"/>
      <c r="E129" s="699"/>
      <c r="F129" s="699"/>
      <c r="G129" s="699"/>
      <c r="H129" s="699"/>
      <c r="I129" s="699">
        <v>34987.416666666599</v>
      </c>
      <c r="J129" s="699"/>
      <c r="K129" s="699">
        <f t="shared" si="51"/>
        <v>420100.58333333256</v>
      </c>
      <c r="L129" s="699">
        <v>101000</v>
      </c>
      <c r="M129" s="699"/>
      <c r="N129" s="700"/>
      <c r="O129" s="699">
        <f t="shared" si="52"/>
        <v>5142206.9999999907</v>
      </c>
      <c r="P129" s="695">
        <v>101</v>
      </c>
      <c r="Q129" s="695">
        <v>101</v>
      </c>
      <c r="R129" s="699">
        <v>419241.55555555498</v>
      </c>
      <c r="S129" s="699"/>
      <c r="T129" s="699"/>
      <c r="U129" s="699"/>
      <c r="V129" s="699"/>
      <c r="W129" s="699"/>
      <c r="X129" s="699">
        <v>46534.365555555501</v>
      </c>
      <c r="Y129" s="699"/>
      <c r="Z129" s="699">
        <f t="shared" si="53"/>
        <v>465775.92111111048</v>
      </c>
      <c r="AA129" s="699">
        <v>101000</v>
      </c>
      <c r="AB129" s="699"/>
      <c r="AC129" s="700"/>
      <c r="AD129" s="701">
        <f t="shared" si="54"/>
        <v>5690311.0533333253</v>
      </c>
      <c r="AE129" s="698">
        <v>101</v>
      </c>
      <c r="AF129" s="702">
        <f t="shared" si="55"/>
        <v>-548104.05333333462</v>
      </c>
      <c r="AG129" s="695"/>
      <c r="AH129" s="698">
        <v>101</v>
      </c>
      <c r="AI129" s="695"/>
    </row>
    <row r="130" spans="1:36">
      <c r="A130" s="695" t="s">
        <v>809</v>
      </c>
      <c r="B130" s="695"/>
      <c r="C130" s="699"/>
      <c r="D130" s="699"/>
      <c r="E130" s="699"/>
      <c r="F130" s="699"/>
      <c r="G130" s="699"/>
      <c r="H130" s="699"/>
      <c r="I130" s="699"/>
      <c r="J130" s="699"/>
      <c r="K130" s="699">
        <f t="shared" si="51"/>
        <v>0</v>
      </c>
      <c r="L130" s="699"/>
      <c r="M130" s="699"/>
      <c r="N130" s="700"/>
      <c r="O130" s="699">
        <f t="shared" si="52"/>
        <v>0</v>
      </c>
      <c r="P130" s="703"/>
      <c r="Q130" s="695"/>
      <c r="R130" s="699"/>
      <c r="S130" s="699"/>
      <c r="T130" s="699"/>
      <c r="U130" s="699"/>
      <c r="V130" s="699"/>
      <c r="W130" s="699"/>
      <c r="X130" s="699"/>
      <c r="Y130" s="699"/>
      <c r="Z130" s="699">
        <f t="shared" si="53"/>
        <v>0</v>
      </c>
      <c r="AA130" s="699"/>
      <c r="AB130" s="699"/>
      <c r="AC130" s="700"/>
      <c r="AD130" s="701">
        <f t="shared" si="54"/>
        <v>0</v>
      </c>
      <c r="AE130" s="698"/>
      <c r="AF130" s="702">
        <f t="shared" si="55"/>
        <v>0</v>
      </c>
      <c r="AG130" s="695"/>
      <c r="AH130" s="698"/>
      <c r="AI130" s="695"/>
    </row>
    <row r="131" spans="1:36">
      <c r="A131" s="695" t="s">
        <v>809</v>
      </c>
      <c r="B131" s="695"/>
      <c r="C131" s="699"/>
      <c r="D131" s="699"/>
      <c r="E131" s="699"/>
      <c r="F131" s="699"/>
      <c r="G131" s="699"/>
      <c r="H131" s="699"/>
      <c r="I131" s="699"/>
      <c r="J131" s="699"/>
      <c r="K131" s="699">
        <f t="shared" si="51"/>
        <v>0</v>
      </c>
      <c r="L131" s="699"/>
      <c r="M131" s="699"/>
      <c r="N131" s="700"/>
      <c r="O131" s="699">
        <f t="shared" si="52"/>
        <v>0</v>
      </c>
      <c r="P131" s="703"/>
      <c r="Q131" s="695"/>
      <c r="R131" s="699"/>
      <c r="S131" s="699"/>
      <c r="T131" s="699"/>
      <c r="U131" s="699"/>
      <c r="V131" s="699"/>
      <c r="W131" s="699"/>
      <c r="X131" s="699"/>
      <c r="Y131" s="699"/>
      <c r="Z131" s="699">
        <f t="shared" si="53"/>
        <v>0</v>
      </c>
      <c r="AA131" s="699"/>
      <c r="AB131" s="699"/>
      <c r="AC131" s="700"/>
      <c r="AD131" s="701">
        <f t="shared" si="54"/>
        <v>0</v>
      </c>
      <c r="AE131" s="698"/>
      <c r="AF131" s="702">
        <f t="shared" si="55"/>
        <v>0</v>
      </c>
      <c r="AG131" s="695"/>
      <c r="AH131" s="698"/>
      <c r="AI131" s="695"/>
    </row>
    <row r="132" spans="1:36">
      <c r="A132" s="695" t="s">
        <v>809</v>
      </c>
      <c r="B132" s="695"/>
      <c r="C132" s="699"/>
      <c r="D132" s="699"/>
      <c r="E132" s="699"/>
      <c r="F132" s="699"/>
      <c r="G132" s="699"/>
      <c r="H132" s="699"/>
      <c r="I132" s="699"/>
      <c r="J132" s="699"/>
      <c r="K132" s="699">
        <f t="shared" si="51"/>
        <v>0</v>
      </c>
      <c r="L132" s="699"/>
      <c r="M132" s="699"/>
      <c r="N132" s="700"/>
      <c r="O132" s="699">
        <f t="shared" si="52"/>
        <v>0</v>
      </c>
      <c r="P132" s="703"/>
      <c r="Q132" s="695"/>
      <c r="R132" s="699"/>
      <c r="S132" s="699"/>
      <c r="T132" s="699"/>
      <c r="U132" s="699"/>
      <c r="V132" s="699"/>
      <c r="W132" s="699"/>
      <c r="X132" s="699"/>
      <c r="Y132" s="699"/>
      <c r="Z132" s="699">
        <f t="shared" si="53"/>
        <v>0</v>
      </c>
      <c r="AA132" s="699"/>
      <c r="AB132" s="699"/>
      <c r="AC132" s="700"/>
      <c r="AD132" s="701">
        <f t="shared" si="54"/>
        <v>0</v>
      </c>
      <c r="AE132" s="698"/>
      <c r="AF132" s="702">
        <f t="shared" si="55"/>
        <v>0</v>
      </c>
      <c r="AG132" s="695"/>
      <c r="AH132" s="698"/>
      <c r="AI132" s="695"/>
    </row>
    <row r="133" spans="1:36">
      <c r="A133" s="695" t="s">
        <v>620</v>
      </c>
      <c r="B133" s="695">
        <v>81</v>
      </c>
      <c r="C133" s="699">
        <v>131631</v>
      </c>
      <c r="D133" s="699"/>
      <c r="E133" s="699"/>
      <c r="F133" s="699"/>
      <c r="G133" s="699"/>
      <c r="H133" s="699"/>
      <c r="I133" s="699"/>
      <c r="J133" s="699"/>
      <c r="K133" s="699">
        <f t="shared" si="51"/>
        <v>131631</v>
      </c>
      <c r="L133" s="699">
        <v>48600</v>
      </c>
      <c r="M133" s="699"/>
      <c r="N133" s="700"/>
      <c r="O133" s="699">
        <f t="shared" si="52"/>
        <v>1628172</v>
      </c>
      <c r="P133" s="695">
        <v>81</v>
      </c>
      <c r="Q133" s="695">
        <v>81</v>
      </c>
      <c r="R133" s="699">
        <v>131631</v>
      </c>
      <c r="S133" s="699"/>
      <c r="T133" s="699"/>
      <c r="U133" s="699"/>
      <c r="V133" s="699"/>
      <c r="W133" s="699"/>
      <c r="X133" s="699"/>
      <c r="Y133" s="699"/>
      <c r="Z133" s="699">
        <f t="shared" si="53"/>
        <v>131631</v>
      </c>
      <c r="AA133" s="699">
        <v>48600</v>
      </c>
      <c r="AB133" s="699"/>
      <c r="AC133" s="700"/>
      <c r="AD133" s="701">
        <f t="shared" si="54"/>
        <v>1628172</v>
      </c>
      <c r="AE133" s="698">
        <v>81</v>
      </c>
      <c r="AF133" s="702">
        <f t="shared" si="55"/>
        <v>0</v>
      </c>
      <c r="AG133" s="695"/>
      <c r="AH133" s="698">
        <v>81</v>
      </c>
      <c r="AI133" s="695"/>
    </row>
    <row r="134" spans="1:36">
      <c r="A134" s="695" t="s">
        <v>809</v>
      </c>
      <c r="B134" s="695"/>
      <c r="C134" s="699"/>
      <c r="D134" s="699"/>
      <c r="E134" s="699"/>
      <c r="F134" s="699"/>
      <c r="G134" s="699"/>
      <c r="H134" s="699"/>
      <c r="I134" s="699"/>
      <c r="J134" s="699"/>
      <c r="K134" s="699">
        <f t="shared" si="51"/>
        <v>0</v>
      </c>
      <c r="L134" s="699"/>
      <c r="M134" s="699"/>
      <c r="N134" s="700"/>
      <c r="O134" s="699">
        <f t="shared" si="52"/>
        <v>0</v>
      </c>
      <c r="P134" s="703"/>
      <c r="Q134" s="695"/>
      <c r="R134" s="699"/>
      <c r="S134" s="699"/>
      <c r="T134" s="699"/>
      <c r="U134" s="699"/>
      <c r="V134" s="699"/>
      <c r="W134" s="699"/>
      <c r="X134" s="699"/>
      <c r="Y134" s="699"/>
      <c r="Z134" s="699">
        <f t="shared" si="53"/>
        <v>0</v>
      </c>
      <c r="AA134" s="699"/>
      <c r="AB134" s="699"/>
      <c r="AC134" s="700"/>
      <c r="AD134" s="701">
        <f t="shared" si="54"/>
        <v>0</v>
      </c>
      <c r="AE134" s="698"/>
      <c r="AF134" s="702">
        <f t="shared" si="55"/>
        <v>0</v>
      </c>
      <c r="AG134" s="695"/>
      <c r="AH134" s="698"/>
      <c r="AI134" s="695"/>
    </row>
    <row r="135" spans="1:36">
      <c r="A135" s="695" t="s">
        <v>809</v>
      </c>
      <c r="B135" s="695"/>
      <c r="C135" s="699"/>
      <c r="D135" s="699"/>
      <c r="E135" s="699"/>
      <c r="F135" s="699"/>
      <c r="G135" s="699"/>
      <c r="H135" s="699"/>
      <c r="I135" s="699"/>
      <c r="J135" s="699"/>
      <c r="K135" s="699">
        <f t="shared" si="51"/>
        <v>0</v>
      </c>
      <c r="L135" s="699"/>
      <c r="M135" s="699"/>
      <c r="N135" s="700"/>
      <c r="O135" s="699">
        <f t="shared" si="52"/>
        <v>0</v>
      </c>
      <c r="P135" s="703"/>
      <c r="Q135" s="695"/>
      <c r="R135" s="699"/>
      <c r="S135" s="699"/>
      <c r="T135" s="699"/>
      <c r="U135" s="699"/>
      <c r="V135" s="699"/>
      <c r="W135" s="699"/>
      <c r="X135" s="699"/>
      <c r="Y135" s="699"/>
      <c r="Z135" s="699">
        <f t="shared" si="53"/>
        <v>0</v>
      </c>
      <c r="AA135" s="699"/>
      <c r="AB135" s="699"/>
      <c r="AC135" s="700"/>
      <c r="AD135" s="701">
        <f t="shared" si="54"/>
        <v>0</v>
      </c>
      <c r="AE135" s="698"/>
      <c r="AF135" s="702">
        <f t="shared" si="55"/>
        <v>0</v>
      </c>
      <c r="AG135" s="695"/>
      <c r="AH135" s="698"/>
      <c r="AI135" s="695"/>
    </row>
    <row r="136" spans="1:36">
      <c r="A136" s="695" t="s">
        <v>689</v>
      </c>
      <c r="B136" s="695">
        <v>112</v>
      </c>
      <c r="C136" s="699">
        <v>236000</v>
      </c>
      <c r="D136" s="699"/>
      <c r="E136" s="699"/>
      <c r="F136" s="699"/>
      <c r="G136" s="699"/>
      <c r="H136" s="699"/>
      <c r="I136" s="699"/>
      <c r="J136" s="699"/>
      <c r="K136" s="699">
        <f t="shared" si="51"/>
        <v>236000</v>
      </c>
      <c r="L136" s="699">
        <v>67200</v>
      </c>
      <c r="M136" s="699"/>
      <c r="N136" s="700"/>
      <c r="O136" s="699">
        <f t="shared" si="52"/>
        <v>2899200</v>
      </c>
      <c r="P136" s="695">
        <v>112</v>
      </c>
      <c r="Q136" s="695">
        <v>112</v>
      </c>
      <c r="R136" s="699">
        <v>236000</v>
      </c>
      <c r="S136" s="699"/>
      <c r="T136" s="699"/>
      <c r="U136" s="699"/>
      <c r="V136" s="699"/>
      <c r="W136" s="699"/>
      <c r="X136" s="699"/>
      <c r="Y136" s="699"/>
      <c r="Z136" s="699">
        <f t="shared" si="53"/>
        <v>236000</v>
      </c>
      <c r="AA136" s="699">
        <v>67200</v>
      </c>
      <c r="AB136" s="699"/>
      <c r="AC136" s="700"/>
      <c r="AD136" s="701">
        <f t="shared" si="54"/>
        <v>2899200</v>
      </c>
      <c r="AE136" s="698">
        <v>112</v>
      </c>
      <c r="AF136" s="702">
        <f t="shared" si="55"/>
        <v>0</v>
      </c>
      <c r="AG136" s="695"/>
      <c r="AH136" s="698">
        <v>112</v>
      </c>
      <c r="AI136" s="695"/>
    </row>
    <row r="137" spans="1:36">
      <c r="A137" s="695" t="s">
        <v>809</v>
      </c>
      <c r="B137" s="695"/>
      <c r="C137" s="699"/>
      <c r="D137" s="699"/>
      <c r="E137" s="699"/>
      <c r="F137" s="699"/>
      <c r="G137" s="699"/>
      <c r="H137" s="699"/>
      <c r="I137" s="699"/>
      <c r="J137" s="699"/>
      <c r="K137" s="699">
        <f t="shared" si="51"/>
        <v>0</v>
      </c>
      <c r="L137" s="699"/>
      <c r="M137" s="699"/>
      <c r="N137" s="700"/>
      <c r="O137" s="699">
        <f t="shared" si="52"/>
        <v>0</v>
      </c>
      <c r="P137" s="703"/>
      <c r="Q137" s="704"/>
      <c r="R137" s="699"/>
      <c r="S137" s="699"/>
      <c r="T137" s="699"/>
      <c r="U137" s="699"/>
      <c r="V137" s="699"/>
      <c r="W137" s="699"/>
      <c r="X137" s="699"/>
      <c r="Y137" s="699"/>
      <c r="Z137" s="699">
        <f t="shared" si="53"/>
        <v>0</v>
      </c>
      <c r="AA137" s="699"/>
      <c r="AB137" s="699"/>
      <c r="AC137" s="402"/>
      <c r="AD137" s="701">
        <f t="shared" si="54"/>
        <v>0</v>
      </c>
      <c r="AE137" s="698"/>
      <c r="AF137" s="702">
        <f t="shared" si="55"/>
        <v>0</v>
      </c>
      <c r="AG137" s="695"/>
      <c r="AH137" s="698"/>
      <c r="AI137" s="695"/>
    </row>
    <row r="138" spans="1:36" ht="15.75" thickBot="1">
      <c r="A138" s="705"/>
      <c r="B138" s="706"/>
      <c r="C138" s="707"/>
      <c r="D138" s="707"/>
      <c r="E138" s="707"/>
      <c r="F138" s="707"/>
      <c r="G138" s="707"/>
      <c r="H138" s="707"/>
      <c r="I138" s="707"/>
      <c r="J138" s="707"/>
      <c r="K138" s="699">
        <f t="shared" si="51"/>
        <v>0</v>
      </c>
      <c r="L138" s="707"/>
      <c r="M138" s="707"/>
      <c r="N138" s="708"/>
      <c r="O138" s="699">
        <f t="shared" si="52"/>
        <v>0</v>
      </c>
      <c r="P138" s="709"/>
      <c r="Q138" s="706"/>
      <c r="R138" s="707"/>
      <c r="S138" s="707"/>
      <c r="T138" s="707"/>
      <c r="U138" s="707"/>
      <c r="V138" s="707"/>
      <c r="W138" s="707"/>
      <c r="X138" s="707"/>
      <c r="Y138" s="707"/>
      <c r="Z138" s="699">
        <f t="shared" si="53"/>
        <v>0</v>
      </c>
      <c r="AA138" s="707"/>
      <c r="AB138" s="707"/>
      <c r="AC138" s="708"/>
      <c r="AD138" s="701">
        <f t="shared" si="54"/>
        <v>0</v>
      </c>
      <c r="AE138" s="709"/>
      <c r="AF138" s="702">
        <f t="shared" si="55"/>
        <v>0</v>
      </c>
      <c r="AG138" s="706"/>
      <c r="AH138" s="709"/>
      <c r="AI138" s="706"/>
    </row>
    <row r="139" spans="1:36" ht="15.75" thickBot="1">
      <c r="A139" s="710" t="s">
        <v>0</v>
      </c>
      <c r="B139" s="711"/>
      <c r="C139" s="712"/>
      <c r="D139" s="713"/>
      <c r="E139" s="713"/>
      <c r="F139" s="713"/>
      <c r="G139" s="713"/>
      <c r="H139" s="713"/>
      <c r="I139" s="713"/>
      <c r="J139" s="713"/>
      <c r="K139" s="713"/>
      <c r="L139" s="713"/>
      <c r="M139" s="713"/>
      <c r="N139" s="714"/>
      <c r="O139" s="715">
        <f>SUM(O120:O138)</f>
        <v>16042080.999999981</v>
      </c>
      <c r="P139" s="716"/>
      <c r="Q139" s="705"/>
      <c r="R139" s="712"/>
      <c r="S139" s="713"/>
      <c r="T139" s="713"/>
      <c r="U139" s="713"/>
      <c r="V139" s="713"/>
      <c r="W139" s="713"/>
      <c r="X139" s="713"/>
      <c r="Y139" s="713"/>
      <c r="Z139" s="713"/>
      <c r="AA139" s="713"/>
      <c r="AB139" s="713"/>
      <c r="AC139" s="714"/>
      <c r="AD139" s="715">
        <f>SUM(AD120:AD138)</f>
        <v>17037713.906666655</v>
      </c>
      <c r="AE139" s="716"/>
      <c r="AF139" s="717">
        <f>SUM(AF120:AF138)</f>
        <v>-995632.90666667372</v>
      </c>
      <c r="AG139" s="705"/>
      <c r="AH139" s="716"/>
      <c r="AI139" s="705"/>
    </row>
    <row r="140" spans="1:36">
      <c r="A140" s="402"/>
      <c r="B140" s="402"/>
      <c r="C140" s="402"/>
      <c r="D140" s="402"/>
      <c r="E140" s="402"/>
      <c r="F140" s="402"/>
      <c r="G140" s="402"/>
      <c r="H140" s="402"/>
      <c r="I140" s="402"/>
      <c r="J140" s="402"/>
      <c r="K140" s="402"/>
      <c r="L140" s="402"/>
      <c r="M140" s="402"/>
      <c r="N140" s="402"/>
      <c r="O140" s="402"/>
      <c r="P140" s="402"/>
      <c r="Q140" s="402"/>
      <c r="R140" s="402"/>
      <c r="S140" s="402"/>
      <c r="T140" s="402"/>
      <c r="U140" s="402"/>
      <c r="V140" s="402"/>
      <c r="W140" s="402"/>
      <c r="X140" s="402"/>
      <c r="Y140" s="402"/>
      <c r="Z140" s="402"/>
      <c r="AA140" s="402"/>
      <c r="AB140" s="402"/>
      <c r="AC140" s="402"/>
      <c r="AD140" s="402"/>
      <c r="AE140" s="402"/>
      <c r="AF140" s="402"/>
      <c r="AG140" s="402"/>
      <c r="AH140" s="402"/>
      <c r="AI140" s="402"/>
    </row>
    <row r="144" spans="1:36">
      <c r="A144" s="466" t="s">
        <v>723</v>
      </c>
      <c r="B144" s="561"/>
      <c r="C144" s="561"/>
      <c r="D144" s="561"/>
      <c r="E144" s="561"/>
      <c r="F144" s="561"/>
      <c r="G144" s="561"/>
      <c r="H144" s="561"/>
      <c r="I144" s="561"/>
      <c r="J144" s="561"/>
      <c r="K144" s="561"/>
      <c r="L144" s="561"/>
      <c r="M144" s="561"/>
      <c r="N144" s="561"/>
      <c r="O144" s="561"/>
      <c r="P144" s="561"/>
      <c r="Q144" s="561"/>
      <c r="R144" s="561"/>
      <c r="S144" s="561"/>
      <c r="T144" s="561"/>
      <c r="U144" s="561"/>
      <c r="V144" s="561"/>
      <c r="W144" s="561"/>
      <c r="X144" s="561"/>
      <c r="Y144" s="561"/>
      <c r="Z144" s="561"/>
      <c r="AA144" s="561"/>
      <c r="AB144" s="561"/>
      <c r="AC144" s="561"/>
      <c r="AD144" s="561"/>
      <c r="AE144" s="305"/>
      <c r="AF144" s="305"/>
      <c r="AG144" s="305"/>
      <c r="AH144" s="305"/>
      <c r="AI144" s="305"/>
      <c r="AJ144" s="34"/>
    </row>
    <row r="145" spans="1:36" ht="15.75" thickBot="1">
      <c r="A145" s="466" t="s">
        <v>691</v>
      </c>
      <c r="B145" s="560"/>
      <c r="C145" s="560"/>
      <c r="D145" s="560"/>
      <c r="E145" s="560"/>
      <c r="F145" s="560"/>
      <c r="G145" s="560"/>
      <c r="H145" s="560"/>
      <c r="I145" s="560"/>
      <c r="J145" s="560"/>
      <c r="K145" s="560"/>
      <c r="L145" s="560"/>
      <c r="M145" s="560"/>
      <c r="N145" s="560"/>
      <c r="O145" s="560"/>
      <c r="P145" s="560"/>
      <c r="Q145" s="560"/>
      <c r="R145" s="560"/>
      <c r="S145" s="560"/>
      <c r="T145" s="560"/>
      <c r="U145" s="560"/>
      <c r="V145" s="560"/>
      <c r="W145" s="560"/>
      <c r="X145" s="560"/>
      <c r="Y145" s="560"/>
      <c r="Z145" s="560"/>
      <c r="AA145" s="560"/>
      <c r="AB145" s="560"/>
      <c r="AC145" s="560"/>
      <c r="AD145" s="560"/>
      <c r="AE145" s="560"/>
      <c r="AF145" s="560"/>
      <c r="AG145" s="560"/>
      <c r="AH145" s="560"/>
      <c r="AI145" s="560"/>
      <c r="AJ145" s="34"/>
    </row>
    <row r="146" spans="1:36" ht="15.75" thickBot="1">
      <c r="A146" s="1314" t="s">
        <v>768</v>
      </c>
      <c r="B146" s="1346" t="s">
        <v>769</v>
      </c>
      <c r="C146" s="1291"/>
      <c r="D146" s="1291"/>
      <c r="E146" s="1291"/>
      <c r="F146" s="1291"/>
      <c r="G146" s="1291"/>
      <c r="H146" s="1291"/>
      <c r="I146" s="1291"/>
      <c r="J146" s="1291"/>
      <c r="K146" s="1291"/>
      <c r="L146" s="1291"/>
      <c r="M146" s="1291"/>
      <c r="N146" s="1291"/>
      <c r="O146" s="1291"/>
      <c r="P146" s="1291"/>
      <c r="Q146" s="1347" t="s">
        <v>770</v>
      </c>
      <c r="R146" s="1291"/>
      <c r="S146" s="1291"/>
      <c r="T146" s="1291"/>
      <c r="U146" s="1291"/>
      <c r="V146" s="1291"/>
      <c r="W146" s="1291"/>
      <c r="X146" s="1291"/>
      <c r="Y146" s="1291"/>
      <c r="Z146" s="1291"/>
      <c r="AA146" s="1291"/>
      <c r="AB146" s="1291"/>
      <c r="AC146" s="1291"/>
      <c r="AD146" s="1291"/>
      <c r="AE146" s="1292"/>
      <c r="AF146" s="1348" t="s">
        <v>771</v>
      </c>
      <c r="AG146" s="1292"/>
      <c r="AH146" s="1348" t="s">
        <v>772</v>
      </c>
      <c r="AI146" s="1292"/>
      <c r="AJ146" s="34"/>
    </row>
    <row r="147" spans="1:36" ht="97.5">
      <c r="A147" s="1345"/>
      <c r="B147" s="600" t="s">
        <v>773</v>
      </c>
      <c r="C147" s="601" t="s">
        <v>774</v>
      </c>
      <c r="D147" s="602" t="s">
        <v>775</v>
      </c>
      <c r="E147" s="602" t="s">
        <v>776</v>
      </c>
      <c r="F147" s="602" t="s">
        <v>777</v>
      </c>
      <c r="G147" s="602" t="s">
        <v>778</v>
      </c>
      <c r="H147" s="602" t="s">
        <v>779</v>
      </c>
      <c r="I147" s="602" t="s">
        <v>780</v>
      </c>
      <c r="J147" s="602" t="s">
        <v>781</v>
      </c>
      <c r="K147" s="602" t="s">
        <v>782</v>
      </c>
      <c r="L147" s="602" t="s">
        <v>783</v>
      </c>
      <c r="M147" s="602" t="s">
        <v>784</v>
      </c>
      <c r="N147" s="603" t="s">
        <v>785</v>
      </c>
      <c r="O147" s="604" t="s">
        <v>786</v>
      </c>
      <c r="P147" s="605" t="s">
        <v>787</v>
      </c>
      <c r="Q147" s="600" t="s">
        <v>773</v>
      </c>
      <c r="R147" s="601" t="s">
        <v>774</v>
      </c>
      <c r="S147" s="602" t="s">
        <v>788</v>
      </c>
      <c r="T147" s="602" t="s">
        <v>776</v>
      </c>
      <c r="U147" s="602" t="s">
        <v>777</v>
      </c>
      <c r="V147" s="602" t="s">
        <v>778</v>
      </c>
      <c r="W147" s="602" t="s">
        <v>779</v>
      </c>
      <c r="X147" s="602" t="s">
        <v>780</v>
      </c>
      <c r="Y147" s="602" t="s">
        <v>781</v>
      </c>
      <c r="Z147" s="602" t="s">
        <v>782</v>
      </c>
      <c r="AA147" s="602" t="s">
        <v>783</v>
      </c>
      <c r="AB147" s="602" t="s">
        <v>784</v>
      </c>
      <c r="AC147" s="603" t="s">
        <v>785</v>
      </c>
      <c r="AD147" s="604" t="s">
        <v>786</v>
      </c>
      <c r="AE147" s="605" t="s">
        <v>789</v>
      </c>
      <c r="AF147" s="606" t="s">
        <v>790</v>
      </c>
      <c r="AG147" s="606" t="s">
        <v>791</v>
      </c>
      <c r="AH147" s="606" t="s">
        <v>773</v>
      </c>
      <c r="AI147" s="605" t="s">
        <v>792</v>
      </c>
      <c r="AJ147" s="34"/>
    </row>
    <row r="148" spans="1:36" ht="15.75" thickBot="1">
      <c r="A148" s="1280"/>
      <c r="B148" s="607" t="s">
        <v>793</v>
      </c>
      <c r="C148" s="608" t="s">
        <v>794</v>
      </c>
      <c r="D148" s="609" t="s">
        <v>795</v>
      </c>
      <c r="E148" s="609" t="s">
        <v>796</v>
      </c>
      <c r="F148" s="610" t="s">
        <v>797</v>
      </c>
      <c r="G148" s="610" t="s">
        <v>798</v>
      </c>
      <c r="H148" s="610" t="s">
        <v>799</v>
      </c>
      <c r="I148" s="610" t="s">
        <v>800</v>
      </c>
      <c r="J148" s="610" t="s">
        <v>801</v>
      </c>
      <c r="K148" s="610" t="s">
        <v>802</v>
      </c>
      <c r="L148" s="610" t="s">
        <v>803</v>
      </c>
      <c r="M148" s="610" t="s">
        <v>804</v>
      </c>
      <c r="N148" s="611" t="s">
        <v>805</v>
      </c>
      <c r="O148" s="612" t="s">
        <v>806</v>
      </c>
      <c r="P148" s="613" t="s">
        <v>807</v>
      </c>
      <c r="Q148" s="607" t="s">
        <v>793</v>
      </c>
      <c r="R148" s="608" t="s">
        <v>794</v>
      </c>
      <c r="S148" s="609" t="s">
        <v>795</v>
      </c>
      <c r="T148" s="609" t="s">
        <v>796</v>
      </c>
      <c r="U148" s="610" t="s">
        <v>797</v>
      </c>
      <c r="V148" s="610" t="s">
        <v>798</v>
      </c>
      <c r="W148" s="610" t="s">
        <v>799</v>
      </c>
      <c r="X148" s="610" t="s">
        <v>800</v>
      </c>
      <c r="Y148" s="610" t="s">
        <v>801</v>
      </c>
      <c r="Z148" s="610" t="s">
        <v>802</v>
      </c>
      <c r="AA148" s="610" t="s">
        <v>803</v>
      </c>
      <c r="AB148" s="610" t="s">
        <v>804</v>
      </c>
      <c r="AC148" s="611" t="s">
        <v>805</v>
      </c>
      <c r="AD148" s="612" t="s">
        <v>806</v>
      </c>
      <c r="AE148" s="613" t="s">
        <v>807</v>
      </c>
      <c r="AF148" s="614"/>
      <c r="AG148" s="607"/>
      <c r="AH148" s="614"/>
      <c r="AI148" s="607"/>
      <c r="AJ148" s="34"/>
    </row>
    <row r="149" spans="1:36">
      <c r="A149" s="226"/>
      <c r="B149" s="235"/>
      <c r="C149" s="626"/>
      <c r="D149" s="626"/>
      <c r="E149" s="626"/>
      <c r="F149" s="626"/>
      <c r="G149" s="626"/>
      <c r="H149" s="626"/>
      <c r="I149" s="626"/>
      <c r="J149" s="626"/>
      <c r="K149" s="626"/>
      <c r="L149" s="626"/>
      <c r="M149" s="626"/>
      <c r="N149" s="295"/>
      <c r="O149" s="659"/>
      <c r="P149" s="658"/>
      <c r="Q149" s="235"/>
      <c r="R149" s="626"/>
      <c r="S149" s="626"/>
      <c r="T149" s="626"/>
      <c r="U149" s="626"/>
      <c r="V149" s="626"/>
      <c r="W149" s="626"/>
      <c r="X149" s="626"/>
      <c r="Y149" s="626"/>
      <c r="Z149" s="626"/>
      <c r="AA149" s="626"/>
      <c r="AB149" s="626"/>
      <c r="AC149" s="295"/>
      <c r="AD149" s="659"/>
      <c r="AE149" s="658"/>
      <c r="AF149" s="658"/>
      <c r="AG149" s="235"/>
      <c r="AH149" s="658"/>
      <c r="AI149" s="235"/>
      <c r="AJ149" s="34"/>
    </row>
    <row r="150" spans="1:36">
      <c r="A150" s="235" t="s">
        <v>808</v>
      </c>
      <c r="B150" s="235">
        <v>1</v>
      </c>
      <c r="C150" s="626">
        <v>820</v>
      </c>
      <c r="D150" s="626">
        <v>1000</v>
      </c>
      <c r="E150" s="626"/>
      <c r="F150" s="626"/>
      <c r="G150" s="626"/>
      <c r="H150" s="626"/>
      <c r="I150" s="626"/>
      <c r="J150" s="626"/>
      <c r="K150" s="626"/>
      <c r="L150" s="626">
        <v>8400</v>
      </c>
      <c r="M150" s="626"/>
      <c r="N150" s="295"/>
      <c r="O150" s="659"/>
      <c r="P150" s="658"/>
      <c r="Q150" s="235">
        <v>1</v>
      </c>
      <c r="R150" s="626">
        <v>820</v>
      </c>
      <c r="S150" s="626">
        <v>1000</v>
      </c>
      <c r="T150" s="626"/>
      <c r="U150" s="626"/>
      <c r="V150" s="626"/>
      <c r="W150" s="626"/>
      <c r="X150" s="626"/>
      <c r="Y150" s="626"/>
      <c r="Z150" s="626"/>
      <c r="AA150" s="626">
        <v>8400</v>
      </c>
      <c r="AB150" s="626"/>
      <c r="AC150" s="295"/>
      <c r="AD150" s="659">
        <f>SUM(R150:AC150)</f>
        <v>10220</v>
      </c>
      <c r="AE150" s="658"/>
      <c r="AF150" s="658"/>
      <c r="AG150" s="235"/>
      <c r="AH150" s="658"/>
      <c r="AI150" s="235"/>
      <c r="AJ150" s="34"/>
    </row>
    <row r="151" spans="1:36">
      <c r="A151" s="235" t="s">
        <v>809</v>
      </c>
      <c r="B151" s="235"/>
      <c r="C151" s="626"/>
      <c r="D151" s="626"/>
      <c r="E151" s="626"/>
      <c r="F151" s="626"/>
      <c r="G151" s="626"/>
      <c r="H151" s="626"/>
      <c r="I151" s="626"/>
      <c r="J151" s="626"/>
      <c r="K151" s="626"/>
      <c r="L151" s="626"/>
      <c r="M151" s="626"/>
      <c r="N151" s="295"/>
      <c r="O151" s="659"/>
      <c r="P151" s="658"/>
      <c r="Q151" s="235"/>
      <c r="R151" s="626"/>
      <c r="S151" s="626"/>
      <c r="T151" s="626"/>
      <c r="U151" s="626"/>
      <c r="V151" s="626"/>
      <c r="W151" s="626"/>
      <c r="X151" s="626"/>
      <c r="Y151" s="626"/>
      <c r="Z151" s="626"/>
      <c r="AA151" s="626"/>
      <c r="AB151" s="626"/>
      <c r="AC151" s="295"/>
      <c r="AD151" s="659">
        <f t="shared" ref="AD151:AD164" si="56">SUM(R151:AC151)</f>
        <v>0</v>
      </c>
      <c r="AE151" s="658"/>
      <c r="AF151" s="658"/>
      <c r="AG151" s="235"/>
      <c r="AH151" s="658"/>
      <c r="AI151" s="235"/>
      <c r="AJ151" s="34"/>
    </row>
    <row r="152" spans="1:36">
      <c r="A152" s="235" t="s">
        <v>809</v>
      </c>
      <c r="B152" s="235"/>
      <c r="C152" s="626"/>
      <c r="D152" s="626"/>
      <c r="E152" s="626"/>
      <c r="F152" s="626"/>
      <c r="G152" s="626"/>
      <c r="H152" s="626"/>
      <c r="I152" s="626"/>
      <c r="J152" s="626"/>
      <c r="K152" s="626"/>
      <c r="L152" s="626"/>
      <c r="M152" s="626"/>
      <c r="N152" s="295"/>
      <c r="O152" s="659"/>
      <c r="P152" s="658"/>
      <c r="Q152" s="235"/>
      <c r="R152" s="626"/>
      <c r="S152" s="626"/>
      <c r="T152" s="626"/>
      <c r="U152" s="626"/>
      <c r="V152" s="626"/>
      <c r="W152" s="626"/>
      <c r="X152" s="626"/>
      <c r="Y152" s="626"/>
      <c r="Z152" s="626"/>
      <c r="AA152" s="626"/>
      <c r="AB152" s="626"/>
      <c r="AC152" s="295"/>
      <c r="AD152" s="659">
        <f t="shared" si="56"/>
        <v>0</v>
      </c>
      <c r="AE152" s="658"/>
      <c r="AF152" s="658"/>
      <c r="AG152" s="235"/>
      <c r="AH152" s="658"/>
      <c r="AI152" s="235"/>
      <c r="AJ152" s="34"/>
    </row>
    <row r="153" spans="1:36">
      <c r="A153" s="235" t="s">
        <v>813</v>
      </c>
      <c r="B153" s="235"/>
      <c r="C153" s="626"/>
      <c r="D153" s="626"/>
      <c r="E153" s="626"/>
      <c r="F153" s="626"/>
      <c r="G153" s="626"/>
      <c r="H153" s="626"/>
      <c r="I153" s="626"/>
      <c r="J153" s="626"/>
      <c r="K153" s="626"/>
      <c r="L153" s="626"/>
      <c r="M153" s="626"/>
      <c r="N153" s="295"/>
      <c r="O153" s="659"/>
      <c r="P153" s="658"/>
      <c r="Q153" s="235"/>
      <c r="R153" s="626"/>
      <c r="S153" s="626"/>
      <c r="T153" s="626"/>
      <c r="U153" s="626"/>
      <c r="V153" s="626"/>
      <c r="W153" s="626"/>
      <c r="X153" s="626"/>
      <c r="Y153" s="626"/>
      <c r="Z153" s="626"/>
      <c r="AA153" s="626"/>
      <c r="AB153" s="626"/>
      <c r="AC153" s="295"/>
      <c r="AD153" s="659">
        <f t="shared" si="56"/>
        <v>0</v>
      </c>
      <c r="AE153" s="658"/>
      <c r="AF153" s="658"/>
      <c r="AG153" s="235"/>
      <c r="AH153" s="658"/>
      <c r="AI153" s="235"/>
      <c r="AJ153" s="34"/>
    </row>
    <row r="154" spans="1:36">
      <c r="A154" s="718" t="s">
        <v>818</v>
      </c>
      <c r="B154" s="235">
        <v>132</v>
      </c>
      <c r="C154" s="626">
        <v>2109</v>
      </c>
      <c r="D154" s="626"/>
      <c r="E154" s="626"/>
      <c r="F154" s="626"/>
      <c r="G154" s="626"/>
      <c r="H154" s="626"/>
      <c r="I154" s="626"/>
      <c r="J154" s="626"/>
      <c r="K154" s="626"/>
      <c r="L154" s="626">
        <v>8400</v>
      </c>
      <c r="M154" s="626"/>
      <c r="N154" s="295"/>
      <c r="O154" s="659"/>
      <c r="P154" s="658"/>
      <c r="Q154" s="235">
        <v>132</v>
      </c>
      <c r="R154" s="626">
        <v>2109</v>
      </c>
      <c r="S154" s="626"/>
      <c r="T154" s="626"/>
      <c r="U154" s="626"/>
      <c r="V154" s="626"/>
      <c r="W154" s="626"/>
      <c r="X154" s="626"/>
      <c r="Y154" s="626"/>
      <c r="Z154" s="626"/>
      <c r="AA154" s="626">
        <v>8400</v>
      </c>
      <c r="AB154" s="626"/>
      <c r="AC154" s="295"/>
      <c r="AD154" s="659">
        <f t="shared" si="56"/>
        <v>10509</v>
      </c>
      <c r="AE154" s="658"/>
      <c r="AF154" s="658"/>
      <c r="AG154" s="235"/>
      <c r="AH154" s="658"/>
      <c r="AI154" s="235"/>
      <c r="AJ154" s="34"/>
    </row>
    <row r="155" spans="1:36">
      <c r="A155" s="718" t="s">
        <v>819</v>
      </c>
      <c r="B155" s="235">
        <v>15</v>
      </c>
      <c r="C155" s="626">
        <v>2077</v>
      </c>
      <c r="D155" s="626"/>
      <c r="E155" s="626"/>
      <c r="F155" s="626"/>
      <c r="G155" s="626"/>
      <c r="H155" s="626"/>
      <c r="I155" s="626"/>
      <c r="J155" s="626"/>
      <c r="K155" s="626"/>
      <c r="L155" s="626">
        <v>8400</v>
      </c>
      <c r="M155" s="626"/>
      <c r="N155" s="295"/>
      <c r="O155" s="659"/>
      <c r="P155" s="658"/>
      <c r="Q155" s="235">
        <v>15</v>
      </c>
      <c r="R155" s="626">
        <v>2077</v>
      </c>
      <c r="S155" s="626"/>
      <c r="T155" s="626"/>
      <c r="U155" s="626"/>
      <c r="V155" s="626"/>
      <c r="W155" s="626"/>
      <c r="X155" s="626"/>
      <c r="Y155" s="626"/>
      <c r="Z155" s="626"/>
      <c r="AA155" s="626">
        <v>8400</v>
      </c>
      <c r="AB155" s="626"/>
      <c r="AC155" s="295"/>
      <c r="AD155" s="659">
        <f t="shared" si="56"/>
        <v>10477</v>
      </c>
      <c r="AE155" s="658"/>
      <c r="AF155" s="658"/>
      <c r="AG155" s="235"/>
      <c r="AH155" s="658"/>
      <c r="AI155" s="235"/>
      <c r="AJ155" s="34"/>
    </row>
    <row r="156" spans="1:36">
      <c r="A156" s="235" t="s">
        <v>816</v>
      </c>
      <c r="B156" s="235"/>
      <c r="C156" s="626"/>
      <c r="D156" s="626"/>
      <c r="E156" s="626"/>
      <c r="F156" s="626"/>
      <c r="G156" s="626"/>
      <c r="H156" s="626"/>
      <c r="I156" s="626"/>
      <c r="J156" s="626"/>
      <c r="K156" s="626"/>
      <c r="L156" s="626"/>
      <c r="M156" s="626"/>
      <c r="N156" s="295"/>
      <c r="O156" s="659"/>
      <c r="P156" s="658"/>
      <c r="Q156" s="235"/>
      <c r="R156" s="626"/>
      <c r="S156" s="626"/>
      <c r="T156" s="626"/>
      <c r="U156" s="626"/>
      <c r="V156" s="626"/>
      <c r="W156" s="626"/>
      <c r="X156" s="626"/>
      <c r="Y156" s="626"/>
      <c r="Z156" s="626"/>
      <c r="AA156" s="626"/>
      <c r="AB156" s="626"/>
      <c r="AC156" s="295"/>
      <c r="AD156" s="659">
        <f t="shared" si="56"/>
        <v>0</v>
      </c>
      <c r="AE156" s="658"/>
      <c r="AF156" s="658"/>
      <c r="AG156" s="235"/>
      <c r="AH156" s="658"/>
      <c r="AI156" s="235"/>
      <c r="AJ156" s="34"/>
    </row>
    <row r="157" spans="1:36">
      <c r="A157" s="235" t="s">
        <v>809</v>
      </c>
      <c r="B157" s="235"/>
      <c r="C157" s="626"/>
      <c r="D157" s="626"/>
      <c r="E157" s="626"/>
      <c r="F157" s="626"/>
      <c r="G157" s="626"/>
      <c r="H157" s="626"/>
      <c r="I157" s="626"/>
      <c r="J157" s="626"/>
      <c r="K157" s="626"/>
      <c r="L157" s="626"/>
      <c r="M157" s="626"/>
      <c r="N157" s="295"/>
      <c r="O157" s="659"/>
      <c r="P157" s="658"/>
      <c r="Q157" s="235"/>
      <c r="R157" s="626"/>
      <c r="S157" s="626"/>
      <c r="T157" s="626"/>
      <c r="U157" s="626"/>
      <c r="V157" s="626"/>
      <c r="W157" s="626"/>
      <c r="X157" s="626"/>
      <c r="Y157" s="626"/>
      <c r="Z157" s="626"/>
      <c r="AA157" s="626"/>
      <c r="AB157" s="626"/>
      <c r="AC157" s="295"/>
      <c r="AD157" s="659">
        <f t="shared" si="56"/>
        <v>0</v>
      </c>
      <c r="AE157" s="658"/>
      <c r="AF157" s="658"/>
      <c r="AG157" s="235"/>
      <c r="AH157" s="658"/>
      <c r="AI157" s="235"/>
      <c r="AJ157" s="34"/>
    </row>
    <row r="158" spans="1:36">
      <c r="A158" s="235" t="s">
        <v>809</v>
      </c>
      <c r="B158" s="235"/>
      <c r="C158" s="626"/>
      <c r="D158" s="626"/>
      <c r="E158" s="626"/>
      <c r="F158" s="626"/>
      <c r="G158" s="626"/>
      <c r="H158" s="626"/>
      <c r="I158" s="626"/>
      <c r="J158" s="626"/>
      <c r="K158" s="626"/>
      <c r="L158" s="626"/>
      <c r="M158" s="626"/>
      <c r="N158" s="295"/>
      <c r="O158" s="659"/>
      <c r="P158" s="658"/>
      <c r="Q158" s="235"/>
      <c r="R158" s="626"/>
      <c r="S158" s="626"/>
      <c r="T158" s="626"/>
      <c r="U158" s="626"/>
      <c r="V158" s="626"/>
      <c r="W158" s="626"/>
      <c r="X158" s="626"/>
      <c r="Y158" s="626"/>
      <c r="Z158" s="626"/>
      <c r="AA158" s="626"/>
      <c r="AB158" s="626"/>
      <c r="AC158" s="295"/>
      <c r="AD158" s="659">
        <f t="shared" si="56"/>
        <v>0</v>
      </c>
      <c r="AE158" s="658"/>
      <c r="AF158" s="658"/>
      <c r="AG158" s="235"/>
      <c r="AH158" s="658"/>
      <c r="AI158" s="235"/>
      <c r="AJ158" s="34"/>
    </row>
    <row r="159" spans="1:36">
      <c r="A159" s="235" t="s">
        <v>817</v>
      </c>
      <c r="B159" s="235"/>
      <c r="C159" s="626"/>
      <c r="D159" s="626"/>
      <c r="E159" s="626"/>
      <c r="F159" s="626"/>
      <c r="G159" s="626"/>
      <c r="H159" s="626"/>
      <c r="I159" s="626"/>
      <c r="J159" s="626"/>
      <c r="K159" s="626"/>
      <c r="L159" s="719"/>
      <c r="M159" s="626"/>
      <c r="N159" s="295"/>
      <c r="O159" s="659"/>
      <c r="P159" s="658"/>
      <c r="Q159" s="235"/>
      <c r="R159" s="626"/>
      <c r="S159" s="626"/>
      <c r="T159" s="626"/>
      <c r="U159" s="626"/>
      <c r="V159" s="626"/>
      <c r="W159" s="626"/>
      <c r="X159" s="626"/>
      <c r="Y159" s="626"/>
      <c r="Z159" s="626"/>
      <c r="AA159" s="719"/>
      <c r="AB159" s="626"/>
      <c r="AC159" s="295"/>
      <c r="AD159" s="659">
        <f t="shared" si="56"/>
        <v>0</v>
      </c>
      <c r="AE159" s="658"/>
      <c r="AF159" s="658"/>
      <c r="AG159" s="235"/>
      <c r="AH159" s="658"/>
      <c r="AI159" s="235"/>
      <c r="AJ159" s="34"/>
    </row>
    <row r="160" spans="1:36">
      <c r="A160" s="718" t="s">
        <v>820</v>
      </c>
      <c r="B160" s="235">
        <v>10</v>
      </c>
      <c r="C160" s="626">
        <v>5532</v>
      </c>
      <c r="D160" s="626"/>
      <c r="E160" s="626"/>
      <c r="F160" s="626"/>
      <c r="G160" s="626"/>
      <c r="H160" s="626"/>
      <c r="I160" s="626"/>
      <c r="J160" s="626"/>
      <c r="K160" s="626"/>
      <c r="L160" s="626">
        <f>700*12</f>
        <v>8400</v>
      </c>
      <c r="M160" s="626"/>
      <c r="N160" s="295"/>
      <c r="O160" s="659"/>
      <c r="P160" s="658"/>
      <c r="Q160" s="235">
        <v>10</v>
      </c>
      <c r="R160" s="626">
        <v>5532</v>
      </c>
      <c r="S160" s="626"/>
      <c r="T160" s="626"/>
      <c r="U160" s="626"/>
      <c r="V160" s="626"/>
      <c r="W160" s="626"/>
      <c r="X160" s="626"/>
      <c r="Y160" s="626"/>
      <c r="Z160" s="626"/>
      <c r="AA160" s="626">
        <f>700*12</f>
        <v>8400</v>
      </c>
      <c r="AB160" s="626"/>
      <c r="AC160" s="295"/>
      <c r="AD160" s="659">
        <f t="shared" si="56"/>
        <v>13932</v>
      </c>
      <c r="AE160" s="658"/>
      <c r="AF160" s="658"/>
      <c r="AG160" s="235"/>
      <c r="AH160" s="658"/>
      <c r="AI160" s="235"/>
      <c r="AJ160" s="34"/>
    </row>
    <row r="161" spans="1:36">
      <c r="A161" s="718" t="s">
        <v>821</v>
      </c>
      <c r="B161" s="235">
        <v>23</v>
      </c>
      <c r="C161" s="626">
        <v>3344</v>
      </c>
      <c r="D161" s="626"/>
      <c r="E161" s="626"/>
      <c r="F161" s="626"/>
      <c r="G161" s="626"/>
      <c r="H161" s="626"/>
      <c r="I161" s="626"/>
      <c r="J161" s="626"/>
      <c r="K161" s="626"/>
      <c r="L161" s="626">
        <f>700*12</f>
        <v>8400</v>
      </c>
      <c r="M161" s="626"/>
      <c r="N161" s="295"/>
      <c r="O161" s="659"/>
      <c r="P161" s="658"/>
      <c r="Q161" s="235">
        <v>23</v>
      </c>
      <c r="R161" s="626">
        <v>3344</v>
      </c>
      <c r="S161" s="626"/>
      <c r="T161" s="626"/>
      <c r="U161" s="626"/>
      <c r="V161" s="626"/>
      <c r="W161" s="626"/>
      <c r="X161" s="626"/>
      <c r="Y161" s="626"/>
      <c r="Z161" s="626"/>
      <c r="AA161" s="626">
        <f>700*12</f>
        <v>8400</v>
      </c>
      <c r="AB161" s="626"/>
      <c r="AC161" s="295"/>
      <c r="AD161" s="659">
        <f t="shared" si="56"/>
        <v>11744</v>
      </c>
      <c r="AE161" s="658"/>
      <c r="AF161" s="658"/>
      <c r="AG161" s="235"/>
      <c r="AH161" s="658"/>
      <c r="AI161" s="235"/>
      <c r="AJ161" s="34"/>
    </row>
    <row r="162" spans="1:36">
      <c r="A162" s="235" t="s">
        <v>822</v>
      </c>
      <c r="B162" s="235"/>
      <c r="C162" s="626"/>
      <c r="D162" s="626"/>
      <c r="E162" s="626"/>
      <c r="F162" s="626"/>
      <c r="G162" s="626"/>
      <c r="H162" s="626"/>
      <c r="I162" s="626"/>
      <c r="J162" s="626"/>
      <c r="K162" s="626"/>
      <c r="L162" s="626"/>
      <c r="M162" s="626"/>
      <c r="N162" s="295"/>
      <c r="O162" s="659"/>
      <c r="P162" s="658"/>
      <c r="Q162" s="235"/>
      <c r="R162" s="626"/>
      <c r="S162" s="626"/>
      <c r="T162" s="626"/>
      <c r="U162" s="626"/>
      <c r="V162" s="626"/>
      <c r="W162" s="626"/>
      <c r="X162" s="626"/>
      <c r="Y162" s="626"/>
      <c r="Z162" s="626"/>
      <c r="AA162" s="626"/>
      <c r="AB162" s="626"/>
      <c r="AC162" s="295"/>
      <c r="AD162" s="659">
        <f t="shared" si="56"/>
        <v>0</v>
      </c>
      <c r="AE162" s="658"/>
      <c r="AF162" s="658"/>
      <c r="AG162" s="235"/>
      <c r="AH162" s="658"/>
      <c r="AI162" s="235"/>
      <c r="AJ162" s="34"/>
    </row>
    <row r="163" spans="1:36">
      <c r="A163" s="235" t="s">
        <v>809</v>
      </c>
      <c r="B163" s="235"/>
      <c r="C163" s="626"/>
      <c r="D163" s="626"/>
      <c r="E163" s="626"/>
      <c r="F163" s="626"/>
      <c r="G163" s="626"/>
      <c r="H163" s="626"/>
      <c r="I163" s="626"/>
      <c r="J163" s="626"/>
      <c r="K163" s="626"/>
      <c r="L163" s="626"/>
      <c r="M163" s="626"/>
      <c r="N163" s="295"/>
      <c r="O163" s="659"/>
      <c r="P163" s="658"/>
      <c r="Q163" s="235"/>
      <c r="R163" s="626"/>
      <c r="S163" s="626"/>
      <c r="T163" s="626"/>
      <c r="U163" s="626"/>
      <c r="V163" s="626"/>
      <c r="W163" s="626"/>
      <c r="X163" s="626"/>
      <c r="Y163" s="626"/>
      <c r="Z163" s="626"/>
      <c r="AA163" s="626"/>
      <c r="AB163" s="626"/>
      <c r="AC163" s="295"/>
      <c r="AD163" s="659">
        <f t="shared" si="56"/>
        <v>0</v>
      </c>
      <c r="AE163" s="658"/>
      <c r="AF163" s="658"/>
      <c r="AG163" s="235"/>
      <c r="AH163" s="658"/>
      <c r="AI163" s="235"/>
      <c r="AJ163" s="34"/>
    </row>
    <row r="164" spans="1:36" ht="15.75" thickBot="1">
      <c r="A164" s="667"/>
      <c r="B164" s="273"/>
      <c r="C164" s="636"/>
      <c r="D164" s="636"/>
      <c r="E164" s="636"/>
      <c r="F164" s="636"/>
      <c r="G164" s="636"/>
      <c r="H164" s="636"/>
      <c r="I164" s="636"/>
      <c r="J164" s="636"/>
      <c r="K164" s="636"/>
      <c r="L164" s="636"/>
      <c r="M164" s="636"/>
      <c r="N164" s="720"/>
      <c r="O164" s="634"/>
      <c r="P164" s="669"/>
      <c r="Q164" s="273"/>
      <c r="R164" s="636"/>
      <c r="S164" s="636"/>
      <c r="T164" s="636"/>
      <c r="U164" s="636"/>
      <c r="V164" s="636"/>
      <c r="W164" s="636"/>
      <c r="X164" s="636"/>
      <c r="Y164" s="636"/>
      <c r="Z164" s="636"/>
      <c r="AA164" s="636"/>
      <c r="AB164" s="636"/>
      <c r="AC164" s="720"/>
      <c r="AD164" s="659">
        <f t="shared" si="56"/>
        <v>0</v>
      </c>
      <c r="AE164" s="669"/>
      <c r="AF164" s="669"/>
      <c r="AG164" s="273"/>
      <c r="AH164" s="669"/>
      <c r="AI164" s="273"/>
      <c r="AJ164" s="34"/>
    </row>
    <row r="165" spans="1:36" ht="15.75" thickBot="1">
      <c r="A165" s="640" t="s">
        <v>0</v>
      </c>
      <c r="B165" s="641">
        <f t="shared" ref="B165:AI165" si="57">SUM(B149:B163)</f>
        <v>181</v>
      </c>
      <c r="C165" s="641">
        <f t="shared" si="57"/>
        <v>13882</v>
      </c>
      <c r="D165" s="641">
        <f t="shared" si="57"/>
        <v>1000</v>
      </c>
      <c r="E165" s="641">
        <f t="shared" si="57"/>
        <v>0</v>
      </c>
      <c r="F165" s="641">
        <f t="shared" si="57"/>
        <v>0</v>
      </c>
      <c r="G165" s="641">
        <f t="shared" si="57"/>
        <v>0</v>
      </c>
      <c r="H165" s="641">
        <f t="shared" si="57"/>
        <v>0</v>
      </c>
      <c r="I165" s="641">
        <f t="shared" si="57"/>
        <v>0</v>
      </c>
      <c r="J165" s="641">
        <f t="shared" si="57"/>
        <v>0</v>
      </c>
      <c r="K165" s="641">
        <f t="shared" si="57"/>
        <v>0</v>
      </c>
      <c r="L165" s="641">
        <f t="shared" si="57"/>
        <v>42000</v>
      </c>
      <c r="M165" s="641">
        <f t="shared" si="57"/>
        <v>0</v>
      </c>
      <c r="N165" s="641">
        <f t="shared" si="57"/>
        <v>0</v>
      </c>
      <c r="O165" s="641">
        <f t="shared" si="57"/>
        <v>0</v>
      </c>
      <c r="P165" s="641">
        <f t="shared" si="57"/>
        <v>0</v>
      </c>
      <c r="Q165" s="641">
        <f t="shared" si="57"/>
        <v>181</v>
      </c>
      <c r="R165" s="641">
        <f t="shared" si="57"/>
        <v>13882</v>
      </c>
      <c r="S165" s="641">
        <f t="shared" si="57"/>
        <v>1000</v>
      </c>
      <c r="T165" s="641">
        <f t="shared" si="57"/>
        <v>0</v>
      </c>
      <c r="U165" s="641">
        <f t="shared" si="57"/>
        <v>0</v>
      </c>
      <c r="V165" s="641">
        <f t="shared" si="57"/>
        <v>0</v>
      </c>
      <c r="W165" s="641">
        <f t="shared" si="57"/>
        <v>0</v>
      </c>
      <c r="X165" s="641">
        <f t="shared" si="57"/>
        <v>0</v>
      </c>
      <c r="Y165" s="641">
        <f t="shared" si="57"/>
        <v>0</v>
      </c>
      <c r="Z165" s="641">
        <f t="shared" si="57"/>
        <v>0</v>
      </c>
      <c r="AA165" s="641">
        <f t="shared" si="57"/>
        <v>42000</v>
      </c>
      <c r="AB165" s="641">
        <f t="shared" si="57"/>
        <v>0</v>
      </c>
      <c r="AC165" s="641">
        <f t="shared" si="57"/>
        <v>0</v>
      </c>
      <c r="AD165" s="641">
        <f t="shared" si="57"/>
        <v>56882</v>
      </c>
      <c r="AE165" s="641">
        <f t="shared" si="57"/>
        <v>0</v>
      </c>
      <c r="AF165" s="641">
        <f t="shared" si="57"/>
        <v>0</v>
      </c>
      <c r="AG165" s="641">
        <f t="shared" si="57"/>
        <v>0</v>
      </c>
      <c r="AH165" s="641">
        <f t="shared" si="57"/>
        <v>0</v>
      </c>
      <c r="AI165" s="641">
        <f t="shared" si="57"/>
        <v>0</v>
      </c>
      <c r="AJ165" s="34"/>
    </row>
    <row r="166" spans="1:36">
      <c r="A166" s="295"/>
      <c r="B166" s="295"/>
      <c r="C166" s="295"/>
      <c r="D166" s="295"/>
      <c r="E166" s="295"/>
      <c r="F166" s="295"/>
      <c r="G166" s="295"/>
      <c r="H166" s="295"/>
      <c r="I166" s="295"/>
      <c r="J166" s="295"/>
      <c r="K166" s="295"/>
      <c r="L166" s="295"/>
      <c r="M166" s="295"/>
      <c r="N166" s="295"/>
      <c r="O166" s="295"/>
      <c r="P166" s="295"/>
      <c r="Q166" s="295"/>
      <c r="R166" s="295"/>
      <c r="S166" s="295"/>
      <c r="T166" s="295"/>
      <c r="U166" s="295"/>
      <c r="V166" s="295"/>
      <c r="W166" s="295"/>
      <c r="X166" s="295"/>
      <c r="Y166" s="295"/>
      <c r="Z166" s="295"/>
      <c r="AA166" s="295"/>
      <c r="AB166" s="295"/>
      <c r="AC166" s="295"/>
      <c r="AD166" s="295"/>
      <c r="AE166" s="295"/>
      <c r="AF166" s="295"/>
      <c r="AG166" s="295"/>
      <c r="AH166" s="295"/>
      <c r="AI166" s="295"/>
      <c r="AJ166" s="34"/>
    </row>
    <row r="169" spans="1:36">
      <c r="A169" s="721" t="s">
        <v>766</v>
      </c>
      <c r="B169" s="722"/>
      <c r="C169" s="722"/>
      <c r="D169" s="722"/>
      <c r="E169" s="722"/>
      <c r="F169" s="722"/>
      <c r="G169" s="722"/>
      <c r="H169" s="722"/>
      <c r="I169" s="722"/>
      <c r="J169" s="722"/>
      <c r="K169" s="722"/>
      <c r="L169" s="722"/>
      <c r="M169" s="305"/>
      <c r="N169" s="305"/>
      <c r="O169" s="305"/>
      <c r="P169" s="305"/>
      <c r="Q169" s="305"/>
      <c r="R169" s="305"/>
      <c r="S169" s="305"/>
      <c r="T169" s="305"/>
      <c r="U169" s="305"/>
      <c r="V169" s="305"/>
      <c r="W169" s="305"/>
      <c r="X169" s="305"/>
      <c r="Y169" s="305"/>
      <c r="Z169" s="305"/>
      <c r="AA169" s="305"/>
      <c r="AB169" s="305"/>
      <c r="AC169" s="305"/>
      <c r="AD169" s="305"/>
      <c r="AE169" s="305"/>
      <c r="AF169" s="305"/>
      <c r="AG169" s="305"/>
      <c r="AH169" s="305"/>
      <c r="AI169" s="305"/>
      <c r="AJ169" s="34"/>
    </row>
    <row r="170" spans="1:36">
      <c r="A170" s="1349" t="s">
        <v>823</v>
      </c>
      <c r="B170" s="1349"/>
      <c r="C170" s="1349"/>
      <c r="D170" s="1349"/>
      <c r="E170" s="1349"/>
      <c r="F170" s="1349"/>
      <c r="G170" s="1349"/>
      <c r="H170" s="723"/>
      <c r="I170" s="723"/>
      <c r="J170" s="723"/>
      <c r="K170" s="723"/>
      <c r="L170" s="723"/>
      <c r="M170" s="561"/>
      <c r="N170" s="561"/>
      <c r="O170" s="561"/>
      <c r="P170" s="561"/>
      <c r="Q170" s="561"/>
      <c r="R170" s="561"/>
      <c r="S170" s="561"/>
      <c r="T170" s="561"/>
      <c r="U170" s="561"/>
      <c r="V170" s="561"/>
      <c r="W170" s="561"/>
      <c r="X170" s="561"/>
      <c r="Y170" s="561"/>
      <c r="Z170" s="561"/>
      <c r="AA170" s="561"/>
      <c r="AB170" s="561"/>
      <c r="AC170" s="561"/>
      <c r="AD170" s="561"/>
      <c r="AE170" s="305"/>
      <c r="AF170" s="305"/>
      <c r="AG170" s="305"/>
      <c r="AH170" s="305"/>
      <c r="AI170" s="305"/>
      <c r="AJ170" s="34"/>
    </row>
    <row r="171" spans="1:36" ht="15.75" thickBot="1">
      <c r="A171" s="721" t="s">
        <v>824</v>
      </c>
      <c r="B171" s="721"/>
      <c r="C171" s="721"/>
      <c r="D171" s="721"/>
      <c r="E171" s="721"/>
      <c r="F171" s="721"/>
      <c r="G171" s="721"/>
      <c r="H171" s="721"/>
      <c r="I171" s="721"/>
      <c r="J171" s="721"/>
      <c r="K171" s="721"/>
      <c r="L171" s="721"/>
      <c r="M171" s="560"/>
      <c r="N171" s="560"/>
      <c r="O171" s="560"/>
      <c r="P171" s="560"/>
      <c r="Q171" s="560"/>
      <c r="R171" s="560"/>
      <c r="S171" s="560"/>
      <c r="T171" s="560"/>
      <c r="U171" s="560"/>
      <c r="V171" s="560"/>
      <c r="W171" s="560"/>
      <c r="X171" s="560"/>
      <c r="Y171" s="560"/>
      <c r="Z171" s="560"/>
      <c r="AA171" s="560"/>
      <c r="AB171" s="560"/>
      <c r="AC171" s="560"/>
      <c r="AD171" s="560"/>
      <c r="AE171" s="560"/>
      <c r="AF171" s="560"/>
      <c r="AG171" s="560"/>
      <c r="AH171" s="560"/>
      <c r="AI171" s="560"/>
      <c r="AJ171" s="34"/>
    </row>
    <row r="172" spans="1:36" ht="15.75" thickBot="1">
      <c r="A172" s="1340" t="s">
        <v>768</v>
      </c>
      <c r="B172" s="1343" t="s">
        <v>769</v>
      </c>
      <c r="C172" s="1337"/>
      <c r="D172" s="1337"/>
      <c r="E172" s="1337"/>
      <c r="F172" s="1337"/>
      <c r="G172" s="1337"/>
      <c r="H172" s="1337"/>
      <c r="I172" s="1337"/>
      <c r="J172" s="1337"/>
      <c r="K172" s="1337"/>
      <c r="L172" s="1337"/>
      <c r="M172" s="1337"/>
      <c r="N172" s="1337"/>
      <c r="O172" s="1337"/>
      <c r="P172" s="1337"/>
      <c r="Q172" s="1344" t="s">
        <v>770</v>
      </c>
      <c r="R172" s="1337"/>
      <c r="S172" s="1337"/>
      <c r="T172" s="1337"/>
      <c r="U172" s="1337"/>
      <c r="V172" s="1337"/>
      <c r="W172" s="1337"/>
      <c r="X172" s="1337"/>
      <c r="Y172" s="1337"/>
      <c r="Z172" s="1337"/>
      <c r="AA172" s="1337"/>
      <c r="AB172" s="1337"/>
      <c r="AC172" s="1337"/>
      <c r="AD172" s="1337"/>
      <c r="AE172" s="1338"/>
      <c r="AF172" s="1290" t="s">
        <v>771</v>
      </c>
      <c r="AG172" s="1338"/>
      <c r="AH172" s="1290" t="s">
        <v>772</v>
      </c>
      <c r="AI172" s="1338"/>
      <c r="AJ172" s="34"/>
    </row>
    <row r="173" spans="1:36" ht="73.5">
      <c r="A173" s="1341"/>
      <c r="B173" s="724" t="s">
        <v>773</v>
      </c>
      <c r="C173" s="725" t="s">
        <v>774</v>
      </c>
      <c r="D173" s="726" t="s">
        <v>775</v>
      </c>
      <c r="E173" s="726" t="s">
        <v>776</v>
      </c>
      <c r="F173" s="726" t="s">
        <v>777</v>
      </c>
      <c r="G173" s="726" t="s">
        <v>778</v>
      </c>
      <c r="H173" s="726" t="s">
        <v>779</v>
      </c>
      <c r="I173" s="726" t="s">
        <v>780</v>
      </c>
      <c r="J173" s="726" t="s">
        <v>781</v>
      </c>
      <c r="K173" s="726" t="s">
        <v>782</v>
      </c>
      <c r="L173" s="726" t="s">
        <v>783</v>
      </c>
      <c r="M173" s="726" t="s">
        <v>784</v>
      </c>
      <c r="N173" s="727" t="s">
        <v>785</v>
      </c>
      <c r="O173" s="728" t="s">
        <v>786</v>
      </c>
      <c r="P173" s="729" t="s">
        <v>787</v>
      </c>
      <c r="Q173" s="724" t="s">
        <v>773</v>
      </c>
      <c r="R173" s="725" t="s">
        <v>774</v>
      </c>
      <c r="S173" s="726" t="s">
        <v>788</v>
      </c>
      <c r="T173" s="726" t="s">
        <v>776</v>
      </c>
      <c r="U173" s="726" t="s">
        <v>777</v>
      </c>
      <c r="V173" s="726" t="s">
        <v>778</v>
      </c>
      <c r="W173" s="726" t="s">
        <v>779</v>
      </c>
      <c r="X173" s="726" t="s">
        <v>780</v>
      </c>
      <c r="Y173" s="726" t="s">
        <v>781</v>
      </c>
      <c r="Z173" s="726" t="s">
        <v>782</v>
      </c>
      <c r="AA173" s="726" t="s">
        <v>783</v>
      </c>
      <c r="AB173" s="726" t="s">
        <v>784</v>
      </c>
      <c r="AC173" s="727" t="s">
        <v>785</v>
      </c>
      <c r="AD173" s="728" t="s">
        <v>786</v>
      </c>
      <c r="AE173" s="729" t="s">
        <v>789</v>
      </c>
      <c r="AF173" s="730" t="s">
        <v>790</v>
      </c>
      <c r="AG173" s="730" t="s">
        <v>791</v>
      </c>
      <c r="AH173" s="730" t="s">
        <v>773</v>
      </c>
      <c r="AI173" s="729" t="s">
        <v>792</v>
      </c>
      <c r="AJ173" s="34"/>
    </row>
    <row r="174" spans="1:36" ht="15.75" thickBot="1">
      <c r="A174" s="1342"/>
      <c r="B174" s="731" t="s">
        <v>793</v>
      </c>
      <c r="C174" s="732" t="s">
        <v>794</v>
      </c>
      <c r="D174" s="733" t="s">
        <v>795</v>
      </c>
      <c r="E174" s="733" t="s">
        <v>796</v>
      </c>
      <c r="F174" s="734" t="s">
        <v>797</v>
      </c>
      <c r="G174" s="734" t="s">
        <v>798</v>
      </c>
      <c r="H174" s="734" t="s">
        <v>799</v>
      </c>
      <c r="I174" s="734" t="s">
        <v>800</v>
      </c>
      <c r="J174" s="734" t="s">
        <v>801</v>
      </c>
      <c r="K174" s="734" t="s">
        <v>802</v>
      </c>
      <c r="L174" s="734" t="s">
        <v>803</v>
      </c>
      <c r="M174" s="734" t="s">
        <v>804</v>
      </c>
      <c r="N174" s="735" t="s">
        <v>805</v>
      </c>
      <c r="O174" s="736" t="s">
        <v>806</v>
      </c>
      <c r="P174" s="737" t="s">
        <v>807</v>
      </c>
      <c r="Q174" s="731" t="s">
        <v>793</v>
      </c>
      <c r="R174" s="732" t="s">
        <v>794</v>
      </c>
      <c r="S174" s="733" t="s">
        <v>795</v>
      </c>
      <c r="T174" s="733" t="s">
        <v>796</v>
      </c>
      <c r="U174" s="734" t="s">
        <v>797</v>
      </c>
      <c r="V174" s="734" t="s">
        <v>798</v>
      </c>
      <c r="W174" s="734" t="s">
        <v>799</v>
      </c>
      <c r="X174" s="734" t="s">
        <v>800</v>
      </c>
      <c r="Y174" s="734" t="s">
        <v>801</v>
      </c>
      <c r="Z174" s="734" t="s">
        <v>802</v>
      </c>
      <c r="AA174" s="734" t="s">
        <v>803</v>
      </c>
      <c r="AB174" s="734" t="s">
        <v>804</v>
      </c>
      <c r="AC174" s="735" t="s">
        <v>805</v>
      </c>
      <c r="AD174" s="736" t="s">
        <v>806</v>
      </c>
      <c r="AE174" s="737" t="s">
        <v>807</v>
      </c>
      <c r="AF174" s="738"/>
      <c r="AG174" s="731"/>
      <c r="AH174" s="738"/>
      <c r="AI174" s="731"/>
      <c r="AJ174" s="34"/>
    </row>
    <row r="175" spans="1:36">
      <c r="A175" s="226"/>
      <c r="B175" s="235"/>
      <c r="C175" s="626"/>
      <c r="D175" s="626"/>
      <c r="E175" s="626"/>
      <c r="F175" s="626"/>
      <c r="G175" s="626"/>
      <c r="H175" s="626"/>
      <c r="I175" s="626"/>
      <c r="J175" s="626"/>
      <c r="K175" s="626"/>
      <c r="L175" s="626"/>
      <c r="M175" s="626"/>
      <c r="N175" s="295"/>
      <c r="O175" s="659"/>
      <c r="P175" s="658"/>
      <c r="Q175" s="235"/>
      <c r="R175" s="626"/>
      <c r="S175" s="626"/>
      <c r="T175" s="626"/>
      <c r="U175" s="626"/>
      <c r="V175" s="626"/>
      <c r="W175" s="626"/>
      <c r="X175" s="626"/>
      <c r="Y175" s="626"/>
      <c r="Z175" s="626"/>
      <c r="AA175" s="626"/>
      <c r="AB175" s="626"/>
      <c r="AC175" s="295"/>
      <c r="AD175" s="659"/>
      <c r="AE175" s="658"/>
      <c r="AF175" s="658"/>
      <c r="AG175" s="235"/>
      <c r="AH175" s="658"/>
      <c r="AI175" s="235"/>
      <c r="AJ175" s="34"/>
    </row>
    <row r="176" spans="1:36">
      <c r="A176" s="718" t="s">
        <v>808</v>
      </c>
      <c r="B176" s="235"/>
      <c r="C176" s="626"/>
      <c r="D176" s="626"/>
      <c r="E176" s="626"/>
      <c r="F176" s="626"/>
      <c r="G176" s="626"/>
      <c r="H176" s="626"/>
      <c r="I176" s="626"/>
      <c r="J176" s="626"/>
      <c r="K176" s="626"/>
      <c r="L176" s="626"/>
      <c r="M176" s="626"/>
      <c r="N176" s="295"/>
      <c r="O176" s="659"/>
      <c r="P176" s="658"/>
      <c r="Q176" s="235"/>
      <c r="R176" s="626"/>
      <c r="S176" s="626"/>
      <c r="T176" s="626"/>
      <c r="U176" s="626"/>
      <c r="V176" s="626"/>
      <c r="W176" s="626"/>
      <c r="X176" s="626"/>
      <c r="Y176" s="626"/>
      <c r="Z176" s="626"/>
      <c r="AA176" s="626"/>
      <c r="AB176" s="626"/>
      <c r="AC176" s="295"/>
      <c r="AD176" s="659"/>
      <c r="AE176" s="658"/>
      <c r="AF176" s="658"/>
      <c r="AG176" s="235"/>
      <c r="AH176" s="658"/>
      <c r="AI176" s="235"/>
      <c r="AJ176" s="34"/>
    </row>
    <row r="177" spans="1:36">
      <c r="A177" s="739" t="s">
        <v>555</v>
      </c>
      <c r="B177" s="740">
        <v>2</v>
      </c>
      <c r="C177" s="741">
        <v>14300</v>
      </c>
      <c r="D177" s="742">
        <v>0</v>
      </c>
      <c r="E177" s="742"/>
      <c r="F177" s="742"/>
      <c r="G177" s="742"/>
      <c r="H177" s="742"/>
      <c r="I177" s="742"/>
      <c r="J177" s="742"/>
      <c r="K177" s="741">
        <f>C177+D177</f>
        <v>14300</v>
      </c>
      <c r="L177" s="741">
        <v>1000</v>
      </c>
      <c r="M177" s="742"/>
      <c r="N177" s="743">
        <f>K177+L177</f>
        <v>15300</v>
      </c>
      <c r="O177" s="744">
        <f>K177*12+N177</f>
        <v>186900</v>
      </c>
      <c r="P177" s="745">
        <f>B177*O177</f>
        <v>373800</v>
      </c>
      <c r="Q177" s="740">
        <v>2</v>
      </c>
      <c r="R177" s="741">
        <v>14300</v>
      </c>
      <c r="S177" s="742">
        <v>0</v>
      </c>
      <c r="T177" s="742"/>
      <c r="U177" s="742"/>
      <c r="V177" s="742"/>
      <c r="W177" s="742"/>
      <c r="X177" s="742"/>
      <c r="Y177" s="742"/>
      <c r="Z177" s="741">
        <f>R177+S177</f>
        <v>14300</v>
      </c>
      <c r="AA177" s="741">
        <v>1000</v>
      </c>
      <c r="AB177" s="742"/>
      <c r="AC177" s="743">
        <f>Z177+AA177</f>
        <v>15300</v>
      </c>
      <c r="AD177" s="744">
        <f>Z177*12+AC177</f>
        <v>186900</v>
      </c>
      <c r="AE177" s="745">
        <f>Q177*AD177</f>
        <v>373800</v>
      </c>
      <c r="AF177" s="746">
        <v>0</v>
      </c>
      <c r="AG177" s="718">
        <v>0</v>
      </c>
      <c r="AH177" s="740">
        <v>2</v>
      </c>
      <c r="AI177" s="745">
        <v>373800</v>
      </c>
      <c r="AJ177" s="34"/>
    </row>
    <row r="178" spans="1:36">
      <c r="A178" s="739" t="s">
        <v>715</v>
      </c>
      <c r="B178" s="740">
        <v>1</v>
      </c>
      <c r="C178" s="742">
        <v>1078.26</v>
      </c>
      <c r="D178" s="742">
        <v>1141.33</v>
      </c>
      <c r="E178" s="742"/>
      <c r="F178" s="742"/>
      <c r="G178" s="742"/>
      <c r="H178" s="742"/>
      <c r="I178" s="742"/>
      <c r="J178" s="742"/>
      <c r="K178" s="741">
        <f t="shared" ref="K178:K188" si="58">C178+D178</f>
        <v>2219.59</v>
      </c>
      <c r="L178" s="741">
        <v>1000</v>
      </c>
      <c r="M178" s="742"/>
      <c r="N178" s="743">
        <f t="shared" ref="N178:N184" si="59">K178+L178</f>
        <v>3219.59</v>
      </c>
      <c r="O178" s="744">
        <f t="shared" ref="O178:O188" si="60">K178*12+N178</f>
        <v>29854.670000000002</v>
      </c>
      <c r="P178" s="745">
        <f>B178*O178</f>
        <v>29854.670000000002</v>
      </c>
      <c r="Q178" s="740">
        <v>1</v>
      </c>
      <c r="R178" s="742">
        <v>1078.26</v>
      </c>
      <c r="S178" s="742">
        <v>1141.33</v>
      </c>
      <c r="T178" s="742"/>
      <c r="U178" s="742"/>
      <c r="V178" s="742"/>
      <c r="W178" s="742"/>
      <c r="X178" s="742"/>
      <c r="Y178" s="742"/>
      <c r="Z178" s="741">
        <f t="shared" ref="Z178:Z184" si="61">R178+S178</f>
        <v>2219.59</v>
      </c>
      <c r="AA178" s="741">
        <v>1000</v>
      </c>
      <c r="AB178" s="742"/>
      <c r="AC178" s="743">
        <f t="shared" ref="AC178:AC184" si="62">Z178+AA178</f>
        <v>3219.59</v>
      </c>
      <c r="AD178" s="744">
        <f t="shared" ref="AD178:AD184" si="63">Z178*12+AC178</f>
        <v>29854.670000000002</v>
      </c>
      <c r="AE178" s="745">
        <f>Q178*AD178</f>
        <v>29854.670000000002</v>
      </c>
      <c r="AF178" s="746">
        <v>0</v>
      </c>
      <c r="AG178" s="718">
        <v>0</v>
      </c>
      <c r="AH178" s="740">
        <v>1</v>
      </c>
      <c r="AI178" s="745">
        <v>29854.67</v>
      </c>
      <c r="AJ178" s="34"/>
    </row>
    <row r="179" spans="1:36">
      <c r="A179" s="739" t="s">
        <v>716</v>
      </c>
      <c r="B179" s="740">
        <v>1</v>
      </c>
      <c r="C179" s="742">
        <v>1159.1600000000001</v>
      </c>
      <c r="D179" s="742">
        <v>6061.33</v>
      </c>
      <c r="E179" s="742"/>
      <c r="F179" s="742"/>
      <c r="G179" s="742"/>
      <c r="H179" s="742"/>
      <c r="I179" s="742"/>
      <c r="J179" s="742"/>
      <c r="K179" s="741">
        <f t="shared" si="58"/>
        <v>7220.49</v>
      </c>
      <c r="L179" s="741">
        <v>1000</v>
      </c>
      <c r="M179" s="742"/>
      <c r="N179" s="743">
        <f t="shared" si="59"/>
        <v>8220.49</v>
      </c>
      <c r="O179" s="744">
        <f t="shared" si="60"/>
        <v>94866.37000000001</v>
      </c>
      <c r="P179" s="745">
        <f>B179*O179</f>
        <v>94866.37000000001</v>
      </c>
      <c r="Q179" s="740">
        <v>1</v>
      </c>
      <c r="R179" s="742">
        <v>1159.1600000000001</v>
      </c>
      <c r="S179" s="742">
        <v>6061.33</v>
      </c>
      <c r="T179" s="742"/>
      <c r="U179" s="742"/>
      <c r="V179" s="742"/>
      <c r="W179" s="742"/>
      <c r="X179" s="742"/>
      <c r="Y179" s="742"/>
      <c r="Z179" s="741">
        <f t="shared" si="61"/>
        <v>7220.49</v>
      </c>
      <c r="AA179" s="741">
        <v>1000</v>
      </c>
      <c r="AB179" s="742"/>
      <c r="AC179" s="743">
        <f t="shared" si="62"/>
        <v>8220.49</v>
      </c>
      <c r="AD179" s="744">
        <f t="shared" si="63"/>
        <v>94866.37000000001</v>
      </c>
      <c r="AE179" s="745">
        <f>Q179*AD179</f>
        <v>94866.37000000001</v>
      </c>
      <c r="AF179" s="746">
        <v>0</v>
      </c>
      <c r="AG179" s="718">
        <v>0</v>
      </c>
      <c r="AH179" s="740">
        <v>1</v>
      </c>
      <c r="AI179" s="745">
        <v>94866.37</v>
      </c>
      <c r="AJ179" s="34"/>
    </row>
    <row r="180" spans="1:36">
      <c r="A180" s="739" t="s">
        <v>556</v>
      </c>
      <c r="B180" s="740">
        <v>29</v>
      </c>
      <c r="C180" s="741">
        <v>1075.2</v>
      </c>
      <c r="D180" s="742">
        <v>5101.33</v>
      </c>
      <c r="E180" s="742"/>
      <c r="F180" s="742"/>
      <c r="G180" s="742"/>
      <c r="H180" s="742"/>
      <c r="I180" s="742"/>
      <c r="J180" s="742"/>
      <c r="K180" s="741">
        <f t="shared" si="58"/>
        <v>6176.53</v>
      </c>
      <c r="L180" s="741">
        <v>1000</v>
      </c>
      <c r="M180" s="742"/>
      <c r="N180" s="743">
        <f t="shared" si="59"/>
        <v>7176.53</v>
      </c>
      <c r="O180" s="744">
        <f t="shared" si="60"/>
        <v>81294.89</v>
      </c>
      <c r="P180" s="745">
        <f t="shared" ref="P180:P184" si="64">B180*O180</f>
        <v>2357551.81</v>
      </c>
      <c r="Q180" s="740">
        <v>29</v>
      </c>
      <c r="R180" s="741">
        <v>1075.2</v>
      </c>
      <c r="S180" s="742">
        <v>5101.33</v>
      </c>
      <c r="T180" s="742"/>
      <c r="U180" s="742"/>
      <c r="V180" s="742"/>
      <c r="W180" s="742"/>
      <c r="X180" s="742"/>
      <c r="Y180" s="742"/>
      <c r="Z180" s="741">
        <f t="shared" si="61"/>
        <v>6176.53</v>
      </c>
      <c r="AA180" s="741">
        <v>1000</v>
      </c>
      <c r="AB180" s="742"/>
      <c r="AC180" s="743">
        <f t="shared" si="62"/>
        <v>7176.53</v>
      </c>
      <c r="AD180" s="744">
        <f t="shared" si="63"/>
        <v>81294.89</v>
      </c>
      <c r="AE180" s="745">
        <f t="shared" ref="AE180:AE184" si="65">Q180*AD180</f>
        <v>2357551.81</v>
      </c>
      <c r="AF180" s="746">
        <v>0</v>
      </c>
      <c r="AG180" s="718">
        <v>0</v>
      </c>
      <c r="AH180" s="740">
        <v>29</v>
      </c>
      <c r="AI180" s="745">
        <v>2357551.81</v>
      </c>
      <c r="AJ180" s="34"/>
    </row>
    <row r="181" spans="1:36">
      <c r="A181" s="747" t="s">
        <v>557</v>
      </c>
      <c r="B181" s="740">
        <v>33</v>
      </c>
      <c r="C181" s="742">
        <v>1024.17</v>
      </c>
      <c r="D181" s="742">
        <v>5021.33</v>
      </c>
      <c r="E181" s="742"/>
      <c r="F181" s="742"/>
      <c r="G181" s="742"/>
      <c r="H181" s="742"/>
      <c r="I181" s="742"/>
      <c r="J181" s="742"/>
      <c r="K181" s="741">
        <f t="shared" si="58"/>
        <v>6045.5</v>
      </c>
      <c r="L181" s="741">
        <v>1000</v>
      </c>
      <c r="M181" s="742"/>
      <c r="N181" s="743">
        <f t="shared" si="59"/>
        <v>7045.5</v>
      </c>
      <c r="O181" s="744">
        <f t="shared" si="60"/>
        <v>79591.5</v>
      </c>
      <c r="P181" s="745">
        <f t="shared" si="64"/>
        <v>2626519.5</v>
      </c>
      <c r="Q181" s="740">
        <v>33</v>
      </c>
      <c r="R181" s="742">
        <v>1024.17</v>
      </c>
      <c r="S181" s="742">
        <v>5021.33</v>
      </c>
      <c r="T181" s="742"/>
      <c r="U181" s="742"/>
      <c r="V181" s="742"/>
      <c r="W181" s="742"/>
      <c r="X181" s="742"/>
      <c r="Y181" s="742"/>
      <c r="Z181" s="741">
        <f t="shared" si="61"/>
        <v>6045.5</v>
      </c>
      <c r="AA181" s="741">
        <v>1000</v>
      </c>
      <c r="AB181" s="742"/>
      <c r="AC181" s="743">
        <f t="shared" si="62"/>
        <v>7045.5</v>
      </c>
      <c r="AD181" s="744">
        <f t="shared" si="63"/>
        <v>79591.5</v>
      </c>
      <c r="AE181" s="745">
        <f t="shared" si="65"/>
        <v>2626519.5</v>
      </c>
      <c r="AF181" s="746">
        <v>0</v>
      </c>
      <c r="AG181" s="718">
        <v>0</v>
      </c>
      <c r="AH181" s="740">
        <v>33</v>
      </c>
      <c r="AI181" s="745">
        <v>2626519.5</v>
      </c>
      <c r="AJ181" s="34"/>
    </row>
    <row r="182" spans="1:36">
      <c r="A182" s="748" t="s">
        <v>558</v>
      </c>
      <c r="B182" s="740">
        <v>90</v>
      </c>
      <c r="C182" s="742">
        <v>984.07</v>
      </c>
      <c r="D182" s="742">
        <v>2741.33</v>
      </c>
      <c r="E182" s="742"/>
      <c r="F182" s="742"/>
      <c r="G182" s="742"/>
      <c r="H182" s="742"/>
      <c r="I182" s="742"/>
      <c r="J182" s="742"/>
      <c r="K182" s="741">
        <f t="shared" si="58"/>
        <v>3725.4</v>
      </c>
      <c r="L182" s="741">
        <v>1000</v>
      </c>
      <c r="M182" s="742"/>
      <c r="N182" s="743">
        <f t="shared" si="59"/>
        <v>4725.3999999999996</v>
      </c>
      <c r="O182" s="744">
        <f t="shared" si="60"/>
        <v>49430.200000000004</v>
      </c>
      <c r="P182" s="745">
        <f t="shared" si="64"/>
        <v>4448718</v>
      </c>
      <c r="Q182" s="740">
        <v>90</v>
      </c>
      <c r="R182" s="742">
        <v>984.07</v>
      </c>
      <c r="S182" s="742">
        <v>2741.33</v>
      </c>
      <c r="T182" s="742"/>
      <c r="U182" s="742"/>
      <c r="V182" s="742"/>
      <c r="W182" s="742"/>
      <c r="X182" s="742"/>
      <c r="Y182" s="742"/>
      <c r="Z182" s="741">
        <f t="shared" si="61"/>
        <v>3725.4</v>
      </c>
      <c r="AA182" s="741">
        <v>1000</v>
      </c>
      <c r="AB182" s="742"/>
      <c r="AC182" s="743">
        <f t="shared" si="62"/>
        <v>4725.3999999999996</v>
      </c>
      <c r="AD182" s="744">
        <f t="shared" si="63"/>
        <v>49430.200000000004</v>
      </c>
      <c r="AE182" s="745">
        <f t="shared" si="65"/>
        <v>4448718</v>
      </c>
      <c r="AF182" s="746">
        <v>0</v>
      </c>
      <c r="AG182" s="718">
        <v>0</v>
      </c>
      <c r="AH182" s="740">
        <v>90</v>
      </c>
      <c r="AI182" s="745">
        <v>4448718</v>
      </c>
      <c r="AJ182" s="34"/>
    </row>
    <row r="183" spans="1:36">
      <c r="A183" s="748" t="s">
        <v>559</v>
      </c>
      <c r="B183" s="740">
        <v>35</v>
      </c>
      <c r="C183" s="742">
        <v>916.35</v>
      </c>
      <c r="D183" s="742">
        <v>2431.33</v>
      </c>
      <c r="E183" s="742"/>
      <c r="F183" s="742"/>
      <c r="G183" s="742"/>
      <c r="H183" s="742"/>
      <c r="I183" s="742"/>
      <c r="J183" s="742"/>
      <c r="K183" s="741">
        <f t="shared" si="58"/>
        <v>3347.68</v>
      </c>
      <c r="L183" s="741">
        <v>1000</v>
      </c>
      <c r="M183" s="742"/>
      <c r="N183" s="743">
        <f t="shared" si="59"/>
        <v>4347.68</v>
      </c>
      <c r="O183" s="744">
        <f t="shared" si="60"/>
        <v>44519.839999999997</v>
      </c>
      <c r="P183" s="745">
        <f t="shared" si="64"/>
        <v>1558194.4</v>
      </c>
      <c r="Q183" s="740">
        <v>35</v>
      </c>
      <c r="R183" s="742">
        <v>916.35</v>
      </c>
      <c r="S183" s="742">
        <v>2431.33</v>
      </c>
      <c r="T183" s="742"/>
      <c r="U183" s="742"/>
      <c r="V183" s="742"/>
      <c r="W183" s="742"/>
      <c r="X183" s="742"/>
      <c r="Y183" s="742"/>
      <c r="Z183" s="741">
        <f t="shared" si="61"/>
        <v>3347.68</v>
      </c>
      <c r="AA183" s="741">
        <v>1000</v>
      </c>
      <c r="AB183" s="742"/>
      <c r="AC183" s="743">
        <f t="shared" si="62"/>
        <v>4347.68</v>
      </c>
      <c r="AD183" s="744">
        <f t="shared" si="63"/>
        <v>44519.839999999997</v>
      </c>
      <c r="AE183" s="745">
        <f t="shared" si="65"/>
        <v>1558194.4</v>
      </c>
      <c r="AF183" s="746">
        <v>0</v>
      </c>
      <c r="AG183" s="718">
        <v>0</v>
      </c>
      <c r="AH183" s="740">
        <v>35</v>
      </c>
      <c r="AI183" s="745">
        <v>1558194.4</v>
      </c>
      <c r="AJ183" s="34"/>
    </row>
    <row r="184" spans="1:36">
      <c r="A184" s="739" t="s">
        <v>560</v>
      </c>
      <c r="B184" s="740">
        <v>17</v>
      </c>
      <c r="C184" s="741">
        <v>899.1</v>
      </c>
      <c r="D184" s="742">
        <v>2126.33</v>
      </c>
      <c r="E184" s="742"/>
      <c r="F184" s="742"/>
      <c r="G184" s="742"/>
      <c r="H184" s="742"/>
      <c r="I184" s="742"/>
      <c r="J184" s="742"/>
      <c r="K184" s="741">
        <f t="shared" si="58"/>
        <v>3025.43</v>
      </c>
      <c r="L184" s="741">
        <v>1000</v>
      </c>
      <c r="M184" s="742"/>
      <c r="N184" s="743">
        <f t="shared" si="59"/>
        <v>4025.43</v>
      </c>
      <c r="O184" s="744">
        <f t="shared" si="60"/>
        <v>40330.589999999997</v>
      </c>
      <c r="P184" s="745">
        <f t="shared" si="64"/>
        <v>685620.02999999991</v>
      </c>
      <c r="Q184" s="740">
        <v>17</v>
      </c>
      <c r="R184" s="741">
        <v>899.1</v>
      </c>
      <c r="S184" s="742">
        <v>2126.33</v>
      </c>
      <c r="T184" s="742"/>
      <c r="U184" s="742"/>
      <c r="V184" s="742"/>
      <c r="W184" s="742"/>
      <c r="X184" s="742"/>
      <c r="Y184" s="742"/>
      <c r="Z184" s="741">
        <f t="shared" si="61"/>
        <v>3025.43</v>
      </c>
      <c r="AA184" s="741">
        <v>1000</v>
      </c>
      <c r="AB184" s="742"/>
      <c r="AC184" s="743">
        <f t="shared" si="62"/>
        <v>4025.43</v>
      </c>
      <c r="AD184" s="744">
        <f t="shared" si="63"/>
        <v>40330.589999999997</v>
      </c>
      <c r="AE184" s="745">
        <f t="shared" si="65"/>
        <v>685620.02999999991</v>
      </c>
      <c r="AF184" s="746">
        <v>0</v>
      </c>
      <c r="AG184" s="718">
        <v>0</v>
      </c>
      <c r="AH184" s="740">
        <v>17</v>
      </c>
      <c r="AI184" s="745">
        <v>685620.03</v>
      </c>
      <c r="AJ184" s="34"/>
    </row>
    <row r="185" spans="1:36">
      <c r="A185" s="739"/>
      <c r="B185" s="740"/>
      <c r="C185" s="742"/>
      <c r="D185" s="742"/>
      <c r="E185" s="742"/>
      <c r="F185" s="742"/>
      <c r="G185" s="742"/>
      <c r="H185" s="742"/>
      <c r="I185" s="742"/>
      <c r="J185" s="742"/>
      <c r="K185" s="742"/>
      <c r="L185" s="741"/>
      <c r="M185" s="742"/>
      <c r="N185" s="54"/>
      <c r="O185" s="749"/>
      <c r="P185" s="746"/>
      <c r="Q185" s="740"/>
      <c r="R185" s="742"/>
      <c r="S185" s="742"/>
      <c r="T185" s="742"/>
      <c r="U185" s="742"/>
      <c r="V185" s="742"/>
      <c r="W185" s="742"/>
      <c r="X185" s="742"/>
      <c r="Y185" s="742"/>
      <c r="Z185" s="742"/>
      <c r="AA185" s="741"/>
      <c r="AB185" s="742"/>
      <c r="AC185" s="54"/>
      <c r="AD185" s="749"/>
      <c r="AE185" s="746"/>
      <c r="AF185" s="746"/>
      <c r="AG185" s="718"/>
      <c r="AH185" s="740"/>
      <c r="AI185" s="746"/>
      <c r="AJ185" s="34"/>
    </row>
    <row r="186" spans="1:36">
      <c r="A186" s="739" t="s">
        <v>562</v>
      </c>
      <c r="B186" s="740">
        <v>22</v>
      </c>
      <c r="C186" s="742">
        <v>698.59</v>
      </c>
      <c r="D186" s="742">
        <v>2121.33</v>
      </c>
      <c r="E186" s="742"/>
      <c r="F186" s="742"/>
      <c r="G186" s="742"/>
      <c r="H186" s="742"/>
      <c r="I186" s="742"/>
      <c r="J186" s="742"/>
      <c r="K186" s="741">
        <f t="shared" si="58"/>
        <v>2819.92</v>
      </c>
      <c r="L186" s="741">
        <v>1000</v>
      </c>
      <c r="M186" s="742"/>
      <c r="N186" s="743">
        <f>K186+L186</f>
        <v>3819.92</v>
      </c>
      <c r="O186" s="744">
        <f t="shared" si="60"/>
        <v>37658.959999999999</v>
      </c>
      <c r="P186" s="746">
        <f>B186*O186</f>
        <v>828497.12</v>
      </c>
      <c r="Q186" s="740">
        <v>22</v>
      </c>
      <c r="R186" s="742">
        <v>698.59</v>
      </c>
      <c r="S186" s="742">
        <v>2121.33</v>
      </c>
      <c r="T186" s="742"/>
      <c r="U186" s="742"/>
      <c r="V186" s="742"/>
      <c r="W186" s="742"/>
      <c r="X186" s="742"/>
      <c r="Y186" s="742"/>
      <c r="Z186" s="741">
        <f t="shared" ref="Z186:Z188" si="66">R186+S186</f>
        <v>2819.92</v>
      </c>
      <c r="AA186" s="741">
        <v>1000</v>
      </c>
      <c r="AB186" s="742"/>
      <c r="AC186" s="743">
        <f>Z186+AA186</f>
        <v>3819.92</v>
      </c>
      <c r="AD186" s="744">
        <f t="shared" ref="AD186:AD188" si="67">Z186*12+AC186</f>
        <v>37658.959999999999</v>
      </c>
      <c r="AE186" s="746">
        <f>Q186*AD186</f>
        <v>828497.12</v>
      </c>
      <c r="AF186" s="746">
        <v>0</v>
      </c>
      <c r="AG186" s="718">
        <v>0</v>
      </c>
      <c r="AH186" s="740">
        <v>22</v>
      </c>
      <c r="AI186" s="746">
        <v>828497.12</v>
      </c>
      <c r="AJ186" s="34"/>
    </row>
    <row r="187" spans="1:36">
      <c r="A187" s="739" t="s">
        <v>717</v>
      </c>
      <c r="B187" s="740">
        <v>16</v>
      </c>
      <c r="C187" s="742">
        <v>694.92</v>
      </c>
      <c r="D187" s="742">
        <v>2121.33</v>
      </c>
      <c r="E187" s="742"/>
      <c r="F187" s="742"/>
      <c r="G187" s="742"/>
      <c r="H187" s="742"/>
      <c r="I187" s="742"/>
      <c r="J187" s="742"/>
      <c r="K187" s="741">
        <f t="shared" si="58"/>
        <v>2816.25</v>
      </c>
      <c r="L187" s="741">
        <v>1000</v>
      </c>
      <c r="M187" s="742"/>
      <c r="N187" s="743">
        <f t="shared" ref="N187:P189" si="68">K187+L187</f>
        <v>3816.25</v>
      </c>
      <c r="O187" s="744">
        <f t="shared" si="60"/>
        <v>37611.25</v>
      </c>
      <c r="P187" s="745">
        <f t="shared" ref="P187:P188" si="69">B187*O187</f>
        <v>601780</v>
      </c>
      <c r="Q187" s="740">
        <v>16</v>
      </c>
      <c r="R187" s="742">
        <v>694.92</v>
      </c>
      <c r="S187" s="742">
        <v>2121.33</v>
      </c>
      <c r="T187" s="742"/>
      <c r="U187" s="742"/>
      <c r="V187" s="742"/>
      <c r="W187" s="742"/>
      <c r="X187" s="742"/>
      <c r="Y187" s="742"/>
      <c r="Z187" s="741">
        <f t="shared" si="66"/>
        <v>2816.25</v>
      </c>
      <c r="AA187" s="741">
        <v>1000</v>
      </c>
      <c r="AB187" s="742"/>
      <c r="AC187" s="743">
        <f t="shared" ref="AC187:AE189" si="70">Z187+AA187</f>
        <v>3816.25</v>
      </c>
      <c r="AD187" s="744">
        <f t="shared" si="67"/>
        <v>37611.25</v>
      </c>
      <c r="AE187" s="745">
        <f t="shared" ref="AE187:AE188" si="71">Q187*AD187</f>
        <v>601780</v>
      </c>
      <c r="AF187" s="746">
        <v>0</v>
      </c>
      <c r="AG187" s="718">
        <v>0</v>
      </c>
      <c r="AH187" s="740">
        <v>16</v>
      </c>
      <c r="AI187" s="745">
        <v>601780</v>
      </c>
      <c r="AJ187" s="34"/>
    </row>
    <row r="188" spans="1:36">
      <c r="A188" s="739" t="s">
        <v>580</v>
      </c>
      <c r="B188" s="740">
        <v>30</v>
      </c>
      <c r="C188" s="742">
        <v>648.77</v>
      </c>
      <c r="D188" s="742">
        <v>2121.33</v>
      </c>
      <c r="E188" s="742"/>
      <c r="F188" s="742"/>
      <c r="G188" s="742"/>
      <c r="H188" s="742"/>
      <c r="I188" s="742"/>
      <c r="J188" s="742"/>
      <c r="K188" s="741">
        <f t="shared" si="58"/>
        <v>2770.1</v>
      </c>
      <c r="L188" s="741">
        <v>1000</v>
      </c>
      <c r="M188" s="742"/>
      <c r="N188" s="743">
        <f t="shared" si="68"/>
        <v>3770.1</v>
      </c>
      <c r="O188" s="744">
        <f t="shared" si="60"/>
        <v>37011.299999999996</v>
      </c>
      <c r="P188" s="745">
        <f t="shared" si="69"/>
        <v>1110338.9999999998</v>
      </c>
      <c r="Q188" s="740">
        <v>30</v>
      </c>
      <c r="R188" s="742">
        <v>648.77</v>
      </c>
      <c r="S188" s="742">
        <v>2121.33</v>
      </c>
      <c r="T188" s="742"/>
      <c r="U188" s="742"/>
      <c r="V188" s="742"/>
      <c r="W188" s="742"/>
      <c r="X188" s="742"/>
      <c r="Y188" s="742"/>
      <c r="Z188" s="741">
        <f t="shared" si="66"/>
        <v>2770.1</v>
      </c>
      <c r="AA188" s="741">
        <v>1000</v>
      </c>
      <c r="AB188" s="742"/>
      <c r="AC188" s="743">
        <f t="shared" si="70"/>
        <v>3770.1</v>
      </c>
      <c r="AD188" s="744">
        <f t="shared" si="67"/>
        <v>37011.299999999996</v>
      </c>
      <c r="AE188" s="745">
        <f t="shared" si="71"/>
        <v>1110338.9999999998</v>
      </c>
      <c r="AF188" s="746">
        <v>0</v>
      </c>
      <c r="AG188" s="718">
        <v>0</v>
      </c>
      <c r="AH188" s="740">
        <v>30</v>
      </c>
      <c r="AI188" s="745">
        <v>1110339</v>
      </c>
      <c r="AJ188" s="34"/>
    </row>
    <row r="189" spans="1:36">
      <c r="A189" s="747" t="s">
        <v>623</v>
      </c>
      <c r="B189" s="740">
        <v>0</v>
      </c>
      <c r="C189" s="742">
        <v>0</v>
      </c>
      <c r="D189" s="742">
        <v>0</v>
      </c>
      <c r="E189" s="742"/>
      <c r="F189" s="742"/>
      <c r="G189" s="742"/>
      <c r="H189" s="742"/>
      <c r="I189" s="742"/>
      <c r="J189" s="742"/>
      <c r="K189" s="742">
        <f t="shared" ref="K189" si="72">C189*12+D189*12</f>
        <v>0</v>
      </c>
      <c r="L189" s="741">
        <v>0</v>
      </c>
      <c r="M189" s="742"/>
      <c r="N189" s="54">
        <f t="shared" si="68"/>
        <v>0</v>
      </c>
      <c r="O189" s="54">
        <f t="shared" si="68"/>
        <v>0</v>
      </c>
      <c r="P189" s="54">
        <f t="shared" si="68"/>
        <v>0</v>
      </c>
      <c r="Q189" s="740">
        <v>0</v>
      </c>
      <c r="R189" s="742">
        <v>0</v>
      </c>
      <c r="S189" s="742">
        <v>0</v>
      </c>
      <c r="T189" s="742"/>
      <c r="U189" s="742"/>
      <c r="V189" s="742"/>
      <c r="W189" s="742"/>
      <c r="X189" s="742"/>
      <c r="Y189" s="742"/>
      <c r="Z189" s="742">
        <f t="shared" ref="Z189" si="73">R189*12+S189*12</f>
        <v>0</v>
      </c>
      <c r="AA189" s="741">
        <v>0</v>
      </c>
      <c r="AB189" s="742"/>
      <c r="AC189" s="54">
        <f t="shared" si="70"/>
        <v>0</v>
      </c>
      <c r="AD189" s="54">
        <f t="shared" si="70"/>
        <v>0</v>
      </c>
      <c r="AE189" s="54">
        <f t="shared" si="70"/>
        <v>0</v>
      </c>
      <c r="AF189" s="746"/>
      <c r="AG189" s="718"/>
      <c r="AH189" s="740">
        <v>0</v>
      </c>
      <c r="AI189" s="54">
        <f t="shared" ref="AI189" si="74">AF189+AG189</f>
        <v>0</v>
      </c>
      <c r="AJ189" s="34"/>
    </row>
    <row r="190" spans="1:36">
      <c r="A190" s="748" t="s">
        <v>566</v>
      </c>
      <c r="B190" s="740">
        <v>217</v>
      </c>
      <c r="C190" s="742">
        <v>633.51</v>
      </c>
      <c r="D190" s="742">
        <v>1991.33</v>
      </c>
      <c r="E190" s="742"/>
      <c r="F190" s="742"/>
      <c r="G190" s="742"/>
      <c r="H190" s="742"/>
      <c r="I190" s="742"/>
      <c r="J190" s="742"/>
      <c r="K190" s="741">
        <f t="shared" ref="K190:K192" si="75">C190+D190</f>
        <v>2624.84</v>
      </c>
      <c r="L190" s="741">
        <v>1000</v>
      </c>
      <c r="M190" s="742"/>
      <c r="N190" s="743">
        <f>K190+L190</f>
        <v>3624.84</v>
      </c>
      <c r="O190" s="744">
        <f t="shared" ref="O190:O192" si="76">K190*12+N190</f>
        <v>35122.92</v>
      </c>
      <c r="P190" s="746">
        <f t="shared" ref="P190:P192" si="77">B190*O190</f>
        <v>7621673.6399999997</v>
      </c>
      <c r="Q190" s="740">
        <v>217</v>
      </c>
      <c r="R190" s="742">
        <v>633.51</v>
      </c>
      <c r="S190" s="742">
        <v>1991.33</v>
      </c>
      <c r="T190" s="742"/>
      <c r="U190" s="742"/>
      <c r="V190" s="742"/>
      <c r="W190" s="742"/>
      <c r="X190" s="742"/>
      <c r="Y190" s="742"/>
      <c r="Z190" s="741">
        <f t="shared" ref="Z190:Z192" si="78">R190+S190</f>
        <v>2624.84</v>
      </c>
      <c r="AA190" s="741">
        <v>1000</v>
      </c>
      <c r="AB190" s="742"/>
      <c r="AC190" s="743">
        <f>Z190+AA190</f>
        <v>3624.84</v>
      </c>
      <c r="AD190" s="744">
        <f t="shared" ref="AD190:AD192" si="79">Z190*12+AC190</f>
        <v>35122.92</v>
      </c>
      <c r="AE190" s="746">
        <f t="shared" ref="AE190:AE192" si="80">Q190*AD190</f>
        <v>7621673.6399999997</v>
      </c>
      <c r="AF190" s="746">
        <v>0</v>
      </c>
      <c r="AG190" s="718">
        <v>0</v>
      </c>
      <c r="AH190" s="740">
        <v>217</v>
      </c>
      <c r="AI190" s="746">
        <v>7621673.6399999997</v>
      </c>
      <c r="AJ190" s="34"/>
    </row>
    <row r="191" spans="1:36">
      <c r="A191" s="739" t="s">
        <v>567</v>
      </c>
      <c r="B191" s="740">
        <v>68</v>
      </c>
      <c r="C191" s="742">
        <v>593.16999999999996</v>
      </c>
      <c r="D191" s="742">
        <v>1991.33</v>
      </c>
      <c r="E191" s="742"/>
      <c r="F191" s="742"/>
      <c r="G191" s="742"/>
      <c r="H191" s="742"/>
      <c r="I191" s="742"/>
      <c r="J191" s="742"/>
      <c r="K191" s="741">
        <f t="shared" si="75"/>
        <v>2584.5</v>
      </c>
      <c r="L191" s="741">
        <v>1000</v>
      </c>
      <c r="M191" s="742"/>
      <c r="N191" s="743">
        <f t="shared" ref="N191:P193" si="81">K191+L191</f>
        <v>3584.5</v>
      </c>
      <c r="O191" s="744">
        <f t="shared" si="76"/>
        <v>34598.5</v>
      </c>
      <c r="P191" s="745">
        <f t="shared" si="77"/>
        <v>2352698</v>
      </c>
      <c r="Q191" s="740">
        <v>68</v>
      </c>
      <c r="R191" s="742">
        <v>593.16999999999996</v>
      </c>
      <c r="S191" s="742">
        <v>1991.33</v>
      </c>
      <c r="T191" s="742"/>
      <c r="U191" s="742"/>
      <c r="V191" s="742"/>
      <c r="W191" s="742"/>
      <c r="X191" s="742"/>
      <c r="Y191" s="742"/>
      <c r="Z191" s="741">
        <f t="shared" si="78"/>
        <v>2584.5</v>
      </c>
      <c r="AA191" s="741">
        <v>1000</v>
      </c>
      <c r="AB191" s="742"/>
      <c r="AC191" s="743">
        <f t="shared" ref="AC191:AE193" si="82">Z191+AA191</f>
        <v>3584.5</v>
      </c>
      <c r="AD191" s="744">
        <f t="shared" si="79"/>
        <v>34598.5</v>
      </c>
      <c r="AE191" s="745">
        <f t="shared" si="80"/>
        <v>2352698</v>
      </c>
      <c r="AF191" s="746">
        <v>0</v>
      </c>
      <c r="AG191" s="718">
        <v>0</v>
      </c>
      <c r="AH191" s="740">
        <v>68</v>
      </c>
      <c r="AI191" s="745">
        <v>2352698</v>
      </c>
      <c r="AJ191" s="34"/>
    </row>
    <row r="192" spans="1:36">
      <c r="A192" s="739" t="s">
        <v>581</v>
      </c>
      <c r="B192" s="740">
        <v>13</v>
      </c>
      <c r="C192" s="742">
        <v>583.28</v>
      </c>
      <c r="D192" s="742">
        <v>1991.33</v>
      </c>
      <c r="E192" s="742"/>
      <c r="F192" s="742"/>
      <c r="G192" s="742"/>
      <c r="H192" s="742"/>
      <c r="I192" s="742"/>
      <c r="J192" s="742"/>
      <c r="K192" s="741">
        <f t="shared" si="75"/>
        <v>2574.6099999999997</v>
      </c>
      <c r="L192" s="741">
        <v>1000</v>
      </c>
      <c r="M192" s="742"/>
      <c r="N192" s="743">
        <f t="shared" si="81"/>
        <v>3574.6099999999997</v>
      </c>
      <c r="O192" s="744">
        <f t="shared" si="76"/>
        <v>34469.929999999993</v>
      </c>
      <c r="P192" s="746">
        <f t="shared" si="77"/>
        <v>448109.08999999991</v>
      </c>
      <c r="Q192" s="740">
        <v>13</v>
      </c>
      <c r="R192" s="742">
        <v>583.28</v>
      </c>
      <c r="S192" s="742">
        <v>1991.33</v>
      </c>
      <c r="T192" s="742"/>
      <c r="U192" s="742"/>
      <c r="V192" s="742"/>
      <c r="W192" s="742"/>
      <c r="X192" s="742"/>
      <c r="Y192" s="742"/>
      <c r="Z192" s="741">
        <f t="shared" si="78"/>
        <v>2574.6099999999997</v>
      </c>
      <c r="AA192" s="741">
        <v>1000</v>
      </c>
      <c r="AB192" s="742"/>
      <c r="AC192" s="743">
        <f t="shared" si="82"/>
        <v>3574.6099999999997</v>
      </c>
      <c r="AD192" s="744">
        <f t="shared" si="79"/>
        <v>34469.929999999993</v>
      </c>
      <c r="AE192" s="746">
        <f t="shared" si="80"/>
        <v>448109.08999999991</v>
      </c>
      <c r="AF192" s="746">
        <v>0</v>
      </c>
      <c r="AG192" s="718">
        <v>0</v>
      </c>
      <c r="AH192" s="740">
        <v>13</v>
      </c>
      <c r="AI192" s="746">
        <v>448109.09</v>
      </c>
      <c r="AJ192" s="34"/>
    </row>
    <row r="193" spans="1:36">
      <c r="A193" s="739" t="s">
        <v>582</v>
      </c>
      <c r="B193" s="740">
        <v>0</v>
      </c>
      <c r="C193" s="742">
        <v>0</v>
      </c>
      <c r="D193" s="742">
        <v>0</v>
      </c>
      <c r="E193" s="742"/>
      <c r="F193" s="742"/>
      <c r="G193" s="742"/>
      <c r="H193" s="742"/>
      <c r="I193" s="742"/>
      <c r="J193" s="742"/>
      <c r="K193" s="742">
        <f t="shared" ref="K193" si="83">C193*12+D193*12</f>
        <v>0</v>
      </c>
      <c r="L193" s="741">
        <v>0</v>
      </c>
      <c r="M193" s="742"/>
      <c r="N193" s="54">
        <f t="shared" si="81"/>
        <v>0</v>
      </c>
      <c r="O193" s="54">
        <f t="shared" si="81"/>
        <v>0</v>
      </c>
      <c r="P193" s="54">
        <f t="shared" si="81"/>
        <v>0</v>
      </c>
      <c r="Q193" s="740">
        <v>0</v>
      </c>
      <c r="R193" s="742">
        <v>0</v>
      </c>
      <c r="S193" s="742">
        <v>0</v>
      </c>
      <c r="T193" s="742"/>
      <c r="U193" s="742"/>
      <c r="V193" s="742"/>
      <c r="W193" s="742"/>
      <c r="X193" s="742"/>
      <c r="Y193" s="742"/>
      <c r="Z193" s="742">
        <f t="shared" ref="Z193" si="84">R193*12+S193*12</f>
        <v>0</v>
      </c>
      <c r="AA193" s="741">
        <v>0</v>
      </c>
      <c r="AB193" s="742"/>
      <c r="AC193" s="54">
        <f t="shared" si="82"/>
        <v>0</v>
      </c>
      <c r="AD193" s="54">
        <f t="shared" si="82"/>
        <v>0</v>
      </c>
      <c r="AE193" s="54">
        <f t="shared" si="82"/>
        <v>0</v>
      </c>
      <c r="AF193" s="746"/>
      <c r="AG193" s="718"/>
      <c r="AH193" s="740">
        <v>0</v>
      </c>
      <c r="AI193" s="54">
        <f t="shared" ref="AI193" si="85">AF193+AG193</f>
        <v>0</v>
      </c>
      <c r="AJ193" s="34"/>
    </row>
    <row r="194" spans="1:36">
      <c r="A194" s="739" t="s">
        <v>570</v>
      </c>
      <c r="B194" s="740">
        <v>83</v>
      </c>
      <c r="C194" s="742">
        <v>551.67999999999995</v>
      </c>
      <c r="D194" s="742">
        <v>1541.33</v>
      </c>
      <c r="E194" s="742"/>
      <c r="F194" s="742"/>
      <c r="G194" s="742"/>
      <c r="H194" s="742"/>
      <c r="I194" s="742"/>
      <c r="J194" s="742"/>
      <c r="K194" s="741">
        <f t="shared" ref="K194" si="86">C194+D194</f>
        <v>2093.0099999999998</v>
      </c>
      <c r="L194" s="741">
        <v>1000</v>
      </c>
      <c r="M194" s="742"/>
      <c r="N194" s="743">
        <f>K194+L194</f>
        <v>3093.0099999999998</v>
      </c>
      <c r="O194" s="744">
        <f t="shared" ref="O194" si="87">K194*12+N194</f>
        <v>28209.129999999994</v>
      </c>
      <c r="P194" s="746">
        <f>B194*O194</f>
        <v>2341357.7899999996</v>
      </c>
      <c r="Q194" s="740">
        <v>83</v>
      </c>
      <c r="R194" s="742">
        <v>551.67999999999995</v>
      </c>
      <c r="S194" s="742">
        <v>1541.33</v>
      </c>
      <c r="T194" s="742"/>
      <c r="U194" s="742"/>
      <c r="V194" s="742"/>
      <c r="W194" s="742"/>
      <c r="X194" s="742"/>
      <c r="Y194" s="742"/>
      <c r="Z194" s="741">
        <f t="shared" ref="Z194" si="88">R194+S194</f>
        <v>2093.0099999999998</v>
      </c>
      <c r="AA194" s="741">
        <v>1000</v>
      </c>
      <c r="AB194" s="742"/>
      <c r="AC194" s="743">
        <f>Z194+AA194</f>
        <v>3093.0099999999998</v>
      </c>
      <c r="AD194" s="744">
        <f t="shared" ref="AD194" si="89">Z194*12+AC194</f>
        <v>28209.129999999994</v>
      </c>
      <c r="AE194" s="746">
        <f>Q194*AD194</f>
        <v>2341357.7899999996</v>
      </c>
      <c r="AF194" s="746">
        <v>0</v>
      </c>
      <c r="AG194" s="718">
        <v>0</v>
      </c>
      <c r="AH194" s="740">
        <v>83</v>
      </c>
      <c r="AI194" s="746">
        <v>2341357.79</v>
      </c>
      <c r="AJ194" s="34"/>
    </row>
    <row r="195" spans="1:36">
      <c r="A195" s="739" t="s">
        <v>584</v>
      </c>
      <c r="B195" s="740">
        <v>0</v>
      </c>
      <c r="C195" s="742">
        <v>0</v>
      </c>
      <c r="D195" s="742">
        <v>0</v>
      </c>
      <c r="E195" s="742"/>
      <c r="F195" s="742"/>
      <c r="G195" s="742"/>
      <c r="H195" s="742"/>
      <c r="I195" s="742"/>
      <c r="J195" s="742"/>
      <c r="K195" s="742">
        <f t="shared" ref="K195" si="90">C195*12+D195*12</f>
        <v>0</v>
      </c>
      <c r="L195" s="741">
        <v>0</v>
      </c>
      <c r="M195" s="742"/>
      <c r="N195" s="54">
        <f t="shared" ref="N195:P195" si="91">K195+L195</f>
        <v>0</v>
      </c>
      <c r="O195" s="54">
        <f t="shared" si="91"/>
        <v>0</v>
      </c>
      <c r="P195" s="54">
        <f t="shared" si="91"/>
        <v>0</v>
      </c>
      <c r="Q195" s="740">
        <v>0</v>
      </c>
      <c r="R195" s="742">
        <v>0</v>
      </c>
      <c r="S195" s="742">
        <v>0</v>
      </c>
      <c r="T195" s="742"/>
      <c r="U195" s="742"/>
      <c r="V195" s="742"/>
      <c r="W195" s="742"/>
      <c r="X195" s="742"/>
      <c r="Y195" s="742"/>
      <c r="Z195" s="742">
        <f t="shared" ref="Z195" si="92">R195*12+S195*12</f>
        <v>0</v>
      </c>
      <c r="AA195" s="741">
        <v>0</v>
      </c>
      <c r="AB195" s="742"/>
      <c r="AC195" s="54">
        <f t="shared" ref="AC195:AE195" si="93">Z195+AA195</f>
        <v>0</v>
      </c>
      <c r="AD195" s="54">
        <f t="shared" si="93"/>
        <v>0</v>
      </c>
      <c r="AE195" s="54">
        <f t="shared" si="93"/>
        <v>0</v>
      </c>
      <c r="AF195" s="746">
        <v>0</v>
      </c>
      <c r="AG195" s="718">
        <v>0</v>
      </c>
      <c r="AH195" s="740">
        <v>0</v>
      </c>
      <c r="AI195" s="54">
        <f t="shared" ref="AI195" si="94">AF195+AG195</f>
        <v>0</v>
      </c>
      <c r="AJ195" s="34"/>
    </row>
    <row r="196" spans="1:36">
      <c r="A196" s="235" t="s">
        <v>809</v>
      </c>
      <c r="B196" s="718"/>
      <c r="C196" s="742"/>
      <c r="D196" s="742"/>
      <c r="E196" s="742"/>
      <c r="F196" s="742"/>
      <c r="G196" s="742"/>
      <c r="H196" s="742"/>
      <c r="I196" s="742"/>
      <c r="J196" s="742"/>
      <c r="K196" s="742"/>
      <c r="L196" s="742"/>
      <c r="M196" s="742"/>
      <c r="N196" s="54"/>
      <c r="O196" s="749"/>
      <c r="P196" s="746"/>
      <c r="Q196" s="718"/>
      <c r="R196" s="742"/>
      <c r="S196" s="742"/>
      <c r="T196" s="742"/>
      <c r="U196" s="742"/>
      <c r="V196" s="742"/>
      <c r="W196" s="742"/>
      <c r="X196" s="742"/>
      <c r="Y196" s="742"/>
      <c r="Z196" s="742"/>
      <c r="AA196" s="742"/>
      <c r="AB196" s="742"/>
      <c r="AC196" s="54"/>
      <c r="AD196" s="749"/>
      <c r="AE196" s="746"/>
      <c r="AF196" s="746"/>
      <c r="AG196" s="718"/>
      <c r="AH196" s="718"/>
      <c r="AI196" s="746"/>
      <c r="AJ196" s="34"/>
    </row>
    <row r="197" spans="1:36">
      <c r="A197" s="718" t="s">
        <v>825</v>
      </c>
      <c r="B197" s="718"/>
      <c r="C197" s="742"/>
      <c r="D197" s="742"/>
      <c r="E197" s="742"/>
      <c r="F197" s="742"/>
      <c r="G197" s="742"/>
      <c r="H197" s="742"/>
      <c r="I197" s="742"/>
      <c r="J197" s="742"/>
      <c r="K197" s="742"/>
      <c r="L197" s="742"/>
      <c r="M197" s="742"/>
      <c r="N197" s="54"/>
      <c r="O197" s="749"/>
      <c r="P197" s="746"/>
      <c r="Q197" s="718"/>
      <c r="R197" s="742"/>
      <c r="S197" s="742"/>
      <c r="T197" s="742"/>
      <c r="U197" s="742"/>
      <c r="V197" s="742"/>
      <c r="W197" s="742"/>
      <c r="X197" s="742"/>
      <c r="Y197" s="742"/>
      <c r="Z197" s="742"/>
      <c r="AA197" s="742"/>
      <c r="AB197" s="742"/>
      <c r="AC197" s="54"/>
      <c r="AD197" s="749"/>
      <c r="AE197" s="746"/>
      <c r="AF197" s="746"/>
      <c r="AG197" s="718"/>
      <c r="AH197" s="718"/>
      <c r="AI197" s="746"/>
      <c r="AJ197" s="34"/>
    </row>
    <row r="198" spans="1:36" ht="15.75" thickBot="1">
      <c r="A198" s="667"/>
      <c r="B198" s="750"/>
      <c r="C198" s="751"/>
      <c r="D198" s="752"/>
      <c r="E198" s="752"/>
      <c r="F198" s="752"/>
      <c r="G198" s="752"/>
      <c r="H198" s="752"/>
      <c r="I198" s="752"/>
      <c r="J198" s="752"/>
      <c r="K198" s="752"/>
      <c r="L198" s="752"/>
      <c r="M198" s="752"/>
      <c r="N198" s="753"/>
      <c r="O198" s="754"/>
      <c r="P198" s="755"/>
      <c r="Q198" s="750"/>
      <c r="R198" s="751"/>
      <c r="S198" s="752"/>
      <c r="T198" s="752"/>
      <c r="U198" s="752"/>
      <c r="V198" s="752"/>
      <c r="W198" s="752"/>
      <c r="X198" s="752"/>
      <c r="Y198" s="752"/>
      <c r="Z198" s="752"/>
      <c r="AA198" s="752"/>
      <c r="AB198" s="752"/>
      <c r="AC198" s="753"/>
      <c r="AD198" s="754"/>
      <c r="AE198" s="755"/>
      <c r="AF198" s="746">
        <v>0</v>
      </c>
      <c r="AG198" s="718">
        <v>0</v>
      </c>
      <c r="AH198" s="750"/>
      <c r="AI198" s="755"/>
      <c r="AJ198" s="34"/>
    </row>
    <row r="199" spans="1:36" ht="15.75" thickBot="1">
      <c r="A199" s="640" t="s">
        <v>0</v>
      </c>
      <c r="B199" s="756">
        <f>SUM(B177:B198)</f>
        <v>657</v>
      </c>
      <c r="C199" s="743">
        <f>SUM(C177:C198)</f>
        <v>25840.229999999992</v>
      </c>
      <c r="D199" s="54">
        <f>SUM(D177:D198)</f>
        <v>38503.620000000017</v>
      </c>
      <c r="E199" s="54"/>
      <c r="F199" s="54"/>
      <c r="G199" s="54"/>
      <c r="H199" s="54"/>
      <c r="I199" s="54"/>
      <c r="J199" s="54"/>
      <c r="K199" s="743">
        <f>SUM(K177:K198)</f>
        <v>64343.85</v>
      </c>
      <c r="L199" s="743">
        <f>SUM(L177:L198)</f>
        <v>15000</v>
      </c>
      <c r="M199" s="54"/>
      <c r="N199" s="743">
        <f t="shared" ref="N199:S199" si="95">SUM(N177:N198)</f>
        <v>79343.849999999991</v>
      </c>
      <c r="O199" s="743">
        <f t="shared" si="95"/>
        <v>851470.05000000016</v>
      </c>
      <c r="P199" s="743">
        <f t="shared" si="95"/>
        <v>27479579.419999998</v>
      </c>
      <c r="Q199" s="756">
        <f t="shared" si="95"/>
        <v>657</v>
      </c>
      <c r="R199" s="743">
        <f t="shared" si="95"/>
        <v>25840.229999999992</v>
      </c>
      <c r="S199" s="54">
        <f t="shared" si="95"/>
        <v>38503.620000000017</v>
      </c>
      <c r="T199" s="54"/>
      <c r="U199" s="54"/>
      <c r="V199" s="54"/>
      <c r="W199" s="54"/>
      <c r="X199" s="54"/>
      <c r="Y199" s="54"/>
      <c r="Z199" s="743">
        <f>SUM(Z177:Z198)</f>
        <v>64343.85</v>
      </c>
      <c r="AA199" s="743">
        <f>SUM(AA177:AA198)</f>
        <v>15000</v>
      </c>
      <c r="AB199" s="54"/>
      <c r="AC199" s="743">
        <f>SUM(AC177:AC198)</f>
        <v>79343.849999999991</v>
      </c>
      <c r="AD199" s="743">
        <f>SUM(AD177:AD198)</f>
        <v>851470.05000000016</v>
      </c>
      <c r="AE199" s="743">
        <f>SUM(AE177:AE198)</f>
        <v>27479579.419999998</v>
      </c>
      <c r="AF199" s="54"/>
      <c r="AG199" s="54"/>
      <c r="AH199" s="756">
        <f>SUM(AH177:AH198)</f>
        <v>657</v>
      </c>
      <c r="AI199" s="743">
        <f>SUM(AI177:AI198)</f>
        <v>27479579.419999998</v>
      </c>
      <c r="AJ199" s="34"/>
    </row>
    <row r="200" spans="1:36">
      <c r="A200" s="562"/>
      <c r="B200" s="295"/>
      <c r="C200" s="295"/>
      <c r="D200" s="295"/>
      <c r="E200" s="295"/>
      <c r="F200" s="295"/>
      <c r="G200" s="295"/>
      <c r="H200" s="295"/>
      <c r="I200" s="295"/>
      <c r="J200" s="295"/>
      <c r="K200" s="295"/>
      <c r="L200" s="295"/>
      <c r="M200" s="295"/>
      <c r="N200" s="295"/>
      <c r="O200" s="295"/>
      <c r="P200" s="295"/>
      <c r="Q200" s="295"/>
      <c r="R200" s="295"/>
      <c r="S200" s="295"/>
      <c r="T200" s="295"/>
      <c r="U200" s="295"/>
      <c r="V200" s="295"/>
      <c r="W200" s="295"/>
      <c r="X200" s="295"/>
      <c r="Y200" s="295"/>
      <c r="Z200" s="295"/>
      <c r="AA200" s="295"/>
      <c r="AB200" s="295"/>
      <c r="AC200" s="295"/>
      <c r="AD200" s="295"/>
      <c r="AE200" s="295"/>
      <c r="AF200" s="295"/>
      <c r="AG200" s="295"/>
      <c r="AH200" s="295"/>
      <c r="AI200" s="295"/>
      <c r="AJ200" s="34"/>
    </row>
    <row r="201" spans="1:36">
      <c r="A201" s="295"/>
      <c r="B201" s="295"/>
      <c r="C201" s="295"/>
      <c r="D201" s="295"/>
      <c r="E201" s="295"/>
      <c r="F201" s="295"/>
      <c r="G201" s="295"/>
      <c r="H201" s="295"/>
      <c r="I201" s="295"/>
      <c r="J201" s="295"/>
      <c r="K201" s="295"/>
      <c r="L201" s="295"/>
      <c r="M201" s="295"/>
      <c r="N201" s="295"/>
      <c r="O201" s="295"/>
      <c r="P201" s="295"/>
      <c r="Q201" s="295"/>
      <c r="R201" s="295"/>
      <c r="S201" s="295"/>
      <c r="T201" s="295"/>
      <c r="U201" s="295"/>
      <c r="V201" s="295"/>
      <c r="W201" s="295"/>
      <c r="X201" s="295"/>
      <c r="Y201" s="295"/>
      <c r="Z201" s="295"/>
      <c r="AA201" s="295"/>
      <c r="AB201" s="295"/>
      <c r="AC201" s="295"/>
      <c r="AD201" s="295"/>
      <c r="AE201" s="295"/>
      <c r="AF201" s="295"/>
      <c r="AG201" s="295"/>
      <c r="AH201" s="295"/>
      <c r="AI201" s="295"/>
      <c r="AJ201" s="34"/>
    </row>
    <row r="202" spans="1:36">
      <c r="A202" s="560" t="s">
        <v>766</v>
      </c>
      <c r="B202" s="305"/>
      <c r="C202" s="305"/>
      <c r="D202" s="305"/>
      <c r="E202" s="305"/>
      <c r="F202" s="305"/>
      <c r="G202" s="305"/>
      <c r="H202" s="305"/>
      <c r="I202" s="305"/>
      <c r="J202" s="305"/>
      <c r="K202" s="305"/>
      <c r="L202" s="305"/>
      <c r="M202" s="305"/>
      <c r="N202" s="305"/>
      <c r="O202" s="305"/>
      <c r="P202" s="305"/>
      <c r="Q202" s="305"/>
      <c r="R202" s="305"/>
      <c r="S202" s="305"/>
      <c r="T202" s="305"/>
      <c r="U202" s="305"/>
      <c r="V202" s="305"/>
      <c r="W202" s="305"/>
      <c r="X202" s="305"/>
      <c r="Y202" s="305"/>
      <c r="Z202" s="305"/>
      <c r="AA202" s="305"/>
      <c r="AB202" s="305"/>
      <c r="AC202" s="305"/>
      <c r="AD202" s="305"/>
      <c r="AE202" s="305"/>
      <c r="AF202" s="305"/>
      <c r="AG202" s="305"/>
      <c r="AH202" s="305"/>
      <c r="AI202" s="305"/>
      <c r="AJ202" s="34"/>
    </row>
    <row r="203" spans="1:36">
      <c r="A203" s="561" t="s">
        <v>826</v>
      </c>
      <c r="B203" s="561"/>
      <c r="C203" s="561"/>
      <c r="D203" s="561"/>
      <c r="E203" s="561"/>
      <c r="F203" s="561"/>
      <c r="G203" s="561"/>
      <c r="H203" s="561"/>
      <c r="I203" s="561"/>
      <c r="J203" s="561"/>
      <c r="K203" s="561"/>
      <c r="L203" s="561"/>
      <c r="M203" s="561"/>
      <c r="N203" s="561"/>
      <c r="O203" s="561"/>
      <c r="P203" s="561"/>
      <c r="Q203" s="561"/>
      <c r="R203" s="561"/>
      <c r="S203" s="561"/>
      <c r="T203" s="561"/>
      <c r="U203" s="561"/>
      <c r="V203" s="561"/>
      <c r="W203" s="561"/>
      <c r="X203" s="561"/>
      <c r="Y203" s="561"/>
      <c r="Z203" s="561"/>
      <c r="AA203" s="561"/>
      <c r="AB203" s="561"/>
      <c r="AC203" s="561"/>
      <c r="AD203" s="561"/>
      <c r="AE203" s="305"/>
      <c r="AF203" s="305"/>
      <c r="AG203" s="305"/>
      <c r="AH203" s="305"/>
      <c r="AI203" s="305"/>
      <c r="AJ203" s="34"/>
    </row>
    <row r="204" spans="1:36" ht="15.75" thickBot="1">
      <c r="A204" s="560" t="s">
        <v>767</v>
      </c>
      <c r="B204" s="560"/>
      <c r="C204" s="560"/>
      <c r="D204" s="560"/>
      <c r="E204" s="560"/>
      <c r="F204" s="560"/>
      <c r="G204" s="560"/>
      <c r="H204" s="560"/>
      <c r="I204" s="560"/>
      <c r="J204" s="560"/>
      <c r="K204" s="560"/>
      <c r="L204" s="560"/>
      <c r="M204" s="560"/>
      <c r="N204" s="560"/>
      <c r="O204" s="560"/>
      <c r="P204" s="560"/>
      <c r="Q204" s="560"/>
      <c r="R204" s="560"/>
      <c r="S204" s="560"/>
      <c r="T204" s="560"/>
      <c r="U204" s="560"/>
      <c r="V204" s="560"/>
      <c r="W204" s="560"/>
      <c r="X204" s="560"/>
      <c r="Y204" s="560"/>
      <c r="Z204" s="560"/>
      <c r="AA204" s="560"/>
      <c r="AB204" s="560"/>
      <c r="AC204" s="560"/>
      <c r="AD204" s="560"/>
      <c r="AE204" s="560"/>
      <c r="AF204" s="560"/>
      <c r="AG204" s="560"/>
      <c r="AH204" s="560"/>
      <c r="AI204" s="560"/>
      <c r="AJ204" s="34"/>
    </row>
    <row r="205" spans="1:36" ht="15.75" thickBot="1">
      <c r="A205" s="1314" t="s">
        <v>768</v>
      </c>
      <c r="B205" s="1346" t="s">
        <v>769</v>
      </c>
      <c r="C205" s="1291"/>
      <c r="D205" s="1291"/>
      <c r="E205" s="1291"/>
      <c r="F205" s="1291"/>
      <c r="G205" s="1291"/>
      <c r="H205" s="1291"/>
      <c r="I205" s="1291"/>
      <c r="J205" s="1291"/>
      <c r="K205" s="1291"/>
      <c r="L205" s="1291"/>
      <c r="M205" s="1291"/>
      <c r="N205" s="1291"/>
      <c r="O205" s="1291"/>
      <c r="P205" s="1291"/>
      <c r="Q205" s="1347" t="s">
        <v>770</v>
      </c>
      <c r="R205" s="1291"/>
      <c r="S205" s="1291"/>
      <c r="T205" s="1291"/>
      <c r="U205" s="1291"/>
      <c r="V205" s="1291"/>
      <c r="W205" s="1291"/>
      <c r="X205" s="1291"/>
      <c r="Y205" s="1291"/>
      <c r="Z205" s="1291"/>
      <c r="AA205" s="1291"/>
      <c r="AB205" s="1291"/>
      <c r="AC205" s="1291"/>
      <c r="AD205" s="1291"/>
      <c r="AE205" s="1292"/>
      <c r="AF205" s="1348" t="s">
        <v>771</v>
      </c>
      <c r="AG205" s="1292"/>
      <c r="AH205" s="1348" t="s">
        <v>772</v>
      </c>
      <c r="AI205" s="1292"/>
      <c r="AJ205" s="34"/>
    </row>
    <row r="206" spans="1:36" ht="97.5">
      <c r="A206" s="1345"/>
      <c r="B206" s="600" t="s">
        <v>773</v>
      </c>
      <c r="C206" s="601" t="s">
        <v>774</v>
      </c>
      <c r="D206" s="602" t="s">
        <v>775</v>
      </c>
      <c r="E206" s="602" t="s">
        <v>776</v>
      </c>
      <c r="F206" s="602" t="s">
        <v>777</v>
      </c>
      <c r="G206" s="602" t="s">
        <v>778</v>
      </c>
      <c r="H206" s="602" t="s">
        <v>779</v>
      </c>
      <c r="I206" s="602" t="s">
        <v>780</v>
      </c>
      <c r="J206" s="602" t="s">
        <v>781</v>
      </c>
      <c r="K206" s="602" t="s">
        <v>782</v>
      </c>
      <c r="L206" s="602" t="s">
        <v>783</v>
      </c>
      <c r="M206" s="602" t="s">
        <v>784</v>
      </c>
      <c r="N206" s="603" t="s">
        <v>785</v>
      </c>
      <c r="O206" s="604" t="s">
        <v>786</v>
      </c>
      <c r="P206" s="605" t="s">
        <v>787</v>
      </c>
      <c r="Q206" s="600" t="s">
        <v>773</v>
      </c>
      <c r="R206" s="601" t="s">
        <v>774</v>
      </c>
      <c r="S206" s="602" t="s">
        <v>788</v>
      </c>
      <c r="T206" s="602" t="s">
        <v>776</v>
      </c>
      <c r="U206" s="602" t="s">
        <v>777</v>
      </c>
      <c r="V206" s="602" t="s">
        <v>778</v>
      </c>
      <c r="W206" s="602" t="s">
        <v>779</v>
      </c>
      <c r="X206" s="602" t="s">
        <v>780</v>
      </c>
      <c r="Y206" s="602" t="s">
        <v>781</v>
      </c>
      <c r="Z206" s="602" t="s">
        <v>782</v>
      </c>
      <c r="AA206" s="602" t="s">
        <v>783</v>
      </c>
      <c r="AB206" s="602" t="s">
        <v>784</v>
      </c>
      <c r="AC206" s="603" t="s">
        <v>785</v>
      </c>
      <c r="AD206" s="604" t="s">
        <v>786</v>
      </c>
      <c r="AE206" s="605" t="s">
        <v>789</v>
      </c>
      <c r="AF206" s="606" t="s">
        <v>790</v>
      </c>
      <c r="AG206" s="606" t="s">
        <v>791</v>
      </c>
      <c r="AH206" s="606" t="s">
        <v>773</v>
      </c>
      <c r="AI206" s="605" t="s">
        <v>792</v>
      </c>
      <c r="AJ206" s="34"/>
    </row>
    <row r="207" spans="1:36" ht="15.75" thickBot="1">
      <c r="A207" s="1280"/>
      <c r="B207" s="607" t="s">
        <v>793</v>
      </c>
      <c r="C207" s="608" t="s">
        <v>794</v>
      </c>
      <c r="D207" s="609" t="s">
        <v>795</v>
      </c>
      <c r="E207" s="609" t="s">
        <v>796</v>
      </c>
      <c r="F207" s="610" t="s">
        <v>797</v>
      </c>
      <c r="G207" s="610" t="s">
        <v>798</v>
      </c>
      <c r="H207" s="610" t="s">
        <v>799</v>
      </c>
      <c r="I207" s="610" t="s">
        <v>800</v>
      </c>
      <c r="J207" s="610" t="s">
        <v>801</v>
      </c>
      <c r="K207" s="610" t="s">
        <v>802</v>
      </c>
      <c r="L207" s="610" t="s">
        <v>803</v>
      </c>
      <c r="M207" s="610" t="s">
        <v>804</v>
      </c>
      <c r="N207" s="611" t="s">
        <v>805</v>
      </c>
      <c r="O207" s="612" t="s">
        <v>806</v>
      </c>
      <c r="P207" s="613" t="s">
        <v>807</v>
      </c>
      <c r="Q207" s="607" t="s">
        <v>793</v>
      </c>
      <c r="R207" s="608" t="s">
        <v>794</v>
      </c>
      <c r="S207" s="609" t="s">
        <v>795</v>
      </c>
      <c r="T207" s="609" t="s">
        <v>796</v>
      </c>
      <c r="U207" s="610" t="s">
        <v>797</v>
      </c>
      <c r="V207" s="610" t="s">
        <v>798</v>
      </c>
      <c r="W207" s="610" t="s">
        <v>799</v>
      </c>
      <c r="X207" s="610" t="s">
        <v>800</v>
      </c>
      <c r="Y207" s="610" t="s">
        <v>801</v>
      </c>
      <c r="Z207" s="610" t="s">
        <v>802</v>
      </c>
      <c r="AA207" s="610" t="s">
        <v>803</v>
      </c>
      <c r="AB207" s="610" t="s">
        <v>804</v>
      </c>
      <c r="AC207" s="611" t="s">
        <v>805</v>
      </c>
      <c r="AD207" s="612" t="s">
        <v>806</v>
      </c>
      <c r="AE207" s="613" t="s">
        <v>807</v>
      </c>
      <c r="AF207" s="614"/>
      <c r="AG207" s="607"/>
      <c r="AH207" s="614"/>
      <c r="AI207" s="607"/>
      <c r="AJ207" s="34"/>
    </row>
    <row r="208" spans="1:36">
      <c r="A208" s="226"/>
      <c r="B208" s="235"/>
      <c r="C208" s="626"/>
      <c r="D208" s="626"/>
      <c r="E208" s="626"/>
      <c r="F208" s="626"/>
      <c r="G208" s="626"/>
      <c r="H208" s="626"/>
      <c r="I208" s="626"/>
      <c r="J208" s="626"/>
      <c r="K208" s="626"/>
      <c r="L208" s="626"/>
      <c r="M208" s="626"/>
      <c r="N208" s="295"/>
      <c r="O208" s="659"/>
      <c r="P208" s="658"/>
      <c r="Q208" s="235"/>
      <c r="R208" s="626"/>
      <c r="S208" s="626"/>
      <c r="T208" s="626"/>
      <c r="U208" s="626"/>
      <c r="V208" s="626"/>
      <c r="W208" s="626"/>
      <c r="X208" s="626"/>
      <c r="Y208" s="626"/>
      <c r="Z208" s="626"/>
      <c r="AA208" s="626"/>
      <c r="AB208" s="626"/>
      <c r="AC208" s="295"/>
      <c r="AD208" s="659"/>
      <c r="AE208" s="658"/>
      <c r="AF208" s="658"/>
      <c r="AG208" s="235"/>
      <c r="AH208" s="658"/>
      <c r="AI208" s="235"/>
      <c r="AJ208" s="34"/>
    </row>
    <row r="209" spans="1:36">
      <c r="A209" s="757" t="s">
        <v>808</v>
      </c>
      <c r="B209" s="758">
        <v>66</v>
      </c>
      <c r="C209" s="758"/>
      <c r="D209" s="758"/>
      <c r="E209" s="758"/>
      <c r="F209" s="758"/>
      <c r="G209" s="758"/>
      <c r="H209" s="759"/>
      <c r="I209" s="758"/>
      <c r="J209" s="758"/>
      <c r="K209" s="758"/>
      <c r="L209" s="758"/>
      <c r="M209" s="758"/>
      <c r="N209" s="758"/>
      <c r="O209" s="758"/>
      <c r="P209" s="760"/>
      <c r="Q209" s="761"/>
      <c r="R209" s="758"/>
      <c r="S209" s="758"/>
      <c r="T209" s="758"/>
      <c r="U209" s="758"/>
      <c r="V209" s="758"/>
      <c r="W209" s="759"/>
      <c r="X209" s="758"/>
      <c r="Y209" s="758"/>
      <c r="Z209" s="758"/>
      <c r="AA209" s="758"/>
      <c r="AB209" s="758"/>
      <c r="AC209" s="758"/>
      <c r="AD209" s="758"/>
      <c r="AE209" s="758"/>
      <c r="AF209" s="758"/>
      <c r="AG209" s="758"/>
      <c r="AH209" s="762"/>
      <c r="AI209" s="762"/>
      <c r="AJ209" s="34"/>
    </row>
    <row r="210" spans="1:36" ht="15.75">
      <c r="A210" s="759" t="s">
        <v>556</v>
      </c>
      <c r="B210" s="758"/>
      <c r="C210" s="758">
        <v>980.94</v>
      </c>
      <c r="D210" s="763"/>
      <c r="E210" s="758"/>
      <c r="F210" s="763">
        <v>1200</v>
      </c>
      <c r="G210" s="758"/>
      <c r="H210" s="759"/>
      <c r="I210" s="758"/>
      <c r="J210" s="758"/>
      <c r="K210" s="758"/>
      <c r="L210" s="763">
        <v>1000</v>
      </c>
      <c r="M210" s="758"/>
      <c r="N210" s="758"/>
      <c r="O210" s="758"/>
      <c r="P210" s="764">
        <f>+C210+F210+L210</f>
        <v>3180.94</v>
      </c>
      <c r="Q210" s="761"/>
      <c r="R210" s="758">
        <v>980.94</v>
      </c>
      <c r="S210" s="758"/>
      <c r="T210" s="758"/>
      <c r="U210" s="763">
        <v>1210</v>
      </c>
      <c r="V210" s="758"/>
      <c r="W210" s="759"/>
      <c r="X210" s="758"/>
      <c r="Y210" s="758"/>
      <c r="Z210" s="758"/>
      <c r="AA210" s="763">
        <v>1000</v>
      </c>
      <c r="AB210" s="758"/>
      <c r="AC210" s="758"/>
      <c r="AD210" s="758"/>
      <c r="AE210" s="758"/>
      <c r="AF210" s="758"/>
      <c r="AG210" s="758"/>
      <c r="AH210" s="762"/>
      <c r="AI210" s="765">
        <f>+R210+U210+AA210</f>
        <v>3190.94</v>
      </c>
      <c r="AJ210" s="34"/>
    </row>
    <row r="211" spans="1:36" ht="15.75">
      <c r="A211" s="759" t="s">
        <v>557</v>
      </c>
      <c r="B211" s="758"/>
      <c r="C211" s="766">
        <v>964.02</v>
      </c>
      <c r="D211" s="763"/>
      <c r="E211" s="758"/>
      <c r="F211" s="763">
        <v>1200</v>
      </c>
      <c r="G211" s="758"/>
      <c r="H211" s="759"/>
      <c r="I211" s="758"/>
      <c r="J211" s="758"/>
      <c r="K211" s="758"/>
      <c r="L211" s="763">
        <v>1000</v>
      </c>
      <c r="M211" s="758"/>
      <c r="N211" s="758"/>
      <c r="O211" s="758"/>
      <c r="P211" s="764">
        <f t="shared" ref="P211:P218" si="96">+C211+F211+L211</f>
        <v>3164.02</v>
      </c>
      <c r="Q211" s="761"/>
      <c r="R211" s="766">
        <v>964.02</v>
      </c>
      <c r="S211" s="758"/>
      <c r="T211" s="758"/>
      <c r="U211" s="763">
        <v>1210</v>
      </c>
      <c r="V211" s="758"/>
      <c r="W211" s="759"/>
      <c r="X211" s="758"/>
      <c r="Y211" s="758"/>
      <c r="Z211" s="758"/>
      <c r="AA211" s="763">
        <v>1000</v>
      </c>
      <c r="AB211" s="758"/>
      <c r="AC211" s="758"/>
      <c r="AD211" s="758"/>
      <c r="AE211" s="758"/>
      <c r="AF211" s="758"/>
      <c r="AG211" s="758"/>
      <c r="AH211" s="762"/>
      <c r="AI211" s="765">
        <f t="shared" ref="AI211:AI218" si="97">+R211+U211+AA211</f>
        <v>3174.02</v>
      </c>
      <c r="AJ211" s="34"/>
    </row>
    <row r="212" spans="1:36" ht="15.75">
      <c r="A212" s="759" t="s">
        <v>558</v>
      </c>
      <c r="B212" s="758"/>
      <c r="C212" s="767">
        <v>1054.33</v>
      </c>
      <c r="D212" s="763"/>
      <c r="E212" s="758"/>
      <c r="F212" s="763">
        <v>1200</v>
      </c>
      <c r="G212" s="758"/>
      <c r="H212" s="759"/>
      <c r="I212" s="758"/>
      <c r="J212" s="758"/>
      <c r="K212" s="758"/>
      <c r="L212" s="763">
        <v>1000</v>
      </c>
      <c r="M212" s="758"/>
      <c r="N212" s="758"/>
      <c r="O212" s="758"/>
      <c r="P212" s="764">
        <f t="shared" si="96"/>
        <v>3254.33</v>
      </c>
      <c r="Q212" s="761"/>
      <c r="R212" s="767">
        <v>1054.33</v>
      </c>
      <c r="S212" s="758"/>
      <c r="T212" s="758"/>
      <c r="U212" s="763">
        <v>1210</v>
      </c>
      <c r="V212" s="758"/>
      <c r="W212" s="759"/>
      <c r="X212" s="758"/>
      <c r="Y212" s="758"/>
      <c r="Z212" s="758"/>
      <c r="AA212" s="763">
        <v>1000</v>
      </c>
      <c r="AB212" s="758"/>
      <c r="AC212" s="758"/>
      <c r="AD212" s="758"/>
      <c r="AE212" s="758"/>
      <c r="AF212" s="758"/>
      <c r="AG212" s="758"/>
      <c r="AH212" s="762"/>
      <c r="AI212" s="765">
        <f t="shared" si="97"/>
        <v>3264.33</v>
      </c>
      <c r="AJ212" s="34"/>
    </row>
    <row r="213" spans="1:36" ht="15.75">
      <c r="A213" s="759" t="s">
        <v>559</v>
      </c>
      <c r="B213" s="758"/>
      <c r="C213" s="768">
        <v>1087.06</v>
      </c>
      <c r="D213" s="763"/>
      <c r="E213" s="758"/>
      <c r="F213" s="763">
        <v>1200</v>
      </c>
      <c r="G213" s="758"/>
      <c r="H213" s="759"/>
      <c r="I213" s="758"/>
      <c r="J213" s="758"/>
      <c r="K213" s="758"/>
      <c r="L213" s="763">
        <v>1000</v>
      </c>
      <c r="M213" s="758"/>
      <c r="N213" s="758"/>
      <c r="O213" s="758"/>
      <c r="P213" s="764">
        <f t="shared" si="96"/>
        <v>3287.06</v>
      </c>
      <c r="Q213" s="761"/>
      <c r="R213" s="768">
        <v>1087.06</v>
      </c>
      <c r="S213" s="758"/>
      <c r="T213" s="758"/>
      <c r="U213" s="763">
        <v>1210</v>
      </c>
      <c r="V213" s="758"/>
      <c r="W213" s="759"/>
      <c r="X213" s="758"/>
      <c r="Y213" s="758"/>
      <c r="Z213" s="758"/>
      <c r="AA213" s="763">
        <v>1000</v>
      </c>
      <c r="AB213" s="758"/>
      <c r="AC213" s="758"/>
      <c r="AD213" s="758"/>
      <c r="AE213" s="758"/>
      <c r="AF213" s="758"/>
      <c r="AG213" s="758"/>
      <c r="AH213" s="762"/>
      <c r="AI213" s="765">
        <f t="shared" si="97"/>
        <v>3297.06</v>
      </c>
      <c r="AJ213" s="34"/>
    </row>
    <row r="214" spans="1:36" ht="15.75">
      <c r="A214" s="759" t="s">
        <v>560</v>
      </c>
      <c r="B214" s="758"/>
      <c r="C214" s="768">
        <v>1191.05</v>
      </c>
      <c r="D214" s="763"/>
      <c r="E214" s="758"/>
      <c r="F214" s="763">
        <v>1200</v>
      </c>
      <c r="G214" s="758"/>
      <c r="H214" s="759"/>
      <c r="I214" s="758"/>
      <c r="J214" s="758"/>
      <c r="K214" s="758"/>
      <c r="L214" s="763">
        <v>1000</v>
      </c>
      <c r="M214" s="758"/>
      <c r="N214" s="758"/>
      <c r="O214" s="758"/>
      <c r="P214" s="764">
        <f t="shared" si="96"/>
        <v>3391.05</v>
      </c>
      <c r="Q214" s="761"/>
      <c r="R214" s="768">
        <v>1191.05</v>
      </c>
      <c r="S214" s="758"/>
      <c r="T214" s="758"/>
      <c r="U214" s="763">
        <v>1210</v>
      </c>
      <c r="V214" s="758"/>
      <c r="W214" s="759"/>
      <c r="X214" s="758"/>
      <c r="Y214" s="758"/>
      <c r="Z214" s="758"/>
      <c r="AA214" s="763">
        <v>1000</v>
      </c>
      <c r="AB214" s="758"/>
      <c r="AC214" s="758"/>
      <c r="AD214" s="758"/>
      <c r="AE214" s="758"/>
      <c r="AF214" s="758"/>
      <c r="AG214" s="758"/>
      <c r="AH214" s="762"/>
      <c r="AI214" s="765">
        <f t="shared" si="97"/>
        <v>3401.05</v>
      </c>
      <c r="AJ214" s="34"/>
    </row>
    <row r="215" spans="1:36" ht="15.75">
      <c r="A215" s="759" t="s">
        <v>580</v>
      </c>
      <c r="B215" s="758"/>
      <c r="C215" s="768">
        <v>839.76</v>
      </c>
      <c r="D215" s="763"/>
      <c r="E215" s="758"/>
      <c r="F215" s="763">
        <v>1000</v>
      </c>
      <c r="G215" s="758"/>
      <c r="H215" s="759"/>
      <c r="I215" s="758"/>
      <c r="J215" s="758"/>
      <c r="K215" s="758"/>
      <c r="L215" s="763">
        <v>1000</v>
      </c>
      <c r="M215" s="758"/>
      <c r="N215" s="758"/>
      <c r="O215" s="758"/>
      <c r="P215" s="764">
        <f t="shared" si="96"/>
        <v>2839.76</v>
      </c>
      <c r="Q215" s="761"/>
      <c r="R215" s="768">
        <v>839.76</v>
      </c>
      <c r="S215" s="758"/>
      <c r="T215" s="758"/>
      <c r="U215" s="763">
        <v>1100</v>
      </c>
      <c r="V215" s="758"/>
      <c r="W215" s="759"/>
      <c r="X215" s="758"/>
      <c r="Y215" s="758"/>
      <c r="Z215" s="758"/>
      <c r="AA215" s="763">
        <v>1000</v>
      </c>
      <c r="AB215" s="758"/>
      <c r="AC215" s="758"/>
      <c r="AD215" s="758"/>
      <c r="AE215" s="758"/>
      <c r="AF215" s="758"/>
      <c r="AG215" s="758"/>
      <c r="AH215" s="762"/>
      <c r="AI215" s="765">
        <f t="shared" si="97"/>
        <v>2939.76</v>
      </c>
      <c r="AJ215" s="34"/>
    </row>
    <row r="216" spans="1:36" ht="15.75">
      <c r="A216" s="759" t="s">
        <v>566</v>
      </c>
      <c r="B216" s="758"/>
      <c r="C216" s="768">
        <v>832.64</v>
      </c>
      <c r="D216" s="763"/>
      <c r="E216" s="758"/>
      <c r="F216" s="763">
        <v>950</v>
      </c>
      <c r="G216" s="758"/>
      <c r="H216" s="759"/>
      <c r="I216" s="758"/>
      <c r="J216" s="758"/>
      <c r="K216" s="758"/>
      <c r="L216" s="763">
        <v>1000</v>
      </c>
      <c r="M216" s="758"/>
      <c r="N216" s="758"/>
      <c r="O216" s="758"/>
      <c r="P216" s="764">
        <f t="shared" si="96"/>
        <v>2782.64</v>
      </c>
      <c r="Q216" s="761"/>
      <c r="R216" s="768">
        <v>832.64</v>
      </c>
      <c r="S216" s="758"/>
      <c r="T216" s="758"/>
      <c r="U216" s="763">
        <v>1070</v>
      </c>
      <c r="V216" s="758"/>
      <c r="W216" s="759"/>
      <c r="X216" s="758"/>
      <c r="Y216" s="758"/>
      <c r="Z216" s="758"/>
      <c r="AA216" s="763">
        <v>1000</v>
      </c>
      <c r="AB216" s="758"/>
      <c r="AC216" s="758"/>
      <c r="AD216" s="758"/>
      <c r="AE216" s="758"/>
      <c r="AF216" s="758"/>
      <c r="AG216" s="758"/>
      <c r="AH216" s="762"/>
      <c r="AI216" s="765">
        <f t="shared" si="97"/>
        <v>2902.64</v>
      </c>
      <c r="AJ216" s="34"/>
    </row>
    <row r="217" spans="1:36" ht="15.75">
      <c r="A217" s="759" t="s">
        <v>567</v>
      </c>
      <c r="B217" s="758"/>
      <c r="C217" s="768">
        <v>785.5</v>
      </c>
      <c r="D217" s="763"/>
      <c r="E217" s="758"/>
      <c r="F217" s="763">
        <v>950</v>
      </c>
      <c r="G217" s="758"/>
      <c r="H217" s="759"/>
      <c r="I217" s="758"/>
      <c r="J217" s="758"/>
      <c r="K217" s="758"/>
      <c r="L217" s="763">
        <v>1000</v>
      </c>
      <c r="M217" s="758"/>
      <c r="N217" s="758"/>
      <c r="O217" s="758"/>
      <c r="P217" s="764">
        <f t="shared" si="96"/>
        <v>2735.5</v>
      </c>
      <c r="Q217" s="761"/>
      <c r="R217" s="768">
        <v>785.5</v>
      </c>
      <c r="S217" s="758"/>
      <c r="T217" s="758"/>
      <c r="U217" s="763">
        <v>1070</v>
      </c>
      <c r="V217" s="758"/>
      <c r="W217" s="759"/>
      <c r="X217" s="758"/>
      <c r="Y217" s="758"/>
      <c r="Z217" s="758"/>
      <c r="AA217" s="763">
        <v>1000</v>
      </c>
      <c r="AB217" s="758"/>
      <c r="AC217" s="758"/>
      <c r="AD217" s="758"/>
      <c r="AE217" s="758"/>
      <c r="AF217" s="758"/>
      <c r="AG217" s="758"/>
      <c r="AH217" s="762"/>
      <c r="AI217" s="765">
        <f t="shared" si="97"/>
        <v>2855.5</v>
      </c>
      <c r="AJ217" s="34"/>
    </row>
    <row r="218" spans="1:36" ht="15.75">
      <c r="A218" s="759" t="s">
        <v>581</v>
      </c>
      <c r="B218" s="758"/>
      <c r="C218" s="768">
        <v>809.83</v>
      </c>
      <c r="D218" s="763"/>
      <c r="E218" s="758"/>
      <c r="F218" s="763">
        <v>950</v>
      </c>
      <c r="G218" s="758"/>
      <c r="H218" s="759"/>
      <c r="I218" s="758"/>
      <c r="J218" s="758"/>
      <c r="K218" s="758"/>
      <c r="L218" s="763">
        <v>1000</v>
      </c>
      <c r="M218" s="758"/>
      <c r="N218" s="758"/>
      <c r="O218" s="758"/>
      <c r="P218" s="764">
        <f t="shared" si="96"/>
        <v>2759.83</v>
      </c>
      <c r="Q218" s="761"/>
      <c r="R218" s="768">
        <v>809.83</v>
      </c>
      <c r="S218" s="758"/>
      <c r="T218" s="758"/>
      <c r="U218" s="763">
        <v>1070</v>
      </c>
      <c r="V218" s="758"/>
      <c r="W218" s="759"/>
      <c r="X218" s="758"/>
      <c r="Y218" s="758"/>
      <c r="Z218" s="758"/>
      <c r="AA218" s="763">
        <v>1000</v>
      </c>
      <c r="AB218" s="758"/>
      <c r="AC218" s="758"/>
      <c r="AD218" s="758"/>
      <c r="AE218" s="758"/>
      <c r="AF218" s="758"/>
      <c r="AG218" s="758"/>
      <c r="AH218" s="762"/>
      <c r="AI218" s="765">
        <f t="shared" si="97"/>
        <v>2879.83</v>
      </c>
      <c r="AJ218" s="34"/>
    </row>
    <row r="219" spans="1:36">
      <c r="A219" s="769"/>
      <c r="B219" s="758"/>
      <c r="C219" s="758"/>
      <c r="D219" s="758"/>
      <c r="E219" s="758"/>
      <c r="F219" s="758"/>
      <c r="G219" s="758"/>
      <c r="H219" s="759"/>
      <c r="I219" s="758"/>
      <c r="J219" s="758"/>
      <c r="K219" s="758"/>
      <c r="L219" s="758"/>
      <c r="M219" s="758"/>
      <c r="N219" s="758"/>
      <c r="O219" s="758"/>
      <c r="P219" s="760"/>
      <c r="Q219" s="761"/>
      <c r="R219" s="758"/>
      <c r="S219" s="758"/>
      <c r="T219" s="758"/>
      <c r="U219" s="758"/>
      <c r="V219" s="758"/>
      <c r="W219" s="759"/>
      <c r="X219" s="758"/>
      <c r="Y219" s="758"/>
      <c r="Z219" s="758"/>
      <c r="AA219" s="758"/>
      <c r="AB219" s="758"/>
      <c r="AC219" s="758"/>
      <c r="AD219" s="758"/>
      <c r="AE219" s="758"/>
      <c r="AF219" s="758"/>
      <c r="AG219" s="758"/>
      <c r="AH219" s="762"/>
      <c r="AI219" s="762"/>
      <c r="AJ219" s="34"/>
    </row>
    <row r="220" spans="1:36">
      <c r="A220" s="770" t="s">
        <v>827</v>
      </c>
      <c r="B220" s="758"/>
      <c r="C220" s="758"/>
      <c r="D220" s="758"/>
      <c r="E220" s="758"/>
      <c r="F220" s="758"/>
      <c r="G220" s="758"/>
      <c r="H220" s="759"/>
      <c r="I220" s="758"/>
      <c r="J220" s="758"/>
      <c r="K220" s="758"/>
      <c r="L220" s="758"/>
      <c r="M220" s="758"/>
      <c r="N220" s="758"/>
      <c r="O220" s="758"/>
      <c r="P220" s="760"/>
      <c r="Q220" s="761"/>
      <c r="R220" s="758"/>
      <c r="S220" s="758"/>
      <c r="T220" s="758"/>
      <c r="U220" s="758"/>
      <c r="V220" s="758"/>
      <c r="W220" s="759"/>
      <c r="X220" s="758"/>
      <c r="Y220" s="758"/>
      <c r="Z220" s="758"/>
      <c r="AA220" s="758"/>
      <c r="AB220" s="758"/>
      <c r="AC220" s="758"/>
      <c r="AD220" s="758"/>
      <c r="AE220" s="758"/>
      <c r="AF220" s="758"/>
      <c r="AG220" s="758"/>
      <c r="AH220" s="762"/>
      <c r="AI220" s="762"/>
      <c r="AJ220" s="34"/>
    </row>
    <row r="221" spans="1:36">
      <c r="A221" s="771"/>
      <c r="B221" s="772"/>
      <c r="C221" s="772"/>
      <c r="D221" s="772"/>
      <c r="E221" s="772"/>
      <c r="F221" s="772"/>
      <c r="G221" s="772"/>
      <c r="H221" s="446"/>
      <c r="I221" s="772"/>
      <c r="J221" s="772"/>
      <c r="K221" s="772"/>
      <c r="L221" s="772"/>
      <c r="M221" s="772"/>
      <c r="N221" s="772"/>
      <c r="O221" s="772"/>
      <c r="P221" s="773"/>
      <c r="Q221" s="774"/>
      <c r="R221" s="772"/>
      <c r="S221" s="772"/>
      <c r="T221" s="772"/>
      <c r="U221" s="772"/>
      <c r="V221" s="772"/>
      <c r="W221" s="446"/>
      <c r="X221" s="772"/>
      <c r="Y221" s="772"/>
      <c r="Z221" s="772"/>
      <c r="AA221" s="772"/>
      <c r="AB221" s="772"/>
      <c r="AC221" s="772"/>
      <c r="AD221" s="772"/>
      <c r="AE221" s="772"/>
      <c r="AF221" s="772"/>
      <c r="AG221" s="772"/>
      <c r="AH221" s="775"/>
      <c r="AI221" s="775"/>
      <c r="AJ221" s="34"/>
    </row>
    <row r="222" spans="1:36" ht="17.25">
      <c r="A222" s="776" t="s">
        <v>0</v>
      </c>
      <c r="B222" s="777"/>
      <c r="C222" s="778"/>
      <c r="D222" s="778"/>
      <c r="E222" s="778"/>
      <c r="F222" s="778"/>
      <c r="G222" s="778"/>
      <c r="H222" s="778"/>
      <c r="I222" s="778"/>
      <c r="J222" s="778"/>
      <c r="K222" s="778"/>
      <c r="L222" s="779"/>
      <c r="M222" s="779"/>
      <c r="N222" s="779"/>
      <c r="O222" s="779"/>
      <c r="P222" s="780">
        <f>SUM(P210:P221)</f>
        <v>27395.130000000005</v>
      </c>
      <c r="Q222" s="779"/>
      <c r="R222" s="779"/>
      <c r="S222" s="779"/>
      <c r="T222" s="779"/>
      <c r="U222" s="779"/>
      <c r="V222" s="779"/>
      <c r="W222" s="779"/>
      <c r="X222" s="779"/>
      <c r="Y222" s="779"/>
      <c r="Z222" s="779"/>
      <c r="AA222" s="779"/>
      <c r="AB222" s="779"/>
      <c r="AC222" s="779"/>
      <c r="AD222" s="779"/>
      <c r="AE222" s="779"/>
      <c r="AF222" s="779"/>
      <c r="AG222" s="779"/>
      <c r="AH222" s="779"/>
      <c r="AI222" s="780">
        <f>SUM(AI210:AI221)</f>
        <v>27905.130000000005</v>
      </c>
      <c r="AJ222" s="34"/>
    </row>
  </sheetData>
  <mergeCells count="37">
    <mergeCell ref="A17:C17"/>
    <mergeCell ref="A5:A7"/>
    <mergeCell ref="B5:P5"/>
    <mergeCell ref="Q5:AE5"/>
    <mergeCell ref="AF5:AG5"/>
    <mergeCell ref="AH5:AI5"/>
    <mergeCell ref="A19:A21"/>
    <mergeCell ref="B19:P19"/>
    <mergeCell ref="Q19:AE19"/>
    <mergeCell ref="AF19:AG19"/>
    <mergeCell ref="AH19:AI19"/>
    <mergeCell ref="AH36:AI36"/>
    <mergeCell ref="A116:A118"/>
    <mergeCell ref="B116:P116"/>
    <mergeCell ref="Q116:AE116"/>
    <mergeCell ref="AF116:AG116"/>
    <mergeCell ref="AH116:AI116"/>
    <mergeCell ref="A170:G170"/>
    <mergeCell ref="A36:A38"/>
    <mergeCell ref="B36:P36"/>
    <mergeCell ref="Q36:AE36"/>
    <mergeCell ref="AF36:AG36"/>
    <mergeCell ref="A146:A148"/>
    <mergeCell ref="B146:P146"/>
    <mergeCell ref="Q146:AE146"/>
    <mergeCell ref="AF146:AG146"/>
    <mergeCell ref="AH146:AI146"/>
    <mergeCell ref="A205:A207"/>
    <mergeCell ref="B205:P205"/>
    <mergeCell ref="Q205:AE205"/>
    <mergeCell ref="AF205:AG205"/>
    <mergeCell ref="AH205:AI205"/>
    <mergeCell ref="A172:A174"/>
    <mergeCell ref="B172:P172"/>
    <mergeCell ref="Q172:AE172"/>
    <mergeCell ref="AF172:AG172"/>
    <mergeCell ref="AH172:AI17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X122"/>
  <sheetViews>
    <sheetView workbookViewId="0">
      <selection activeCell="P5" sqref="P5:Q7"/>
    </sheetView>
  </sheetViews>
  <sheetFormatPr baseColWidth="10" defaultRowHeight="15"/>
  <cols>
    <col min="2" max="2" width="22.85546875" customWidth="1"/>
    <col min="3" max="3" width="11.28515625" customWidth="1"/>
    <col min="4" max="4" width="11.5703125" hidden="1" customWidth="1"/>
    <col min="5" max="5" width="11.28515625" customWidth="1"/>
    <col min="6" max="6" width="11.5703125" hidden="1" customWidth="1"/>
    <col min="8" max="8" width="11.42578125" customWidth="1"/>
    <col min="9" max="9" width="11.5703125" hidden="1" customWidth="1"/>
  </cols>
  <sheetData>
    <row r="1" spans="1:24">
      <c r="A1" s="1387" t="s">
        <v>828</v>
      </c>
      <c r="B1" s="1387"/>
      <c r="C1" s="1387"/>
      <c r="D1" s="1387"/>
      <c r="E1" s="1387"/>
      <c r="F1" s="1387"/>
      <c r="G1" s="1387"/>
      <c r="H1" s="1387"/>
      <c r="I1" s="1387"/>
      <c r="J1" s="1387"/>
    </row>
    <row r="2" spans="1:24">
      <c r="A2" s="1388" t="s">
        <v>829</v>
      </c>
      <c r="B2" s="1388"/>
      <c r="C2" s="1388"/>
      <c r="D2" s="1388"/>
      <c r="E2" s="1388"/>
      <c r="F2" s="1388"/>
      <c r="G2" s="1388"/>
      <c r="H2" s="1388"/>
      <c r="I2" s="1388"/>
      <c r="J2" s="1388"/>
      <c r="K2" s="1388"/>
      <c r="L2" s="1388"/>
      <c r="M2" s="1388"/>
      <c r="N2" s="1388"/>
      <c r="O2" s="1388"/>
      <c r="P2" s="1388"/>
      <c r="Q2" s="1388"/>
      <c r="R2" s="1388"/>
      <c r="S2" s="1388"/>
    </row>
    <row r="3" spans="1:24">
      <c r="A3" s="1387" t="s">
        <v>830</v>
      </c>
      <c r="B3" s="1387"/>
      <c r="C3" s="1387"/>
      <c r="D3" s="1387"/>
      <c r="E3" s="1387"/>
      <c r="F3" s="1387"/>
      <c r="G3" s="1387"/>
      <c r="H3" s="1387"/>
      <c r="I3" s="1387"/>
      <c r="J3" s="1387"/>
    </row>
    <row r="4" spans="1:24">
      <c r="A4" s="1389" t="s">
        <v>831</v>
      </c>
      <c r="B4" s="1389"/>
      <c r="C4" s="781"/>
      <c r="D4" s="781"/>
      <c r="E4" s="781"/>
      <c r="F4" s="781"/>
      <c r="G4" s="781"/>
      <c r="H4" s="781"/>
      <c r="I4" s="781"/>
      <c r="J4" s="781"/>
      <c r="K4" s="782"/>
      <c r="L4" s="782"/>
      <c r="M4" s="782"/>
      <c r="N4" s="782"/>
      <c r="O4" s="782"/>
      <c r="P4" s="782"/>
      <c r="Q4" s="782"/>
      <c r="R4" s="782"/>
      <c r="S4" s="782"/>
      <c r="T4" s="782"/>
      <c r="U4" s="783"/>
      <c r="V4" s="783"/>
      <c r="W4" s="783"/>
      <c r="X4" s="784"/>
    </row>
    <row r="5" spans="1:24">
      <c r="A5" s="1390"/>
      <c r="B5" s="1390"/>
      <c r="C5" s="1382" t="s">
        <v>832</v>
      </c>
      <c r="D5" s="1382"/>
      <c r="E5" s="785"/>
      <c r="F5" s="1382" t="s">
        <v>833</v>
      </c>
      <c r="G5" s="1382"/>
      <c r="H5" s="1382" t="s">
        <v>834</v>
      </c>
      <c r="I5" s="1382"/>
      <c r="J5" s="785"/>
      <c r="K5" s="1382" t="s">
        <v>835</v>
      </c>
      <c r="L5" s="1382"/>
      <c r="M5" s="785"/>
      <c r="N5" s="1382" t="s">
        <v>836</v>
      </c>
      <c r="O5" s="1382"/>
      <c r="P5" s="1382" t="s">
        <v>834</v>
      </c>
      <c r="Q5" s="1382"/>
      <c r="R5" s="785"/>
      <c r="S5" s="1382" t="s">
        <v>837</v>
      </c>
      <c r="T5" s="1383" t="s">
        <v>838</v>
      </c>
      <c r="U5" s="1384" t="s">
        <v>839</v>
      </c>
      <c r="V5" s="1386" t="s">
        <v>840</v>
      </c>
      <c r="W5" s="1384" t="s">
        <v>841</v>
      </c>
      <c r="X5" s="1386" t="s">
        <v>842</v>
      </c>
    </row>
    <row r="6" spans="1:24">
      <c r="A6" s="1390"/>
      <c r="B6" s="1390"/>
      <c r="C6" s="1382"/>
      <c r="D6" s="1382"/>
      <c r="E6" s="785"/>
      <c r="F6" s="1382"/>
      <c r="G6" s="1382"/>
      <c r="H6" s="1382"/>
      <c r="I6" s="1382"/>
      <c r="J6" s="785"/>
      <c r="K6" s="1382"/>
      <c r="L6" s="1382"/>
      <c r="M6" s="785"/>
      <c r="N6" s="1382"/>
      <c r="O6" s="1382"/>
      <c r="P6" s="1382"/>
      <c r="Q6" s="1382"/>
      <c r="R6" s="785"/>
      <c r="S6" s="1382"/>
      <c r="T6" s="1383"/>
      <c r="U6" s="1385"/>
      <c r="V6" s="1383"/>
      <c r="W6" s="1385"/>
      <c r="X6" s="1383"/>
    </row>
    <row r="7" spans="1:24">
      <c r="A7" s="1390"/>
      <c r="B7" s="1390"/>
      <c r="C7" s="1382"/>
      <c r="D7" s="1382"/>
      <c r="E7" s="785"/>
      <c r="F7" s="1382"/>
      <c r="G7" s="1382"/>
      <c r="H7" s="1382"/>
      <c r="I7" s="1382"/>
      <c r="J7" s="785"/>
      <c r="K7" s="1382"/>
      <c r="L7" s="1382"/>
      <c r="M7" s="785"/>
      <c r="N7" s="1382"/>
      <c r="O7" s="1382"/>
      <c r="P7" s="1382"/>
      <c r="Q7" s="1382"/>
      <c r="R7" s="785"/>
      <c r="S7" s="1382"/>
      <c r="T7" s="1383"/>
      <c r="U7" s="1385"/>
      <c r="V7" s="1383"/>
      <c r="W7" s="1385"/>
      <c r="X7" s="1383"/>
    </row>
    <row r="8" spans="1:24">
      <c r="A8" s="1391"/>
      <c r="B8" s="1391"/>
      <c r="C8" s="786"/>
      <c r="D8" s="786"/>
      <c r="E8" s="786"/>
      <c r="F8" s="786"/>
      <c r="G8" s="786"/>
      <c r="H8" s="786"/>
      <c r="I8" s="786"/>
      <c r="J8" s="786"/>
      <c r="K8" s="786"/>
      <c r="L8" s="786"/>
      <c r="M8" s="786"/>
      <c r="N8" s="786"/>
      <c r="O8" s="786"/>
      <c r="P8" s="786"/>
      <c r="Q8" s="786"/>
      <c r="R8" s="786"/>
      <c r="S8" s="787"/>
      <c r="T8" s="787"/>
      <c r="U8" s="787"/>
      <c r="V8" s="788"/>
      <c r="W8" s="789"/>
      <c r="X8" s="788"/>
    </row>
    <row r="9" spans="1:24" ht="16.5">
      <c r="A9" s="790" t="s">
        <v>843</v>
      </c>
      <c r="B9" s="790" t="s">
        <v>844</v>
      </c>
      <c r="C9" s="1378">
        <v>7542833</v>
      </c>
      <c r="D9" s="1378"/>
      <c r="E9" s="1379">
        <v>7912910</v>
      </c>
      <c r="F9" s="1380"/>
      <c r="G9" s="1381">
        <v>4707599.88</v>
      </c>
      <c r="H9" s="1381"/>
      <c r="I9" s="791"/>
      <c r="J9" s="792">
        <v>2767972.27</v>
      </c>
      <c r="K9" s="1378">
        <v>8781051</v>
      </c>
      <c r="L9" s="1378"/>
      <c r="M9" s="1381">
        <v>6563200</v>
      </c>
      <c r="N9" s="1381"/>
      <c r="O9" s="1381">
        <v>4707599.88</v>
      </c>
      <c r="P9" s="1381"/>
      <c r="Q9" s="791"/>
      <c r="R9" s="792">
        <v>2767972.27</v>
      </c>
      <c r="S9" s="793">
        <f t="shared" ref="S9:S16" si="0">+M9-O9</f>
        <v>1855600.12</v>
      </c>
      <c r="T9" s="793">
        <v>6985179</v>
      </c>
      <c r="U9" s="793">
        <f>+C9-K9</f>
        <v>-1238218</v>
      </c>
      <c r="V9" s="794">
        <f>(T9/C9)*100</f>
        <v>92.606836184759757</v>
      </c>
      <c r="W9" s="793">
        <f>+K9-T9</f>
        <v>1795872</v>
      </c>
      <c r="X9" s="794">
        <f>(T9*100)/K9</f>
        <v>79.548325137845111</v>
      </c>
    </row>
    <row r="10" spans="1:24" ht="16.5">
      <c r="A10" s="795" t="s">
        <v>845</v>
      </c>
      <c r="B10" s="796" t="s">
        <v>846</v>
      </c>
      <c r="C10" s="1377" t="s">
        <v>847</v>
      </c>
      <c r="D10" s="1377"/>
      <c r="E10" s="1371">
        <v>41</v>
      </c>
      <c r="F10" s="1372"/>
      <c r="G10" s="1373">
        <v>66000</v>
      </c>
      <c r="H10" s="1373"/>
      <c r="I10" s="797"/>
      <c r="J10" s="798">
        <v>66000</v>
      </c>
      <c r="K10" s="1377" t="s">
        <v>847</v>
      </c>
      <c r="L10" s="1377"/>
      <c r="M10" s="1373">
        <v>66000</v>
      </c>
      <c r="N10" s="1373"/>
      <c r="O10" s="1373">
        <v>66000</v>
      </c>
      <c r="P10" s="1373"/>
      <c r="Q10" s="797"/>
      <c r="R10" s="798">
        <v>66000</v>
      </c>
      <c r="S10" s="799">
        <f t="shared" si="0"/>
        <v>0</v>
      </c>
      <c r="T10" s="799">
        <v>33000</v>
      </c>
      <c r="U10" s="799">
        <v>0</v>
      </c>
      <c r="V10" s="800">
        <v>0</v>
      </c>
      <c r="W10" s="799">
        <v>0</v>
      </c>
      <c r="X10" s="800">
        <v>0</v>
      </c>
    </row>
    <row r="11" spans="1:24" ht="16.5">
      <c r="A11" s="795" t="s">
        <v>848</v>
      </c>
      <c r="B11" s="795" t="s">
        <v>849</v>
      </c>
      <c r="C11" s="1370">
        <v>1635005</v>
      </c>
      <c r="D11" s="1370"/>
      <c r="E11" s="1371">
        <v>1291755</v>
      </c>
      <c r="F11" s="1372"/>
      <c r="G11" s="1373">
        <v>447752.18</v>
      </c>
      <c r="H11" s="1373"/>
      <c r="I11" s="797"/>
      <c r="J11" s="798">
        <v>368345.18</v>
      </c>
      <c r="K11" s="1370">
        <v>1239589</v>
      </c>
      <c r="L11" s="1370"/>
      <c r="M11" s="1373">
        <v>900402</v>
      </c>
      <c r="N11" s="1373"/>
      <c r="O11" s="1373">
        <v>447752.18</v>
      </c>
      <c r="P11" s="1373"/>
      <c r="Q11" s="797"/>
      <c r="R11" s="798">
        <v>368345.18</v>
      </c>
      <c r="S11" s="799">
        <f t="shared" si="0"/>
        <v>452649.82</v>
      </c>
      <c r="T11" s="799">
        <v>757974</v>
      </c>
      <c r="U11" s="799">
        <f t="shared" ref="U11:U19" si="1">+C11-K11</f>
        <v>395416</v>
      </c>
      <c r="V11" s="800">
        <f t="shared" ref="V11:V16" si="2">(T11/C11)*100</f>
        <v>46.359124284023594</v>
      </c>
      <c r="W11" s="799">
        <f t="shared" ref="W11:W19" si="3">+K11-T11</f>
        <v>481615</v>
      </c>
      <c r="X11" s="800">
        <f t="shared" ref="X11:X16" si="4">(T11*100)/K11</f>
        <v>61.14720282287113</v>
      </c>
    </row>
    <row r="12" spans="1:24">
      <c r="A12" s="795" t="s">
        <v>850</v>
      </c>
      <c r="B12" s="795" t="s">
        <v>851</v>
      </c>
      <c r="C12" s="1370">
        <v>293996</v>
      </c>
      <c r="D12" s="1370"/>
      <c r="E12" s="1371">
        <v>249629</v>
      </c>
      <c r="F12" s="1372"/>
      <c r="G12" s="1373">
        <v>135789</v>
      </c>
      <c r="H12" s="1373"/>
      <c r="I12" s="797"/>
      <c r="J12" s="798">
        <v>135279</v>
      </c>
      <c r="K12" s="1370">
        <v>264068</v>
      </c>
      <c r="L12" s="1370"/>
      <c r="M12" s="1373">
        <v>139836</v>
      </c>
      <c r="N12" s="1373"/>
      <c r="O12" s="1373">
        <v>135789</v>
      </c>
      <c r="P12" s="1373"/>
      <c r="Q12" s="797"/>
      <c r="R12" s="798">
        <v>135279</v>
      </c>
      <c r="S12" s="799">
        <f t="shared" si="0"/>
        <v>4047</v>
      </c>
      <c r="T12" s="799">
        <v>302610</v>
      </c>
      <c r="U12" s="799">
        <f t="shared" si="1"/>
        <v>29928</v>
      </c>
      <c r="V12" s="800">
        <f t="shared" si="2"/>
        <v>102.92997183635151</v>
      </c>
      <c r="W12" s="799">
        <f t="shared" si="3"/>
        <v>-38542</v>
      </c>
      <c r="X12" s="800">
        <f t="shared" si="4"/>
        <v>114.59548298165625</v>
      </c>
    </row>
    <row r="13" spans="1:24">
      <c r="A13" s="795" t="s">
        <v>852</v>
      </c>
      <c r="B13" s="795" t="s">
        <v>853</v>
      </c>
      <c r="C13" s="1370">
        <v>115676</v>
      </c>
      <c r="D13" s="1370"/>
      <c r="E13" s="1371">
        <v>117884</v>
      </c>
      <c r="F13" s="1372"/>
      <c r="G13" s="1373">
        <v>33806</v>
      </c>
      <c r="H13" s="1373"/>
      <c r="I13" s="797"/>
      <c r="J13" s="798">
        <v>33806</v>
      </c>
      <c r="K13" s="1370">
        <v>98403</v>
      </c>
      <c r="L13" s="1370"/>
      <c r="M13" s="1373">
        <v>67852</v>
      </c>
      <c r="N13" s="1373"/>
      <c r="O13" s="1373">
        <v>33806</v>
      </c>
      <c r="P13" s="1373"/>
      <c r="Q13" s="797"/>
      <c r="R13" s="798">
        <v>33806</v>
      </c>
      <c r="S13" s="799">
        <f t="shared" si="0"/>
        <v>34046</v>
      </c>
      <c r="T13" s="799">
        <v>43806</v>
      </c>
      <c r="U13" s="799">
        <f t="shared" si="1"/>
        <v>17273</v>
      </c>
      <c r="V13" s="800">
        <f t="shared" si="2"/>
        <v>37.869566720840972</v>
      </c>
      <c r="W13" s="799">
        <f t="shared" si="3"/>
        <v>54597</v>
      </c>
      <c r="X13" s="800">
        <f t="shared" si="4"/>
        <v>44.516935459284781</v>
      </c>
    </row>
    <row r="14" spans="1:24">
      <c r="A14" s="795" t="s">
        <v>854</v>
      </c>
      <c r="B14" s="795" t="s">
        <v>855</v>
      </c>
      <c r="C14" s="1370">
        <v>6296760</v>
      </c>
      <c r="D14" s="1370"/>
      <c r="E14" s="1371">
        <v>5679966</v>
      </c>
      <c r="F14" s="1372"/>
      <c r="G14" s="1373">
        <v>4824525.5599999996</v>
      </c>
      <c r="H14" s="1373"/>
      <c r="I14" s="797"/>
      <c r="J14" s="798">
        <v>2898758.76</v>
      </c>
      <c r="K14" s="1370">
        <v>8072613</v>
      </c>
      <c r="L14" s="1370"/>
      <c r="M14" s="1373">
        <v>12106371</v>
      </c>
      <c r="N14" s="1373"/>
      <c r="O14" s="1373">
        <v>4824525.5599999996</v>
      </c>
      <c r="P14" s="1373"/>
      <c r="Q14" s="797"/>
      <c r="R14" s="798">
        <v>2898758.76</v>
      </c>
      <c r="S14" s="799">
        <f t="shared" si="0"/>
        <v>7281845.4400000004</v>
      </c>
      <c r="T14" s="799">
        <v>7962451</v>
      </c>
      <c r="U14" s="799">
        <f t="shared" si="1"/>
        <v>-1775853</v>
      </c>
      <c r="V14" s="800">
        <f t="shared" si="2"/>
        <v>126.45314415667741</v>
      </c>
      <c r="W14" s="799">
        <f t="shared" si="3"/>
        <v>110162</v>
      </c>
      <c r="X14" s="800">
        <f t="shared" si="4"/>
        <v>98.635361313616798</v>
      </c>
    </row>
    <row r="15" spans="1:24">
      <c r="A15" s="795" t="s">
        <v>856</v>
      </c>
      <c r="B15" s="795" t="s">
        <v>857</v>
      </c>
      <c r="C15" s="1370">
        <v>108988</v>
      </c>
      <c r="D15" s="1370"/>
      <c r="E15" s="1371">
        <v>64658</v>
      </c>
      <c r="F15" s="1372"/>
      <c r="G15" s="1373">
        <v>32680</v>
      </c>
      <c r="H15" s="1373"/>
      <c r="I15" s="797"/>
      <c r="J15" s="798">
        <v>32680</v>
      </c>
      <c r="K15" s="1370">
        <v>51570</v>
      </c>
      <c r="L15" s="1370"/>
      <c r="M15" s="1373">
        <v>40896</v>
      </c>
      <c r="N15" s="1373"/>
      <c r="O15" s="1373">
        <v>32680</v>
      </c>
      <c r="P15" s="1373"/>
      <c r="Q15" s="797"/>
      <c r="R15" s="798">
        <v>32680</v>
      </c>
      <c r="S15" s="799">
        <f t="shared" si="0"/>
        <v>8216</v>
      </c>
      <c r="T15" s="799">
        <v>47620</v>
      </c>
      <c r="U15" s="799">
        <f t="shared" si="1"/>
        <v>57418</v>
      </c>
      <c r="V15" s="800">
        <f t="shared" si="2"/>
        <v>43.692883620215071</v>
      </c>
      <c r="W15" s="799">
        <f t="shared" si="3"/>
        <v>3950</v>
      </c>
      <c r="X15" s="800">
        <f t="shared" si="4"/>
        <v>92.34050804731433</v>
      </c>
    </row>
    <row r="16" spans="1:24">
      <c r="A16" s="795" t="s">
        <v>858</v>
      </c>
      <c r="B16" s="795" t="s">
        <v>859</v>
      </c>
      <c r="C16" s="1370">
        <v>480781</v>
      </c>
      <c r="D16" s="1370"/>
      <c r="E16" s="1371">
        <v>301545</v>
      </c>
      <c r="F16" s="1372"/>
      <c r="G16" s="1373">
        <v>299816.36</v>
      </c>
      <c r="H16" s="1373"/>
      <c r="I16" s="797"/>
      <c r="J16" s="798">
        <v>208573.1</v>
      </c>
      <c r="K16" s="1370">
        <v>540411</v>
      </c>
      <c r="L16" s="1370"/>
      <c r="M16" s="1373">
        <v>493757</v>
      </c>
      <c r="N16" s="1373"/>
      <c r="O16" s="1373">
        <v>299816.36</v>
      </c>
      <c r="P16" s="1373"/>
      <c r="Q16" s="797"/>
      <c r="R16" s="798">
        <v>208573.1</v>
      </c>
      <c r="S16" s="799">
        <f t="shared" si="0"/>
        <v>193940.64</v>
      </c>
      <c r="T16" s="799">
        <v>648024</v>
      </c>
      <c r="U16" s="799">
        <f t="shared" si="1"/>
        <v>-59630</v>
      </c>
      <c r="V16" s="800">
        <f t="shared" si="2"/>
        <v>134.78569244624893</v>
      </c>
      <c r="W16" s="799">
        <f t="shared" si="3"/>
        <v>-107613</v>
      </c>
      <c r="X16" s="800">
        <f t="shared" si="4"/>
        <v>119.91317719291428</v>
      </c>
    </row>
    <row r="17" spans="1:24" ht="16.5">
      <c r="A17" s="795" t="s">
        <v>860</v>
      </c>
      <c r="B17" s="795" t="s">
        <v>861</v>
      </c>
      <c r="C17" s="801">
        <v>0</v>
      </c>
      <c r="D17" s="801"/>
      <c r="E17" s="802"/>
      <c r="F17" s="802">
        <v>8</v>
      </c>
      <c r="G17" s="802"/>
      <c r="H17" s="802"/>
      <c r="I17" s="797"/>
      <c r="J17" s="798"/>
      <c r="K17" s="801"/>
      <c r="L17" s="801"/>
      <c r="M17" s="802"/>
      <c r="N17" s="802"/>
      <c r="O17" s="802"/>
      <c r="P17" s="802"/>
      <c r="Q17" s="797"/>
      <c r="R17" s="798"/>
      <c r="S17" s="799"/>
      <c r="T17" s="799"/>
      <c r="U17" s="799">
        <f t="shared" si="1"/>
        <v>0</v>
      </c>
      <c r="V17" s="800">
        <v>0</v>
      </c>
      <c r="W17" s="799">
        <f t="shared" si="3"/>
        <v>0</v>
      </c>
      <c r="X17" s="800">
        <v>0</v>
      </c>
    </row>
    <row r="18" spans="1:24">
      <c r="A18" s="795" t="s">
        <v>862</v>
      </c>
      <c r="B18" s="795" t="s">
        <v>863</v>
      </c>
      <c r="C18" s="1370">
        <v>461817</v>
      </c>
      <c r="D18" s="1370"/>
      <c r="E18" s="1371">
        <v>391481</v>
      </c>
      <c r="F18" s="1372"/>
      <c r="G18" s="1373">
        <v>176382.35</v>
      </c>
      <c r="H18" s="1373"/>
      <c r="I18" s="797"/>
      <c r="J18" s="798">
        <v>151913.35</v>
      </c>
      <c r="K18" s="1370">
        <v>592967</v>
      </c>
      <c r="L18" s="1370"/>
      <c r="M18" s="1373">
        <v>413292</v>
      </c>
      <c r="N18" s="1373"/>
      <c r="O18" s="1373">
        <v>176382.35</v>
      </c>
      <c r="P18" s="1373"/>
      <c r="Q18" s="797"/>
      <c r="R18" s="798">
        <v>151913.35</v>
      </c>
      <c r="S18" s="799">
        <f t="shared" ref="S18:S30" si="5">+M18-O18</f>
        <v>236909.65</v>
      </c>
      <c r="T18" s="799">
        <v>143924</v>
      </c>
      <c r="U18" s="799">
        <f t="shared" si="1"/>
        <v>-131150</v>
      </c>
      <c r="V18" s="800">
        <f>(T18/C18)*100</f>
        <v>31.164725421541434</v>
      </c>
      <c r="W18" s="799">
        <f t="shared" si="3"/>
        <v>449043</v>
      </c>
      <c r="X18" s="800">
        <f>(T18*100)/K18</f>
        <v>24.271839748249061</v>
      </c>
    </row>
    <row r="19" spans="1:24" ht="16.5">
      <c r="A19" s="795" t="s">
        <v>864</v>
      </c>
      <c r="B19" s="795" t="s">
        <v>865</v>
      </c>
      <c r="C19" s="1370">
        <v>4511633</v>
      </c>
      <c r="D19" s="1370"/>
      <c r="E19" s="1371">
        <v>4926046</v>
      </c>
      <c r="F19" s="1372"/>
      <c r="G19" s="1373">
        <v>2858288.44</v>
      </c>
      <c r="H19" s="1373"/>
      <c r="I19" s="797"/>
      <c r="J19" s="798">
        <v>2473951.67</v>
      </c>
      <c r="K19" s="1370">
        <v>6913640</v>
      </c>
      <c r="L19" s="1370"/>
      <c r="M19" s="1373">
        <v>4390444</v>
      </c>
      <c r="N19" s="1373"/>
      <c r="O19" s="1373">
        <v>2858288.44</v>
      </c>
      <c r="P19" s="1373"/>
      <c r="Q19" s="797"/>
      <c r="R19" s="798">
        <v>2473951.67</v>
      </c>
      <c r="S19" s="799">
        <f t="shared" si="5"/>
        <v>1532155.56</v>
      </c>
      <c r="T19" s="799">
        <v>4358416</v>
      </c>
      <c r="U19" s="799">
        <f t="shared" si="1"/>
        <v>-2402007</v>
      </c>
      <c r="V19" s="800">
        <f>(T19/C19)*100</f>
        <v>96.603956926460995</v>
      </c>
      <c r="W19" s="799">
        <f t="shared" si="3"/>
        <v>2555224</v>
      </c>
      <c r="X19" s="800">
        <f>(T19*100)/K19</f>
        <v>63.04082943283133</v>
      </c>
    </row>
    <row r="20" spans="1:24" ht="16.5">
      <c r="A20" s="795" t="s">
        <v>866</v>
      </c>
      <c r="B20" s="795" t="s">
        <v>867</v>
      </c>
      <c r="C20" s="1377" t="s">
        <v>847</v>
      </c>
      <c r="D20" s="1377"/>
      <c r="E20" s="1371">
        <v>33584</v>
      </c>
      <c r="F20" s="1372"/>
      <c r="G20" s="1373">
        <v>2688.8</v>
      </c>
      <c r="H20" s="1373"/>
      <c r="I20" s="797"/>
      <c r="J20" s="798">
        <v>2688.8</v>
      </c>
      <c r="K20" s="1377" t="s">
        <v>847</v>
      </c>
      <c r="L20" s="1377"/>
      <c r="M20" s="1373">
        <v>12990</v>
      </c>
      <c r="N20" s="1373"/>
      <c r="O20" s="1373">
        <v>2688.8</v>
      </c>
      <c r="P20" s="1373"/>
      <c r="Q20" s="797"/>
      <c r="R20" s="798">
        <v>2688.8</v>
      </c>
      <c r="S20" s="799">
        <f t="shared" si="5"/>
        <v>10301.200000000001</v>
      </c>
      <c r="T20" s="799">
        <v>1500</v>
      </c>
      <c r="U20" s="799">
        <v>0</v>
      </c>
      <c r="V20" s="800">
        <v>0</v>
      </c>
      <c r="W20" s="799">
        <v>0</v>
      </c>
      <c r="X20" s="800">
        <v>0</v>
      </c>
    </row>
    <row r="21" spans="1:24">
      <c r="A21" s="795" t="s">
        <v>868</v>
      </c>
      <c r="B21" s="795" t="s">
        <v>869</v>
      </c>
      <c r="C21" s="1370">
        <v>1070154</v>
      </c>
      <c r="D21" s="1370"/>
      <c r="E21" s="1371">
        <v>1649033</v>
      </c>
      <c r="F21" s="1372"/>
      <c r="G21" s="1373">
        <v>1787312.91</v>
      </c>
      <c r="H21" s="1373"/>
      <c r="I21" s="797"/>
      <c r="J21" s="798">
        <v>1601154.91</v>
      </c>
      <c r="K21" s="1370">
        <v>1625977</v>
      </c>
      <c r="L21" s="1370"/>
      <c r="M21" s="1373">
        <v>3893236</v>
      </c>
      <c r="N21" s="1373"/>
      <c r="O21" s="1373">
        <v>1787312.91</v>
      </c>
      <c r="P21" s="1373"/>
      <c r="Q21" s="797"/>
      <c r="R21" s="798">
        <v>1601154.91</v>
      </c>
      <c r="S21" s="799">
        <f t="shared" si="5"/>
        <v>2105923.09</v>
      </c>
      <c r="T21" s="799">
        <v>1839655</v>
      </c>
      <c r="U21" s="799">
        <f t="shared" ref="U21:U39" si="6">+C21-K21</f>
        <v>-555823</v>
      </c>
      <c r="V21" s="800">
        <f t="shared" ref="V21:V39" si="7">(T21/C21)*100</f>
        <v>171.90563227348588</v>
      </c>
      <c r="W21" s="799">
        <f t="shared" ref="W21:W39" si="8">+K21-T21</f>
        <v>-213678</v>
      </c>
      <c r="X21" s="800">
        <f t="shared" ref="X21:X30" si="9">(T21*100)/K21</f>
        <v>113.14151430186281</v>
      </c>
    </row>
    <row r="22" spans="1:24">
      <c r="A22" s="795" t="s">
        <v>870</v>
      </c>
      <c r="B22" s="795" t="s">
        <v>871</v>
      </c>
      <c r="C22" s="1370">
        <v>148161</v>
      </c>
      <c r="D22" s="1370"/>
      <c r="E22" s="1371">
        <v>26934</v>
      </c>
      <c r="F22" s="1372"/>
      <c r="G22" s="1373">
        <v>50321.4</v>
      </c>
      <c r="H22" s="1373"/>
      <c r="I22" s="797"/>
      <c r="J22" s="798">
        <v>40286.400000000001</v>
      </c>
      <c r="K22" s="1370">
        <v>60342</v>
      </c>
      <c r="L22" s="1370"/>
      <c r="M22" s="1373">
        <v>67779</v>
      </c>
      <c r="N22" s="1373"/>
      <c r="O22" s="1373">
        <v>50321.4</v>
      </c>
      <c r="P22" s="1373"/>
      <c r="Q22" s="797"/>
      <c r="R22" s="798">
        <v>40286.400000000001</v>
      </c>
      <c r="S22" s="799">
        <f t="shared" si="5"/>
        <v>17457.599999999999</v>
      </c>
      <c r="T22" s="799">
        <v>24174</v>
      </c>
      <c r="U22" s="799">
        <f t="shared" si="6"/>
        <v>87819</v>
      </c>
      <c r="V22" s="800">
        <f t="shared" si="7"/>
        <v>16.316034583999837</v>
      </c>
      <c r="W22" s="799">
        <f t="shared" si="8"/>
        <v>36168</v>
      </c>
      <c r="X22" s="800">
        <f t="shared" si="9"/>
        <v>40.06164860296311</v>
      </c>
    </row>
    <row r="23" spans="1:24" ht="16.5">
      <c r="A23" s="795" t="s">
        <v>872</v>
      </c>
      <c r="B23" s="795" t="s">
        <v>873</v>
      </c>
      <c r="C23" s="1370">
        <v>219863</v>
      </c>
      <c r="D23" s="1370"/>
      <c r="E23" s="1371">
        <v>480849</v>
      </c>
      <c r="F23" s="1372"/>
      <c r="G23" s="1373">
        <v>224678.61</v>
      </c>
      <c r="H23" s="1373"/>
      <c r="I23" s="797"/>
      <c r="J23" s="798">
        <v>199120.11</v>
      </c>
      <c r="K23" s="1370">
        <v>480955</v>
      </c>
      <c r="L23" s="1370"/>
      <c r="M23" s="1373">
        <v>379736</v>
      </c>
      <c r="N23" s="1373"/>
      <c r="O23" s="1373">
        <v>224678.61</v>
      </c>
      <c r="P23" s="1373"/>
      <c r="Q23" s="797"/>
      <c r="R23" s="798">
        <v>199120.11</v>
      </c>
      <c r="S23" s="799">
        <f t="shared" si="5"/>
        <v>155057.39000000001</v>
      </c>
      <c r="T23" s="799">
        <v>299101</v>
      </c>
      <c r="U23" s="799">
        <f t="shared" si="6"/>
        <v>-261092</v>
      </c>
      <c r="V23" s="800">
        <f t="shared" si="7"/>
        <v>136.03971564110378</v>
      </c>
      <c r="W23" s="799">
        <f t="shared" si="8"/>
        <v>181854</v>
      </c>
      <c r="X23" s="800">
        <f t="shared" si="9"/>
        <v>62.188978178831697</v>
      </c>
    </row>
    <row r="24" spans="1:24">
      <c r="A24" s="795" t="s">
        <v>874</v>
      </c>
      <c r="B24" s="795" t="s">
        <v>875</v>
      </c>
      <c r="C24" s="1370">
        <v>77123</v>
      </c>
      <c r="D24" s="1370"/>
      <c r="E24" s="1371">
        <v>22576</v>
      </c>
      <c r="F24" s="1372"/>
      <c r="G24" s="1373">
        <v>29418.6</v>
      </c>
      <c r="H24" s="1373"/>
      <c r="I24" s="797"/>
      <c r="J24" s="798">
        <v>29068.6</v>
      </c>
      <c r="K24" s="1370">
        <v>65537</v>
      </c>
      <c r="L24" s="1370"/>
      <c r="M24" s="1373">
        <v>71477</v>
      </c>
      <c r="N24" s="1373"/>
      <c r="O24" s="1373">
        <v>29418.6</v>
      </c>
      <c r="P24" s="1373"/>
      <c r="Q24" s="797"/>
      <c r="R24" s="798">
        <v>29068.6</v>
      </c>
      <c r="S24" s="799">
        <f t="shared" si="5"/>
        <v>42058.400000000001</v>
      </c>
      <c r="T24" s="799">
        <v>21750</v>
      </c>
      <c r="U24" s="799">
        <f t="shared" si="6"/>
        <v>11586</v>
      </c>
      <c r="V24" s="800">
        <f t="shared" si="7"/>
        <v>28.201703771896842</v>
      </c>
      <c r="W24" s="799">
        <f t="shared" si="8"/>
        <v>43787</v>
      </c>
      <c r="X24" s="800">
        <f t="shared" si="9"/>
        <v>33.187359812014584</v>
      </c>
    </row>
    <row r="25" spans="1:24">
      <c r="A25" s="795" t="s">
        <v>876</v>
      </c>
      <c r="B25" s="795" t="s">
        <v>877</v>
      </c>
      <c r="C25" s="1370">
        <v>116575</v>
      </c>
      <c r="D25" s="1370"/>
      <c r="E25" s="1371">
        <v>232915</v>
      </c>
      <c r="F25" s="1372"/>
      <c r="G25" s="1373">
        <v>69643.210000000006</v>
      </c>
      <c r="H25" s="1373"/>
      <c r="I25" s="797"/>
      <c r="J25" s="798">
        <v>65924.210000000006</v>
      </c>
      <c r="K25" s="1370">
        <v>102799</v>
      </c>
      <c r="L25" s="1370"/>
      <c r="M25" s="1373">
        <v>148500</v>
      </c>
      <c r="N25" s="1373"/>
      <c r="O25" s="1373">
        <v>69643.210000000006</v>
      </c>
      <c r="P25" s="1373"/>
      <c r="Q25" s="797"/>
      <c r="R25" s="798">
        <v>65924.210000000006</v>
      </c>
      <c r="S25" s="799">
        <f t="shared" si="5"/>
        <v>78856.789999999994</v>
      </c>
      <c r="T25" s="799">
        <v>755942</v>
      </c>
      <c r="U25" s="799">
        <f t="shared" si="6"/>
        <v>13776</v>
      </c>
      <c r="V25" s="800">
        <f t="shared" si="7"/>
        <v>648.45978983487032</v>
      </c>
      <c r="W25" s="799">
        <f t="shared" si="8"/>
        <v>-653143</v>
      </c>
      <c r="X25" s="800">
        <f t="shared" si="9"/>
        <v>735.35929337834023</v>
      </c>
    </row>
    <row r="26" spans="1:24" ht="16.5">
      <c r="A26" s="795" t="s">
        <v>878</v>
      </c>
      <c r="B26" s="795" t="s">
        <v>879</v>
      </c>
      <c r="C26" s="1370">
        <v>18656</v>
      </c>
      <c r="D26" s="1370"/>
      <c r="E26" s="1371">
        <v>15367</v>
      </c>
      <c r="F26" s="1372"/>
      <c r="G26" s="1373">
        <v>360</v>
      </c>
      <c r="H26" s="1373"/>
      <c r="I26" s="797"/>
      <c r="J26" s="798">
        <v>360</v>
      </c>
      <c r="K26" s="1370">
        <v>1230</v>
      </c>
      <c r="L26" s="1370"/>
      <c r="M26" s="1373">
        <v>4385</v>
      </c>
      <c r="N26" s="1373"/>
      <c r="O26" s="1373">
        <v>360</v>
      </c>
      <c r="P26" s="1373"/>
      <c r="Q26" s="797"/>
      <c r="R26" s="798">
        <v>360</v>
      </c>
      <c r="S26" s="799">
        <f t="shared" si="5"/>
        <v>4025</v>
      </c>
      <c r="T26" s="799"/>
      <c r="U26" s="799">
        <f t="shared" si="6"/>
        <v>17426</v>
      </c>
      <c r="V26" s="800">
        <f t="shared" si="7"/>
        <v>0</v>
      </c>
      <c r="W26" s="799">
        <f t="shared" si="8"/>
        <v>1230</v>
      </c>
      <c r="X26" s="800">
        <f t="shared" si="9"/>
        <v>0</v>
      </c>
    </row>
    <row r="27" spans="1:24">
      <c r="A27" s="795" t="s">
        <v>880</v>
      </c>
      <c r="B27" s="795" t="s">
        <v>881</v>
      </c>
      <c r="C27" s="1370">
        <v>172835</v>
      </c>
      <c r="D27" s="1370"/>
      <c r="E27" s="1371">
        <v>384523</v>
      </c>
      <c r="F27" s="1372"/>
      <c r="G27" s="1373">
        <v>64071.9</v>
      </c>
      <c r="H27" s="1373"/>
      <c r="I27" s="797"/>
      <c r="J27" s="798">
        <v>47316.9</v>
      </c>
      <c r="K27" s="1370">
        <v>123980</v>
      </c>
      <c r="L27" s="1370"/>
      <c r="M27" s="1373">
        <v>141955</v>
      </c>
      <c r="N27" s="1373"/>
      <c r="O27" s="1373">
        <v>64071.9</v>
      </c>
      <c r="P27" s="1373"/>
      <c r="Q27" s="797"/>
      <c r="R27" s="798">
        <v>47316.9</v>
      </c>
      <c r="S27" s="799">
        <f t="shared" si="5"/>
        <v>77883.100000000006</v>
      </c>
      <c r="T27" s="799"/>
      <c r="U27" s="799">
        <f t="shared" si="6"/>
        <v>48855</v>
      </c>
      <c r="V27" s="800">
        <f t="shared" si="7"/>
        <v>0</v>
      </c>
      <c r="W27" s="799">
        <f t="shared" si="8"/>
        <v>123980</v>
      </c>
      <c r="X27" s="800">
        <f t="shared" si="9"/>
        <v>0</v>
      </c>
    </row>
    <row r="28" spans="1:24">
      <c r="A28" s="795" t="s">
        <v>882</v>
      </c>
      <c r="B28" s="795" t="s">
        <v>883</v>
      </c>
      <c r="C28" s="1370">
        <v>125432</v>
      </c>
      <c r="D28" s="1370"/>
      <c r="E28" s="1371">
        <v>325874</v>
      </c>
      <c r="F28" s="1372"/>
      <c r="G28" s="1373">
        <v>388284</v>
      </c>
      <c r="H28" s="1373"/>
      <c r="I28" s="797"/>
      <c r="J28" s="798">
        <v>368283</v>
      </c>
      <c r="K28" s="1370">
        <v>259146</v>
      </c>
      <c r="L28" s="1370"/>
      <c r="M28" s="1373">
        <v>537042</v>
      </c>
      <c r="N28" s="1373"/>
      <c r="O28" s="1373">
        <v>388284</v>
      </c>
      <c r="P28" s="1373"/>
      <c r="Q28" s="797"/>
      <c r="R28" s="798">
        <v>368283</v>
      </c>
      <c r="S28" s="799">
        <f t="shared" si="5"/>
        <v>148758</v>
      </c>
      <c r="T28" s="799"/>
      <c r="U28" s="799">
        <f t="shared" si="6"/>
        <v>-133714</v>
      </c>
      <c r="V28" s="800">
        <f t="shared" si="7"/>
        <v>0</v>
      </c>
      <c r="W28" s="799">
        <f t="shared" si="8"/>
        <v>259146</v>
      </c>
      <c r="X28" s="800">
        <f t="shared" si="9"/>
        <v>0</v>
      </c>
    </row>
    <row r="29" spans="1:24">
      <c r="A29" s="795" t="s">
        <v>884</v>
      </c>
      <c r="B29" s="795" t="s">
        <v>885</v>
      </c>
      <c r="C29" s="1370">
        <v>146956</v>
      </c>
      <c r="D29" s="1370"/>
      <c r="E29" s="1371">
        <v>223199</v>
      </c>
      <c r="F29" s="1372"/>
      <c r="G29" s="1373">
        <v>150276.9</v>
      </c>
      <c r="H29" s="1373"/>
      <c r="I29" s="797"/>
      <c r="J29" s="798">
        <v>124292.9</v>
      </c>
      <c r="K29" s="1370">
        <v>296005</v>
      </c>
      <c r="L29" s="1370"/>
      <c r="M29" s="1373">
        <v>214478</v>
      </c>
      <c r="N29" s="1373"/>
      <c r="O29" s="1373">
        <v>150276.9</v>
      </c>
      <c r="P29" s="1373"/>
      <c r="Q29" s="797"/>
      <c r="R29" s="798">
        <v>124292.9</v>
      </c>
      <c r="S29" s="799">
        <f t="shared" si="5"/>
        <v>64201.100000000006</v>
      </c>
      <c r="T29" s="799"/>
      <c r="U29" s="799">
        <f t="shared" si="6"/>
        <v>-149049</v>
      </c>
      <c r="V29" s="800">
        <f t="shared" si="7"/>
        <v>0</v>
      </c>
      <c r="W29" s="799">
        <f t="shared" si="8"/>
        <v>296005</v>
      </c>
      <c r="X29" s="800">
        <f t="shared" si="9"/>
        <v>0</v>
      </c>
    </row>
    <row r="30" spans="1:24">
      <c r="A30" s="795" t="s">
        <v>886</v>
      </c>
      <c r="B30" s="795" t="s">
        <v>887</v>
      </c>
      <c r="C30" s="1370">
        <v>151001</v>
      </c>
      <c r="D30" s="1370"/>
      <c r="E30" s="1371">
        <v>117027</v>
      </c>
      <c r="F30" s="1372"/>
      <c r="G30" s="1373">
        <v>72087.5</v>
      </c>
      <c r="H30" s="1373"/>
      <c r="I30" s="797"/>
      <c r="J30" s="798">
        <v>45087.5</v>
      </c>
      <c r="K30" s="1370">
        <v>190751</v>
      </c>
      <c r="L30" s="1370"/>
      <c r="M30" s="1373">
        <v>135243</v>
      </c>
      <c r="N30" s="1373"/>
      <c r="O30" s="1373">
        <v>72087.5</v>
      </c>
      <c r="P30" s="1373"/>
      <c r="Q30" s="797"/>
      <c r="R30" s="798">
        <v>45087.5</v>
      </c>
      <c r="S30" s="799">
        <f t="shared" si="5"/>
        <v>63155.5</v>
      </c>
      <c r="T30" s="799">
        <v>453101</v>
      </c>
      <c r="U30" s="799">
        <f t="shared" si="6"/>
        <v>-39750</v>
      </c>
      <c r="V30" s="800">
        <f t="shared" si="7"/>
        <v>300.06490023244879</v>
      </c>
      <c r="W30" s="799">
        <f t="shared" si="8"/>
        <v>-262350</v>
      </c>
      <c r="X30" s="800">
        <f t="shared" si="9"/>
        <v>237.5353209157488</v>
      </c>
    </row>
    <row r="31" spans="1:24">
      <c r="A31" s="795" t="s">
        <v>888</v>
      </c>
      <c r="B31" s="795" t="s">
        <v>889</v>
      </c>
      <c r="C31" s="801">
        <v>2000</v>
      </c>
      <c r="D31" s="801"/>
      <c r="E31" s="802"/>
      <c r="F31" s="802">
        <v>640</v>
      </c>
      <c r="G31" s="802"/>
      <c r="H31" s="802"/>
      <c r="I31" s="797"/>
      <c r="J31" s="798"/>
      <c r="K31" s="801"/>
      <c r="L31" s="801"/>
      <c r="M31" s="802"/>
      <c r="N31" s="802"/>
      <c r="O31" s="802"/>
      <c r="P31" s="802"/>
      <c r="Q31" s="797"/>
      <c r="R31" s="798"/>
      <c r="S31" s="799"/>
      <c r="T31" s="799"/>
      <c r="U31" s="799">
        <f t="shared" si="6"/>
        <v>2000</v>
      </c>
      <c r="V31" s="800">
        <f t="shared" si="7"/>
        <v>0</v>
      </c>
      <c r="W31" s="799">
        <f t="shared" si="8"/>
        <v>0</v>
      </c>
      <c r="X31" s="800">
        <v>0</v>
      </c>
    </row>
    <row r="32" spans="1:24">
      <c r="A32" s="795" t="s">
        <v>890</v>
      </c>
      <c r="B32" s="795" t="s">
        <v>891</v>
      </c>
      <c r="C32" s="1370">
        <v>2066605</v>
      </c>
      <c r="D32" s="1370"/>
      <c r="E32" s="1371">
        <v>1781093</v>
      </c>
      <c r="F32" s="1372"/>
      <c r="G32" s="1373">
        <v>1696077.31</v>
      </c>
      <c r="H32" s="1373"/>
      <c r="I32" s="797"/>
      <c r="J32" s="798">
        <v>1406873</v>
      </c>
      <c r="K32" s="1370">
        <v>2013492</v>
      </c>
      <c r="L32" s="1370"/>
      <c r="M32" s="1373">
        <v>1752249</v>
      </c>
      <c r="N32" s="1373"/>
      <c r="O32" s="1373">
        <v>1696077.31</v>
      </c>
      <c r="P32" s="1373"/>
      <c r="Q32" s="797"/>
      <c r="R32" s="798">
        <v>1406873</v>
      </c>
      <c r="S32" s="799">
        <f t="shared" ref="S32:S39" si="10">+M32-O32</f>
        <v>56171.689999999944</v>
      </c>
      <c r="T32" s="799">
        <v>1594933</v>
      </c>
      <c r="U32" s="799">
        <f t="shared" si="6"/>
        <v>53113</v>
      </c>
      <c r="V32" s="800">
        <f t="shared" si="7"/>
        <v>77.176480265943411</v>
      </c>
      <c r="W32" s="799">
        <f t="shared" si="8"/>
        <v>418559</v>
      </c>
      <c r="X32" s="800">
        <f t="shared" ref="X32:X39" si="11">(T32*100)/K32</f>
        <v>79.212283932590736</v>
      </c>
    </row>
    <row r="33" spans="1:24">
      <c r="A33" s="795" t="s">
        <v>892</v>
      </c>
      <c r="B33" s="795" t="s">
        <v>893</v>
      </c>
      <c r="C33" s="1370">
        <v>30247</v>
      </c>
      <c r="D33" s="1370"/>
      <c r="E33" s="1371">
        <v>222024</v>
      </c>
      <c r="F33" s="1372"/>
      <c r="G33" s="1373">
        <v>14819.63</v>
      </c>
      <c r="H33" s="1373"/>
      <c r="I33" s="797"/>
      <c r="J33" s="798">
        <v>14819.63</v>
      </c>
      <c r="K33" s="1370">
        <v>39535</v>
      </c>
      <c r="L33" s="1370"/>
      <c r="M33" s="1373">
        <v>100779</v>
      </c>
      <c r="N33" s="1373"/>
      <c r="O33" s="1373">
        <v>14819.63</v>
      </c>
      <c r="P33" s="1373"/>
      <c r="Q33" s="797"/>
      <c r="R33" s="798">
        <v>14819.63</v>
      </c>
      <c r="S33" s="799">
        <f t="shared" si="10"/>
        <v>85959.37</v>
      </c>
      <c r="T33" s="799">
        <v>33735</v>
      </c>
      <c r="U33" s="799">
        <f t="shared" si="6"/>
        <v>-9288</v>
      </c>
      <c r="V33" s="800">
        <f t="shared" si="7"/>
        <v>111.53172215426324</v>
      </c>
      <c r="W33" s="799">
        <f t="shared" si="8"/>
        <v>5800</v>
      </c>
      <c r="X33" s="800">
        <f t="shared" si="11"/>
        <v>85.329454913367897</v>
      </c>
    </row>
    <row r="34" spans="1:24" ht="24.75">
      <c r="A34" s="795" t="s">
        <v>894</v>
      </c>
      <c r="B34" s="795" t="s">
        <v>895</v>
      </c>
      <c r="C34" s="1370">
        <v>4997012</v>
      </c>
      <c r="D34" s="1370"/>
      <c r="E34" s="1371">
        <v>3772982</v>
      </c>
      <c r="F34" s="1372"/>
      <c r="G34" s="1373">
        <v>9268288.6400000006</v>
      </c>
      <c r="H34" s="1373"/>
      <c r="I34" s="797"/>
      <c r="J34" s="798">
        <v>7126060.46</v>
      </c>
      <c r="K34" s="1370">
        <v>5158984</v>
      </c>
      <c r="L34" s="1370"/>
      <c r="M34" s="1373">
        <v>9911181</v>
      </c>
      <c r="N34" s="1373"/>
      <c r="O34" s="1373">
        <v>9268288.6400000006</v>
      </c>
      <c r="P34" s="1373"/>
      <c r="Q34" s="797"/>
      <c r="R34" s="798">
        <v>7126060.46</v>
      </c>
      <c r="S34" s="799">
        <f t="shared" si="10"/>
        <v>642892.3599999994</v>
      </c>
      <c r="T34" s="799">
        <v>4750272</v>
      </c>
      <c r="U34" s="799">
        <f t="shared" si="6"/>
        <v>-161972</v>
      </c>
      <c r="V34" s="800">
        <f t="shared" si="7"/>
        <v>95.062249200121997</v>
      </c>
      <c r="W34" s="799">
        <f t="shared" si="8"/>
        <v>408712</v>
      </c>
      <c r="X34" s="800">
        <f t="shared" si="11"/>
        <v>92.07766490456261</v>
      </c>
    </row>
    <row r="35" spans="1:24" ht="16.5">
      <c r="A35" s="795" t="s">
        <v>896</v>
      </c>
      <c r="B35" s="795" t="s">
        <v>897</v>
      </c>
      <c r="C35" s="1370">
        <v>91804</v>
      </c>
      <c r="D35" s="1370"/>
      <c r="E35" s="1371">
        <v>81953</v>
      </c>
      <c r="F35" s="1372"/>
      <c r="G35" s="1373">
        <v>177510</v>
      </c>
      <c r="H35" s="1373"/>
      <c r="I35" s="797"/>
      <c r="J35" s="798">
        <v>4160</v>
      </c>
      <c r="K35" s="1370">
        <v>467929</v>
      </c>
      <c r="L35" s="1370"/>
      <c r="M35" s="1373">
        <v>191608</v>
      </c>
      <c r="N35" s="1373"/>
      <c r="O35" s="1373">
        <v>177510</v>
      </c>
      <c r="P35" s="1373"/>
      <c r="Q35" s="797"/>
      <c r="R35" s="798">
        <v>4160</v>
      </c>
      <c r="S35" s="799">
        <f t="shared" si="10"/>
        <v>14098</v>
      </c>
      <c r="T35" s="799">
        <v>267608</v>
      </c>
      <c r="U35" s="799">
        <f t="shared" si="6"/>
        <v>-376125</v>
      </c>
      <c r="V35" s="800">
        <f t="shared" si="7"/>
        <v>291.49928107707723</v>
      </c>
      <c r="W35" s="799">
        <f t="shared" si="8"/>
        <v>200321</v>
      </c>
      <c r="X35" s="800">
        <f t="shared" si="11"/>
        <v>57.189872822586331</v>
      </c>
    </row>
    <row r="36" spans="1:24" ht="16.5">
      <c r="A36" s="795" t="s">
        <v>898</v>
      </c>
      <c r="B36" s="795" t="s">
        <v>899</v>
      </c>
      <c r="C36" s="1370">
        <v>2242620</v>
      </c>
      <c r="D36" s="1370"/>
      <c r="E36" s="1371">
        <v>3465849</v>
      </c>
      <c r="F36" s="1372"/>
      <c r="G36" s="1373">
        <v>4493790.9800000004</v>
      </c>
      <c r="H36" s="1373"/>
      <c r="I36" s="797"/>
      <c r="J36" s="798">
        <v>4473255.9800000004</v>
      </c>
      <c r="K36" s="1370">
        <v>7805932</v>
      </c>
      <c r="L36" s="1370"/>
      <c r="M36" s="1373">
        <v>5461938</v>
      </c>
      <c r="N36" s="1373"/>
      <c r="O36" s="1373">
        <v>4493790.9800000004</v>
      </c>
      <c r="P36" s="1373"/>
      <c r="Q36" s="797"/>
      <c r="R36" s="798">
        <v>4473255.9800000004</v>
      </c>
      <c r="S36" s="799">
        <f t="shared" si="10"/>
        <v>968147.01999999955</v>
      </c>
      <c r="T36" s="799">
        <v>318513</v>
      </c>
      <c r="U36" s="799">
        <f t="shared" si="6"/>
        <v>-5563312</v>
      </c>
      <c r="V36" s="800">
        <f t="shared" si="7"/>
        <v>14.20271824919068</v>
      </c>
      <c r="W36" s="799">
        <f t="shared" si="8"/>
        <v>7487419</v>
      </c>
      <c r="X36" s="800">
        <f t="shared" si="11"/>
        <v>4.0803968059163207</v>
      </c>
    </row>
    <row r="37" spans="1:24" ht="16.5">
      <c r="A37" s="795" t="s">
        <v>900</v>
      </c>
      <c r="B37" s="795" t="s">
        <v>901</v>
      </c>
      <c r="C37" s="1370">
        <v>14642</v>
      </c>
      <c r="D37" s="1370"/>
      <c r="E37" s="1371">
        <v>31096</v>
      </c>
      <c r="F37" s="1372"/>
      <c r="G37" s="1373">
        <v>22837</v>
      </c>
      <c r="H37" s="1373"/>
      <c r="I37" s="797"/>
      <c r="J37" s="798">
        <v>13845</v>
      </c>
      <c r="K37" s="1370">
        <v>16478</v>
      </c>
      <c r="L37" s="1370"/>
      <c r="M37" s="1373">
        <v>125602</v>
      </c>
      <c r="N37" s="1373"/>
      <c r="O37" s="1373">
        <v>22837</v>
      </c>
      <c r="P37" s="1373"/>
      <c r="Q37" s="797"/>
      <c r="R37" s="798">
        <v>13845</v>
      </c>
      <c r="S37" s="799">
        <f t="shared" si="10"/>
        <v>102765</v>
      </c>
      <c r="T37" s="799">
        <v>15378</v>
      </c>
      <c r="U37" s="799">
        <f t="shared" si="6"/>
        <v>-1836</v>
      </c>
      <c r="V37" s="800">
        <f t="shared" si="7"/>
        <v>105.02663570550472</v>
      </c>
      <c r="W37" s="799">
        <f t="shared" si="8"/>
        <v>1100</v>
      </c>
      <c r="X37" s="800">
        <f t="shared" si="11"/>
        <v>93.324432576769027</v>
      </c>
    </row>
    <row r="38" spans="1:24">
      <c r="A38" s="795" t="s">
        <v>902</v>
      </c>
      <c r="B38" s="795" t="s">
        <v>903</v>
      </c>
      <c r="C38" s="1370">
        <v>19999</v>
      </c>
      <c r="D38" s="1370"/>
      <c r="E38" s="1371">
        <v>13920</v>
      </c>
      <c r="F38" s="1372"/>
      <c r="G38" s="1373">
        <v>6000</v>
      </c>
      <c r="H38" s="1373"/>
      <c r="I38" s="797"/>
      <c r="J38" s="798">
        <v>6000</v>
      </c>
      <c r="K38" s="1370">
        <v>24792</v>
      </c>
      <c r="L38" s="1370"/>
      <c r="M38" s="1373">
        <v>14942</v>
      </c>
      <c r="N38" s="1373"/>
      <c r="O38" s="1373">
        <v>6000</v>
      </c>
      <c r="P38" s="1373"/>
      <c r="Q38" s="797"/>
      <c r="R38" s="798">
        <v>6000</v>
      </c>
      <c r="S38" s="799">
        <f t="shared" si="10"/>
        <v>8942</v>
      </c>
      <c r="T38" s="799">
        <v>35597</v>
      </c>
      <c r="U38" s="799">
        <f t="shared" si="6"/>
        <v>-4793</v>
      </c>
      <c r="V38" s="800">
        <f t="shared" si="7"/>
        <v>177.99389969498475</v>
      </c>
      <c r="W38" s="799">
        <f t="shared" si="8"/>
        <v>-10805</v>
      </c>
      <c r="X38" s="800">
        <f t="shared" si="11"/>
        <v>143.58260729267505</v>
      </c>
    </row>
    <row r="39" spans="1:24" ht="16.5">
      <c r="A39" s="795" t="s">
        <v>904</v>
      </c>
      <c r="B39" s="795" t="s">
        <v>905</v>
      </c>
      <c r="C39" s="1370">
        <v>107262</v>
      </c>
      <c r="D39" s="1370"/>
      <c r="E39" s="1371">
        <v>60731</v>
      </c>
      <c r="F39" s="1372"/>
      <c r="G39" s="1373">
        <v>34120</v>
      </c>
      <c r="H39" s="1373"/>
      <c r="I39" s="797"/>
      <c r="J39" s="798">
        <v>34120</v>
      </c>
      <c r="K39" s="1370">
        <v>77147</v>
      </c>
      <c r="L39" s="1370"/>
      <c r="M39" s="1373">
        <v>39370</v>
      </c>
      <c r="N39" s="1373"/>
      <c r="O39" s="1373">
        <v>34120</v>
      </c>
      <c r="P39" s="1373"/>
      <c r="Q39" s="797"/>
      <c r="R39" s="798">
        <v>34120</v>
      </c>
      <c r="S39" s="799">
        <f t="shared" si="10"/>
        <v>5250</v>
      </c>
      <c r="T39" s="799">
        <v>149647</v>
      </c>
      <c r="U39" s="799">
        <f t="shared" si="6"/>
        <v>30115</v>
      </c>
      <c r="V39" s="800">
        <f t="shared" si="7"/>
        <v>139.51539221718784</v>
      </c>
      <c r="W39" s="799">
        <f t="shared" si="8"/>
        <v>-72500</v>
      </c>
      <c r="X39" s="800">
        <f t="shared" si="11"/>
        <v>193.97643459888266</v>
      </c>
    </row>
    <row r="40" spans="1:24" ht="16.5">
      <c r="A40" s="795" t="s">
        <v>906</v>
      </c>
      <c r="B40" s="795" t="s">
        <v>907</v>
      </c>
      <c r="C40" s="1377" t="s">
        <v>847</v>
      </c>
      <c r="D40" s="1377"/>
      <c r="E40" s="1371">
        <v>47469</v>
      </c>
      <c r="F40" s="1372"/>
      <c r="G40" s="1373" t="s">
        <v>847</v>
      </c>
      <c r="H40" s="1373"/>
      <c r="I40" s="797"/>
      <c r="J40" s="803" t="s">
        <v>847</v>
      </c>
      <c r="K40" s="1377" t="s">
        <v>847</v>
      </c>
      <c r="L40" s="1377"/>
      <c r="M40" s="1373">
        <v>500</v>
      </c>
      <c r="N40" s="1373"/>
      <c r="O40" s="1373" t="s">
        <v>847</v>
      </c>
      <c r="P40" s="1373"/>
      <c r="Q40" s="797"/>
      <c r="R40" s="803" t="s">
        <v>847</v>
      </c>
      <c r="S40" s="799">
        <v>500</v>
      </c>
      <c r="T40" s="799"/>
      <c r="U40" s="799">
        <v>0</v>
      </c>
      <c r="V40" s="800">
        <v>0</v>
      </c>
      <c r="W40" s="799">
        <v>0</v>
      </c>
      <c r="X40" s="800">
        <v>0</v>
      </c>
    </row>
    <row r="41" spans="1:24">
      <c r="A41" s="795" t="s">
        <v>908</v>
      </c>
      <c r="B41" s="795" t="s">
        <v>909</v>
      </c>
      <c r="C41" s="1370">
        <v>351924</v>
      </c>
      <c r="D41" s="1370"/>
      <c r="E41" s="1371">
        <v>1395648</v>
      </c>
      <c r="F41" s="1372"/>
      <c r="G41" s="1373">
        <v>366360.7</v>
      </c>
      <c r="H41" s="1373"/>
      <c r="I41" s="797"/>
      <c r="J41" s="798">
        <v>364209.1</v>
      </c>
      <c r="K41" s="1370">
        <v>107580</v>
      </c>
      <c r="L41" s="1370"/>
      <c r="M41" s="1373">
        <v>595275</v>
      </c>
      <c r="N41" s="1373"/>
      <c r="O41" s="1373">
        <v>366360.7</v>
      </c>
      <c r="P41" s="1373"/>
      <c r="Q41" s="797"/>
      <c r="R41" s="798">
        <v>364209.1</v>
      </c>
      <c r="S41" s="799">
        <f>+M41-O41</f>
        <v>228914.3</v>
      </c>
      <c r="T41" s="799">
        <v>2268451</v>
      </c>
      <c r="U41" s="799">
        <f>+C41-K41</f>
        <v>244344</v>
      </c>
      <c r="V41" s="800">
        <f>(T41/C41)*100</f>
        <v>644.58547868289747</v>
      </c>
      <c r="W41" s="799">
        <f>+K41-T41</f>
        <v>-2160871</v>
      </c>
      <c r="X41" s="800">
        <f>(T41*100)/K41</f>
        <v>2108.6177728202269</v>
      </c>
    </row>
    <row r="42" spans="1:24">
      <c r="A42" s="795" t="s">
        <v>910</v>
      </c>
      <c r="B42" s="795" t="s">
        <v>911</v>
      </c>
      <c r="C42" s="801">
        <v>0</v>
      </c>
      <c r="D42" s="801"/>
      <c r="E42" s="802"/>
      <c r="F42" s="802">
        <v>952</v>
      </c>
      <c r="G42" s="802"/>
      <c r="H42" s="802"/>
      <c r="I42" s="797"/>
      <c r="J42" s="798"/>
      <c r="K42" s="801"/>
      <c r="L42" s="801"/>
      <c r="M42" s="802"/>
      <c r="N42" s="802"/>
      <c r="O42" s="802"/>
      <c r="P42" s="802"/>
      <c r="Q42" s="797"/>
      <c r="R42" s="798"/>
      <c r="S42" s="799"/>
      <c r="T42" s="799">
        <v>2005</v>
      </c>
      <c r="U42" s="799">
        <f>+C42-K42</f>
        <v>0</v>
      </c>
      <c r="V42" s="800">
        <v>0</v>
      </c>
      <c r="W42" s="799">
        <f>+K42-T42</f>
        <v>-2005</v>
      </c>
      <c r="X42" s="800">
        <v>0</v>
      </c>
    </row>
    <row r="43" spans="1:24">
      <c r="A43" s="795" t="s">
        <v>912</v>
      </c>
      <c r="B43" s="795" t="s">
        <v>913</v>
      </c>
      <c r="C43" s="1370">
        <v>3593</v>
      </c>
      <c r="D43" s="1370"/>
      <c r="E43" s="1371">
        <v>8420</v>
      </c>
      <c r="F43" s="1372"/>
      <c r="G43" s="1373" t="s">
        <v>847</v>
      </c>
      <c r="H43" s="1373"/>
      <c r="I43" s="797"/>
      <c r="J43" s="803" t="s">
        <v>847</v>
      </c>
      <c r="K43" s="1370">
        <v>12000</v>
      </c>
      <c r="L43" s="1370"/>
      <c r="M43" s="1373">
        <v>12000</v>
      </c>
      <c r="N43" s="1373"/>
      <c r="O43" s="1373" t="s">
        <v>847</v>
      </c>
      <c r="P43" s="1373"/>
      <c r="Q43" s="797"/>
      <c r="R43" s="803" t="s">
        <v>847</v>
      </c>
      <c r="S43" s="799">
        <v>12000</v>
      </c>
      <c r="T43" s="799"/>
      <c r="U43" s="799">
        <f>+C43-K43</f>
        <v>-8407</v>
      </c>
      <c r="V43" s="800">
        <f t="shared" ref="V43:V51" si="12">(T43/C43)*100</f>
        <v>0</v>
      </c>
      <c r="W43" s="799">
        <f>+K43-T43</f>
        <v>12000</v>
      </c>
      <c r="X43" s="800">
        <f>(T43*100)/K43</f>
        <v>0</v>
      </c>
    </row>
    <row r="44" spans="1:24">
      <c r="A44" s="795" t="s">
        <v>914</v>
      </c>
      <c r="B44" s="795" t="s">
        <v>915</v>
      </c>
      <c r="C44" s="1370">
        <v>26052</v>
      </c>
      <c r="D44" s="1370"/>
      <c r="E44" s="1371">
        <v>47293</v>
      </c>
      <c r="F44" s="1372"/>
      <c r="G44" s="1373">
        <v>6406.48</v>
      </c>
      <c r="H44" s="1373"/>
      <c r="I44" s="797"/>
      <c r="J44" s="798">
        <v>6406.48</v>
      </c>
      <c r="K44" s="1370">
        <v>33550</v>
      </c>
      <c r="L44" s="1370"/>
      <c r="M44" s="1373">
        <v>31350</v>
      </c>
      <c r="N44" s="1373"/>
      <c r="O44" s="1373">
        <v>6406.48</v>
      </c>
      <c r="P44" s="1373"/>
      <c r="Q44" s="797"/>
      <c r="R44" s="798">
        <v>6406.48</v>
      </c>
      <c r="S44" s="799">
        <f t="shared" ref="S44:S51" si="13">+M44-O44</f>
        <v>24943.52</v>
      </c>
      <c r="T44" s="799"/>
      <c r="U44" s="799">
        <f>+C44-K44</f>
        <v>-7498</v>
      </c>
      <c r="V44" s="800">
        <f t="shared" si="12"/>
        <v>0</v>
      </c>
      <c r="W44" s="799">
        <f>+K44-T44</f>
        <v>33550</v>
      </c>
      <c r="X44" s="800">
        <f>(T44*100)/K44</f>
        <v>0</v>
      </c>
    </row>
    <row r="45" spans="1:24" ht="16.5">
      <c r="A45" s="795" t="s">
        <v>916</v>
      </c>
      <c r="B45" s="795" t="s">
        <v>917</v>
      </c>
      <c r="C45" s="1370">
        <v>17051</v>
      </c>
      <c r="D45" s="1370"/>
      <c r="E45" s="1371">
        <v>90883</v>
      </c>
      <c r="F45" s="1372"/>
      <c r="G45" s="1373">
        <v>3126.3</v>
      </c>
      <c r="H45" s="1373"/>
      <c r="I45" s="797"/>
      <c r="J45" s="798">
        <v>3126.3</v>
      </c>
      <c r="K45" s="1370">
        <v>62566</v>
      </c>
      <c r="L45" s="1370"/>
      <c r="M45" s="1373">
        <v>26506</v>
      </c>
      <c r="N45" s="1373"/>
      <c r="O45" s="1373">
        <v>3126.3</v>
      </c>
      <c r="P45" s="1373"/>
      <c r="Q45" s="797"/>
      <c r="R45" s="798">
        <v>3126.3</v>
      </c>
      <c r="S45" s="799">
        <f t="shared" si="13"/>
        <v>23379.7</v>
      </c>
      <c r="T45" s="799"/>
      <c r="U45" s="799">
        <f>+C45-K45</f>
        <v>-45515</v>
      </c>
      <c r="V45" s="800">
        <f t="shared" si="12"/>
        <v>0</v>
      </c>
      <c r="W45" s="799">
        <f>+K45-T45</f>
        <v>62566</v>
      </c>
      <c r="X45" s="800">
        <f>(T45*100)/K45</f>
        <v>0</v>
      </c>
    </row>
    <row r="46" spans="1:24" ht="16.5">
      <c r="A46" s="795" t="s">
        <v>918</v>
      </c>
      <c r="B46" s="795" t="s">
        <v>919</v>
      </c>
      <c r="C46" s="1377">
        <v>4233</v>
      </c>
      <c r="D46" s="1377"/>
      <c r="E46" s="1371">
        <v>39375</v>
      </c>
      <c r="F46" s="1372"/>
      <c r="G46" s="1373">
        <v>1226</v>
      </c>
      <c r="H46" s="1373"/>
      <c r="I46" s="797"/>
      <c r="J46" s="798">
        <v>1226</v>
      </c>
      <c r="K46" s="1377" t="s">
        <v>847</v>
      </c>
      <c r="L46" s="1377"/>
      <c r="M46" s="1373">
        <v>1226</v>
      </c>
      <c r="N46" s="1373"/>
      <c r="O46" s="1373">
        <v>1226</v>
      </c>
      <c r="P46" s="1373"/>
      <c r="Q46" s="797"/>
      <c r="R46" s="798">
        <v>1226</v>
      </c>
      <c r="S46" s="799">
        <f t="shared" si="13"/>
        <v>0</v>
      </c>
      <c r="T46" s="799"/>
      <c r="U46" s="799">
        <v>0</v>
      </c>
      <c r="V46" s="800">
        <f t="shared" si="12"/>
        <v>0</v>
      </c>
      <c r="W46" s="799">
        <v>0</v>
      </c>
      <c r="X46" s="800">
        <v>0</v>
      </c>
    </row>
    <row r="47" spans="1:24">
      <c r="A47" s="795" t="s">
        <v>920</v>
      </c>
      <c r="B47" s="795" t="s">
        <v>921</v>
      </c>
      <c r="C47" s="1370">
        <v>15995</v>
      </c>
      <c r="D47" s="1370"/>
      <c r="E47" s="1371">
        <v>65590</v>
      </c>
      <c r="F47" s="1372"/>
      <c r="G47" s="1373">
        <v>2709</v>
      </c>
      <c r="H47" s="1373"/>
      <c r="I47" s="797"/>
      <c r="J47" s="798">
        <v>2709</v>
      </c>
      <c r="K47" s="1370">
        <v>43158</v>
      </c>
      <c r="L47" s="1370"/>
      <c r="M47" s="1373">
        <v>37379</v>
      </c>
      <c r="N47" s="1373"/>
      <c r="O47" s="1373">
        <v>2709</v>
      </c>
      <c r="P47" s="1373"/>
      <c r="Q47" s="797"/>
      <c r="R47" s="798">
        <v>2709</v>
      </c>
      <c r="S47" s="799">
        <f t="shared" si="13"/>
        <v>34670</v>
      </c>
      <c r="T47" s="799">
        <v>18400</v>
      </c>
      <c r="U47" s="799">
        <f>+C47-K47</f>
        <v>-27163</v>
      </c>
      <c r="V47" s="800">
        <f t="shared" si="12"/>
        <v>115.03594873397938</v>
      </c>
      <c r="W47" s="799">
        <f>+K47-T47</f>
        <v>24758</v>
      </c>
      <c r="X47" s="800">
        <f>(T47*100)/K47</f>
        <v>42.634042355994254</v>
      </c>
    </row>
    <row r="48" spans="1:24">
      <c r="A48" s="795" t="s">
        <v>922</v>
      </c>
      <c r="B48" s="795" t="s">
        <v>923</v>
      </c>
      <c r="C48" s="1370">
        <v>73314</v>
      </c>
      <c r="D48" s="1370"/>
      <c r="E48" s="1371">
        <v>26648</v>
      </c>
      <c r="F48" s="1372"/>
      <c r="G48" s="1373">
        <v>56078</v>
      </c>
      <c r="H48" s="1373"/>
      <c r="I48" s="797"/>
      <c r="J48" s="798">
        <v>56078</v>
      </c>
      <c r="K48" s="1370">
        <v>69338</v>
      </c>
      <c r="L48" s="1370"/>
      <c r="M48" s="1373">
        <v>58510</v>
      </c>
      <c r="N48" s="1373"/>
      <c r="O48" s="1373">
        <v>56078</v>
      </c>
      <c r="P48" s="1373"/>
      <c r="Q48" s="797"/>
      <c r="R48" s="798">
        <v>56078</v>
      </c>
      <c r="S48" s="799">
        <f t="shared" si="13"/>
        <v>2432</v>
      </c>
      <c r="T48" s="799">
        <v>5948</v>
      </c>
      <c r="U48" s="799">
        <f>+C48-K48</f>
        <v>3976</v>
      </c>
      <c r="V48" s="800">
        <f t="shared" si="12"/>
        <v>8.113047985377964</v>
      </c>
      <c r="W48" s="799">
        <f>+K48-T48</f>
        <v>63390</v>
      </c>
      <c r="X48" s="800">
        <f>(T48*100)/K48</f>
        <v>8.5782687703712242</v>
      </c>
    </row>
    <row r="49" spans="1:24" ht="16.5">
      <c r="A49" s="795" t="s">
        <v>924</v>
      </c>
      <c r="B49" s="795" t="s">
        <v>925</v>
      </c>
      <c r="C49" s="1370">
        <v>442916</v>
      </c>
      <c r="D49" s="1370"/>
      <c r="E49" s="1371">
        <v>997366</v>
      </c>
      <c r="F49" s="1372"/>
      <c r="G49" s="1373">
        <v>542024.99</v>
      </c>
      <c r="H49" s="1373"/>
      <c r="I49" s="797"/>
      <c r="J49" s="798">
        <v>541024.99</v>
      </c>
      <c r="K49" s="1370">
        <v>679895</v>
      </c>
      <c r="L49" s="1370"/>
      <c r="M49" s="1373">
        <v>643453</v>
      </c>
      <c r="N49" s="1373"/>
      <c r="O49" s="1373">
        <v>542024.99</v>
      </c>
      <c r="P49" s="1373"/>
      <c r="Q49" s="797"/>
      <c r="R49" s="798">
        <v>541024.99</v>
      </c>
      <c r="S49" s="799">
        <f t="shared" si="13"/>
        <v>101428.01000000001</v>
      </c>
      <c r="T49" s="799">
        <v>919717</v>
      </c>
      <c r="U49" s="799">
        <f>+C49-K49</f>
        <v>-236979</v>
      </c>
      <c r="V49" s="800">
        <f t="shared" si="12"/>
        <v>207.65043484543347</v>
      </c>
      <c r="W49" s="799">
        <f>+K49-T49</f>
        <v>-239822</v>
      </c>
      <c r="X49" s="800">
        <f>(T49*100)/K49</f>
        <v>135.27338780252833</v>
      </c>
    </row>
    <row r="50" spans="1:24" ht="16.5">
      <c r="A50" s="795" t="s">
        <v>926</v>
      </c>
      <c r="B50" s="795" t="s">
        <v>927</v>
      </c>
      <c r="C50" s="1370">
        <v>34102</v>
      </c>
      <c r="D50" s="1370"/>
      <c r="E50" s="1371">
        <v>196001</v>
      </c>
      <c r="F50" s="1372"/>
      <c r="G50" s="1373">
        <v>5182</v>
      </c>
      <c r="H50" s="1373"/>
      <c r="I50" s="797"/>
      <c r="J50" s="798">
        <v>4282</v>
      </c>
      <c r="K50" s="1370">
        <v>25583</v>
      </c>
      <c r="L50" s="1370"/>
      <c r="M50" s="1373">
        <v>29163</v>
      </c>
      <c r="N50" s="1373"/>
      <c r="O50" s="1373">
        <v>5182</v>
      </c>
      <c r="P50" s="1373"/>
      <c r="Q50" s="797"/>
      <c r="R50" s="798">
        <v>4282</v>
      </c>
      <c r="S50" s="799">
        <f t="shared" si="13"/>
        <v>23981</v>
      </c>
      <c r="T50" s="799">
        <v>32419</v>
      </c>
      <c r="U50" s="799">
        <f>+C50-K50</f>
        <v>8519</v>
      </c>
      <c r="V50" s="800">
        <f t="shared" si="12"/>
        <v>95.064805583250248</v>
      </c>
      <c r="W50" s="799">
        <f>+K50-T50</f>
        <v>-6836</v>
      </c>
      <c r="X50" s="800">
        <f>(T50*100)/K50</f>
        <v>126.72086932728766</v>
      </c>
    </row>
    <row r="51" spans="1:24">
      <c r="A51" s="795" t="s">
        <v>928</v>
      </c>
      <c r="B51" s="795" t="s">
        <v>929</v>
      </c>
      <c r="C51" s="1370">
        <v>963765</v>
      </c>
      <c r="D51" s="1370"/>
      <c r="E51" s="1371">
        <v>2049566</v>
      </c>
      <c r="F51" s="1372"/>
      <c r="G51" s="1373">
        <v>1339286.21</v>
      </c>
      <c r="H51" s="1373"/>
      <c r="I51" s="804"/>
      <c r="J51" s="798">
        <v>1263335.4099999999</v>
      </c>
      <c r="K51" s="1370">
        <v>614132</v>
      </c>
      <c r="L51" s="1370"/>
      <c r="M51" s="1373">
        <v>1521542</v>
      </c>
      <c r="N51" s="1373"/>
      <c r="O51" s="1373">
        <v>1339286.21</v>
      </c>
      <c r="P51" s="1373"/>
      <c r="Q51" s="804"/>
      <c r="R51" s="798">
        <v>1263335.4099999999</v>
      </c>
      <c r="S51" s="799">
        <f t="shared" si="13"/>
        <v>182255.79000000004</v>
      </c>
      <c r="T51" s="799">
        <v>1168925</v>
      </c>
      <c r="U51" s="799">
        <f>+C51-K51</f>
        <v>349633</v>
      </c>
      <c r="V51" s="800">
        <f t="shared" si="12"/>
        <v>121.28734701924225</v>
      </c>
      <c r="W51" s="799">
        <f>+K51-T51</f>
        <v>-554793</v>
      </c>
      <c r="X51" s="800">
        <f>(T51*100)/K51</f>
        <v>190.3377449799066</v>
      </c>
    </row>
    <row r="52" spans="1:24">
      <c r="A52" s="795" t="s">
        <v>930</v>
      </c>
      <c r="B52" s="795" t="s">
        <v>472</v>
      </c>
      <c r="C52" s="1377">
        <v>0</v>
      </c>
      <c r="D52" s="1377"/>
      <c r="E52" s="1371">
        <v>0</v>
      </c>
      <c r="F52" s="1372"/>
      <c r="G52" s="1373" t="s">
        <v>847</v>
      </c>
      <c r="H52" s="1373"/>
      <c r="I52" s="804"/>
      <c r="J52" s="803" t="s">
        <v>847</v>
      </c>
      <c r="K52" s="1377" t="s">
        <v>847</v>
      </c>
      <c r="L52" s="1377"/>
      <c r="M52" s="1373">
        <v>1350</v>
      </c>
      <c r="N52" s="1373"/>
      <c r="O52" s="1373" t="s">
        <v>847</v>
      </c>
      <c r="P52" s="1373"/>
      <c r="Q52" s="804"/>
      <c r="R52" s="803" t="s">
        <v>847</v>
      </c>
      <c r="S52" s="799">
        <v>1350</v>
      </c>
      <c r="T52" s="799"/>
      <c r="U52" s="799">
        <v>0</v>
      </c>
      <c r="V52" s="800">
        <v>0</v>
      </c>
      <c r="W52" s="799">
        <v>0</v>
      </c>
      <c r="X52" s="800">
        <v>0</v>
      </c>
    </row>
    <row r="53" spans="1:24">
      <c r="A53" s="795" t="s">
        <v>931</v>
      </c>
      <c r="B53" s="795" t="s">
        <v>932</v>
      </c>
      <c r="C53" s="1370">
        <v>4146412</v>
      </c>
      <c r="D53" s="1370"/>
      <c r="E53" s="1371">
        <v>6079034</v>
      </c>
      <c r="F53" s="1372"/>
      <c r="G53" s="1373">
        <v>1878997.19</v>
      </c>
      <c r="H53" s="1373"/>
      <c r="I53" s="804"/>
      <c r="J53" s="798">
        <v>1723577.23</v>
      </c>
      <c r="K53" s="1370">
        <v>6421258</v>
      </c>
      <c r="L53" s="1370"/>
      <c r="M53" s="1373">
        <v>3392635</v>
      </c>
      <c r="N53" s="1373"/>
      <c r="O53" s="1373">
        <v>1878997.19</v>
      </c>
      <c r="P53" s="1373"/>
      <c r="Q53" s="804"/>
      <c r="R53" s="798">
        <v>1723577.23</v>
      </c>
      <c r="S53" s="799">
        <f t="shared" ref="S53:S58" si="14">+M53-O53</f>
        <v>1513637.81</v>
      </c>
      <c r="T53" s="799">
        <v>2902557</v>
      </c>
      <c r="U53" s="799">
        <f t="shared" ref="U53:U66" si="15">+C53-K53</f>
        <v>-2274846</v>
      </c>
      <c r="V53" s="800">
        <f t="shared" ref="V53:V66" si="16">(T53/C53)*100</f>
        <v>70.001654442443254</v>
      </c>
      <c r="W53" s="799">
        <f t="shared" ref="W53:W66" si="17">+K53-T53</f>
        <v>3518701</v>
      </c>
      <c r="X53" s="800">
        <f t="shared" ref="X53:X58" si="18">(T53*100)/K53</f>
        <v>45.202310824452155</v>
      </c>
    </row>
    <row r="54" spans="1:24" ht="16.5">
      <c r="A54" s="795" t="s">
        <v>933</v>
      </c>
      <c r="B54" s="795" t="s">
        <v>934</v>
      </c>
      <c r="C54" s="1370">
        <v>8266391</v>
      </c>
      <c r="D54" s="1370"/>
      <c r="E54" s="1371">
        <v>13203786</v>
      </c>
      <c r="F54" s="1372"/>
      <c r="G54" s="1373">
        <v>2580718.2200000002</v>
      </c>
      <c r="H54" s="1373"/>
      <c r="I54" s="804"/>
      <c r="J54" s="798">
        <v>2360908.92</v>
      </c>
      <c r="K54" s="1370">
        <v>9633360</v>
      </c>
      <c r="L54" s="1370"/>
      <c r="M54" s="1373">
        <v>4343681</v>
      </c>
      <c r="N54" s="1373"/>
      <c r="O54" s="1373">
        <v>2580718.2200000002</v>
      </c>
      <c r="P54" s="1373"/>
      <c r="Q54" s="804"/>
      <c r="R54" s="798">
        <v>2360908.92</v>
      </c>
      <c r="S54" s="799">
        <f t="shared" si="14"/>
        <v>1762962.7799999998</v>
      </c>
      <c r="T54" s="799">
        <v>3855956</v>
      </c>
      <c r="U54" s="799">
        <f t="shared" si="15"/>
        <v>-1366969</v>
      </c>
      <c r="V54" s="800">
        <f t="shared" si="16"/>
        <v>46.64618453204065</v>
      </c>
      <c r="W54" s="799">
        <f t="shared" si="17"/>
        <v>5777404</v>
      </c>
      <c r="X54" s="800">
        <f t="shared" si="18"/>
        <v>40.027114111794845</v>
      </c>
    </row>
    <row r="55" spans="1:24" ht="16.5">
      <c r="A55" s="795" t="s">
        <v>935</v>
      </c>
      <c r="B55" s="795" t="s">
        <v>936</v>
      </c>
      <c r="C55" s="1370">
        <v>251173</v>
      </c>
      <c r="D55" s="1370"/>
      <c r="E55" s="1371">
        <v>75994</v>
      </c>
      <c r="F55" s="1372"/>
      <c r="G55" s="1373">
        <v>140250</v>
      </c>
      <c r="H55" s="1373"/>
      <c r="I55" s="804"/>
      <c r="J55" s="798">
        <v>140250</v>
      </c>
      <c r="K55" s="1370">
        <v>182883</v>
      </c>
      <c r="L55" s="1370"/>
      <c r="M55" s="1373">
        <v>151710</v>
      </c>
      <c r="N55" s="1373"/>
      <c r="O55" s="1373">
        <v>140250</v>
      </c>
      <c r="P55" s="1373"/>
      <c r="Q55" s="804"/>
      <c r="R55" s="798">
        <v>140250</v>
      </c>
      <c r="S55" s="799">
        <f t="shared" si="14"/>
        <v>11460</v>
      </c>
      <c r="T55" s="799"/>
      <c r="U55" s="799">
        <f t="shared" si="15"/>
        <v>68290</v>
      </c>
      <c r="V55" s="800">
        <f t="shared" si="16"/>
        <v>0</v>
      </c>
      <c r="W55" s="799">
        <f t="shared" si="17"/>
        <v>182883</v>
      </c>
      <c r="X55" s="800">
        <f t="shared" si="18"/>
        <v>0</v>
      </c>
    </row>
    <row r="56" spans="1:24">
      <c r="A56" s="795" t="s">
        <v>937</v>
      </c>
      <c r="B56" s="795" t="s">
        <v>472</v>
      </c>
      <c r="C56" s="1370">
        <v>8256986</v>
      </c>
      <c r="D56" s="1370"/>
      <c r="E56" s="1371">
        <v>12257538</v>
      </c>
      <c r="F56" s="1372"/>
      <c r="G56" s="1373">
        <v>1828796.6</v>
      </c>
      <c r="H56" s="1373"/>
      <c r="I56" s="804"/>
      <c r="J56" s="798">
        <v>1732537.6</v>
      </c>
      <c r="K56" s="1370">
        <v>5488267</v>
      </c>
      <c r="L56" s="1370"/>
      <c r="M56" s="1373">
        <v>2680846</v>
      </c>
      <c r="N56" s="1373"/>
      <c r="O56" s="1373">
        <v>1828796.6</v>
      </c>
      <c r="P56" s="1373"/>
      <c r="Q56" s="804"/>
      <c r="R56" s="798">
        <v>1732537.6</v>
      </c>
      <c r="S56" s="799">
        <f t="shared" si="14"/>
        <v>852049.39999999991</v>
      </c>
      <c r="T56" s="799">
        <v>2445504</v>
      </c>
      <c r="U56" s="799">
        <f t="shared" si="15"/>
        <v>2768719</v>
      </c>
      <c r="V56" s="800">
        <f t="shared" si="16"/>
        <v>29.617393077813137</v>
      </c>
      <c r="W56" s="799">
        <f t="shared" si="17"/>
        <v>3042763</v>
      </c>
      <c r="X56" s="800">
        <f t="shared" si="18"/>
        <v>44.55876508923491</v>
      </c>
    </row>
    <row r="57" spans="1:24" ht="16.5">
      <c r="A57" s="795" t="s">
        <v>938</v>
      </c>
      <c r="B57" s="795" t="s">
        <v>939</v>
      </c>
      <c r="C57" s="1370">
        <v>9022230</v>
      </c>
      <c r="D57" s="1370"/>
      <c r="E57" s="1371">
        <v>7734637</v>
      </c>
      <c r="F57" s="1372"/>
      <c r="G57" s="1373">
        <v>6025382.7699999996</v>
      </c>
      <c r="H57" s="1373"/>
      <c r="I57" s="804"/>
      <c r="J57" s="798">
        <v>5732259.3399999999</v>
      </c>
      <c r="K57" s="1370">
        <v>6163592</v>
      </c>
      <c r="L57" s="1370"/>
      <c r="M57" s="1373">
        <v>7176940</v>
      </c>
      <c r="N57" s="1373"/>
      <c r="O57" s="1373">
        <v>6025382.7699999996</v>
      </c>
      <c r="P57" s="1373"/>
      <c r="Q57" s="804"/>
      <c r="R57" s="798">
        <v>5732259.3399999999</v>
      </c>
      <c r="S57" s="799">
        <f t="shared" si="14"/>
        <v>1151557.2300000004</v>
      </c>
      <c r="T57" s="799">
        <v>6378696</v>
      </c>
      <c r="U57" s="799">
        <f t="shared" si="15"/>
        <v>2858638</v>
      </c>
      <c r="V57" s="800">
        <f t="shared" si="16"/>
        <v>70.699771564236329</v>
      </c>
      <c r="W57" s="799">
        <f t="shared" si="17"/>
        <v>-215104</v>
      </c>
      <c r="X57" s="800">
        <f t="shared" si="18"/>
        <v>103.48991302474272</v>
      </c>
    </row>
    <row r="58" spans="1:24">
      <c r="A58" s="795" t="s">
        <v>940</v>
      </c>
      <c r="B58" s="795" t="s">
        <v>941</v>
      </c>
      <c r="C58" s="1370">
        <v>2150908</v>
      </c>
      <c r="D58" s="1370"/>
      <c r="E58" s="1371">
        <v>1538825</v>
      </c>
      <c r="F58" s="1372"/>
      <c r="G58" s="1373">
        <v>1295984.6499999999</v>
      </c>
      <c r="H58" s="1373"/>
      <c r="I58" s="804"/>
      <c r="J58" s="798">
        <v>1235749.46</v>
      </c>
      <c r="K58" s="1370">
        <v>2025049</v>
      </c>
      <c r="L58" s="1370"/>
      <c r="M58" s="1373">
        <v>1480943</v>
      </c>
      <c r="N58" s="1373"/>
      <c r="O58" s="1373">
        <v>1295984.6499999999</v>
      </c>
      <c r="P58" s="1373"/>
      <c r="Q58" s="804"/>
      <c r="R58" s="798">
        <v>1235749.46</v>
      </c>
      <c r="S58" s="799">
        <f t="shared" si="14"/>
        <v>184958.35000000009</v>
      </c>
      <c r="T58" s="799">
        <v>2072814</v>
      </c>
      <c r="U58" s="799">
        <f t="shared" si="15"/>
        <v>125859</v>
      </c>
      <c r="V58" s="800">
        <f t="shared" si="16"/>
        <v>96.369254287026678</v>
      </c>
      <c r="W58" s="799">
        <f t="shared" si="17"/>
        <v>-47765</v>
      </c>
      <c r="X58" s="800">
        <f t="shared" si="18"/>
        <v>102.35870835718049</v>
      </c>
    </row>
    <row r="59" spans="1:24">
      <c r="A59" s="795" t="s">
        <v>942</v>
      </c>
      <c r="B59" s="795" t="s">
        <v>943</v>
      </c>
      <c r="C59" s="801">
        <v>600</v>
      </c>
      <c r="D59" s="801"/>
      <c r="E59" s="802"/>
      <c r="F59" s="802">
        <v>0</v>
      </c>
      <c r="G59" s="802"/>
      <c r="H59" s="802"/>
      <c r="I59" s="804"/>
      <c r="J59" s="798"/>
      <c r="K59" s="801"/>
      <c r="L59" s="801"/>
      <c r="M59" s="802"/>
      <c r="N59" s="802"/>
      <c r="O59" s="802"/>
      <c r="P59" s="802"/>
      <c r="Q59" s="804"/>
      <c r="R59" s="798"/>
      <c r="S59" s="799"/>
      <c r="T59" s="799"/>
      <c r="U59" s="799">
        <f t="shared" si="15"/>
        <v>600</v>
      </c>
      <c r="V59" s="800">
        <f t="shared" si="16"/>
        <v>0</v>
      </c>
      <c r="W59" s="799">
        <f t="shared" si="17"/>
        <v>0</v>
      </c>
      <c r="X59" s="800">
        <v>0</v>
      </c>
    </row>
    <row r="60" spans="1:24">
      <c r="A60" s="795" t="s">
        <v>944</v>
      </c>
      <c r="B60" s="795" t="s">
        <v>945</v>
      </c>
      <c r="C60" s="1370">
        <v>240316</v>
      </c>
      <c r="D60" s="1370"/>
      <c r="E60" s="1371">
        <v>28630</v>
      </c>
      <c r="F60" s="1372"/>
      <c r="G60" s="1373">
        <v>27651.97</v>
      </c>
      <c r="H60" s="1373"/>
      <c r="I60" s="804"/>
      <c r="J60" s="798">
        <v>27651.97</v>
      </c>
      <c r="K60" s="1370">
        <v>200193</v>
      </c>
      <c r="L60" s="1370"/>
      <c r="M60" s="1373">
        <v>114214</v>
      </c>
      <c r="N60" s="1373"/>
      <c r="O60" s="1373">
        <v>27651.97</v>
      </c>
      <c r="P60" s="1373"/>
      <c r="Q60" s="804"/>
      <c r="R60" s="798">
        <v>27651.97</v>
      </c>
      <c r="S60" s="799">
        <f t="shared" ref="S60:S69" si="19">+M60-O60</f>
        <v>86562.03</v>
      </c>
      <c r="T60" s="799">
        <v>205193</v>
      </c>
      <c r="U60" s="799">
        <f t="shared" si="15"/>
        <v>40123</v>
      </c>
      <c r="V60" s="800">
        <f t="shared" si="16"/>
        <v>85.384660197406745</v>
      </c>
      <c r="W60" s="799">
        <f t="shared" si="17"/>
        <v>-5000</v>
      </c>
      <c r="X60" s="800">
        <f t="shared" ref="X60:X66" si="20">(T60*100)/K60</f>
        <v>102.49758982581808</v>
      </c>
    </row>
    <row r="61" spans="1:24">
      <c r="A61" s="795" t="s">
        <v>946</v>
      </c>
      <c r="B61" s="795" t="s">
        <v>947</v>
      </c>
      <c r="C61" s="1370">
        <v>839974</v>
      </c>
      <c r="D61" s="1370"/>
      <c r="E61" s="1371">
        <v>170023</v>
      </c>
      <c r="F61" s="1372"/>
      <c r="G61" s="1373">
        <v>124736.75</v>
      </c>
      <c r="H61" s="1373"/>
      <c r="I61" s="804"/>
      <c r="J61" s="798">
        <v>99952.95</v>
      </c>
      <c r="K61" s="1370">
        <v>348323</v>
      </c>
      <c r="L61" s="1370"/>
      <c r="M61" s="1373">
        <v>333383</v>
      </c>
      <c r="N61" s="1373"/>
      <c r="O61" s="1373">
        <v>124736.75</v>
      </c>
      <c r="P61" s="1373"/>
      <c r="Q61" s="804"/>
      <c r="R61" s="798">
        <v>99952.95</v>
      </c>
      <c r="S61" s="799">
        <f t="shared" si="19"/>
        <v>208646.25</v>
      </c>
      <c r="T61" s="799">
        <v>351323</v>
      </c>
      <c r="U61" s="799">
        <f t="shared" si="15"/>
        <v>491651</v>
      </c>
      <c r="V61" s="800">
        <f t="shared" si="16"/>
        <v>41.825461264277223</v>
      </c>
      <c r="W61" s="799">
        <f t="shared" si="17"/>
        <v>-3000</v>
      </c>
      <c r="X61" s="800">
        <f t="shared" si="20"/>
        <v>100.86126956876232</v>
      </c>
    </row>
    <row r="62" spans="1:24">
      <c r="A62" s="795" t="s">
        <v>948</v>
      </c>
      <c r="B62" s="795" t="s">
        <v>949</v>
      </c>
      <c r="C62" s="1370">
        <v>2406189</v>
      </c>
      <c r="D62" s="1370"/>
      <c r="E62" s="1371">
        <v>2005374</v>
      </c>
      <c r="F62" s="1372"/>
      <c r="G62" s="1373">
        <v>1265729.6299999999</v>
      </c>
      <c r="H62" s="1373"/>
      <c r="I62" s="804"/>
      <c r="J62" s="798">
        <v>1049489.1299999999</v>
      </c>
      <c r="K62" s="1370">
        <v>1437704</v>
      </c>
      <c r="L62" s="1370"/>
      <c r="M62" s="1373">
        <v>1786089</v>
      </c>
      <c r="N62" s="1373"/>
      <c r="O62" s="1373">
        <v>1265729.6299999999</v>
      </c>
      <c r="P62" s="1373"/>
      <c r="Q62" s="804"/>
      <c r="R62" s="798">
        <v>1049489.1299999999</v>
      </c>
      <c r="S62" s="799">
        <f t="shared" si="19"/>
        <v>520359.37000000011</v>
      </c>
      <c r="T62" s="799">
        <v>1745567</v>
      </c>
      <c r="U62" s="799">
        <f t="shared" si="15"/>
        <v>968485</v>
      </c>
      <c r="V62" s="800">
        <f t="shared" si="16"/>
        <v>72.54488321574074</v>
      </c>
      <c r="W62" s="799">
        <f t="shared" si="17"/>
        <v>-307863</v>
      </c>
      <c r="X62" s="800">
        <f t="shared" si="20"/>
        <v>121.41351766427582</v>
      </c>
    </row>
    <row r="63" spans="1:24" ht="16.5">
      <c r="A63" s="795" t="s">
        <v>950</v>
      </c>
      <c r="B63" s="795" t="s">
        <v>951</v>
      </c>
      <c r="C63" s="1370">
        <v>241794</v>
      </c>
      <c r="D63" s="1370"/>
      <c r="E63" s="1371">
        <v>188231</v>
      </c>
      <c r="F63" s="1372"/>
      <c r="G63" s="1373">
        <v>55752</v>
      </c>
      <c r="H63" s="1373"/>
      <c r="I63" s="804"/>
      <c r="J63" s="798">
        <v>55252</v>
      </c>
      <c r="K63" s="1370">
        <v>196255</v>
      </c>
      <c r="L63" s="1370"/>
      <c r="M63" s="1373">
        <v>134456</v>
      </c>
      <c r="N63" s="1373"/>
      <c r="O63" s="1373">
        <v>55752</v>
      </c>
      <c r="P63" s="1373"/>
      <c r="Q63" s="804"/>
      <c r="R63" s="798">
        <v>55252</v>
      </c>
      <c r="S63" s="799">
        <f t="shared" si="19"/>
        <v>78704</v>
      </c>
      <c r="T63" s="799">
        <v>91346</v>
      </c>
      <c r="U63" s="799">
        <f t="shared" si="15"/>
        <v>45539</v>
      </c>
      <c r="V63" s="800">
        <f t="shared" si="16"/>
        <v>37.778439498085149</v>
      </c>
      <c r="W63" s="799">
        <f t="shared" si="17"/>
        <v>104909</v>
      </c>
      <c r="X63" s="800">
        <f t="shared" si="20"/>
        <v>46.5445466357545</v>
      </c>
    </row>
    <row r="64" spans="1:24" ht="16.5">
      <c r="A64" s="795" t="s">
        <v>952</v>
      </c>
      <c r="B64" s="795" t="s">
        <v>953</v>
      </c>
      <c r="C64" s="1370">
        <v>9821</v>
      </c>
      <c r="D64" s="1370"/>
      <c r="E64" s="1371">
        <v>2016</v>
      </c>
      <c r="F64" s="1372"/>
      <c r="G64" s="1373">
        <v>275</v>
      </c>
      <c r="H64" s="1373"/>
      <c r="I64" s="804"/>
      <c r="J64" s="798">
        <v>275</v>
      </c>
      <c r="K64" s="1370">
        <v>2071</v>
      </c>
      <c r="L64" s="1370"/>
      <c r="M64" s="1373">
        <v>2071</v>
      </c>
      <c r="N64" s="1373"/>
      <c r="O64" s="1373">
        <v>275</v>
      </c>
      <c r="P64" s="1373"/>
      <c r="Q64" s="804"/>
      <c r="R64" s="798">
        <v>275</v>
      </c>
      <c r="S64" s="799">
        <f t="shared" si="19"/>
        <v>1796</v>
      </c>
      <c r="T64" s="799"/>
      <c r="U64" s="799">
        <f t="shared" si="15"/>
        <v>7750</v>
      </c>
      <c r="V64" s="800">
        <f t="shared" si="16"/>
        <v>0</v>
      </c>
      <c r="W64" s="799">
        <f t="shared" si="17"/>
        <v>2071</v>
      </c>
      <c r="X64" s="800">
        <f t="shared" si="20"/>
        <v>0</v>
      </c>
    </row>
    <row r="65" spans="1:24">
      <c r="A65" s="795" t="s">
        <v>954</v>
      </c>
      <c r="B65" s="795" t="s">
        <v>955</v>
      </c>
      <c r="C65" s="1370">
        <v>407250</v>
      </c>
      <c r="D65" s="1370"/>
      <c r="E65" s="1371">
        <v>591851</v>
      </c>
      <c r="F65" s="1372"/>
      <c r="G65" s="1373">
        <v>247323</v>
      </c>
      <c r="H65" s="1373"/>
      <c r="I65" s="804"/>
      <c r="J65" s="798">
        <v>185973</v>
      </c>
      <c r="K65" s="1370">
        <v>522419</v>
      </c>
      <c r="L65" s="1370"/>
      <c r="M65" s="1373">
        <v>508342</v>
      </c>
      <c r="N65" s="1373"/>
      <c r="O65" s="1373">
        <v>247323</v>
      </c>
      <c r="P65" s="1373"/>
      <c r="Q65" s="804"/>
      <c r="R65" s="798">
        <v>185973</v>
      </c>
      <c r="S65" s="799">
        <f t="shared" si="19"/>
        <v>261019</v>
      </c>
      <c r="T65" s="799">
        <v>341242</v>
      </c>
      <c r="U65" s="799">
        <f t="shared" si="15"/>
        <v>-115169</v>
      </c>
      <c r="V65" s="800">
        <f t="shared" si="16"/>
        <v>83.791774094536535</v>
      </c>
      <c r="W65" s="799">
        <f t="shared" si="17"/>
        <v>181177</v>
      </c>
      <c r="X65" s="800">
        <f t="shared" si="20"/>
        <v>65.319599784847028</v>
      </c>
    </row>
    <row r="66" spans="1:24" ht="16.5">
      <c r="A66" s="795" t="s">
        <v>956</v>
      </c>
      <c r="B66" s="795" t="s">
        <v>957</v>
      </c>
      <c r="C66" s="1370">
        <v>59267</v>
      </c>
      <c r="D66" s="1370"/>
      <c r="E66" s="1371">
        <v>700026</v>
      </c>
      <c r="F66" s="1372"/>
      <c r="G66" s="1373">
        <v>275100</v>
      </c>
      <c r="H66" s="1373"/>
      <c r="I66" s="804"/>
      <c r="J66" s="798">
        <v>250900</v>
      </c>
      <c r="K66" s="1370">
        <v>66526</v>
      </c>
      <c r="L66" s="1370"/>
      <c r="M66" s="1373">
        <v>312600</v>
      </c>
      <c r="N66" s="1373"/>
      <c r="O66" s="1373">
        <v>275100</v>
      </c>
      <c r="P66" s="1373"/>
      <c r="Q66" s="804"/>
      <c r="R66" s="798">
        <v>250900</v>
      </c>
      <c r="S66" s="799">
        <f t="shared" si="19"/>
        <v>37500</v>
      </c>
      <c r="T66" s="799">
        <v>22626</v>
      </c>
      <c r="U66" s="799">
        <f t="shared" si="15"/>
        <v>-7259</v>
      </c>
      <c r="V66" s="800">
        <f t="shared" si="16"/>
        <v>38.17638820929016</v>
      </c>
      <c r="W66" s="799">
        <f t="shared" si="17"/>
        <v>43900</v>
      </c>
      <c r="X66" s="800">
        <f t="shared" si="20"/>
        <v>34.010762709316658</v>
      </c>
    </row>
    <row r="67" spans="1:24">
      <c r="A67" s="795" t="s">
        <v>958</v>
      </c>
      <c r="B67" s="795" t="s">
        <v>959</v>
      </c>
      <c r="C67" s="1377" t="s">
        <v>847</v>
      </c>
      <c r="D67" s="1377"/>
      <c r="E67" s="1371">
        <v>107316</v>
      </c>
      <c r="F67" s="1372"/>
      <c r="G67" s="1373">
        <v>57835.35</v>
      </c>
      <c r="H67" s="1373"/>
      <c r="I67" s="804"/>
      <c r="J67" s="798">
        <v>51694.89</v>
      </c>
      <c r="K67" s="1377" t="s">
        <v>847</v>
      </c>
      <c r="L67" s="1377"/>
      <c r="M67" s="1373">
        <v>61600</v>
      </c>
      <c r="N67" s="1373"/>
      <c r="O67" s="1373">
        <v>57835.35</v>
      </c>
      <c r="P67" s="1373"/>
      <c r="Q67" s="804"/>
      <c r="R67" s="798">
        <v>51694.89</v>
      </c>
      <c r="S67" s="799">
        <f t="shared" si="19"/>
        <v>3764.6500000000015</v>
      </c>
      <c r="T67" s="799">
        <v>56300</v>
      </c>
      <c r="U67" s="799">
        <v>0</v>
      </c>
      <c r="V67" s="800">
        <v>0</v>
      </c>
      <c r="W67" s="799">
        <v>0</v>
      </c>
      <c r="X67" s="800">
        <v>0</v>
      </c>
    </row>
    <row r="68" spans="1:24">
      <c r="A68" s="795" t="s">
        <v>960</v>
      </c>
      <c r="B68" s="795" t="s">
        <v>961</v>
      </c>
      <c r="C68" s="1370">
        <v>88490</v>
      </c>
      <c r="D68" s="1370"/>
      <c r="E68" s="1371">
        <v>11660</v>
      </c>
      <c r="F68" s="1372"/>
      <c r="G68" s="1373">
        <v>5580</v>
      </c>
      <c r="H68" s="1373"/>
      <c r="I68" s="804"/>
      <c r="J68" s="798">
        <v>5580</v>
      </c>
      <c r="K68" s="1370">
        <v>156000</v>
      </c>
      <c r="L68" s="1370"/>
      <c r="M68" s="1373">
        <v>5580</v>
      </c>
      <c r="N68" s="1373"/>
      <c r="O68" s="1373">
        <v>5580</v>
      </c>
      <c r="P68" s="1373"/>
      <c r="Q68" s="804"/>
      <c r="R68" s="798">
        <v>5580</v>
      </c>
      <c r="S68" s="799">
        <f t="shared" si="19"/>
        <v>0</v>
      </c>
      <c r="T68" s="799">
        <v>72863</v>
      </c>
      <c r="U68" s="799">
        <f t="shared" ref="U68:U79" si="21">+C68-K68</f>
        <v>-67510</v>
      </c>
      <c r="V68" s="800">
        <f>(T68/C68)*100</f>
        <v>82.340377443778962</v>
      </c>
      <c r="W68" s="799">
        <f t="shared" ref="W68:W79" si="22">+K68-T68</f>
        <v>83137</v>
      </c>
      <c r="X68" s="800">
        <f>(T68*100)/K68</f>
        <v>46.707051282051282</v>
      </c>
    </row>
    <row r="69" spans="1:24" ht="16.5">
      <c r="A69" s="795" t="s">
        <v>962</v>
      </c>
      <c r="B69" s="795" t="s">
        <v>963</v>
      </c>
      <c r="C69" s="1370">
        <v>0</v>
      </c>
      <c r="D69" s="1370"/>
      <c r="E69" s="1371">
        <v>20380</v>
      </c>
      <c r="F69" s="1372"/>
      <c r="G69" s="1373">
        <v>9858</v>
      </c>
      <c r="H69" s="1373"/>
      <c r="I69" s="804"/>
      <c r="J69" s="798">
        <v>9858</v>
      </c>
      <c r="K69" s="1370">
        <v>411203</v>
      </c>
      <c r="L69" s="1370"/>
      <c r="M69" s="1373">
        <v>335003</v>
      </c>
      <c r="N69" s="1373"/>
      <c r="O69" s="1373">
        <v>9858</v>
      </c>
      <c r="P69" s="1373"/>
      <c r="Q69" s="804"/>
      <c r="R69" s="798">
        <v>9858</v>
      </c>
      <c r="S69" s="799">
        <f t="shared" si="19"/>
        <v>325145</v>
      </c>
      <c r="T69" s="799">
        <v>16000</v>
      </c>
      <c r="U69" s="799">
        <f t="shared" si="21"/>
        <v>-411203</v>
      </c>
      <c r="V69" s="800">
        <v>0</v>
      </c>
      <c r="W69" s="799">
        <f t="shared" si="22"/>
        <v>395203</v>
      </c>
      <c r="X69" s="800">
        <f>(T69*100)/K69</f>
        <v>3.8910221958497386</v>
      </c>
    </row>
    <row r="70" spans="1:24">
      <c r="A70" s="795" t="s">
        <v>964</v>
      </c>
      <c r="B70" s="795" t="s">
        <v>965</v>
      </c>
      <c r="C70" s="801">
        <v>26093</v>
      </c>
      <c r="D70" s="801"/>
      <c r="E70" s="802"/>
      <c r="F70" s="802">
        <v>51727</v>
      </c>
      <c r="G70" s="802"/>
      <c r="H70" s="802"/>
      <c r="I70" s="804"/>
      <c r="J70" s="798"/>
      <c r="K70" s="801"/>
      <c r="L70" s="801"/>
      <c r="M70" s="802"/>
      <c r="N70" s="802"/>
      <c r="O70" s="802"/>
      <c r="P70" s="802"/>
      <c r="Q70" s="804"/>
      <c r="R70" s="798"/>
      <c r="S70" s="799"/>
      <c r="T70" s="799"/>
      <c r="U70" s="799">
        <f t="shared" si="21"/>
        <v>26093</v>
      </c>
      <c r="V70" s="800">
        <f t="shared" ref="V70:V77" si="23">(T70/C70)*100</f>
        <v>0</v>
      </c>
      <c r="W70" s="799">
        <f t="shared" si="22"/>
        <v>0</v>
      </c>
      <c r="X70" s="800">
        <v>0</v>
      </c>
    </row>
    <row r="71" spans="1:24" ht="16.5">
      <c r="A71" s="795" t="s">
        <v>966</v>
      </c>
      <c r="B71" s="795" t="s">
        <v>967</v>
      </c>
      <c r="C71" s="1370">
        <v>1818255</v>
      </c>
      <c r="D71" s="1370"/>
      <c r="E71" s="1371">
        <v>1556035</v>
      </c>
      <c r="F71" s="1372"/>
      <c r="G71" s="1373">
        <v>203711.23</v>
      </c>
      <c r="H71" s="1373"/>
      <c r="I71" s="804"/>
      <c r="J71" s="798">
        <v>101752.31</v>
      </c>
      <c r="K71" s="1370">
        <v>2054784</v>
      </c>
      <c r="L71" s="1370"/>
      <c r="M71" s="1373">
        <v>759721</v>
      </c>
      <c r="N71" s="1373"/>
      <c r="O71" s="1373">
        <v>203711.23</v>
      </c>
      <c r="P71" s="1373"/>
      <c r="Q71" s="804"/>
      <c r="R71" s="798">
        <v>101752.31</v>
      </c>
      <c r="S71" s="799">
        <f>+M71-O71</f>
        <v>556009.77</v>
      </c>
      <c r="T71" s="799">
        <v>506761</v>
      </c>
      <c r="U71" s="799">
        <f t="shared" si="21"/>
        <v>-236529</v>
      </c>
      <c r="V71" s="800">
        <f t="shared" si="23"/>
        <v>27.870733202988578</v>
      </c>
      <c r="W71" s="799">
        <f t="shared" si="22"/>
        <v>1548023</v>
      </c>
      <c r="X71" s="800">
        <f t="shared" ref="X71:X77" si="24">(T71*100)/K71</f>
        <v>24.662494938640751</v>
      </c>
    </row>
    <row r="72" spans="1:24" ht="16.5">
      <c r="A72" s="795" t="s">
        <v>968</v>
      </c>
      <c r="B72" s="795" t="s">
        <v>969</v>
      </c>
      <c r="C72" s="1370">
        <v>66086</v>
      </c>
      <c r="D72" s="1370"/>
      <c r="E72" s="1371">
        <v>66086</v>
      </c>
      <c r="F72" s="1372"/>
      <c r="G72" s="1373">
        <v>2443548.7200000002</v>
      </c>
      <c r="H72" s="1373"/>
      <c r="I72" s="804"/>
      <c r="J72" s="803" t="s">
        <v>847</v>
      </c>
      <c r="K72" s="1370">
        <v>4981140</v>
      </c>
      <c r="L72" s="1370"/>
      <c r="M72" s="1373">
        <v>4981140</v>
      </c>
      <c r="N72" s="1373"/>
      <c r="O72" s="1373">
        <v>2443548.7200000002</v>
      </c>
      <c r="P72" s="1373"/>
      <c r="Q72" s="804"/>
      <c r="R72" s="803" t="s">
        <v>847</v>
      </c>
      <c r="S72" s="799">
        <f>+M72-O72</f>
        <v>2537591.2799999998</v>
      </c>
      <c r="T72" s="799"/>
      <c r="U72" s="799">
        <f t="shared" si="21"/>
        <v>-4915054</v>
      </c>
      <c r="V72" s="800">
        <f t="shared" si="23"/>
        <v>0</v>
      </c>
      <c r="W72" s="799">
        <f t="shared" si="22"/>
        <v>4981140</v>
      </c>
      <c r="X72" s="800">
        <f t="shared" si="24"/>
        <v>0</v>
      </c>
    </row>
    <row r="73" spans="1:24">
      <c r="A73" s="795" t="s">
        <v>970</v>
      </c>
      <c r="B73" s="795" t="s">
        <v>877</v>
      </c>
      <c r="C73" s="1370">
        <v>358225</v>
      </c>
      <c r="D73" s="1370"/>
      <c r="E73" s="1371">
        <v>746624</v>
      </c>
      <c r="F73" s="1372"/>
      <c r="G73" s="1373">
        <v>301142.5</v>
      </c>
      <c r="H73" s="1373"/>
      <c r="I73" s="804"/>
      <c r="J73" s="798">
        <v>275197.5</v>
      </c>
      <c r="K73" s="1370">
        <v>98309</v>
      </c>
      <c r="L73" s="1370"/>
      <c r="M73" s="1373">
        <v>430156</v>
      </c>
      <c r="N73" s="1373"/>
      <c r="O73" s="1373">
        <v>301142.5</v>
      </c>
      <c r="P73" s="1373"/>
      <c r="Q73" s="804"/>
      <c r="R73" s="798">
        <v>275197.5</v>
      </c>
      <c r="S73" s="799">
        <f>+M73-O73</f>
        <v>129013.5</v>
      </c>
      <c r="T73" s="799">
        <v>38584</v>
      </c>
      <c r="U73" s="799">
        <f t="shared" si="21"/>
        <v>259916</v>
      </c>
      <c r="V73" s="800">
        <f t="shared" si="23"/>
        <v>10.770884220810943</v>
      </c>
      <c r="W73" s="799">
        <f t="shared" si="22"/>
        <v>59725</v>
      </c>
      <c r="X73" s="800">
        <f t="shared" si="24"/>
        <v>39.247678239021859</v>
      </c>
    </row>
    <row r="74" spans="1:24">
      <c r="A74" s="795" t="s">
        <v>971</v>
      </c>
      <c r="B74" s="795" t="s">
        <v>972</v>
      </c>
      <c r="C74" s="1370">
        <v>4703</v>
      </c>
      <c r="D74" s="1370"/>
      <c r="E74" s="1374">
        <v>73553</v>
      </c>
      <c r="F74" s="1375"/>
      <c r="G74" s="1373" t="s">
        <v>847</v>
      </c>
      <c r="H74" s="1373"/>
      <c r="I74" s="804"/>
      <c r="J74" s="803" t="s">
        <v>847</v>
      </c>
      <c r="K74" s="1370">
        <v>5053</v>
      </c>
      <c r="L74" s="1370"/>
      <c r="M74" s="1376" t="s">
        <v>847</v>
      </c>
      <c r="N74" s="1376"/>
      <c r="O74" s="1373" t="s">
        <v>847</v>
      </c>
      <c r="P74" s="1373"/>
      <c r="Q74" s="804"/>
      <c r="R74" s="803" t="s">
        <v>847</v>
      </c>
      <c r="S74" s="799">
        <v>0</v>
      </c>
      <c r="T74" s="799"/>
      <c r="U74" s="799">
        <f t="shared" si="21"/>
        <v>-350</v>
      </c>
      <c r="V74" s="800">
        <f t="shared" si="23"/>
        <v>0</v>
      </c>
      <c r="W74" s="799">
        <f t="shared" si="22"/>
        <v>5053</v>
      </c>
      <c r="X74" s="800">
        <f t="shared" si="24"/>
        <v>0</v>
      </c>
    </row>
    <row r="75" spans="1:24">
      <c r="A75" s="795" t="s">
        <v>973</v>
      </c>
      <c r="B75" s="795" t="s">
        <v>974</v>
      </c>
      <c r="C75" s="1370">
        <v>536276</v>
      </c>
      <c r="D75" s="1370"/>
      <c r="E75" s="1371">
        <v>1418529</v>
      </c>
      <c r="F75" s="1372"/>
      <c r="G75" s="1373">
        <v>320974.81</v>
      </c>
      <c r="H75" s="1373"/>
      <c r="I75" s="804"/>
      <c r="J75" s="798">
        <v>290974.81</v>
      </c>
      <c r="K75" s="1370">
        <v>398762</v>
      </c>
      <c r="L75" s="1370"/>
      <c r="M75" s="1373">
        <v>485541</v>
      </c>
      <c r="N75" s="1373"/>
      <c r="O75" s="1373">
        <v>320974.81</v>
      </c>
      <c r="P75" s="1373"/>
      <c r="Q75" s="804"/>
      <c r="R75" s="798">
        <v>290974.81</v>
      </c>
      <c r="S75" s="799">
        <f>+M75-O75</f>
        <v>164566.19</v>
      </c>
      <c r="T75" s="799">
        <v>300040</v>
      </c>
      <c r="U75" s="799">
        <f t="shared" si="21"/>
        <v>137514</v>
      </c>
      <c r="V75" s="800">
        <f t="shared" si="23"/>
        <v>55.948802482303883</v>
      </c>
      <c r="W75" s="799">
        <f t="shared" si="22"/>
        <v>98722</v>
      </c>
      <c r="X75" s="800">
        <f t="shared" si="24"/>
        <v>75.242876703397016</v>
      </c>
    </row>
    <row r="76" spans="1:24">
      <c r="A76" s="795" t="s">
        <v>975</v>
      </c>
      <c r="B76" s="795" t="s">
        <v>976</v>
      </c>
      <c r="C76" s="1370">
        <v>1697107</v>
      </c>
      <c r="D76" s="1370"/>
      <c r="E76" s="1371">
        <v>1883387</v>
      </c>
      <c r="F76" s="1372"/>
      <c r="G76" s="1373">
        <v>1522825</v>
      </c>
      <c r="H76" s="1373"/>
      <c r="I76" s="804"/>
      <c r="J76" s="798">
        <v>1276825</v>
      </c>
      <c r="K76" s="1370">
        <v>1140836</v>
      </c>
      <c r="L76" s="1370"/>
      <c r="M76" s="1373">
        <v>1748926</v>
      </c>
      <c r="N76" s="1373"/>
      <c r="O76" s="1373">
        <v>1522825</v>
      </c>
      <c r="P76" s="1373"/>
      <c r="Q76" s="804"/>
      <c r="R76" s="798">
        <v>1276825</v>
      </c>
      <c r="S76" s="799">
        <f>+M76-O76</f>
        <v>226101</v>
      </c>
      <c r="T76" s="799">
        <v>1397238</v>
      </c>
      <c r="U76" s="799">
        <f t="shared" si="21"/>
        <v>556271</v>
      </c>
      <c r="V76" s="800">
        <f t="shared" si="23"/>
        <v>82.330577859852099</v>
      </c>
      <c r="W76" s="799">
        <f t="shared" si="22"/>
        <v>-256402</v>
      </c>
      <c r="X76" s="800">
        <f t="shared" si="24"/>
        <v>122.47492189937905</v>
      </c>
    </row>
    <row r="77" spans="1:24">
      <c r="A77" s="795" t="s">
        <v>977</v>
      </c>
      <c r="B77" s="795" t="s">
        <v>877</v>
      </c>
      <c r="C77" s="1370">
        <v>172852</v>
      </c>
      <c r="D77" s="1370"/>
      <c r="E77" s="1371">
        <v>816461</v>
      </c>
      <c r="F77" s="1372"/>
      <c r="G77" s="1373">
        <v>648494</v>
      </c>
      <c r="H77" s="1373"/>
      <c r="I77" s="804"/>
      <c r="J77" s="798">
        <v>420276</v>
      </c>
      <c r="K77" s="1370">
        <v>947064</v>
      </c>
      <c r="L77" s="1370"/>
      <c r="M77" s="1373">
        <v>1191831</v>
      </c>
      <c r="N77" s="1373"/>
      <c r="O77" s="1373">
        <v>648494</v>
      </c>
      <c r="P77" s="1373"/>
      <c r="Q77" s="804"/>
      <c r="R77" s="798">
        <v>420276</v>
      </c>
      <c r="S77" s="799">
        <f>+M77-O77</f>
        <v>543337</v>
      </c>
      <c r="T77" s="799">
        <v>1059512</v>
      </c>
      <c r="U77" s="799">
        <f t="shared" si="21"/>
        <v>-774212</v>
      </c>
      <c r="V77" s="800">
        <f t="shared" si="23"/>
        <v>612.95906324485691</v>
      </c>
      <c r="W77" s="799">
        <f t="shared" si="22"/>
        <v>-112448</v>
      </c>
      <c r="X77" s="800">
        <f t="shared" si="24"/>
        <v>111.87332640666312</v>
      </c>
    </row>
    <row r="78" spans="1:24">
      <c r="A78" s="795" t="s">
        <v>978</v>
      </c>
      <c r="B78" s="795" t="s">
        <v>972</v>
      </c>
      <c r="C78" s="801"/>
      <c r="D78" s="801"/>
      <c r="E78" s="802"/>
      <c r="F78" s="802">
        <v>37915</v>
      </c>
      <c r="G78" s="802"/>
      <c r="H78" s="802"/>
      <c r="I78" s="804"/>
      <c r="J78" s="798"/>
      <c r="K78" s="801"/>
      <c r="L78" s="801"/>
      <c r="M78" s="802"/>
      <c r="N78" s="802"/>
      <c r="O78" s="802"/>
      <c r="P78" s="802"/>
      <c r="Q78" s="804"/>
      <c r="R78" s="798"/>
      <c r="S78" s="799"/>
      <c r="T78" s="799"/>
      <c r="U78" s="799">
        <f t="shared" si="21"/>
        <v>0</v>
      </c>
      <c r="V78" s="800">
        <v>0</v>
      </c>
      <c r="W78" s="799">
        <f t="shared" si="22"/>
        <v>0</v>
      </c>
      <c r="X78" s="800">
        <v>0</v>
      </c>
    </row>
    <row r="79" spans="1:24">
      <c r="A79" s="795" t="s">
        <v>979</v>
      </c>
      <c r="B79" s="795" t="s">
        <v>974</v>
      </c>
      <c r="C79" s="1370">
        <v>13146</v>
      </c>
      <c r="D79" s="1370"/>
      <c r="E79" s="1371">
        <v>449235</v>
      </c>
      <c r="F79" s="1372"/>
      <c r="G79" s="1373">
        <v>397500</v>
      </c>
      <c r="H79" s="1373"/>
      <c r="I79" s="804"/>
      <c r="J79" s="798">
        <v>370500</v>
      </c>
      <c r="K79" s="1370">
        <v>3600</v>
      </c>
      <c r="L79" s="1370"/>
      <c r="M79" s="1373">
        <v>431430</v>
      </c>
      <c r="N79" s="1373"/>
      <c r="O79" s="1373">
        <v>397500</v>
      </c>
      <c r="P79" s="1373"/>
      <c r="Q79" s="804"/>
      <c r="R79" s="798">
        <v>370500</v>
      </c>
      <c r="S79" s="799">
        <f>+M79-O79</f>
        <v>33930</v>
      </c>
      <c r="T79" s="799">
        <v>271801</v>
      </c>
      <c r="U79" s="799">
        <f t="shared" si="21"/>
        <v>9546</v>
      </c>
      <c r="V79" s="800">
        <f>(T79/C79)*100</f>
        <v>2067.5566712307927</v>
      </c>
      <c r="W79" s="799">
        <f t="shared" si="22"/>
        <v>-268201</v>
      </c>
      <c r="X79" s="800">
        <f>(T79*100)/K79</f>
        <v>7550.0277777777774</v>
      </c>
    </row>
    <row r="80" spans="1:24">
      <c r="A80" s="795" t="s">
        <v>980</v>
      </c>
      <c r="B80" s="795" t="s">
        <v>965</v>
      </c>
      <c r="C80" s="1370">
        <v>13311</v>
      </c>
      <c r="D80" s="1370"/>
      <c r="E80" s="1371">
        <v>152950</v>
      </c>
      <c r="F80" s="1372"/>
      <c r="G80" s="1373">
        <v>10167</v>
      </c>
      <c r="H80" s="1373"/>
      <c r="I80" s="804"/>
      <c r="J80" s="798">
        <v>10167</v>
      </c>
      <c r="K80" s="1377" t="s">
        <v>847</v>
      </c>
      <c r="L80" s="1377"/>
      <c r="M80" s="1373">
        <v>10167</v>
      </c>
      <c r="N80" s="1373"/>
      <c r="O80" s="1373">
        <v>10167</v>
      </c>
      <c r="P80" s="1373"/>
      <c r="Q80" s="804"/>
      <c r="R80" s="798">
        <v>10167</v>
      </c>
      <c r="S80" s="799">
        <f>+M80-O80</f>
        <v>0</v>
      </c>
      <c r="T80" s="799"/>
      <c r="U80" s="799">
        <v>0</v>
      </c>
      <c r="V80" s="800">
        <f>(T80/C80)*100</f>
        <v>0</v>
      </c>
      <c r="W80" s="799">
        <v>0</v>
      </c>
      <c r="X80" s="800">
        <v>0</v>
      </c>
    </row>
    <row r="81" spans="1:24">
      <c r="A81" s="795" t="s">
        <v>981</v>
      </c>
      <c r="B81" s="795" t="s">
        <v>982</v>
      </c>
      <c r="C81" s="1370">
        <v>7305</v>
      </c>
      <c r="D81" s="1370"/>
      <c r="E81" s="1371">
        <v>400</v>
      </c>
      <c r="F81" s="1372"/>
      <c r="G81" s="1373">
        <v>300</v>
      </c>
      <c r="H81" s="1373"/>
      <c r="I81" s="804"/>
      <c r="J81" s="798">
        <v>300</v>
      </c>
      <c r="K81" s="1377" t="s">
        <v>847</v>
      </c>
      <c r="L81" s="1377"/>
      <c r="M81" s="1373">
        <v>300</v>
      </c>
      <c r="N81" s="1373"/>
      <c r="O81" s="1373">
        <v>300</v>
      </c>
      <c r="P81" s="1373"/>
      <c r="Q81" s="804"/>
      <c r="R81" s="798">
        <v>300</v>
      </c>
      <c r="S81" s="799">
        <f>+M81-O81</f>
        <v>0</v>
      </c>
      <c r="T81" s="799"/>
      <c r="U81" s="799">
        <v>0</v>
      </c>
      <c r="V81" s="800">
        <f>(T81/C81)*100</f>
        <v>0</v>
      </c>
      <c r="W81" s="799">
        <v>0</v>
      </c>
      <c r="X81" s="800">
        <v>0</v>
      </c>
    </row>
    <row r="82" spans="1:24">
      <c r="A82" s="795" t="s">
        <v>983</v>
      </c>
      <c r="B82" s="795" t="s">
        <v>984</v>
      </c>
      <c r="C82" s="1370">
        <v>15822</v>
      </c>
      <c r="D82" s="1370"/>
      <c r="E82" s="1371">
        <v>23335</v>
      </c>
      <c r="F82" s="1372"/>
      <c r="G82" s="1373">
        <v>12300</v>
      </c>
      <c r="H82" s="1373"/>
      <c r="I82" s="804"/>
      <c r="J82" s="798">
        <v>12300</v>
      </c>
      <c r="K82" s="1370">
        <v>16500</v>
      </c>
      <c r="L82" s="1370"/>
      <c r="M82" s="1373">
        <v>19000</v>
      </c>
      <c r="N82" s="1373"/>
      <c r="O82" s="1373">
        <v>12300</v>
      </c>
      <c r="P82" s="1373"/>
      <c r="Q82" s="804"/>
      <c r="R82" s="798">
        <v>12300</v>
      </c>
      <c r="S82" s="799">
        <f>+M82-O82</f>
        <v>6700</v>
      </c>
      <c r="T82" s="799">
        <v>1500</v>
      </c>
      <c r="U82" s="799">
        <f t="shared" ref="U82:U90" si="25">+C82-K82</f>
        <v>-678</v>
      </c>
      <c r="V82" s="800">
        <f>(T82/C82)*100</f>
        <v>9.4804702313234728</v>
      </c>
      <c r="W82" s="799">
        <f t="shared" ref="W82:W90" si="26">+K82-T82</f>
        <v>15000</v>
      </c>
      <c r="X82" s="800">
        <f t="shared" ref="X82:X88" si="27">(T82*100)/K82</f>
        <v>9.0909090909090917</v>
      </c>
    </row>
    <row r="83" spans="1:24">
      <c r="A83" s="795" t="s">
        <v>985</v>
      </c>
      <c r="B83" s="795" t="s">
        <v>986</v>
      </c>
      <c r="C83" s="1370">
        <v>0</v>
      </c>
      <c r="D83" s="1370"/>
      <c r="E83" s="1374">
        <v>12400</v>
      </c>
      <c r="F83" s="1375"/>
      <c r="G83" s="1373" t="s">
        <v>847</v>
      </c>
      <c r="H83" s="1373"/>
      <c r="I83" s="804"/>
      <c r="J83" s="803" t="s">
        <v>847</v>
      </c>
      <c r="K83" s="1370">
        <v>7912</v>
      </c>
      <c r="L83" s="1370"/>
      <c r="M83" s="1376" t="s">
        <v>847</v>
      </c>
      <c r="N83" s="1376"/>
      <c r="O83" s="1373" t="s">
        <v>847</v>
      </c>
      <c r="P83" s="1373"/>
      <c r="Q83" s="804"/>
      <c r="R83" s="803" t="s">
        <v>847</v>
      </c>
      <c r="S83" s="799">
        <v>0</v>
      </c>
      <c r="T83" s="799"/>
      <c r="U83" s="799">
        <f t="shared" si="25"/>
        <v>-7912</v>
      </c>
      <c r="V83" s="800">
        <v>0</v>
      </c>
      <c r="W83" s="799">
        <f t="shared" si="26"/>
        <v>7912</v>
      </c>
      <c r="X83" s="800">
        <f t="shared" si="27"/>
        <v>0</v>
      </c>
    </row>
    <row r="84" spans="1:24">
      <c r="A84" s="795" t="s">
        <v>987</v>
      </c>
      <c r="B84" s="795" t="s">
        <v>988</v>
      </c>
      <c r="C84" s="1370">
        <v>0</v>
      </c>
      <c r="D84" s="1370"/>
      <c r="E84" s="1371">
        <v>4215</v>
      </c>
      <c r="F84" s="1372"/>
      <c r="G84" s="1373" t="s">
        <v>847</v>
      </c>
      <c r="H84" s="1373"/>
      <c r="I84" s="804"/>
      <c r="J84" s="803" t="s">
        <v>847</v>
      </c>
      <c r="K84" s="1370">
        <v>3000</v>
      </c>
      <c r="L84" s="1370"/>
      <c r="M84" s="1373">
        <v>5300</v>
      </c>
      <c r="N84" s="1373"/>
      <c r="O84" s="1373" t="s">
        <v>847</v>
      </c>
      <c r="P84" s="1373"/>
      <c r="Q84" s="804"/>
      <c r="R84" s="803" t="s">
        <v>847</v>
      </c>
      <c r="S84" s="799">
        <v>5300</v>
      </c>
      <c r="T84" s="799">
        <v>3800</v>
      </c>
      <c r="U84" s="799">
        <f t="shared" si="25"/>
        <v>-3000</v>
      </c>
      <c r="V84" s="800">
        <v>0</v>
      </c>
      <c r="W84" s="799">
        <f t="shared" si="26"/>
        <v>-800</v>
      </c>
      <c r="X84" s="800">
        <f t="shared" si="27"/>
        <v>126.66666666666667</v>
      </c>
    </row>
    <row r="85" spans="1:24" ht="16.5">
      <c r="A85" s="795" t="s">
        <v>989</v>
      </c>
      <c r="B85" s="795" t="s">
        <v>990</v>
      </c>
      <c r="C85" s="1370">
        <v>40304</v>
      </c>
      <c r="D85" s="1370"/>
      <c r="E85" s="1371">
        <v>13566</v>
      </c>
      <c r="F85" s="1372"/>
      <c r="G85" s="1373">
        <v>6700</v>
      </c>
      <c r="H85" s="1373"/>
      <c r="I85" s="804"/>
      <c r="J85" s="798">
        <v>6700</v>
      </c>
      <c r="K85" s="1370">
        <v>27752</v>
      </c>
      <c r="L85" s="1370"/>
      <c r="M85" s="1373">
        <v>30412</v>
      </c>
      <c r="N85" s="1373"/>
      <c r="O85" s="1373">
        <v>6700</v>
      </c>
      <c r="P85" s="1373"/>
      <c r="Q85" s="804"/>
      <c r="R85" s="798">
        <v>6700</v>
      </c>
      <c r="S85" s="799">
        <f>+M85-O85</f>
        <v>23712</v>
      </c>
      <c r="T85" s="799">
        <v>19109</v>
      </c>
      <c r="U85" s="799">
        <f t="shared" si="25"/>
        <v>12552</v>
      </c>
      <c r="V85" s="800">
        <f>(T85/C85)*100</f>
        <v>47.412167526796352</v>
      </c>
      <c r="W85" s="799">
        <f t="shared" si="26"/>
        <v>8643</v>
      </c>
      <c r="X85" s="800">
        <f t="shared" si="27"/>
        <v>68.856298645142687</v>
      </c>
    </row>
    <row r="86" spans="1:24">
      <c r="A86" s="795" t="s">
        <v>991</v>
      </c>
      <c r="B86" s="795" t="s">
        <v>992</v>
      </c>
      <c r="C86" s="1370">
        <v>276885</v>
      </c>
      <c r="D86" s="1370"/>
      <c r="E86" s="1371">
        <v>186479</v>
      </c>
      <c r="F86" s="1372"/>
      <c r="G86" s="1373">
        <v>269683</v>
      </c>
      <c r="H86" s="1373"/>
      <c r="I86" s="804"/>
      <c r="J86" s="798">
        <v>152089.07</v>
      </c>
      <c r="K86" s="1370">
        <v>169859</v>
      </c>
      <c r="L86" s="1370"/>
      <c r="M86" s="1373">
        <v>394824</v>
      </c>
      <c r="N86" s="1373"/>
      <c r="O86" s="1373">
        <v>269683</v>
      </c>
      <c r="P86" s="1373"/>
      <c r="Q86" s="804"/>
      <c r="R86" s="798">
        <v>152089.07</v>
      </c>
      <c r="S86" s="799">
        <f>+M86-O86</f>
        <v>125141</v>
      </c>
      <c r="T86" s="799">
        <v>152221</v>
      </c>
      <c r="U86" s="799">
        <f t="shared" si="25"/>
        <v>107026</v>
      </c>
      <c r="V86" s="800">
        <f>(T86/C86)*100</f>
        <v>54.976253679325346</v>
      </c>
      <c r="W86" s="799">
        <f t="shared" si="26"/>
        <v>17638</v>
      </c>
      <c r="X86" s="800">
        <f t="shared" si="27"/>
        <v>89.616093348012171</v>
      </c>
    </row>
    <row r="87" spans="1:24" ht="16.5">
      <c r="A87" s="795" t="s">
        <v>993</v>
      </c>
      <c r="B87" s="795" t="s">
        <v>994</v>
      </c>
      <c r="C87" s="1370">
        <v>2300</v>
      </c>
      <c r="D87" s="1370"/>
      <c r="E87" s="1371">
        <v>0</v>
      </c>
      <c r="F87" s="1372"/>
      <c r="G87" s="1373">
        <v>18593.57</v>
      </c>
      <c r="H87" s="1373"/>
      <c r="I87" s="804"/>
      <c r="J87" s="798">
        <v>18593.57</v>
      </c>
      <c r="K87" s="1370">
        <v>7560</v>
      </c>
      <c r="L87" s="1370"/>
      <c r="M87" s="1373">
        <v>24154</v>
      </c>
      <c r="N87" s="1373"/>
      <c r="O87" s="1373">
        <v>18593.57</v>
      </c>
      <c r="P87" s="1373"/>
      <c r="Q87" s="804"/>
      <c r="R87" s="798">
        <v>18593.57</v>
      </c>
      <c r="S87" s="799">
        <f>+M87-O87</f>
        <v>5560.43</v>
      </c>
      <c r="T87" s="799">
        <v>5560</v>
      </c>
      <c r="U87" s="799">
        <f t="shared" si="25"/>
        <v>-5260</v>
      </c>
      <c r="V87" s="800">
        <f>(T87/C87)*100</f>
        <v>241.7391304347826</v>
      </c>
      <c r="W87" s="799">
        <f t="shared" si="26"/>
        <v>2000</v>
      </c>
      <c r="X87" s="800">
        <f t="shared" si="27"/>
        <v>73.544973544973544</v>
      </c>
    </row>
    <row r="88" spans="1:24">
      <c r="A88" s="795" t="s">
        <v>995</v>
      </c>
      <c r="B88" s="795" t="s">
        <v>996</v>
      </c>
      <c r="C88" s="1370">
        <v>0</v>
      </c>
      <c r="D88" s="1370"/>
      <c r="E88" s="1374">
        <v>101025</v>
      </c>
      <c r="F88" s="1375"/>
      <c r="G88" s="1373" t="s">
        <v>847</v>
      </c>
      <c r="H88" s="1373"/>
      <c r="I88" s="804"/>
      <c r="J88" s="803" t="s">
        <v>847</v>
      </c>
      <c r="K88" s="1370">
        <v>15900</v>
      </c>
      <c r="L88" s="1370"/>
      <c r="M88" s="1376" t="s">
        <v>847</v>
      </c>
      <c r="N88" s="1376"/>
      <c r="O88" s="1373" t="s">
        <v>847</v>
      </c>
      <c r="P88" s="1373"/>
      <c r="Q88" s="804"/>
      <c r="R88" s="803" t="s">
        <v>847</v>
      </c>
      <c r="S88" s="799">
        <v>0</v>
      </c>
      <c r="T88" s="799"/>
      <c r="U88" s="799">
        <f t="shared" si="25"/>
        <v>-15900</v>
      </c>
      <c r="V88" s="800">
        <v>0</v>
      </c>
      <c r="W88" s="799">
        <f t="shared" si="26"/>
        <v>15900</v>
      </c>
      <c r="X88" s="800">
        <f t="shared" si="27"/>
        <v>0</v>
      </c>
    </row>
    <row r="89" spans="1:24">
      <c r="A89" s="795" t="s">
        <v>997</v>
      </c>
      <c r="B89" s="795" t="s">
        <v>998</v>
      </c>
      <c r="C89" s="801">
        <v>8231</v>
      </c>
      <c r="D89" s="801"/>
      <c r="E89" s="803"/>
      <c r="F89" s="803">
        <v>5500</v>
      </c>
      <c r="G89" s="802"/>
      <c r="H89" s="802"/>
      <c r="I89" s="804"/>
      <c r="J89" s="803"/>
      <c r="K89" s="801"/>
      <c r="L89" s="801"/>
      <c r="M89" s="803"/>
      <c r="N89" s="803"/>
      <c r="O89" s="802"/>
      <c r="P89" s="802"/>
      <c r="Q89" s="804"/>
      <c r="R89" s="803"/>
      <c r="S89" s="799"/>
      <c r="T89" s="799"/>
      <c r="U89" s="799">
        <f t="shared" si="25"/>
        <v>8231</v>
      </c>
      <c r="V89" s="800">
        <f>(T89/C89)*100</f>
        <v>0</v>
      </c>
      <c r="W89" s="799">
        <f t="shared" si="26"/>
        <v>0</v>
      </c>
      <c r="X89" s="800">
        <v>0</v>
      </c>
    </row>
    <row r="90" spans="1:24">
      <c r="A90" s="795" t="s">
        <v>999</v>
      </c>
      <c r="B90" s="795" t="s">
        <v>1000</v>
      </c>
      <c r="C90" s="1370">
        <v>0</v>
      </c>
      <c r="D90" s="1370"/>
      <c r="E90" s="1371">
        <v>2129</v>
      </c>
      <c r="F90" s="1372"/>
      <c r="G90" s="1373" t="s">
        <v>847</v>
      </c>
      <c r="H90" s="1373"/>
      <c r="I90" s="804"/>
      <c r="J90" s="803" t="s">
        <v>847</v>
      </c>
      <c r="K90" s="1370">
        <v>400750</v>
      </c>
      <c r="L90" s="1370"/>
      <c r="M90" s="1373">
        <v>400500</v>
      </c>
      <c r="N90" s="1373"/>
      <c r="O90" s="1373" t="s">
        <v>847</v>
      </c>
      <c r="P90" s="1373"/>
      <c r="Q90" s="804"/>
      <c r="R90" s="803" t="s">
        <v>847</v>
      </c>
      <c r="S90" s="799">
        <v>400500</v>
      </c>
      <c r="T90" s="799"/>
      <c r="U90" s="799">
        <f t="shared" si="25"/>
        <v>-400750</v>
      </c>
      <c r="V90" s="800">
        <v>0</v>
      </c>
      <c r="W90" s="799">
        <f t="shared" si="26"/>
        <v>400750</v>
      </c>
      <c r="X90" s="800">
        <f>(T90*100)/K90</f>
        <v>0</v>
      </c>
    </row>
    <row r="91" spans="1:24">
      <c r="A91" s="795" t="s">
        <v>1001</v>
      </c>
      <c r="B91" s="795" t="s">
        <v>996</v>
      </c>
      <c r="C91" s="1370">
        <v>46500</v>
      </c>
      <c r="D91" s="1370"/>
      <c r="E91" s="1371">
        <v>81000</v>
      </c>
      <c r="F91" s="1372"/>
      <c r="G91" s="1373">
        <v>13500</v>
      </c>
      <c r="H91" s="1373"/>
      <c r="I91" s="804"/>
      <c r="J91" s="798">
        <v>13500</v>
      </c>
      <c r="K91" s="1377" t="s">
        <v>847</v>
      </c>
      <c r="L91" s="1377"/>
      <c r="M91" s="1373">
        <v>13500</v>
      </c>
      <c r="N91" s="1373"/>
      <c r="O91" s="1373">
        <v>13500</v>
      </c>
      <c r="P91" s="1373"/>
      <c r="Q91" s="804"/>
      <c r="R91" s="798">
        <v>13500</v>
      </c>
      <c r="S91" s="799">
        <f>+M91-O91</f>
        <v>0</v>
      </c>
      <c r="T91" s="799"/>
      <c r="U91" s="799">
        <v>0</v>
      </c>
      <c r="V91" s="800">
        <f t="shared" ref="V91:V97" si="28">(T91/C91)*100</f>
        <v>0</v>
      </c>
      <c r="W91" s="799">
        <v>0</v>
      </c>
      <c r="X91" s="800">
        <v>0</v>
      </c>
    </row>
    <row r="92" spans="1:24">
      <c r="A92" s="795" t="s">
        <v>1002</v>
      </c>
      <c r="B92" s="795" t="s">
        <v>998</v>
      </c>
      <c r="C92" s="805">
        <v>33396</v>
      </c>
      <c r="D92" s="805"/>
      <c r="E92" s="802"/>
      <c r="F92" s="802">
        <v>592650</v>
      </c>
      <c r="G92" s="802"/>
      <c r="H92" s="802"/>
      <c r="I92" s="804"/>
      <c r="J92" s="798"/>
      <c r="K92" s="805"/>
      <c r="L92" s="805"/>
      <c r="M92" s="802"/>
      <c r="N92" s="802"/>
      <c r="O92" s="802"/>
      <c r="P92" s="802"/>
      <c r="Q92" s="804"/>
      <c r="R92" s="798"/>
      <c r="S92" s="799"/>
      <c r="T92" s="799"/>
      <c r="U92" s="799">
        <f t="shared" ref="U92:U101" si="29">+C92-K92</f>
        <v>33396</v>
      </c>
      <c r="V92" s="800">
        <f t="shared" si="28"/>
        <v>0</v>
      </c>
      <c r="W92" s="799">
        <f t="shared" ref="W92:W101" si="30">+K92-T92</f>
        <v>0</v>
      </c>
      <c r="X92" s="800">
        <v>0</v>
      </c>
    </row>
    <row r="93" spans="1:24">
      <c r="A93" s="795" t="s">
        <v>1003</v>
      </c>
      <c r="B93" s="795" t="s">
        <v>1000</v>
      </c>
      <c r="C93" s="1370">
        <v>7592785</v>
      </c>
      <c r="D93" s="1370"/>
      <c r="E93" s="1371">
        <v>13775482</v>
      </c>
      <c r="F93" s="1372"/>
      <c r="G93" s="1373">
        <v>3569364.87</v>
      </c>
      <c r="H93" s="1373"/>
      <c r="I93" s="797"/>
      <c r="J93" s="798">
        <v>3397665.17</v>
      </c>
      <c r="K93" s="1370">
        <v>573000</v>
      </c>
      <c r="L93" s="1370"/>
      <c r="M93" s="1373">
        <v>3853589</v>
      </c>
      <c r="N93" s="1373"/>
      <c r="O93" s="1373">
        <v>3569364.87</v>
      </c>
      <c r="P93" s="1373"/>
      <c r="Q93" s="797"/>
      <c r="R93" s="798">
        <v>3397665.17</v>
      </c>
      <c r="S93" s="799">
        <f>+M93-O93</f>
        <v>284224.12999999989</v>
      </c>
      <c r="T93" s="799"/>
      <c r="U93" s="799">
        <f t="shared" si="29"/>
        <v>7019785</v>
      </c>
      <c r="V93" s="800">
        <f t="shared" si="28"/>
        <v>0</v>
      </c>
      <c r="W93" s="799">
        <f t="shared" si="30"/>
        <v>573000</v>
      </c>
      <c r="X93" s="800">
        <f t="shared" ref="X93:X100" si="31">(T93*100)/K93</f>
        <v>0</v>
      </c>
    </row>
    <row r="94" spans="1:24" ht="16.5">
      <c r="A94" s="795" t="s">
        <v>1004</v>
      </c>
      <c r="B94" s="795" t="s">
        <v>1005</v>
      </c>
      <c r="C94" s="1370">
        <v>36671</v>
      </c>
      <c r="D94" s="1370"/>
      <c r="E94" s="1371">
        <v>39390</v>
      </c>
      <c r="F94" s="1372"/>
      <c r="G94" s="1373" t="s">
        <v>847</v>
      </c>
      <c r="H94" s="1373"/>
      <c r="I94" s="797"/>
      <c r="J94" s="803" t="s">
        <v>847</v>
      </c>
      <c r="K94" s="1370">
        <v>27766</v>
      </c>
      <c r="L94" s="1370"/>
      <c r="M94" s="1373">
        <v>27766</v>
      </c>
      <c r="N94" s="1373"/>
      <c r="O94" s="1373" t="s">
        <v>847</v>
      </c>
      <c r="P94" s="1373"/>
      <c r="Q94" s="797"/>
      <c r="R94" s="803" t="s">
        <v>847</v>
      </c>
      <c r="S94" s="799">
        <v>27766</v>
      </c>
      <c r="T94" s="799">
        <v>2767</v>
      </c>
      <c r="U94" s="799">
        <f t="shared" si="29"/>
        <v>8905</v>
      </c>
      <c r="V94" s="800">
        <f t="shared" si="28"/>
        <v>7.5454718987755989</v>
      </c>
      <c r="W94" s="799">
        <f t="shared" si="30"/>
        <v>24999</v>
      </c>
      <c r="X94" s="800">
        <f t="shared" si="31"/>
        <v>9.9654253403443054</v>
      </c>
    </row>
    <row r="95" spans="1:24" ht="16.5">
      <c r="A95" s="795" t="s">
        <v>1006</v>
      </c>
      <c r="B95" s="795" t="s">
        <v>1007</v>
      </c>
      <c r="C95" s="1370">
        <v>70594</v>
      </c>
      <c r="D95" s="1370"/>
      <c r="E95" s="1371">
        <v>70050</v>
      </c>
      <c r="F95" s="1372"/>
      <c r="G95" s="1373">
        <v>20750</v>
      </c>
      <c r="H95" s="1373"/>
      <c r="I95" s="797"/>
      <c r="J95" s="798">
        <v>20750</v>
      </c>
      <c r="K95" s="1370">
        <v>75000</v>
      </c>
      <c r="L95" s="1370"/>
      <c r="M95" s="1373">
        <v>70200</v>
      </c>
      <c r="N95" s="1373"/>
      <c r="O95" s="1373">
        <v>20750</v>
      </c>
      <c r="P95" s="1373"/>
      <c r="Q95" s="797"/>
      <c r="R95" s="798">
        <v>20750</v>
      </c>
      <c r="S95" s="799">
        <f t="shared" ref="S95:S100" si="32">+M95-O95</f>
        <v>49450</v>
      </c>
      <c r="T95" s="799"/>
      <c r="U95" s="799">
        <f t="shared" si="29"/>
        <v>-4406</v>
      </c>
      <c r="V95" s="800">
        <f t="shared" si="28"/>
        <v>0</v>
      </c>
      <c r="W95" s="799">
        <f t="shared" si="30"/>
        <v>75000</v>
      </c>
      <c r="X95" s="800">
        <f t="shared" si="31"/>
        <v>0</v>
      </c>
    </row>
    <row r="96" spans="1:24">
      <c r="A96" s="795" t="s">
        <v>1008</v>
      </c>
      <c r="B96" s="795" t="s">
        <v>1009</v>
      </c>
      <c r="C96" s="1370">
        <v>35866</v>
      </c>
      <c r="D96" s="1370"/>
      <c r="E96" s="1371">
        <v>38020</v>
      </c>
      <c r="F96" s="1372"/>
      <c r="G96" s="1373">
        <v>1800</v>
      </c>
      <c r="H96" s="1373"/>
      <c r="I96" s="797"/>
      <c r="J96" s="798">
        <v>1800</v>
      </c>
      <c r="K96" s="1370">
        <v>39699</v>
      </c>
      <c r="L96" s="1370"/>
      <c r="M96" s="1373">
        <v>25999</v>
      </c>
      <c r="N96" s="1373"/>
      <c r="O96" s="1373">
        <v>1800</v>
      </c>
      <c r="P96" s="1373"/>
      <c r="Q96" s="797"/>
      <c r="R96" s="798">
        <v>1800</v>
      </c>
      <c r="S96" s="799">
        <f t="shared" si="32"/>
        <v>24199</v>
      </c>
      <c r="T96" s="799">
        <v>24000</v>
      </c>
      <c r="U96" s="799">
        <f t="shared" si="29"/>
        <v>-3833</v>
      </c>
      <c r="V96" s="800">
        <f t="shared" si="28"/>
        <v>66.915741928288625</v>
      </c>
      <c r="W96" s="799">
        <f t="shared" si="30"/>
        <v>15699</v>
      </c>
      <c r="X96" s="800">
        <f t="shared" si="31"/>
        <v>60.454923297816066</v>
      </c>
    </row>
    <row r="97" spans="1:24">
      <c r="A97" s="795" t="s">
        <v>1010</v>
      </c>
      <c r="B97" s="795" t="s">
        <v>1011</v>
      </c>
      <c r="C97" s="1370">
        <v>6585</v>
      </c>
      <c r="D97" s="1370"/>
      <c r="E97" s="1371">
        <v>149653</v>
      </c>
      <c r="F97" s="1372"/>
      <c r="G97" s="1373">
        <v>42685.2</v>
      </c>
      <c r="H97" s="1373"/>
      <c r="I97" s="797"/>
      <c r="J97" s="798">
        <v>42685.2</v>
      </c>
      <c r="K97" s="1370">
        <v>18000</v>
      </c>
      <c r="L97" s="1370"/>
      <c r="M97" s="1373">
        <v>83250</v>
      </c>
      <c r="N97" s="1373"/>
      <c r="O97" s="1373">
        <v>42685.2</v>
      </c>
      <c r="P97" s="1373"/>
      <c r="Q97" s="797"/>
      <c r="R97" s="798">
        <v>42685.2</v>
      </c>
      <c r="S97" s="799">
        <f t="shared" si="32"/>
        <v>40564.800000000003</v>
      </c>
      <c r="T97" s="799"/>
      <c r="U97" s="799">
        <f t="shared" si="29"/>
        <v>-11415</v>
      </c>
      <c r="V97" s="800">
        <f t="shared" si="28"/>
        <v>0</v>
      </c>
      <c r="W97" s="799">
        <f t="shared" si="30"/>
        <v>18000</v>
      </c>
      <c r="X97" s="800">
        <f t="shared" si="31"/>
        <v>0</v>
      </c>
    </row>
    <row r="98" spans="1:24">
      <c r="A98" s="795" t="s">
        <v>1012</v>
      </c>
      <c r="B98" s="795" t="s">
        <v>1013</v>
      </c>
      <c r="C98" s="1370">
        <v>0</v>
      </c>
      <c r="D98" s="1370"/>
      <c r="E98" s="1371">
        <v>3850</v>
      </c>
      <c r="F98" s="1372"/>
      <c r="G98" s="1373">
        <v>760</v>
      </c>
      <c r="H98" s="1373"/>
      <c r="I98" s="797"/>
      <c r="J98" s="798">
        <v>760</v>
      </c>
      <c r="K98" s="1370">
        <v>235028</v>
      </c>
      <c r="L98" s="1370"/>
      <c r="M98" s="1373">
        <v>760</v>
      </c>
      <c r="N98" s="1373"/>
      <c r="O98" s="1373">
        <v>760</v>
      </c>
      <c r="P98" s="1373"/>
      <c r="Q98" s="797"/>
      <c r="R98" s="798">
        <v>760</v>
      </c>
      <c r="S98" s="799">
        <f t="shared" si="32"/>
        <v>0</v>
      </c>
      <c r="T98" s="799">
        <v>400591</v>
      </c>
      <c r="U98" s="799">
        <f t="shared" si="29"/>
        <v>-235028</v>
      </c>
      <c r="V98" s="800">
        <v>0</v>
      </c>
      <c r="W98" s="799">
        <f t="shared" si="30"/>
        <v>-165563</v>
      </c>
      <c r="X98" s="800">
        <f t="shared" si="31"/>
        <v>170.44394710417481</v>
      </c>
    </row>
    <row r="99" spans="1:24">
      <c r="A99" s="795" t="s">
        <v>1014</v>
      </c>
      <c r="B99" s="795" t="s">
        <v>1015</v>
      </c>
      <c r="C99" s="1370">
        <v>5373895</v>
      </c>
      <c r="D99" s="1370"/>
      <c r="E99" s="1371">
        <v>2687518</v>
      </c>
      <c r="F99" s="1372"/>
      <c r="G99" s="1373">
        <v>1312200</v>
      </c>
      <c r="H99" s="1373"/>
      <c r="I99" s="797"/>
      <c r="J99" s="798">
        <v>1117200</v>
      </c>
      <c r="K99" s="1370">
        <v>1768502</v>
      </c>
      <c r="L99" s="1370"/>
      <c r="M99" s="1373">
        <v>1762394</v>
      </c>
      <c r="N99" s="1373"/>
      <c r="O99" s="1373">
        <v>1312200</v>
      </c>
      <c r="P99" s="1373"/>
      <c r="Q99" s="797"/>
      <c r="R99" s="798">
        <v>1117200</v>
      </c>
      <c r="S99" s="799">
        <f t="shared" si="32"/>
        <v>450194</v>
      </c>
      <c r="T99" s="799"/>
      <c r="U99" s="799">
        <f t="shared" si="29"/>
        <v>3605393</v>
      </c>
      <c r="V99" s="800">
        <f>(T99/C99)*100</f>
        <v>0</v>
      </c>
      <c r="W99" s="799">
        <f t="shared" si="30"/>
        <v>1768502</v>
      </c>
      <c r="X99" s="800">
        <f t="shared" si="31"/>
        <v>0</v>
      </c>
    </row>
    <row r="100" spans="1:24" ht="16.5">
      <c r="A100" s="795" t="s">
        <v>1016</v>
      </c>
      <c r="B100" s="795" t="s">
        <v>1017</v>
      </c>
      <c r="C100" s="1370">
        <v>470385</v>
      </c>
      <c r="D100" s="1370"/>
      <c r="E100" s="1371">
        <v>362200</v>
      </c>
      <c r="F100" s="1372"/>
      <c r="G100" s="1373">
        <v>322154</v>
      </c>
      <c r="H100" s="1373"/>
      <c r="I100" s="797"/>
      <c r="J100" s="798">
        <v>322154</v>
      </c>
      <c r="K100" s="1370">
        <v>378154</v>
      </c>
      <c r="L100" s="1370"/>
      <c r="M100" s="1373">
        <v>378154</v>
      </c>
      <c r="N100" s="1373"/>
      <c r="O100" s="1373">
        <v>322154</v>
      </c>
      <c r="P100" s="1373"/>
      <c r="Q100" s="797"/>
      <c r="R100" s="798">
        <v>322154</v>
      </c>
      <c r="S100" s="799">
        <f t="shared" si="32"/>
        <v>56000</v>
      </c>
      <c r="T100" s="799">
        <v>364200</v>
      </c>
      <c r="U100" s="799">
        <f t="shared" si="29"/>
        <v>92231</v>
      </c>
      <c r="V100" s="800">
        <f>(T100/C100)*100</f>
        <v>77.42593832711502</v>
      </c>
      <c r="W100" s="799">
        <f t="shared" si="30"/>
        <v>13954</v>
      </c>
      <c r="X100" s="800">
        <f t="shared" si="31"/>
        <v>96.309968954447129</v>
      </c>
    </row>
    <row r="101" spans="1:24">
      <c r="A101" s="795" t="s">
        <v>1018</v>
      </c>
      <c r="B101" s="795" t="s">
        <v>472</v>
      </c>
      <c r="C101" s="801">
        <v>235028</v>
      </c>
      <c r="D101" s="801"/>
      <c r="E101" s="802"/>
      <c r="F101" s="802"/>
      <c r="G101" s="802"/>
      <c r="H101" s="802"/>
      <c r="I101" s="797"/>
      <c r="J101" s="798"/>
      <c r="K101" s="801"/>
      <c r="L101" s="801"/>
      <c r="M101" s="802"/>
      <c r="N101" s="802"/>
      <c r="O101" s="802"/>
      <c r="P101" s="802"/>
      <c r="Q101" s="797"/>
      <c r="R101" s="798"/>
      <c r="S101" s="799"/>
      <c r="T101" s="799"/>
      <c r="U101" s="799">
        <f t="shared" si="29"/>
        <v>235028</v>
      </c>
      <c r="V101" s="800">
        <f>(T101/C101)*100</f>
        <v>0</v>
      </c>
      <c r="W101" s="799">
        <f t="shared" si="30"/>
        <v>0</v>
      </c>
      <c r="X101" s="800">
        <v>0</v>
      </c>
    </row>
    <row r="102" spans="1:24" ht="16.5">
      <c r="A102" s="795" t="s">
        <v>1019</v>
      </c>
      <c r="B102" s="795" t="s">
        <v>1020</v>
      </c>
      <c r="C102" s="1377" t="s">
        <v>847</v>
      </c>
      <c r="D102" s="1377"/>
      <c r="E102" s="1371">
        <v>2100</v>
      </c>
      <c r="F102" s="1372"/>
      <c r="G102" s="1373">
        <v>1200</v>
      </c>
      <c r="H102" s="1373"/>
      <c r="I102" s="797"/>
      <c r="J102" s="798">
        <v>1200</v>
      </c>
      <c r="K102" s="1377" t="s">
        <v>847</v>
      </c>
      <c r="L102" s="1377"/>
      <c r="M102" s="1373">
        <v>1200</v>
      </c>
      <c r="N102" s="1373"/>
      <c r="O102" s="1373">
        <v>1200</v>
      </c>
      <c r="P102" s="1373"/>
      <c r="Q102" s="797"/>
      <c r="R102" s="798">
        <v>1200</v>
      </c>
      <c r="S102" s="799">
        <f>+M102-O102</f>
        <v>0</v>
      </c>
      <c r="T102" s="799"/>
      <c r="U102" s="799">
        <v>0</v>
      </c>
      <c r="V102" s="800">
        <v>0</v>
      </c>
      <c r="W102" s="799">
        <v>0</v>
      </c>
      <c r="X102" s="800">
        <v>0</v>
      </c>
    </row>
    <row r="103" spans="1:24" ht="16.5">
      <c r="A103" s="795" t="s">
        <v>1021</v>
      </c>
      <c r="B103" s="795" t="s">
        <v>1022</v>
      </c>
      <c r="C103" s="1370">
        <v>24659</v>
      </c>
      <c r="D103" s="1370"/>
      <c r="E103" s="1371">
        <v>0</v>
      </c>
      <c r="F103" s="1372"/>
      <c r="G103" s="1373" t="s">
        <v>847</v>
      </c>
      <c r="H103" s="1373"/>
      <c r="I103" s="797"/>
      <c r="J103" s="803" t="s">
        <v>847</v>
      </c>
      <c r="K103" s="1370">
        <v>24659</v>
      </c>
      <c r="L103" s="1370"/>
      <c r="M103" s="1373">
        <v>56000</v>
      </c>
      <c r="N103" s="1373"/>
      <c r="O103" s="1373" t="s">
        <v>847</v>
      </c>
      <c r="P103" s="1373"/>
      <c r="Q103" s="797"/>
      <c r="R103" s="803" t="s">
        <v>847</v>
      </c>
      <c r="S103" s="799">
        <v>56000</v>
      </c>
      <c r="T103" s="799">
        <v>1900</v>
      </c>
      <c r="U103" s="799">
        <f t="shared" ref="U103:U122" si="33">+C103-K103</f>
        <v>0</v>
      </c>
      <c r="V103" s="800">
        <f t="shared" ref="V103:V110" si="34">(T103/C103)*100</f>
        <v>7.7050975303134761</v>
      </c>
      <c r="W103" s="799">
        <f t="shared" ref="W103:W122" si="35">+K103-T103</f>
        <v>22759</v>
      </c>
      <c r="X103" s="800">
        <f>(T103*100)/K103</f>
        <v>7.7050975303134761</v>
      </c>
    </row>
    <row r="104" spans="1:24" ht="16.5">
      <c r="A104" s="795" t="s">
        <v>1023</v>
      </c>
      <c r="B104" s="795" t="s">
        <v>1024</v>
      </c>
      <c r="C104" s="1370">
        <v>35278</v>
      </c>
      <c r="D104" s="1370"/>
      <c r="E104" s="1371">
        <v>17000</v>
      </c>
      <c r="F104" s="1372"/>
      <c r="G104" s="1373">
        <v>9470</v>
      </c>
      <c r="H104" s="1373"/>
      <c r="I104" s="797"/>
      <c r="J104" s="798">
        <v>9470</v>
      </c>
      <c r="K104" s="1370">
        <v>9900</v>
      </c>
      <c r="L104" s="1370"/>
      <c r="M104" s="1373">
        <v>9900</v>
      </c>
      <c r="N104" s="1373"/>
      <c r="O104" s="1373">
        <v>9470</v>
      </c>
      <c r="P104" s="1373"/>
      <c r="Q104" s="797"/>
      <c r="R104" s="798">
        <v>9470</v>
      </c>
      <c r="S104" s="799">
        <f>+M104-O104</f>
        <v>430</v>
      </c>
      <c r="T104" s="799">
        <v>9900</v>
      </c>
      <c r="U104" s="799">
        <f t="shared" si="33"/>
        <v>25378</v>
      </c>
      <c r="V104" s="800">
        <f t="shared" si="34"/>
        <v>28.062815352344238</v>
      </c>
      <c r="W104" s="799">
        <f t="shared" si="35"/>
        <v>0</v>
      </c>
      <c r="X104" s="800">
        <f>(T104*100)/K104</f>
        <v>100</v>
      </c>
    </row>
    <row r="105" spans="1:24" ht="16.5">
      <c r="A105" s="795" t="s">
        <v>1025</v>
      </c>
      <c r="B105" s="795" t="s">
        <v>1026</v>
      </c>
      <c r="C105" s="801">
        <v>35278</v>
      </c>
      <c r="D105" s="801"/>
      <c r="E105" s="802"/>
      <c r="F105" s="802"/>
      <c r="G105" s="802"/>
      <c r="H105" s="802"/>
      <c r="I105" s="797"/>
      <c r="J105" s="798"/>
      <c r="K105" s="801"/>
      <c r="L105" s="801"/>
      <c r="M105" s="802"/>
      <c r="N105" s="802"/>
      <c r="O105" s="802"/>
      <c r="P105" s="802"/>
      <c r="Q105" s="797"/>
      <c r="R105" s="798"/>
      <c r="S105" s="799"/>
      <c r="T105" s="799"/>
      <c r="U105" s="799">
        <f t="shared" si="33"/>
        <v>35278</v>
      </c>
      <c r="V105" s="800">
        <f t="shared" si="34"/>
        <v>0</v>
      </c>
      <c r="W105" s="799">
        <f t="shared" si="35"/>
        <v>0</v>
      </c>
      <c r="X105" s="800">
        <v>0</v>
      </c>
    </row>
    <row r="106" spans="1:24" ht="16.5">
      <c r="A106" s="795" t="s">
        <v>1027</v>
      </c>
      <c r="B106" s="795" t="s">
        <v>1028</v>
      </c>
      <c r="C106" s="1370">
        <v>1175</v>
      </c>
      <c r="D106" s="1370"/>
      <c r="E106" s="1374" t="s">
        <v>847</v>
      </c>
      <c r="F106" s="1375"/>
      <c r="G106" s="1373" t="s">
        <v>847</v>
      </c>
      <c r="H106" s="1373"/>
      <c r="I106" s="797"/>
      <c r="J106" s="803" t="s">
        <v>847</v>
      </c>
      <c r="K106" s="1370">
        <v>10000</v>
      </c>
      <c r="L106" s="1370"/>
      <c r="M106" s="1376" t="s">
        <v>847</v>
      </c>
      <c r="N106" s="1376"/>
      <c r="O106" s="1373" t="s">
        <v>847</v>
      </c>
      <c r="P106" s="1373"/>
      <c r="Q106" s="797"/>
      <c r="R106" s="803" t="s">
        <v>847</v>
      </c>
      <c r="S106" s="799">
        <v>0</v>
      </c>
      <c r="T106" s="799"/>
      <c r="U106" s="799">
        <f t="shared" si="33"/>
        <v>-8825</v>
      </c>
      <c r="V106" s="800">
        <f t="shared" si="34"/>
        <v>0</v>
      </c>
      <c r="W106" s="799">
        <f t="shared" si="35"/>
        <v>10000</v>
      </c>
      <c r="X106" s="800">
        <f>(T106*100)/K106</f>
        <v>0</v>
      </c>
    </row>
    <row r="107" spans="1:24" ht="16.5">
      <c r="A107" s="795" t="s">
        <v>1029</v>
      </c>
      <c r="B107" s="795" t="s">
        <v>1030</v>
      </c>
      <c r="C107" s="1370">
        <v>25040</v>
      </c>
      <c r="D107" s="1370"/>
      <c r="E107" s="1371">
        <v>358462</v>
      </c>
      <c r="F107" s="1372"/>
      <c r="G107" s="1373">
        <v>1500</v>
      </c>
      <c r="H107" s="1373"/>
      <c r="I107" s="797"/>
      <c r="J107" s="798">
        <v>1500</v>
      </c>
      <c r="K107" s="1370">
        <v>10000</v>
      </c>
      <c r="L107" s="1370"/>
      <c r="M107" s="1373">
        <v>10000</v>
      </c>
      <c r="N107" s="1373"/>
      <c r="O107" s="1373">
        <v>1500</v>
      </c>
      <c r="P107" s="1373"/>
      <c r="Q107" s="797"/>
      <c r="R107" s="798">
        <v>1500</v>
      </c>
      <c r="S107" s="799">
        <f>+M107-O107</f>
        <v>8500</v>
      </c>
      <c r="T107" s="799">
        <v>10000</v>
      </c>
      <c r="U107" s="799">
        <f t="shared" si="33"/>
        <v>15040</v>
      </c>
      <c r="V107" s="800">
        <f t="shared" si="34"/>
        <v>39.936102236421725</v>
      </c>
      <c r="W107" s="799">
        <f t="shared" si="35"/>
        <v>0</v>
      </c>
      <c r="X107" s="800">
        <f>(T107*100)/K107</f>
        <v>100</v>
      </c>
    </row>
    <row r="108" spans="1:24" ht="16.5">
      <c r="A108" s="795" t="s">
        <v>1031</v>
      </c>
      <c r="B108" s="795" t="s">
        <v>1032</v>
      </c>
      <c r="C108" s="1370">
        <v>4985174</v>
      </c>
      <c r="D108" s="1370"/>
      <c r="E108" s="1371">
        <v>3723950</v>
      </c>
      <c r="F108" s="1372"/>
      <c r="G108" s="1373">
        <v>844548.81</v>
      </c>
      <c r="H108" s="1373"/>
      <c r="I108" s="797"/>
      <c r="J108" s="798">
        <v>815427.81</v>
      </c>
      <c r="K108" s="1370">
        <v>3606627</v>
      </c>
      <c r="L108" s="1370"/>
      <c r="M108" s="1373">
        <v>1451281</v>
      </c>
      <c r="N108" s="1373"/>
      <c r="O108" s="1373">
        <v>844548.81</v>
      </c>
      <c r="P108" s="1373"/>
      <c r="Q108" s="797"/>
      <c r="R108" s="798">
        <v>815427.81</v>
      </c>
      <c r="S108" s="799">
        <f>+M108-O108</f>
        <v>606732.18999999994</v>
      </c>
      <c r="T108" s="799">
        <v>493990</v>
      </c>
      <c r="U108" s="799">
        <f t="shared" si="33"/>
        <v>1378547</v>
      </c>
      <c r="V108" s="800">
        <f t="shared" si="34"/>
        <v>9.9091827085674442</v>
      </c>
      <c r="W108" s="799">
        <f t="shared" si="35"/>
        <v>3112637</v>
      </c>
      <c r="X108" s="800">
        <f>(T108*100)/K108</f>
        <v>13.69673104537841</v>
      </c>
    </row>
    <row r="109" spans="1:24" ht="16.5">
      <c r="A109" s="795" t="s">
        <v>1033</v>
      </c>
      <c r="B109" s="795" t="s">
        <v>1034</v>
      </c>
      <c r="C109" s="1370">
        <v>11759</v>
      </c>
      <c r="D109" s="1370"/>
      <c r="E109" s="1371">
        <v>5600</v>
      </c>
      <c r="F109" s="1372"/>
      <c r="G109" s="1373" t="s">
        <v>847</v>
      </c>
      <c r="H109" s="1373"/>
      <c r="I109" s="797"/>
      <c r="J109" s="803" t="s">
        <v>847</v>
      </c>
      <c r="K109" s="1370">
        <v>20000</v>
      </c>
      <c r="L109" s="1370"/>
      <c r="M109" s="1373">
        <v>20000</v>
      </c>
      <c r="N109" s="1373"/>
      <c r="O109" s="1373" t="s">
        <v>847</v>
      </c>
      <c r="P109" s="1373"/>
      <c r="Q109" s="797"/>
      <c r="R109" s="803" t="s">
        <v>847</v>
      </c>
      <c r="S109" s="799">
        <v>20000</v>
      </c>
      <c r="T109" s="799"/>
      <c r="U109" s="799">
        <f t="shared" si="33"/>
        <v>-8241</v>
      </c>
      <c r="V109" s="800">
        <f t="shared" si="34"/>
        <v>0</v>
      </c>
      <c r="W109" s="799">
        <f t="shared" si="35"/>
        <v>20000</v>
      </c>
      <c r="X109" s="800">
        <f>(T109*100)/K109</f>
        <v>0</v>
      </c>
    </row>
    <row r="110" spans="1:24" ht="16.5">
      <c r="A110" s="795" t="s">
        <v>1035</v>
      </c>
      <c r="B110" s="795" t="s">
        <v>1036</v>
      </c>
      <c r="C110" s="1370">
        <v>21962</v>
      </c>
      <c r="D110" s="1370"/>
      <c r="E110" s="1374">
        <v>24898</v>
      </c>
      <c r="F110" s="1375"/>
      <c r="G110" s="1373" t="s">
        <v>847</v>
      </c>
      <c r="H110" s="1373"/>
      <c r="I110" s="797"/>
      <c r="J110" s="803" t="s">
        <v>847</v>
      </c>
      <c r="K110" s="1370">
        <v>32000</v>
      </c>
      <c r="L110" s="1370"/>
      <c r="M110" s="1376" t="s">
        <v>847</v>
      </c>
      <c r="N110" s="1376"/>
      <c r="O110" s="1373" t="s">
        <v>847</v>
      </c>
      <c r="P110" s="1373"/>
      <c r="Q110" s="797"/>
      <c r="R110" s="803" t="s">
        <v>847</v>
      </c>
      <c r="S110" s="799">
        <v>0</v>
      </c>
      <c r="T110" s="799"/>
      <c r="U110" s="799">
        <f t="shared" si="33"/>
        <v>-10038</v>
      </c>
      <c r="V110" s="800">
        <f t="shared" si="34"/>
        <v>0</v>
      </c>
      <c r="W110" s="799">
        <f t="shared" si="35"/>
        <v>32000</v>
      </c>
      <c r="X110" s="800">
        <f>(T110*100)/K110</f>
        <v>0</v>
      </c>
    </row>
    <row r="111" spans="1:24">
      <c r="A111" s="795" t="s">
        <v>1037</v>
      </c>
      <c r="B111" s="795" t="s">
        <v>1038</v>
      </c>
      <c r="C111" s="801"/>
      <c r="D111" s="801"/>
      <c r="E111" s="803"/>
      <c r="F111" s="803">
        <v>10000</v>
      </c>
      <c r="G111" s="802"/>
      <c r="H111" s="802"/>
      <c r="I111" s="797"/>
      <c r="J111" s="803"/>
      <c r="K111" s="801"/>
      <c r="L111" s="801"/>
      <c r="M111" s="803"/>
      <c r="N111" s="803"/>
      <c r="O111" s="802"/>
      <c r="P111" s="802"/>
      <c r="Q111" s="797"/>
      <c r="R111" s="803"/>
      <c r="S111" s="799"/>
      <c r="T111" s="799"/>
      <c r="U111" s="799">
        <f t="shared" si="33"/>
        <v>0</v>
      </c>
      <c r="V111" s="800">
        <v>0</v>
      </c>
      <c r="W111" s="799">
        <f t="shared" si="35"/>
        <v>0</v>
      </c>
      <c r="X111" s="800">
        <v>0</v>
      </c>
    </row>
    <row r="112" spans="1:24" ht="16.5">
      <c r="A112" s="795" t="s">
        <v>1039</v>
      </c>
      <c r="B112" s="795" t="s">
        <v>1040</v>
      </c>
      <c r="C112" s="1370">
        <v>11714493</v>
      </c>
      <c r="D112" s="1370"/>
      <c r="E112" s="1371">
        <v>7951038</v>
      </c>
      <c r="F112" s="1372"/>
      <c r="G112" s="1373">
        <v>5270305.37</v>
      </c>
      <c r="H112" s="1373"/>
      <c r="I112" s="797"/>
      <c r="J112" s="798">
        <v>4892305.37</v>
      </c>
      <c r="K112" s="1370">
        <v>15663698</v>
      </c>
      <c r="L112" s="1370"/>
      <c r="M112" s="1373">
        <v>7617970</v>
      </c>
      <c r="N112" s="1373"/>
      <c r="O112" s="1373">
        <v>5270305.37</v>
      </c>
      <c r="P112" s="1373"/>
      <c r="Q112" s="797"/>
      <c r="R112" s="798">
        <v>4892305.37</v>
      </c>
      <c r="S112" s="799">
        <f t="shared" ref="S112:S119" si="36">+M112-O112</f>
        <v>2347664.63</v>
      </c>
      <c r="T112" s="799">
        <v>942470</v>
      </c>
      <c r="U112" s="799">
        <f t="shared" si="33"/>
        <v>-3949205</v>
      </c>
      <c r="V112" s="800">
        <f t="shared" ref="V112:V120" si="37">(T112/C112)*100</f>
        <v>8.0453332466031604</v>
      </c>
      <c r="W112" s="799">
        <f t="shared" si="35"/>
        <v>14721228</v>
      </c>
      <c r="X112" s="800">
        <f t="shared" ref="X112:X120" si="38">(T112*100)/K112</f>
        <v>6.0169060971425781</v>
      </c>
    </row>
    <row r="113" spans="1:24" ht="16.5">
      <c r="A113" s="795" t="s">
        <v>1041</v>
      </c>
      <c r="B113" s="795" t="s">
        <v>1042</v>
      </c>
      <c r="C113" s="1370">
        <v>6759</v>
      </c>
      <c r="D113" s="1370"/>
      <c r="E113" s="1371">
        <v>473335</v>
      </c>
      <c r="F113" s="1372"/>
      <c r="G113" s="1373">
        <v>173131</v>
      </c>
      <c r="H113" s="1373"/>
      <c r="I113" s="797"/>
      <c r="J113" s="798">
        <v>134427</v>
      </c>
      <c r="K113" s="1370">
        <v>362111</v>
      </c>
      <c r="L113" s="1370"/>
      <c r="M113" s="1373">
        <v>441670</v>
      </c>
      <c r="N113" s="1373"/>
      <c r="O113" s="1373">
        <v>173131</v>
      </c>
      <c r="P113" s="1373"/>
      <c r="Q113" s="797"/>
      <c r="R113" s="798">
        <v>134427</v>
      </c>
      <c r="S113" s="799">
        <f t="shared" si="36"/>
        <v>268539</v>
      </c>
      <c r="T113" s="799">
        <v>148895</v>
      </c>
      <c r="U113" s="799">
        <f t="shared" si="33"/>
        <v>-355352</v>
      </c>
      <c r="V113" s="800">
        <f t="shared" si="37"/>
        <v>2202.9146323420623</v>
      </c>
      <c r="W113" s="799">
        <f t="shared" si="35"/>
        <v>213216</v>
      </c>
      <c r="X113" s="800">
        <f t="shared" si="38"/>
        <v>41.11860727787888</v>
      </c>
    </row>
    <row r="114" spans="1:24" ht="16.5">
      <c r="A114" s="795" t="s">
        <v>1043</v>
      </c>
      <c r="B114" s="795" t="s">
        <v>1044</v>
      </c>
      <c r="C114" s="1370">
        <v>573519</v>
      </c>
      <c r="D114" s="1370"/>
      <c r="E114" s="1371">
        <v>493662</v>
      </c>
      <c r="F114" s="1372"/>
      <c r="G114" s="1373">
        <v>446848.95</v>
      </c>
      <c r="H114" s="1373"/>
      <c r="I114" s="797"/>
      <c r="J114" s="798">
        <v>349598.95</v>
      </c>
      <c r="K114" s="1370">
        <v>1267754</v>
      </c>
      <c r="L114" s="1370"/>
      <c r="M114" s="1373">
        <v>756375</v>
      </c>
      <c r="N114" s="1373"/>
      <c r="O114" s="1373">
        <v>446848.95</v>
      </c>
      <c r="P114" s="1373"/>
      <c r="Q114" s="797"/>
      <c r="R114" s="798">
        <v>349598.95</v>
      </c>
      <c r="S114" s="799">
        <f t="shared" si="36"/>
        <v>309526.05</v>
      </c>
      <c r="T114" s="799">
        <v>366796</v>
      </c>
      <c r="U114" s="799">
        <f t="shared" si="33"/>
        <v>-694235</v>
      </c>
      <c r="V114" s="800">
        <f t="shared" si="37"/>
        <v>63.955335394293819</v>
      </c>
      <c r="W114" s="799">
        <f t="shared" si="35"/>
        <v>900958</v>
      </c>
      <c r="X114" s="800">
        <f t="shared" si="38"/>
        <v>28.932742472119987</v>
      </c>
    </row>
    <row r="115" spans="1:24">
      <c r="A115" s="795" t="s">
        <v>1045</v>
      </c>
      <c r="B115" s="795" t="s">
        <v>1046</v>
      </c>
      <c r="C115" s="1370">
        <v>11172914</v>
      </c>
      <c r="D115" s="1370"/>
      <c r="E115" s="1371">
        <v>31791521</v>
      </c>
      <c r="F115" s="1372"/>
      <c r="G115" s="1373">
        <v>24430170</v>
      </c>
      <c r="H115" s="1373"/>
      <c r="I115" s="797"/>
      <c r="J115" s="798">
        <v>21810164.210000001</v>
      </c>
      <c r="K115" s="1370">
        <v>11814186</v>
      </c>
      <c r="L115" s="1370"/>
      <c r="M115" s="1373">
        <v>32189347</v>
      </c>
      <c r="N115" s="1373"/>
      <c r="O115" s="1373">
        <v>24430170</v>
      </c>
      <c r="P115" s="1373"/>
      <c r="Q115" s="797"/>
      <c r="R115" s="798">
        <v>21810164.210000001</v>
      </c>
      <c r="S115" s="799">
        <f t="shared" si="36"/>
        <v>7759177</v>
      </c>
      <c r="T115" s="799">
        <v>8974666</v>
      </c>
      <c r="U115" s="799">
        <f t="shared" si="33"/>
        <v>-641272</v>
      </c>
      <c r="V115" s="800">
        <f t="shared" si="37"/>
        <v>80.32520432896915</v>
      </c>
      <c r="W115" s="799">
        <f t="shared" si="35"/>
        <v>2839520</v>
      </c>
      <c r="X115" s="800">
        <f t="shared" si="38"/>
        <v>75.965165945415109</v>
      </c>
    </row>
    <row r="116" spans="1:24" ht="16.5">
      <c r="A116" s="795" t="s">
        <v>1047</v>
      </c>
      <c r="B116" s="795" t="s">
        <v>619</v>
      </c>
      <c r="C116" s="1370">
        <v>67332441</v>
      </c>
      <c r="D116" s="1370"/>
      <c r="E116" s="1371">
        <v>95646871</v>
      </c>
      <c r="F116" s="1372"/>
      <c r="G116" s="1373">
        <v>93247941.560000002</v>
      </c>
      <c r="H116" s="1373"/>
      <c r="I116" s="797"/>
      <c r="J116" s="798">
        <v>79357283.450000003</v>
      </c>
      <c r="K116" s="1370">
        <v>87309535</v>
      </c>
      <c r="L116" s="1370"/>
      <c r="M116" s="1373">
        <v>107316288</v>
      </c>
      <c r="N116" s="1373"/>
      <c r="O116" s="1373">
        <v>93247941.560000002</v>
      </c>
      <c r="P116" s="1373"/>
      <c r="Q116" s="797"/>
      <c r="R116" s="798">
        <v>79357283.450000003</v>
      </c>
      <c r="S116" s="799">
        <f t="shared" si="36"/>
        <v>14068346.439999998</v>
      </c>
      <c r="T116" s="799">
        <v>67129060</v>
      </c>
      <c r="U116" s="799">
        <f t="shared" si="33"/>
        <v>-19977094</v>
      </c>
      <c r="V116" s="800">
        <f t="shared" si="37"/>
        <v>99.69794500692467</v>
      </c>
      <c r="W116" s="799">
        <f t="shared" si="35"/>
        <v>20180475</v>
      </c>
      <c r="X116" s="800">
        <f t="shared" si="38"/>
        <v>76.886287391176694</v>
      </c>
    </row>
    <row r="117" spans="1:24" ht="16.5">
      <c r="A117" s="795" t="s">
        <v>1048</v>
      </c>
      <c r="B117" s="795" t="s">
        <v>1049</v>
      </c>
      <c r="C117" s="1370">
        <v>4269636</v>
      </c>
      <c r="D117" s="1370"/>
      <c r="E117" s="1371">
        <v>4750843</v>
      </c>
      <c r="F117" s="1372"/>
      <c r="G117" s="1373">
        <v>5889163.96</v>
      </c>
      <c r="H117" s="1373"/>
      <c r="I117" s="797"/>
      <c r="J117" s="798">
        <v>4603320.3899999997</v>
      </c>
      <c r="K117" s="1370">
        <v>4729494</v>
      </c>
      <c r="L117" s="1370"/>
      <c r="M117" s="1373">
        <v>7004206</v>
      </c>
      <c r="N117" s="1373"/>
      <c r="O117" s="1373">
        <v>5889163.96</v>
      </c>
      <c r="P117" s="1373"/>
      <c r="Q117" s="797"/>
      <c r="R117" s="798">
        <v>4603320.3899999997</v>
      </c>
      <c r="S117" s="799">
        <f t="shared" si="36"/>
        <v>1115042.04</v>
      </c>
      <c r="T117" s="799">
        <v>4268620</v>
      </c>
      <c r="U117" s="799">
        <f t="shared" si="33"/>
        <v>-459858</v>
      </c>
      <c r="V117" s="800">
        <f t="shared" si="37"/>
        <v>99.976204060486651</v>
      </c>
      <c r="W117" s="799">
        <f t="shared" si="35"/>
        <v>460874</v>
      </c>
      <c r="X117" s="800">
        <f t="shared" si="38"/>
        <v>90.255321182350585</v>
      </c>
    </row>
    <row r="118" spans="1:24">
      <c r="A118" s="795" t="s">
        <v>1050</v>
      </c>
      <c r="B118" s="795" t="s">
        <v>1051</v>
      </c>
      <c r="C118" s="1370">
        <v>1162800</v>
      </c>
      <c r="D118" s="1370"/>
      <c r="E118" s="1371">
        <v>2100729</v>
      </c>
      <c r="F118" s="1372"/>
      <c r="G118" s="1373">
        <v>1539768</v>
      </c>
      <c r="H118" s="1373"/>
      <c r="I118" s="797"/>
      <c r="J118" s="798">
        <v>1261057</v>
      </c>
      <c r="K118" s="1370">
        <v>1706276</v>
      </c>
      <c r="L118" s="1370"/>
      <c r="M118" s="1373">
        <v>2097367</v>
      </c>
      <c r="N118" s="1373"/>
      <c r="O118" s="1373">
        <v>1539768</v>
      </c>
      <c r="P118" s="1373"/>
      <c r="Q118" s="797"/>
      <c r="R118" s="798">
        <v>1261057</v>
      </c>
      <c r="S118" s="799">
        <f t="shared" si="36"/>
        <v>557599</v>
      </c>
      <c r="T118" s="799">
        <v>1708569</v>
      </c>
      <c r="U118" s="799">
        <f t="shared" si="33"/>
        <v>-543476</v>
      </c>
      <c r="V118" s="800">
        <f t="shared" si="37"/>
        <v>146.93575851393189</v>
      </c>
      <c r="W118" s="799">
        <f t="shared" si="35"/>
        <v>-2293</v>
      </c>
      <c r="X118" s="800">
        <f t="shared" si="38"/>
        <v>100.1343862305981</v>
      </c>
    </row>
    <row r="119" spans="1:24">
      <c r="A119" s="795" t="s">
        <v>1052</v>
      </c>
      <c r="B119" s="795" t="s">
        <v>1053</v>
      </c>
      <c r="C119" s="1370">
        <v>1296085</v>
      </c>
      <c r="D119" s="1370"/>
      <c r="E119" s="1371">
        <v>1576015</v>
      </c>
      <c r="F119" s="1372"/>
      <c r="G119" s="1373">
        <v>1363979.7</v>
      </c>
      <c r="H119" s="1373"/>
      <c r="I119" s="797"/>
      <c r="J119" s="798">
        <v>962507.2</v>
      </c>
      <c r="K119" s="1370">
        <v>1204679</v>
      </c>
      <c r="L119" s="1370"/>
      <c r="M119" s="1373">
        <v>1590563</v>
      </c>
      <c r="N119" s="1373"/>
      <c r="O119" s="1373">
        <v>1363979.7</v>
      </c>
      <c r="P119" s="1373"/>
      <c r="Q119" s="797"/>
      <c r="R119" s="798">
        <v>962507.2</v>
      </c>
      <c r="S119" s="799">
        <f t="shared" si="36"/>
        <v>226583.30000000005</v>
      </c>
      <c r="T119" s="799">
        <v>2454662</v>
      </c>
      <c r="U119" s="799">
        <f t="shared" si="33"/>
        <v>91406</v>
      </c>
      <c r="V119" s="800">
        <f t="shared" si="37"/>
        <v>189.39051065323648</v>
      </c>
      <c r="W119" s="799">
        <f t="shared" si="35"/>
        <v>-1249983</v>
      </c>
      <c r="X119" s="800">
        <f t="shared" si="38"/>
        <v>203.76066985479119</v>
      </c>
    </row>
    <row r="120" spans="1:24">
      <c r="A120" s="795" t="s">
        <v>1054</v>
      </c>
      <c r="B120" s="795" t="s">
        <v>1055</v>
      </c>
      <c r="C120" s="1370">
        <v>15966725</v>
      </c>
      <c r="D120" s="1370"/>
      <c r="E120" s="1371">
        <v>0</v>
      </c>
      <c r="F120" s="1372"/>
      <c r="G120" s="1373" t="s">
        <v>847</v>
      </c>
      <c r="H120" s="1373"/>
      <c r="I120" s="797"/>
      <c r="J120" s="803" t="s">
        <v>847</v>
      </c>
      <c r="K120" s="1370">
        <v>460551</v>
      </c>
      <c r="L120" s="1370"/>
      <c r="M120" s="1373">
        <v>460551</v>
      </c>
      <c r="N120" s="1373"/>
      <c r="O120" s="1373" t="s">
        <v>847</v>
      </c>
      <c r="P120" s="1373"/>
      <c r="Q120" s="797"/>
      <c r="R120" s="803" t="s">
        <v>847</v>
      </c>
      <c r="S120" s="799">
        <v>460551</v>
      </c>
      <c r="T120" s="799">
        <v>852458</v>
      </c>
      <c r="U120" s="799">
        <f t="shared" si="33"/>
        <v>15506174</v>
      </c>
      <c r="V120" s="800">
        <f t="shared" si="37"/>
        <v>5.3389658806048201</v>
      </c>
      <c r="W120" s="799">
        <f t="shared" si="35"/>
        <v>-391907</v>
      </c>
      <c r="X120" s="800">
        <f t="shared" si="38"/>
        <v>185.09524460917467</v>
      </c>
    </row>
    <row r="121" spans="1:24" ht="33">
      <c r="A121" s="806" t="s">
        <v>1056</v>
      </c>
      <c r="B121" s="806" t="s">
        <v>1057</v>
      </c>
      <c r="C121" s="807"/>
      <c r="D121" s="807"/>
      <c r="E121" s="808"/>
      <c r="F121" s="809"/>
      <c r="G121" s="808"/>
      <c r="H121" s="808"/>
      <c r="I121" s="810"/>
      <c r="J121" s="811"/>
      <c r="K121" s="807"/>
      <c r="L121" s="807"/>
      <c r="M121" s="808"/>
      <c r="N121" s="808"/>
      <c r="O121" s="808"/>
      <c r="P121" s="808"/>
      <c r="Q121" s="810"/>
      <c r="R121" s="811"/>
      <c r="S121" s="812"/>
      <c r="T121" s="812">
        <v>4915968</v>
      </c>
      <c r="U121" s="812">
        <f t="shared" si="33"/>
        <v>0</v>
      </c>
      <c r="V121" s="813">
        <v>0</v>
      </c>
      <c r="W121" s="812">
        <f t="shared" si="35"/>
        <v>-4915968</v>
      </c>
      <c r="X121" s="813">
        <v>0</v>
      </c>
    </row>
    <row r="122" spans="1:24">
      <c r="A122" s="1366" t="s">
        <v>1058</v>
      </c>
      <c r="B122" s="1366"/>
      <c r="C122" s="814">
        <f>SUM(C9:D120)</f>
        <v>209181485</v>
      </c>
      <c r="D122" s="814"/>
      <c r="E122" s="1367">
        <f>SUM(E9:F120)</f>
        <v>257886012</v>
      </c>
      <c r="F122" s="1368"/>
      <c r="G122" s="1369">
        <v>194934779.22</v>
      </c>
      <c r="H122" s="1369"/>
      <c r="I122" s="815"/>
      <c r="J122" s="816">
        <v>163694754.50999999</v>
      </c>
      <c r="K122" s="1369">
        <f>SUM(K9:L120)</f>
        <v>221893628</v>
      </c>
      <c r="L122" s="1369"/>
      <c r="M122" s="1369">
        <v>252316619</v>
      </c>
      <c r="N122" s="1369"/>
      <c r="O122" s="1369">
        <v>194934779.22</v>
      </c>
      <c r="P122" s="1369"/>
      <c r="Q122" s="815"/>
      <c r="R122" s="816">
        <v>163694754.50999999</v>
      </c>
      <c r="S122" s="817">
        <f>SUM(S9:S120)</f>
        <v>57381839.779999994</v>
      </c>
      <c r="T122" s="817">
        <f>SUM(T9:T121)</f>
        <v>153643400</v>
      </c>
      <c r="U122" s="817">
        <f t="shared" si="33"/>
        <v>-12712143</v>
      </c>
      <c r="V122" s="818">
        <f>(T122/C122)*100</f>
        <v>73.449808428312863</v>
      </c>
      <c r="W122" s="817">
        <f t="shared" si="35"/>
        <v>68250228</v>
      </c>
      <c r="X122" s="818">
        <f>(T122*100)/K122</f>
        <v>69.241916221226504</v>
      </c>
    </row>
  </sheetData>
  <mergeCells count="628">
    <mergeCell ref="S5:S7"/>
    <mergeCell ref="T5:T7"/>
    <mergeCell ref="U5:U7"/>
    <mergeCell ref="V5:V7"/>
    <mergeCell ref="W5:W7"/>
    <mergeCell ref="X5:X7"/>
    <mergeCell ref="A1:J1"/>
    <mergeCell ref="A2:S2"/>
    <mergeCell ref="A3:J3"/>
    <mergeCell ref="A4:B8"/>
    <mergeCell ref="C5:D7"/>
    <mergeCell ref="F5:G7"/>
    <mergeCell ref="H5:I7"/>
    <mergeCell ref="K5:L7"/>
    <mergeCell ref="N5:O7"/>
    <mergeCell ref="P5:Q7"/>
    <mergeCell ref="C10:D10"/>
    <mergeCell ref="E10:F10"/>
    <mergeCell ref="G10:H10"/>
    <mergeCell ref="K10:L10"/>
    <mergeCell ref="M10:N10"/>
    <mergeCell ref="O10:P10"/>
    <mergeCell ref="C9:D9"/>
    <mergeCell ref="E9:F9"/>
    <mergeCell ref="G9:H9"/>
    <mergeCell ref="K9:L9"/>
    <mergeCell ref="M9:N9"/>
    <mergeCell ref="O9:P9"/>
    <mergeCell ref="C12:D12"/>
    <mergeCell ref="E12:F12"/>
    <mergeCell ref="G12:H12"/>
    <mergeCell ref="K12:L12"/>
    <mergeCell ref="M12:N12"/>
    <mergeCell ref="O12:P12"/>
    <mergeCell ref="C11:D11"/>
    <mergeCell ref="E11:F11"/>
    <mergeCell ref="G11:H11"/>
    <mergeCell ref="K11:L11"/>
    <mergeCell ref="M11:N11"/>
    <mergeCell ref="O11:P11"/>
    <mergeCell ref="C14:D14"/>
    <mergeCell ref="E14:F14"/>
    <mergeCell ref="G14:H14"/>
    <mergeCell ref="K14:L14"/>
    <mergeCell ref="M14:N14"/>
    <mergeCell ref="O14:P14"/>
    <mergeCell ref="C13:D13"/>
    <mergeCell ref="E13:F13"/>
    <mergeCell ref="G13:H13"/>
    <mergeCell ref="K13:L13"/>
    <mergeCell ref="M13:N13"/>
    <mergeCell ref="O13:P13"/>
    <mergeCell ref="C16:D16"/>
    <mergeCell ref="E16:F16"/>
    <mergeCell ref="G16:H16"/>
    <mergeCell ref="K16:L16"/>
    <mergeCell ref="M16:N16"/>
    <mergeCell ref="O16:P16"/>
    <mergeCell ref="C15:D15"/>
    <mergeCell ref="E15:F15"/>
    <mergeCell ref="G15:H15"/>
    <mergeCell ref="K15:L15"/>
    <mergeCell ref="M15:N15"/>
    <mergeCell ref="O15:P15"/>
    <mergeCell ref="C19:D19"/>
    <mergeCell ref="E19:F19"/>
    <mergeCell ref="G19:H19"/>
    <mergeCell ref="K19:L19"/>
    <mergeCell ref="M19:N19"/>
    <mergeCell ref="O19:P19"/>
    <mergeCell ref="C18:D18"/>
    <mergeCell ref="E18:F18"/>
    <mergeCell ref="G18:H18"/>
    <mergeCell ref="K18:L18"/>
    <mergeCell ref="M18:N18"/>
    <mergeCell ref="O18:P18"/>
    <mergeCell ref="C21:D21"/>
    <mergeCell ref="E21:F21"/>
    <mergeCell ref="G21:H21"/>
    <mergeCell ref="K21:L21"/>
    <mergeCell ref="M21:N21"/>
    <mergeCell ref="O21:P21"/>
    <mergeCell ref="C20:D20"/>
    <mergeCell ref="E20:F20"/>
    <mergeCell ref="G20:H20"/>
    <mergeCell ref="K20:L20"/>
    <mergeCell ref="M20:N20"/>
    <mergeCell ref="O20:P20"/>
    <mergeCell ref="C23:D23"/>
    <mergeCell ref="E23:F23"/>
    <mergeCell ref="G23:H23"/>
    <mergeCell ref="K23:L23"/>
    <mergeCell ref="M23:N23"/>
    <mergeCell ref="O23:P23"/>
    <mergeCell ref="C22:D22"/>
    <mergeCell ref="E22:F22"/>
    <mergeCell ref="G22:H22"/>
    <mergeCell ref="K22:L22"/>
    <mergeCell ref="M22:N22"/>
    <mergeCell ref="O22:P22"/>
    <mergeCell ref="C25:D25"/>
    <mergeCell ref="E25:F25"/>
    <mergeCell ref="G25:H25"/>
    <mergeCell ref="K25:L25"/>
    <mergeCell ref="M25:N25"/>
    <mergeCell ref="O25:P25"/>
    <mergeCell ref="C24:D24"/>
    <mergeCell ref="E24:F24"/>
    <mergeCell ref="G24:H24"/>
    <mergeCell ref="K24:L24"/>
    <mergeCell ref="M24:N24"/>
    <mergeCell ref="O24:P24"/>
    <mergeCell ref="C27:D27"/>
    <mergeCell ref="E27:F27"/>
    <mergeCell ref="G27:H27"/>
    <mergeCell ref="K27:L27"/>
    <mergeCell ref="M27:N27"/>
    <mergeCell ref="O27:P27"/>
    <mergeCell ref="C26:D26"/>
    <mergeCell ref="E26:F26"/>
    <mergeCell ref="G26:H26"/>
    <mergeCell ref="K26:L26"/>
    <mergeCell ref="M26:N26"/>
    <mergeCell ref="O26:P26"/>
    <mergeCell ref="C29:D29"/>
    <mergeCell ref="E29:F29"/>
    <mergeCell ref="G29:H29"/>
    <mergeCell ref="K29:L29"/>
    <mergeCell ref="M29:N29"/>
    <mergeCell ref="O29:P29"/>
    <mergeCell ref="C28:D28"/>
    <mergeCell ref="E28:F28"/>
    <mergeCell ref="G28:H28"/>
    <mergeCell ref="K28:L28"/>
    <mergeCell ref="M28:N28"/>
    <mergeCell ref="O28:P28"/>
    <mergeCell ref="C32:D32"/>
    <mergeCell ref="E32:F32"/>
    <mergeCell ref="G32:H32"/>
    <mergeCell ref="K32:L32"/>
    <mergeCell ref="M32:N32"/>
    <mergeCell ref="O32:P32"/>
    <mergeCell ref="C30:D30"/>
    <mergeCell ref="E30:F30"/>
    <mergeCell ref="G30:H30"/>
    <mergeCell ref="K30:L30"/>
    <mergeCell ref="M30:N30"/>
    <mergeCell ref="O30:P30"/>
    <mergeCell ref="C34:D34"/>
    <mergeCell ref="E34:F34"/>
    <mergeCell ref="G34:H34"/>
    <mergeCell ref="K34:L34"/>
    <mergeCell ref="M34:N34"/>
    <mergeCell ref="O34:P34"/>
    <mergeCell ref="C33:D33"/>
    <mergeCell ref="E33:F33"/>
    <mergeCell ref="G33:H33"/>
    <mergeCell ref="K33:L33"/>
    <mergeCell ref="M33:N33"/>
    <mergeCell ref="O33:P33"/>
    <mergeCell ref="C36:D36"/>
    <mergeCell ref="E36:F36"/>
    <mergeCell ref="G36:H36"/>
    <mergeCell ref="K36:L36"/>
    <mergeCell ref="M36:N36"/>
    <mergeCell ref="O36:P36"/>
    <mergeCell ref="C35:D35"/>
    <mergeCell ref="E35:F35"/>
    <mergeCell ref="G35:H35"/>
    <mergeCell ref="K35:L35"/>
    <mergeCell ref="M35:N35"/>
    <mergeCell ref="O35:P35"/>
    <mergeCell ref="C38:D38"/>
    <mergeCell ref="E38:F38"/>
    <mergeCell ref="G38:H38"/>
    <mergeCell ref="K38:L38"/>
    <mergeCell ref="M38:N38"/>
    <mergeCell ref="O38:P38"/>
    <mergeCell ref="C37:D37"/>
    <mergeCell ref="E37:F37"/>
    <mergeCell ref="G37:H37"/>
    <mergeCell ref="K37:L37"/>
    <mergeCell ref="M37:N37"/>
    <mergeCell ref="O37:P37"/>
    <mergeCell ref="C40:D40"/>
    <mergeCell ref="E40:F40"/>
    <mergeCell ref="G40:H40"/>
    <mergeCell ref="K40:L40"/>
    <mergeCell ref="M40:N40"/>
    <mergeCell ref="O40:P40"/>
    <mergeCell ref="C39:D39"/>
    <mergeCell ref="E39:F39"/>
    <mergeCell ref="G39:H39"/>
    <mergeCell ref="K39:L39"/>
    <mergeCell ref="M39:N39"/>
    <mergeCell ref="O39:P39"/>
    <mergeCell ref="C43:D43"/>
    <mergeCell ref="E43:F43"/>
    <mergeCell ref="G43:H43"/>
    <mergeCell ref="K43:L43"/>
    <mergeCell ref="M43:N43"/>
    <mergeCell ref="O43:P43"/>
    <mergeCell ref="C41:D41"/>
    <mergeCell ref="E41:F41"/>
    <mergeCell ref="G41:H41"/>
    <mergeCell ref="K41:L41"/>
    <mergeCell ref="M41:N41"/>
    <mergeCell ref="O41:P41"/>
    <mergeCell ref="C45:D45"/>
    <mergeCell ref="E45:F45"/>
    <mergeCell ref="G45:H45"/>
    <mergeCell ref="K45:L45"/>
    <mergeCell ref="M45:N45"/>
    <mergeCell ref="O45:P45"/>
    <mergeCell ref="C44:D44"/>
    <mergeCell ref="E44:F44"/>
    <mergeCell ref="G44:H44"/>
    <mergeCell ref="K44:L44"/>
    <mergeCell ref="M44:N44"/>
    <mergeCell ref="O44:P44"/>
    <mergeCell ref="C47:D47"/>
    <mergeCell ref="E47:F47"/>
    <mergeCell ref="G47:H47"/>
    <mergeCell ref="K47:L47"/>
    <mergeCell ref="M47:N47"/>
    <mergeCell ref="O47:P47"/>
    <mergeCell ref="C46:D46"/>
    <mergeCell ref="E46:F46"/>
    <mergeCell ref="G46:H46"/>
    <mergeCell ref="K46:L46"/>
    <mergeCell ref="M46:N46"/>
    <mergeCell ref="O46:P46"/>
    <mergeCell ref="C49:D49"/>
    <mergeCell ref="E49:F49"/>
    <mergeCell ref="G49:H49"/>
    <mergeCell ref="K49:L49"/>
    <mergeCell ref="M49:N49"/>
    <mergeCell ref="O49:P49"/>
    <mergeCell ref="C48:D48"/>
    <mergeCell ref="E48:F48"/>
    <mergeCell ref="G48:H48"/>
    <mergeCell ref="K48:L48"/>
    <mergeCell ref="M48:N48"/>
    <mergeCell ref="O48:P48"/>
    <mergeCell ref="C51:D51"/>
    <mergeCell ref="E51:F51"/>
    <mergeCell ref="G51:H51"/>
    <mergeCell ref="K51:L51"/>
    <mergeCell ref="M51:N51"/>
    <mergeCell ref="O51:P51"/>
    <mergeCell ref="C50:D50"/>
    <mergeCell ref="E50:F50"/>
    <mergeCell ref="G50:H50"/>
    <mergeCell ref="K50:L50"/>
    <mergeCell ref="M50:N50"/>
    <mergeCell ref="O50:P50"/>
    <mergeCell ref="C53:D53"/>
    <mergeCell ref="E53:F53"/>
    <mergeCell ref="G53:H53"/>
    <mergeCell ref="K53:L53"/>
    <mergeCell ref="M53:N53"/>
    <mergeCell ref="O53:P53"/>
    <mergeCell ref="C52:D52"/>
    <mergeCell ref="E52:F52"/>
    <mergeCell ref="G52:H52"/>
    <mergeCell ref="K52:L52"/>
    <mergeCell ref="M52:N52"/>
    <mergeCell ref="O52:P52"/>
    <mergeCell ref="C55:D55"/>
    <mergeCell ref="E55:F55"/>
    <mergeCell ref="G55:H55"/>
    <mergeCell ref="K55:L55"/>
    <mergeCell ref="M55:N55"/>
    <mergeCell ref="O55:P55"/>
    <mergeCell ref="C54:D54"/>
    <mergeCell ref="E54:F54"/>
    <mergeCell ref="G54:H54"/>
    <mergeCell ref="K54:L54"/>
    <mergeCell ref="M54:N54"/>
    <mergeCell ref="O54:P54"/>
    <mergeCell ref="C57:D57"/>
    <mergeCell ref="E57:F57"/>
    <mergeCell ref="G57:H57"/>
    <mergeCell ref="K57:L57"/>
    <mergeCell ref="M57:N57"/>
    <mergeCell ref="O57:P57"/>
    <mergeCell ref="C56:D56"/>
    <mergeCell ref="E56:F56"/>
    <mergeCell ref="G56:H56"/>
    <mergeCell ref="K56:L56"/>
    <mergeCell ref="M56:N56"/>
    <mergeCell ref="O56:P56"/>
    <mergeCell ref="C60:D60"/>
    <mergeCell ref="E60:F60"/>
    <mergeCell ref="G60:H60"/>
    <mergeCell ref="K60:L60"/>
    <mergeCell ref="M60:N60"/>
    <mergeCell ref="O60:P60"/>
    <mergeCell ref="C58:D58"/>
    <mergeCell ref="E58:F58"/>
    <mergeCell ref="G58:H58"/>
    <mergeCell ref="K58:L58"/>
    <mergeCell ref="M58:N58"/>
    <mergeCell ref="O58:P58"/>
    <mergeCell ref="C62:D62"/>
    <mergeCell ref="E62:F62"/>
    <mergeCell ref="G62:H62"/>
    <mergeCell ref="K62:L62"/>
    <mergeCell ref="M62:N62"/>
    <mergeCell ref="O62:P62"/>
    <mergeCell ref="C61:D61"/>
    <mergeCell ref="E61:F61"/>
    <mergeCell ref="G61:H61"/>
    <mergeCell ref="K61:L61"/>
    <mergeCell ref="M61:N61"/>
    <mergeCell ref="O61:P61"/>
    <mergeCell ref="C64:D64"/>
    <mergeCell ref="E64:F64"/>
    <mergeCell ref="G64:H64"/>
    <mergeCell ref="K64:L64"/>
    <mergeCell ref="M64:N64"/>
    <mergeCell ref="O64:P64"/>
    <mergeCell ref="C63:D63"/>
    <mergeCell ref="E63:F63"/>
    <mergeCell ref="G63:H63"/>
    <mergeCell ref="K63:L63"/>
    <mergeCell ref="M63:N63"/>
    <mergeCell ref="O63:P63"/>
    <mergeCell ref="C66:D66"/>
    <mergeCell ref="E66:F66"/>
    <mergeCell ref="G66:H66"/>
    <mergeCell ref="K66:L66"/>
    <mergeCell ref="M66:N66"/>
    <mergeCell ref="O66:P66"/>
    <mergeCell ref="C65:D65"/>
    <mergeCell ref="E65:F65"/>
    <mergeCell ref="G65:H65"/>
    <mergeCell ref="K65:L65"/>
    <mergeCell ref="M65:N65"/>
    <mergeCell ref="O65:P65"/>
    <mergeCell ref="C68:D68"/>
    <mergeCell ref="E68:F68"/>
    <mergeCell ref="G68:H68"/>
    <mergeCell ref="K68:L68"/>
    <mergeCell ref="M68:N68"/>
    <mergeCell ref="O68:P68"/>
    <mergeCell ref="C67:D67"/>
    <mergeCell ref="E67:F67"/>
    <mergeCell ref="G67:H67"/>
    <mergeCell ref="K67:L67"/>
    <mergeCell ref="M67:N67"/>
    <mergeCell ref="O67:P67"/>
    <mergeCell ref="C71:D71"/>
    <mergeCell ref="E71:F71"/>
    <mergeCell ref="G71:H71"/>
    <mergeCell ref="K71:L71"/>
    <mergeCell ref="M71:N71"/>
    <mergeCell ref="O71:P71"/>
    <mergeCell ref="C69:D69"/>
    <mergeCell ref="E69:F69"/>
    <mergeCell ref="G69:H69"/>
    <mergeCell ref="K69:L69"/>
    <mergeCell ref="M69:N69"/>
    <mergeCell ref="O69:P69"/>
    <mergeCell ref="C73:D73"/>
    <mergeCell ref="E73:F73"/>
    <mergeCell ref="G73:H73"/>
    <mergeCell ref="K73:L73"/>
    <mergeCell ref="M73:N73"/>
    <mergeCell ref="O73:P73"/>
    <mergeCell ref="C72:D72"/>
    <mergeCell ref="E72:F72"/>
    <mergeCell ref="G72:H72"/>
    <mergeCell ref="K72:L72"/>
    <mergeCell ref="M72:N72"/>
    <mergeCell ref="O72:P72"/>
    <mergeCell ref="C75:D75"/>
    <mergeCell ref="E75:F75"/>
    <mergeCell ref="G75:H75"/>
    <mergeCell ref="K75:L75"/>
    <mergeCell ref="M75:N75"/>
    <mergeCell ref="O75:P75"/>
    <mergeCell ref="C74:D74"/>
    <mergeCell ref="E74:F74"/>
    <mergeCell ref="G74:H74"/>
    <mergeCell ref="K74:L74"/>
    <mergeCell ref="M74:N74"/>
    <mergeCell ref="O74:P74"/>
    <mergeCell ref="C77:D77"/>
    <mergeCell ref="E77:F77"/>
    <mergeCell ref="G77:H77"/>
    <mergeCell ref="K77:L77"/>
    <mergeCell ref="M77:N77"/>
    <mergeCell ref="O77:P77"/>
    <mergeCell ref="C76:D76"/>
    <mergeCell ref="E76:F76"/>
    <mergeCell ref="G76:H76"/>
    <mergeCell ref="K76:L76"/>
    <mergeCell ref="M76:N76"/>
    <mergeCell ref="O76:P76"/>
    <mergeCell ref="C80:D80"/>
    <mergeCell ref="E80:F80"/>
    <mergeCell ref="G80:H80"/>
    <mergeCell ref="K80:L80"/>
    <mergeCell ref="M80:N80"/>
    <mergeCell ref="O80:P80"/>
    <mergeCell ref="C79:D79"/>
    <mergeCell ref="E79:F79"/>
    <mergeCell ref="G79:H79"/>
    <mergeCell ref="K79:L79"/>
    <mergeCell ref="M79:N79"/>
    <mergeCell ref="O79:P79"/>
    <mergeCell ref="C82:D82"/>
    <mergeCell ref="E82:F82"/>
    <mergeCell ref="G82:H82"/>
    <mergeCell ref="K82:L82"/>
    <mergeCell ref="M82:N82"/>
    <mergeCell ref="O82:P82"/>
    <mergeCell ref="C81:D81"/>
    <mergeCell ref="E81:F81"/>
    <mergeCell ref="G81:H81"/>
    <mergeCell ref="K81:L81"/>
    <mergeCell ref="M81:N81"/>
    <mergeCell ref="O81:P81"/>
    <mergeCell ref="C84:D84"/>
    <mergeCell ref="E84:F84"/>
    <mergeCell ref="G84:H84"/>
    <mergeCell ref="K84:L84"/>
    <mergeCell ref="M84:N84"/>
    <mergeCell ref="O84:P84"/>
    <mergeCell ref="C83:D83"/>
    <mergeCell ref="E83:F83"/>
    <mergeCell ref="G83:H83"/>
    <mergeCell ref="K83:L83"/>
    <mergeCell ref="M83:N83"/>
    <mergeCell ref="O83:P83"/>
    <mergeCell ref="C86:D86"/>
    <mergeCell ref="E86:F86"/>
    <mergeCell ref="G86:H86"/>
    <mergeCell ref="K86:L86"/>
    <mergeCell ref="M86:N86"/>
    <mergeCell ref="O86:P86"/>
    <mergeCell ref="C85:D85"/>
    <mergeCell ref="E85:F85"/>
    <mergeCell ref="G85:H85"/>
    <mergeCell ref="K85:L85"/>
    <mergeCell ref="M85:N85"/>
    <mergeCell ref="O85:P85"/>
    <mergeCell ref="C88:D88"/>
    <mergeCell ref="E88:F88"/>
    <mergeCell ref="G88:H88"/>
    <mergeCell ref="K88:L88"/>
    <mergeCell ref="M88:N88"/>
    <mergeCell ref="O88:P88"/>
    <mergeCell ref="C87:D87"/>
    <mergeCell ref="E87:F87"/>
    <mergeCell ref="G87:H87"/>
    <mergeCell ref="K87:L87"/>
    <mergeCell ref="M87:N87"/>
    <mergeCell ref="O87:P87"/>
    <mergeCell ref="C91:D91"/>
    <mergeCell ref="E91:F91"/>
    <mergeCell ref="G91:H91"/>
    <mergeCell ref="K91:L91"/>
    <mergeCell ref="M91:N91"/>
    <mergeCell ref="O91:P91"/>
    <mergeCell ref="C90:D90"/>
    <mergeCell ref="E90:F90"/>
    <mergeCell ref="G90:H90"/>
    <mergeCell ref="K90:L90"/>
    <mergeCell ref="M90:N90"/>
    <mergeCell ref="O90:P90"/>
    <mergeCell ref="C94:D94"/>
    <mergeCell ref="E94:F94"/>
    <mergeCell ref="G94:H94"/>
    <mergeCell ref="K94:L94"/>
    <mergeCell ref="M94:N94"/>
    <mergeCell ref="O94:P94"/>
    <mergeCell ref="C93:D93"/>
    <mergeCell ref="E93:F93"/>
    <mergeCell ref="G93:H93"/>
    <mergeCell ref="K93:L93"/>
    <mergeCell ref="M93:N93"/>
    <mergeCell ref="O93:P93"/>
    <mergeCell ref="C96:D96"/>
    <mergeCell ref="E96:F96"/>
    <mergeCell ref="G96:H96"/>
    <mergeCell ref="K96:L96"/>
    <mergeCell ref="M96:N96"/>
    <mergeCell ref="O96:P96"/>
    <mergeCell ref="C95:D95"/>
    <mergeCell ref="E95:F95"/>
    <mergeCell ref="G95:H95"/>
    <mergeCell ref="K95:L95"/>
    <mergeCell ref="M95:N95"/>
    <mergeCell ref="O95:P95"/>
    <mergeCell ref="C98:D98"/>
    <mergeCell ref="E98:F98"/>
    <mergeCell ref="G98:H98"/>
    <mergeCell ref="K98:L98"/>
    <mergeCell ref="M98:N98"/>
    <mergeCell ref="O98:P98"/>
    <mergeCell ref="C97:D97"/>
    <mergeCell ref="E97:F97"/>
    <mergeCell ref="G97:H97"/>
    <mergeCell ref="K97:L97"/>
    <mergeCell ref="M97:N97"/>
    <mergeCell ref="O97:P97"/>
    <mergeCell ref="C100:D100"/>
    <mergeCell ref="E100:F100"/>
    <mergeCell ref="G100:H100"/>
    <mergeCell ref="K100:L100"/>
    <mergeCell ref="M100:N100"/>
    <mergeCell ref="O100:P100"/>
    <mergeCell ref="C99:D99"/>
    <mergeCell ref="E99:F99"/>
    <mergeCell ref="G99:H99"/>
    <mergeCell ref="K99:L99"/>
    <mergeCell ref="M99:N99"/>
    <mergeCell ref="O99:P99"/>
    <mergeCell ref="C103:D103"/>
    <mergeCell ref="E103:F103"/>
    <mergeCell ref="G103:H103"/>
    <mergeCell ref="K103:L103"/>
    <mergeCell ref="M103:N103"/>
    <mergeCell ref="O103:P103"/>
    <mergeCell ref="C102:D102"/>
    <mergeCell ref="E102:F102"/>
    <mergeCell ref="G102:H102"/>
    <mergeCell ref="K102:L102"/>
    <mergeCell ref="M102:N102"/>
    <mergeCell ref="O102:P102"/>
    <mergeCell ref="C106:D106"/>
    <mergeCell ref="E106:F106"/>
    <mergeCell ref="G106:H106"/>
    <mergeCell ref="K106:L106"/>
    <mergeCell ref="M106:N106"/>
    <mergeCell ref="O106:P106"/>
    <mergeCell ref="C104:D104"/>
    <mergeCell ref="E104:F104"/>
    <mergeCell ref="G104:H104"/>
    <mergeCell ref="K104:L104"/>
    <mergeCell ref="M104:N104"/>
    <mergeCell ref="O104:P104"/>
    <mergeCell ref="C108:D108"/>
    <mergeCell ref="E108:F108"/>
    <mergeCell ref="G108:H108"/>
    <mergeCell ref="K108:L108"/>
    <mergeCell ref="M108:N108"/>
    <mergeCell ref="O108:P108"/>
    <mergeCell ref="C107:D107"/>
    <mergeCell ref="E107:F107"/>
    <mergeCell ref="G107:H107"/>
    <mergeCell ref="K107:L107"/>
    <mergeCell ref="M107:N107"/>
    <mergeCell ref="O107:P107"/>
    <mergeCell ref="C110:D110"/>
    <mergeCell ref="E110:F110"/>
    <mergeCell ref="G110:H110"/>
    <mergeCell ref="K110:L110"/>
    <mergeCell ref="M110:N110"/>
    <mergeCell ref="O110:P110"/>
    <mergeCell ref="C109:D109"/>
    <mergeCell ref="E109:F109"/>
    <mergeCell ref="G109:H109"/>
    <mergeCell ref="K109:L109"/>
    <mergeCell ref="M109:N109"/>
    <mergeCell ref="O109:P109"/>
    <mergeCell ref="C113:D113"/>
    <mergeCell ref="E113:F113"/>
    <mergeCell ref="G113:H113"/>
    <mergeCell ref="K113:L113"/>
    <mergeCell ref="M113:N113"/>
    <mergeCell ref="O113:P113"/>
    <mergeCell ref="C112:D112"/>
    <mergeCell ref="E112:F112"/>
    <mergeCell ref="G112:H112"/>
    <mergeCell ref="K112:L112"/>
    <mergeCell ref="M112:N112"/>
    <mergeCell ref="O112:P112"/>
    <mergeCell ref="C115:D115"/>
    <mergeCell ref="E115:F115"/>
    <mergeCell ref="G115:H115"/>
    <mergeCell ref="K115:L115"/>
    <mergeCell ref="M115:N115"/>
    <mergeCell ref="O115:P115"/>
    <mergeCell ref="C114:D114"/>
    <mergeCell ref="E114:F114"/>
    <mergeCell ref="G114:H114"/>
    <mergeCell ref="K114:L114"/>
    <mergeCell ref="M114:N114"/>
    <mergeCell ref="O114:P114"/>
    <mergeCell ref="C117:D117"/>
    <mergeCell ref="E117:F117"/>
    <mergeCell ref="G117:H117"/>
    <mergeCell ref="K117:L117"/>
    <mergeCell ref="M117:N117"/>
    <mergeCell ref="O117:P117"/>
    <mergeCell ref="C116:D116"/>
    <mergeCell ref="E116:F116"/>
    <mergeCell ref="G116:H116"/>
    <mergeCell ref="K116:L116"/>
    <mergeCell ref="M116:N116"/>
    <mergeCell ref="O116:P116"/>
    <mergeCell ref="C119:D119"/>
    <mergeCell ref="E119:F119"/>
    <mergeCell ref="G119:H119"/>
    <mergeCell ref="K119:L119"/>
    <mergeCell ref="M119:N119"/>
    <mergeCell ref="O119:P119"/>
    <mergeCell ref="C118:D118"/>
    <mergeCell ref="E118:F118"/>
    <mergeCell ref="G118:H118"/>
    <mergeCell ref="K118:L118"/>
    <mergeCell ref="M118:N118"/>
    <mergeCell ref="O118:P118"/>
    <mergeCell ref="A122:B122"/>
    <mergeCell ref="E122:F122"/>
    <mergeCell ref="G122:H122"/>
    <mergeCell ref="K122:L122"/>
    <mergeCell ref="M122:N122"/>
    <mergeCell ref="O122:P122"/>
    <mergeCell ref="C120:D120"/>
    <mergeCell ref="E120:F120"/>
    <mergeCell ref="G120:H120"/>
    <mergeCell ref="K120:L120"/>
    <mergeCell ref="M120:N120"/>
    <mergeCell ref="O120:P120"/>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25"/>
  <sheetViews>
    <sheetView topLeftCell="A10" workbookViewId="0">
      <selection activeCell="H21" sqref="H21"/>
    </sheetView>
  </sheetViews>
  <sheetFormatPr baseColWidth="10" defaultRowHeight="15"/>
  <cols>
    <col min="1" max="1" width="31.42578125" customWidth="1"/>
    <col min="2" max="14" width="15.7109375" customWidth="1"/>
    <col min="15" max="15" width="11.42578125" customWidth="1"/>
  </cols>
  <sheetData>
    <row r="1" spans="1:17">
      <c r="A1" s="401" t="s">
        <v>1059</v>
      </c>
      <c r="B1" s="401"/>
      <c r="C1" s="401"/>
      <c r="D1" s="401"/>
      <c r="E1" s="401"/>
      <c r="F1" s="401"/>
      <c r="G1" s="401"/>
      <c r="H1" s="401"/>
      <c r="I1" s="401"/>
      <c r="J1" s="401"/>
      <c r="K1" s="401"/>
      <c r="L1" s="401"/>
      <c r="M1" s="401"/>
      <c r="N1" s="401"/>
      <c r="O1" s="402"/>
    </row>
    <row r="2" spans="1:17">
      <c r="A2" s="1330" t="s">
        <v>578</v>
      </c>
      <c r="B2" s="1330"/>
      <c r="C2" s="1330"/>
      <c r="D2" s="401"/>
      <c r="E2" s="401"/>
      <c r="F2" s="401"/>
      <c r="G2" s="401"/>
      <c r="H2" s="401"/>
      <c r="I2" s="401"/>
      <c r="J2" s="401"/>
      <c r="K2" s="401"/>
      <c r="L2" s="401"/>
      <c r="M2" s="401"/>
      <c r="N2" s="401"/>
      <c r="O2" s="401"/>
    </row>
    <row r="3" spans="1:17" ht="15.75" thickBot="1">
      <c r="A3" s="819" t="s">
        <v>579</v>
      </c>
      <c r="B3" s="819"/>
      <c r="C3" s="304"/>
      <c r="D3" s="402"/>
      <c r="E3" s="402"/>
      <c r="F3" s="402"/>
      <c r="G3" s="820"/>
      <c r="H3" s="820"/>
      <c r="I3" s="402"/>
      <c r="J3" s="402"/>
      <c r="K3" s="402"/>
      <c r="L3" s="402"/>
      <c r="M3" s="402"/>
      <c r="N3" s="402"/>
      <c r="O3" s="402"/>
    </row>
    <row r="4" spans="1:17" ht="15.75" thickBot="1">
      <c r="A4" s="821" t="s">
        <v>1060</v>
      </c>
      <c r="B4" s="822"/>
      <c r="C4" s="823"/>
      <c r="D4" s="823"/>
      <c r="E4" s="823"/>
      <c r="F4" s="823"/>
      <c r="G4" s="823"/>
      <c r="H4" s="823"/>
      <c r="I4" s="823"/>
      <c r="J4" s="823"/>
      <c r="K4" s="823"/>
      <c r="L4" s="823"/>
      <c r="M4" s="823"/>
      <c r="N4" s="823"/>
      <c r="O4" s="402"/>
    </row>
    <row r="5" spans="1:17" ht="36">
      <c r="A5" s="831" t="s">
        <v>1061</v>
      </c>
      <c r="B5" s="832" t="s">
        <v>1062</v>
      </c>
      <c r="C5" s="833" t="s">
        <v>1063</v>
      </c>
      <c r="D5" s="833" t="s">
        <v>1064</v>
      </c>
      <c r="E5" s="833" t="s">
        <v>1065</v>
      </c>
      <c r="F5" s="833" t="s">
        <v>1066</v>
      </c>
      <c r="G5" s="833" t="s">
        <v>1067</v>
      </c>
      <c r="H5" s="833" t="s">
        <v>1068</v>
      </c>
      <c r="I5" s="833" t="s">
        <v>1069</v>
      </c>
      <c r="J5" s="833" t="s">
        <v>1070</v>
      </c>
      <c r="K5" s="833" t="s">
        <v>1071</v>
      </c>
      <c r="L5" s="833" t="s">
        <v>1072</v>
      </c>
      <c r="M5" s="833" t="s">
        <v>1073</v>
      </c>
      <c r="N5" s="833" t="s">
        <v>1074</v>
      </c>
      <c r="O5" s="402"/>
    </row>
    <row r="6" spans="1:17" ht="132">
      <c r="A6" s="836" t="s">
        <v>1075</v>
      </c>
      <c r="B6" s="837">
        <v>348014</v>
      </c>
      <c r="C6" s="836" t="s">
        <v>1076</v>
      </c>
      <c r="D6" s="836" t="s">
        <v>1077</v>
      </c>
      <c r="E6" s="836" t="s">
        <v>1078</v>
      </c>
      <c r="F6" s="837" t="s">
        <v>1079</v>
      </c>
      <c r="G6" s="838">
        <v>43657</v>
      </c>
      <c r="H6" s="836" t="s">
        <v>1080</v>
      </c>
      <c r="I6" s="837" t="s">
        <v>1081</v>
      </c>
      <c r="J6" s="838">
        <v>44114</v>
      </c>
      <c r="K6" s="837" t="s">
        <v>1082</v>
      </c>
      <c r="L6" s="839">
        <f>+J6</f>
        <v>44114</v>
      </c>
      <c r="M6" s="837" t="s">
        <v>1083</v>
      </c>
      <c r="N6" s="837" t="s">
        <v>1083</v>
      </c>
      <c r="O6" s="402"/>
    </row>
    <row r="7" spans="1:17" ht="120">
      <c r="A7" s="836" t="s">
        <v>1084</v>
      </c>
      <c r="B7" s="837">
        <v>2339002</v>
      </c>
      <c r="C7" s="836" t="s">
        <v>1076</v>
      </c>
      <c r="D7" s="836" t="s">
        <v>1077</v>
      </c>
      <c r="E7" s="836" t="s">
        <v>1085</v>
      </c>
      <c r="F7" s="837" t="s">
        <v>1086</v>
      </c>
      <c r="G7" s="838">
        <v>43697</v>
      </c>
      <c r="H7" s="836" t="s">
        <v>1087</v>
      </c>
      <c r="I7" s="837" t="s">
        <v>1088</v>
      </c>
      <c r="J7" s="838">
        <f>+G7</f>
        <v>43697</v>
      </c>
      <c r="K7" s="837" t="s">
        <v>1082</v>
      </c>
      <c r="L7" s="839">
        <v>44062</v>
      </c>
      <c r="M7" s="837" t="s">
        <v>1083</v>
      </c>
      <c r="N7" s="837" t="s">
        <v>1083</v>
      </c>
      <c r="O7" s="402"/>
    </row>
    <row r="8" spans="1:17" ht="144">
      <c r="A8" s="836" t="s">
        <v>1089</v>
      </c>
      <c r="B8" s="837">
        <v>2339002</v>
      </c>
      <c r="C8" s="836" t="s">
        <v>1076</v>
      </c>
      <c r="D8" s="836" t="s">
        <v>1077</v>
      </c>
      <c r="E8" s="836" t="s">
        <v>1090</v>
      </c>
      <c r="F8" s="836" t="s">
        <v>1091</v>
      </c>
      <c r="G8" s="838">
        <v>43697</v>
      </c>
      <c r="H8" s="836" t="s">
        <v>1092</v>
      </c>
      <c r="I8" s="837" t="s">
        <v>1093</v>
      </c>
      <c r="J8" s="838">
        <f>+J7</f>
        <v>43697</v>
      </c>
      <c r="K8" s="837" t="s">
        <v>1082</v>
      </c>
      <c r="L8" s="839">
        <v>44093</v>
      </c>
      <c r="M8" s="837" t="s">
        <v>1083</v>
      </c>
      <c r="N8" s="837" t="s">
        <v>1083</v>
      </c>
      <c r="O8" s="402"/>
    </row>
    <row r="9" spans="1:17" ht="108">
      <c r="A9" s="836" t="s">
        <v>1094</v>
      </c>
      <c r="B9" s="837">
        <v>209066</v>
      </c>
      <c r="C9" s="836" t="str">
        <f>+C8</f>
        <v xml:space="preserve">ADJUDICACION SIMPLIFICADA </v>
      </c>
      <c r="D9" s="836" t="str">
        <f>+D8</f>
        <v>PROCEDIMIENTO CLASICO</v>
      </c>
      <c r="E9" s="836" t="s">
        <v>1095</v>
      </c>
      <c r="F9" s="836" t="s">
        <v>1096</v>
      </c>
      <c r="G9" s="838">
        <v>43719</v>
      </c>
      <c r="H9" s="836" t="s">
        <v>1097</v>
      </c>
      <c r="I9" s="837" t="s">
        <v>1098</v>
      </c>
      <c r="J9" s="838">
        <v>43719</v>
      </c>
      <c r="K9" s="837" t="s">
        <v>1082</v>
      </c>
      <c r="L9" s="839">
        <v>43871</v>
      </c>
      <c r="M9" s="837" t="s">
        <v>1083</v>
      </c>
      <c r="N9" s="837" t="s">
        <v>1083</v>
      </c>
      <c r="O9" s="402"/>
    </row>
    <row r="10" spans="1:17">
      <c r="A10" s="840" t="s">
        <v>1099</v>
      </c>
      <c r="B10" s="837"/>
      <c r="C10" s="841"/>
      <c r="D10" s="841"/>
      <c r="E10" s="841"/>
      <c r="F10" s="841"/>
      <c r="G10" s="841"/>
      <c r="H10" s="841"/>
      <c r="I10" s="841"/>
      <c r="J10" s="841"/>
      <c r="K10" s="841"/>
      <c r="L10" s="841"/>
      <c r="M10" s="841"/>
      <c r="N10" s="841"/>
      <c r="O10" s="402"/>
    </row>
    <row r="11" spans="1:17" ht="15.75" thickBot="1">
      <c r="A11" s="827" t="s">
        <v>0</v>
      </c>
      <c r="B11" s="828"/>
      <c r="C11" s="834"/>
      <c r="D11" s="835"/>
      <c r="E11" s="835"/>
      <c r="F11" s="835"/>
      <c r="G11" s="834"/>
      <c r="H11" s="834"/>
      <c r="I11" s="834"/>
      <c r="J11" s="834"/>
      <c r="K11" s="834"/>
      <c r="L11" s="834"/>
      <c r="M11" s="834"/>
      <c r="N11" s="834"/>
      <c r="O11" s="402"/>
    </row>
    <row r="12" spans="1:17">
      <c r="A12" s="400" t="s">
        <v>1100</v>
      </c>
      <c r="B12" s="401"/>
      <c r="C12" s="401"/>
      <c r="D12" s="401"/>
      <c r="E12" s="401"/>
      <c r="F12" s="401"/>
      <c r="G12" s="401"/>
      <c r="H12" s="401"/>
      <c r="I12" s="401"/>
      <c r="J12" s="401"/>
      <c r="K12" s="401"/>
      <c r="L12" s="401"/>
      <c r="M12" s="402"/>
      <c r="N12" s="402"/>
      <c r="O12" s="402"/>
    </row>
    <row r="13" spans="1:17">
      <c r="A13" s="830"/>
      <c r="B13" s="830"/>
      <c r="C13" s="402"/>
      <c r="D13" s="402"/>
      <c r="E13" s="402"/>
      <c r="F13" s="402"/>
      <c r="G13" s="402"/>
      <c r="H13" s="402"/>
      <c r="I13" s="402"/>
      <c r="J13" s="402"/>
      <c r="K13" s="402"/>
      <c r="L13" s="402"/>
      <c r="M13" s="402"/>
      <c r="N13" s="402"/>
      <c r="O13" s="402"/>
    </row>
    <row r="14" spans="1:17">
      <c r="A14" s="830"/>
      <c r="B14" s="402"/>
      <c r="C14" s="402"/>
      <c r="D14" s="402"/>
      <c r="E14" s="402"/>
      <c r="F14" s="402"/>
      <c r="G14" s="402"/>
      <c r="H14" s="402"/>
      <c r="I14" s="402"/>
      <c r="J14" s="402"/>
      <c r="K14" s="402"/>
      <c r="L14" s="402"/>
      <c r="M14" s="402"/>
      <c r="N14" s="402"/>
      <c r="O14" s="402"/>
    </row>
    <row r="15" spans="1:17">
      <c r="A15" s="215" t="s">
        <v>1059</v>
      </c>
      <c r="B15" s="215"/>
      <c r="C15" s="215"/>
      <c r="D15" s="215"/>
      <c r="E15" s="215"/>
      <c r="F15" s="215"/>
      <c r="G15" s="215"/>
      <c r="H15" s="215"/>
      <c r="I15" s="215"/>
      <c r="J15" s="215"/>
      <c r="K15" s="215"/>
      <c r="L15" s="215"/>
      <c r="M15" s="215"/>
      <c r="N15" s="215"/>
      <c r="O15" s="295"/>
      <c r="P15" s="295"/>
      <c r="Q15" s="295"/>
    </row>
    <row r="16" spans="1:17">
      <c r="A16" s="215" t="s">
        <v>494</v>
      </c>
      <c r="B16" s="215"/>
      <c r="C16" s="215"/>
      <c r="D16" s="215"/>
      <c r="E16" s="215"/>
      <c r="F16" s="215"/>
      <c r="G16" s="215"/>
      <c r="H16" s="215"/>
      <c r="I16" s="215"/>
      <c r="J16" s="215"/>
      <c r="K16" s="215"/>
      <c r="L16" s="215"/>
      <c r="M16" s="215"/>
      <c r="N16" s="215"/>
      <c r="O16" s="215"/>
      <c r="P16" s="215"/>
      <c r="Q16" s="215"/>
    </row>
    <row r="17" spans="1:17" ht="15.75" thickBot="1">
      <c r="A17" s="295" t="s">
        <v>1101</v>
      </c>
      <c r="B17" s="842"/>
      <c r="C17" s="295"/>
      <c r="D17" s="295"/>
      <c r="E17" s="295"/>
      <c r="F17" s="295"/>
      <c r="G17" s="842"/>
      <c r="H17" s="842"/>
      <c r="I17" s="295"/>
      <c r="J17" s="295"/>
      <c r="K17" s="295"/>
      <c r="L17" s="295"/>
      <c r="M17" s="295"/>
      <c r="N17" s="295"/>
      <c r="O17" s="295"/>
      <c r="P17" s="295"/>
      <c r="Q17" s="295"/>
    </row>
    <row r="18" spans="1:17" ht="15.75" thickBot="1">
      <c r="A18" s="843" t="s">
        <v>1060</v>
      </c>
      <c r="B18" s="844"/>
      <c r="C18" s="845"/>
      <c r="D18" s="845"/>
      <c r="E18" s="845"/>
      <c r="F18" s="845"/>
      <c r="G18" s="845"/>
      <c r="H18" s="845"/>
      <c r="I18" s="845"/>
      <c r="J18" s="845"/>
      <c r="K18" s="845"/>
      <c r="L18" s="845"/>
      <c r="M18" s="845"/>
      <c r="N18" s="845"/>
      <c r="O18" s="295"/>
      <c r="P18" s="295"/>
      <c r="Q18" s="295"/>
    </row>
    <row r="19" spans="1:17" ht="36">
      <c r="A19" s="216" t="s">
        <v>1061</v>
      </c>
      <c r="B19" s="217" t="s">
        <v>1062</v>
      </c>
      <c r="C19" s="469" t="s">
        <v>1063</v>
      </c>
      <c r="D19" s="469" t="s">
        <v>1064</v>
      </c>
      <c r="E19" s="469" t="s">
        <v>1065</v>
      </c>
      <c r="F19" s="469" t="s">
        <v>1066</v>
      </c>
      <c r="G19" s="469" t="s">
        <v>1067</v>
      </c>
      <c r="H19" s="469" t="s">
        <v>1068</v>
      </c>
      <c r="I19" s="469" t="s">
        <v>1069</v>
      </c>
      <c r="J19" s="469" t="s">
        <v>1070</v>
      </c>
      <c r="K19" s="469" t="s">
        <v>1071</v>
      </c>
      <c r="L19" s="469" t="s">
        <v>1072</v>
      </c>
      <c r="M19" s="469" t="s">
        <v>1073</v>
      </c>
      <c r="N19" s="469" t="s">
        <v>1074</v>
      </c>
      <c r="O19" s="295"/>
      <c r="P19" s="295"/>
      <c r="Q19" s="295"/>
    </row>
    <row r="20" spans="1:17" ht="112.5">
      <c r="A20" s="846" t="s">
        <v>1102</v>
      </c>
      <c r="B20" s="847">
        <v>2443144</v>
      </c>
      <c r="C20" s="848" t="s">
        <v>1103</v>
      </c>
      <c r="D20" s="848" t="s">
        <v>719</v>
      </c>
      <c r="E20" s="849">
        <v>8</v>
      </c>
      <c r="F20" s="850">
        <v>205475.16</v>
      </c>
      <c r="G20" s="851">
        <v>43738</v>
      </c>
      <c r="H20" s="846" t="s">
        <v>1104</v>
      </c>
      <c r="I20" s="849" t="s">
        <v>1105</v>
      </c>
      <c r="J20" s="852">
        <v>43808</v>
      </c>
      <c r="K20" s="853">
        <v>0</v>
      </c>
      <c r="L20" s="852">
        <v>43808</v>
      </c>
      <c r="M20" s="852">
        <v>43854</v>
      </c>
      <c r="N20" s="852">
        <v>43994</v>
      </c>
      <c r="O20" s="295"/>
      <c r="P20" s="295"/>
      <c r="Q20" s="295"/>
    </row>
    <row r="21" spans="1:17" ht="101.25">
      <c r="A21" s="846" t="s">
        <v>1106</v>
      </c>
      <c r="B21" s="847">
        <v>2442551</v>
      </c>
      <c r="C21" s="848" t="s">
        <v>1103</v>
      </c>
      <c r="D21" s="848" t="s">
        <v>719</v>
      </c>
      <c r="E21" s="849">
        <v>9</v>
      </c>
      <c r="F21" s="850">
        <v>172250.49</v>
      </c>
      <c r="G21" s="851">
        <v>43699</v>
      </c>
      <c r="H21" s="846" t="s">
        <v>1107</v>
      </c>
      <c r="I21" s="849" t="s">
        <v>1105</v>
      </c>
      <c r="J21" s="852">
        <v>43779</v>
      </c>
      <c r="K21" s="853">
        <v>0</v>
      </c>
      <c r="L21" s="852">
        <v>43779</v>
      </c>
      <c r="M21" s="854" t="s">
        <v>1108</v>
      </c>
      <c r="N21" s="852">
        <v>43854</v>
      </c>
      <c r="O21" s="295"/>
      <c r="P21" s="295"/>
      <c r="Q21" s="295"/>
    </row>
    <row r="22" spans="1:17" ht="112.5">
      <c r="A22" s="846" t="s">
        <v>1109</v>
      </c>
      <c r="B22" s="847">
        <v>2443045</v>
      </c>
      <c r="C22" s="848" t="s">
        <v>1103</v>
      </c>
      <c r="D22" s="848" t="s">
        <v>719</v>
      </c>
      <c r="E22" s="849">
        <v>10</v>
      </c>
      <c r="F22" s="850">
        <v>257037.78</v>
      </c>
      <c r="G22" s="851">
        <v>43714</v>
      </c>
      <c r="H22" s="846" t="s">
        <v>1110</v>
      </c>
      <c r="I22" s="855" t="s">
        <v>1111</v>
      </c>
      <c r="J22" s="852">
        <v>43821</v>
      </c>
      <c r="K22" s="853">
        <v>0</v>
      </c>
      <c r="L22" s="852">
        <v>43821</v>
      </c>
      <c r="M22" s="854" t="s">
        <v>1108</v>
      </c>
      <c r="N22" s="852">
        <v>43854</v>
      </c>
      <c r="O22" s="295"/>
      <c r="P22" s="295"/>
      <c r="Q22" s="295"/>
    </row>
    <row r="23" spans="1:17" ht="15.75" thickBot="1">
      <c r="A23" s="856" t="s">
        <v>1099</v>
      </c>
      <c r="B23" s="857"/>
      <c r="C23" s="314"/>
      <c r="D23" s="314"/>
      <c r="E23" s="314"/>
      <c r="F23" s="858"/>
      <c r="G23" s="314"/>
      <c r="H23" s="314"/>
      <c r="I23" s="314"/>
      <c r="J23" s="314"/>
      <c r="K23" s="314"/>
      <c r="L23" s="314"/>
      <c r="M23" s="660"/>
      <c r="N23" s="660"/>
      <c r="O23" s="295"/>
      <c r="P23" s="295"/>
      <c r="Q23" s="295"/>
    </row>
    <row r="24" spans="1:17" ht="15.75" thickBot="1">
      <c r="A24" s="500" t="s">
        <v>0</v>
      </c>
      <c r="B24" s="859"/>
      <c r="C24" s="860"/>
      <c r="D24" s="320"/>
      <c r="E24" s="320"/>
      <c r="F24" s="861">
        <f>SUM(F20:F23)</f>
        <v>634763.43000000005</v>
      </c>
      <c r="G24" s="860"/>
      <c r="H24" s="860"/>
      <c r="I24" s="860"/>
      <c r="J24" s="860"/>
      <c r="K24" s="860"/>
      <c r="L24" s="860"/>
      <c r="M24" s="860"/>
      <c r="N24" s="860"/>
      <c r="O24" s="295"/>
      <c r="P24" s="295"/>
      <c r="Q24" s="295"/>
    </row>
    <row r="25" spans="1:17">
      <c r="A25" s="304" t="s">
        <v>1100</v>
      </c>
      <c r="B25" s="215"/>
      <c r="C25" s="215"/>
      <c r="D25" s="215"/>
      <c r="E25" s="215"/>
      <c r="F25" s="215"/>
      <c r="G25" s="215"/>
      <c r="H25" s="215"/>
      <c r="I25" s="215"/>
      <c r="J25" s="215"/>
      <c r="K25" s="215"/>
      <c r="L25" s="215"/>
      <c r="M25" s="295"/>
      <c r="N25" s="295"/>
      <c r="O25" s="295"/>
      <c r="P25" s="295"/>
      <c r="Q25" s="295"/>
    </row>
  </sheetData>
  <mergeCells count="1">
    <mergeCell ref="A2:C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136"/>
  <sheetViews>
    <sheetView topLeftCell="A109" workbookViewId="0">
      <selection activeCell="A121" sqref="A121:J136"/>
    </sheetView>
  </sheetViews>
  <sheetFormatPr baseColWidth="10" defaultRowHeight="15"/>
  <cols>
    <col min="1" max="1" width="51.42578125" customWidth="1"/>
    <col min="2" max="2" width="26.28515625" customWidth="1"/>
    <col min="3" max="3" width="12.42578125" customWidth="1"/>
    <col min="4" max="4" width="13.42578125" customWidth="1"/>
    <col min="5" max="5" width="17.7109375" customWidth="1"/>
    <col min="6" max="6" width="61.85546875" customWidth="1"/>
    <col min="7" max="7" width="13.28515625" customWidth="1"/>
    <col min="8" max="9" width="17.7109375" customWidth="1"/>
    <col min="10" max="10" width="23.140625" customWidth="1"/>
  </cols>
  <sheetData>
    <row r="1" spans="1:10">
      <c r="A1" s="401" t="s">
        <v>1112</v>
      </c>
      <c r="B1" s="401"/>
      <c r="C1" s="401"/>
      <c r="D1" s="401"/>
      <c r="E1" s="401"/>
      <c r="F1" s="401"/>
      <c r="G1" s="401"/>
      <c r="H1" s="401"/>
      <c r="I1" s="401"/>
      <c r="J1" s="401"/>
    </row>
    <row r="2" spans="1:10">
      <c r="A2" s="1330" t="s">
        <v>578</v>
      </c>
      <c r="B2" s="1330"/>
      <c r="C2" s="1330"/>
      <c r="D2" s="401"/>
      <c r="E2" s="401"/>
      <c r="F2" s="401"/>
      <c r="G2" s="401"/>
      <c r="H2" s="401"/>
      <c r="I2" s="401"/>
      <c r="J2" s="401"/>
    </row>
    <row r="3" spans="1:10" ht="15.75" thickBot="1">
      <c r="A3" s="1339" t="s">
        <v>579</v>
      </c>
      <c r="B3" s="1339"/>
      <c r="C3" s="300"/>
      <c r="D3" s="862"/>
      <c r="E3" s="862"/>
      <c r="F3" s="862"/>
      <c r="G3" s="863"/>
      <c r="H3" s="402"/>
      <c r="I3" s="402"/>
      <c r="J3" s="402"/>
    </row>
    <row r="4" spans="1:10" ht="15.75" thickBot="1">
      <c r="A4" s="822" t="s">
        <v>1060</v>
      </c>
      <c r="B4" s="821"/>
      <c r="C4" s="821"/>
      <c r="D4" s="864"/>
      <c r="E4" s="864"/>
      <c r="F4" s="864"/>
      <c r="G4" s="864" t="s">
        <v>507</v>
      </c>
      <c r="H4" s="864" t="s">
        <v>1113</v>
      </c>
      <c r="I4" s="823"/>
      <c r="J4" s="823"/>
    </row>
    <row r="5" spans="1:10" ht="36.75" thickBot="1">
      <c r="A5" s="865" t="s">
        <v>1114</v>
      </c>
      <c r="B5" s="824" t="s">
        <v>1063</v>
      </c>
      <c r="C5" s="824" t="s">
        <v>1064</v>
      </c>
      <c r="D5" s="825" t="s">
        <v>1065</v>
      </c>
      <c r="E5" s="825" t="s">
        <v>1115</v>
      </c>
      <c r="F5" s="825" t="s">
        <v>1068</v>
      </c>
      <c r="G5" s="824" t="s">
        <v>1116</v>
      </c>
      <c r="H5" s="825" t="s">
        <v>1067</v>
      </c>
      <c r="I5" s="825" t="s">
        <v>1073</v>
      </c>
      <c r="J5" s="825" t="s">
        <v>1117</v>
      </c>
    </row>
    <row r="6" spans="1:10">
      <c r="A6" s="866" t="s">
        <v>1118</v>
      </c>
      <c r="B6" s="867" t="s">
        <v>1119</v>
      </c>
      <c r="C6" s="866"/>
      <c r="D6" s="868"/>
      <c r="E6" s="869" t="s">
        <v>1120</v>
      </c>
      <c r="F6" s="869" t="s">
        <v>1121</v>
      </c>
      <c r="G6" s="870"/>
      <c r="H6" s="871">
        <v>43502</v>
      </c>
      <c r="I6" s="871">
        <v>43507</v>
      </c>
      <c r="J6" s="870" t="s">
        <v>1122</v>
      </c>
    </row>
    <row r="7" spans="1:10">
      <c r="A7" s="866" t="s">
        <v>1123</v>
      </c>
      <c r="B7" s="867" t="s">
        <v>1119</v>
      </c>
      <c r="C7" s="866"/>
      <c r="D7" s="868"/>
      <c r="E7" s="869" t="s">
        <v>1124</v>
      </c>
      <c r="F7" s="869" t="s">
        <v>1125</v>
      </c>
      <c r="G7" s="870"/>
      <c r="H7" s="871">
        <v>43579</v>
      </c>
      <c r="I7" s="871">
        <v>43580</v>
      </c>
      <c r="J7" s="870" t="s">
        <v>1122</v>
      </c>
    </row>
    <row r="8" spans="1:10">
      <c r="A8" s="866" t="s">
        <v>1126</v>
      </c>
      <c r="B8" s="867" t="s">
        <v>1119</v>
      </c>
      <c r="C8" s="866"/>
      <c r="D8" s="868"/>
      <c r="E8" s="869" t="s">
        <v>1127</v>
      </c>
      <c r="F8" s="869" t="s">
        <v>1128</v>
      </c>
      <c r="G8" s="870"/>
      <c r="H8" s="871">
        <v>43623</v>
      </c>
      <c r="I8" s="871">
        <v>43623</v>
      </c>
      <c r="J8" s="870" t="s">
        <v>1122</v>
      </c>
    </row>
    <row r="9" spans="1:10">
      <c r="A9" s="866" t="s">
        <v>1129</v>
      </c>
      <c r="B9" s="867" t="s">
        <v>1119</v>
      </c>
      <c r="C9" s="866"/>
      <c r="D9" s="868"/>
      <c r="E9" s="869" t="s">
        <v>1130</v>
      </c>
      <c r="F9" s="869" t="s">
        <v>1125</v>
      </c>
      <c r="G9" s="870"/>
      <c r="H9" s="871">
        <v>43622</v>
      </c>
      <c r="I9" s="871">
        <v>43623</v>
      </c>
      <c r="J9" s="870" t="s">
        <v>1122</v>
      </c>
    </row>
    <row r="10" spans="1:10">
      <c r="A10" s="866" t="s">
        <v>1131</v>
      </c>
      <c r="B10" s="867" t="s">
        <v>1119</v>
      </c>
      <c r="C10" s="866"/>
      <c r="D10" s="868"/>
      <c r="E10" s="869" t="s">
        <v>1132</v>
      </c>
      <c r="F10" s="869" t="s">
        <v>1128</v>
      </c>
      <c r="G10" s="870"/>
      <c r="H10" s="871">
        <v>43668</v>
      </c>
      <c r="I10" s="871">
        <v>43669</v>
      </c>
      <c r="J10" s="870" t="s">
        <v>1122</v>
      </c>
    </row>
    <row r="11" spans="1:10">
      <c r="A11" s="866" t="s">
        <v>1133</v>
      </c>
      <c r="B11" s="867" t="s">
        <v>1119</v>
      </c>
      <c r="C11" s="866"/>
      <c r="D11" s="868"/>
      <c r="E11" s="869" t="s">
        <v>1132</v>
      </c>
      <c r="F11" s="869" t="s">
        <v>1128</v>
      </c>
      <c r="G11" s="870"/>
      <c r="H11" s="871">
        <v>43668</v>
      </c>
      <c r="I11" s="871">
        <v>43731</v>
      </c>
      <c r="J11" s="870" t="s">
        <v>1122</v>
      </c>
    </row>
    <row r="12" spans="1:10">
      <c r="A12" s="866" t="s">
        <v>1134</v>
      </c>
      <c r="B12" s="867" t="s">
        <v>1119</v>
      </c>
      <c r="C12" s="866"/>
      <c r="D12" s="868"/>
      <c r="E12" s="869" t="s">
        <v>1135</v>
      </c>
      <c r="F12" s="869" t="s">
        <v>1128</v>
      </c>
      <c r="G12" s="870"/>
      <c r="H12" s="871">
        <v>43661</v>
      </c>
      <c r="I12" s="871">
        <v>43661</v>
      </c>
      <c r="J12" s="870" t="s">
        <v>1122</v>
      </c>
    </row>
    <row r="13" spans="1:10">
      <c r="A13" s="866" t="s">
        <v>1136</v>
      </c>
      <c r="B13" s="867" t="s">
        <v>1119</v>
      </c>
      <c r="C13" s="866"/>
      <c r="D13" s="401"/>
      <c r="E13" s="872" t="s">
        <v>1137</v>
      </c>
      <c r="F13" s="872" t="s">
        <v>1138</v>
      </c>
      <c r="G13" s="870"/>
      <c r="H13" s="871">
        <v>43654</v>
      </c>
      <c r="I13" s="871">
        <v>43650</v>
      </c>
      <c r="J13" s="870" t="s">
        <v>1122</v>
      </c>
    </row>
    <row r="14" spans="1:10">
      <c r="A14" s="866" t="s">
        <v>1139</v>
      </c>
      <c r="B14" s="867" t="s">
        <v>1119</v>
      </c>
      <c r="C14" s="866"/>
      <c r="D14" s="868"/>
      <c r="E14" s="869" t="s">
        <v>1140</v>
      </c>
      <c r="F14" s="872" t="s">
        <v>1138</v>
      </c>
      <c r="G14" s="870"/>
      <c r="H14" s="871">
        <v>43649</v>
      </c>
      <c r="I14" s="871">
        <v>43650</v>
      </c>
      <c r="J14" s="870" t="s">
        <v>1122</v>
      </c>
    </row>
    <row r="15" spans="1:10">
      <c r="A15" s="866" t="s">
        <v>1141</v>
      </c>
      <c r="B15" s="867" t="s">
        <v>1119</v>
      </c>
      <c r="C15" s="866"/>
      <c r="D15" s="868"/>
      <c r="E15" s="869" t="s">
        <v>1142</v>
      </c>
      <c r="F15" s="869" t="s">
        <v>1143</v>
      </c>
      <c r="G15" s="870"/>
      <c r="H15" s="871">
        <v>43649</v>
      </c>
      <c r="I15" s="871">
        <v>43650</v>
      </c>
      <c r="J15" s="870" t="s">
        <v>1122</v>
      </c>
    </row>
    <row r="16" spans="1:10">
      <c r="A16" s="866" t="s">
        <v>1144</v>
      </c>
      <c r="B16" s="867" t="s">
        <v>1119</v>
      </c>
      <c r="C16" s="866"/>
      <c r="D16" s="868"/>
      <c r="E16" s="869" t="s">
        <v>1145</v>
      </c>
      <c r="F16" s="872" t="s">
        <v>1138</v>
      </c>
      <c r="G16" s="870"/>
      <c r="H16" s="871">
        <v>43649</v>
      </c>
      <c r="I16" s="871">
        <v>43650</v>
      </c>
      <c r="J16" s="870" t="s">
        <v>1122</v>
      </c>
    </row>
    <row r="17" spans="1:10">
      <c r="A17" s="866" t="s">
        <v>1146</v>
      </c>
      <c r="B17" s="867" t="s">
        <v>1119</v>
      </c>
      <c r="C17" s="866"/>
      <c r="D17" s="868"/>
      <c r="E17" s="869" t="s">
        <v>1147</v>
      </c>
      <c r="F17" s="872" t="s">
        <v>1138</v>
      </c>
      <c r="G17" s="870"/>
      <c r="H17" s="871">
        <v>43650</v>
      </c>
      <c r="I17" s="871">
        <v>43651</v>
      </c>
      <c r="J17" s="870" t="s">
        <v>1122</v>
      </c>
    </row>
    <row r="18" spans="1:10">
      <c r="A18" s="866" t="s">
        <v>1148</v>
      </c>
      <c r="B18" s="867" t="s">
        <v>1119</v>
      </c>
      <c r="C18" s="866"/>
      <c r="D18" s="868"/>
      <c r="E18" s="869" t="s">
        <v>1149</v>
      </c>
      <c r="F18" s="869" t="s">
        <v>1150</v>
      </c>
      <c r="G18" s="870"/>
      <c r="H18" s="871">
        <v>43650</v>
      </c>
      <c r="I18" s="871">
        <v>43651</v>
      </c>
      <c r="J18" s="870" t="s">
        <v>1122</v>
      </c>
    </row>
    <row r="19" spans="1:10">
      <c r="A19" s="866" t="s">
        <v>1151</v>
      </c>
      <c r="B19" s="867" t="s">
        <v>1119</v>
      </c>
      <c r="C19" s="866"/>
      <c r="D19" s="868"/>
      <c r="E19" s="869" t="s">
        <v>1152</v>
      </c>
      <c r="F19" s="869" t="s">
        <v>1153</v>
      </c>
      <c r="G19" s="870"/>
      <c r="H19" s="871">
        <v>43650</v>
      </c>
      <c r="I19" s="871">
        <v>43651</v>
      </c>
      <c r="J19" s="870" t="s">
        <v>1122</v>
      </c>
    </row>
    <row r="20" spans="1:10">
      <c r="A20" s="866" t="s">
        <v>1154</v>
      </c>
      <c r="B20" s="867" t="s">
        <v>1119</v>
      </c>
      <c r="C20" s="866"/>
      <c r="D20" s="868"/>
      <c r="E20" s="869" t="s">
        <v>1155</v>
      </c>
      <c r="F20" s="869" t="s">
        <v>1156</v>
      </c>
      <c r="G20" s="870"/>
      <c r="H20" s="871">
        <v>43635</v>
      </c>
      <c r="I20" s="871">
        <v>43636</v>
      </c>
      <c r="J20" s="870" t="s">
        <v>1122</v>
      </c>
    </row>
    <row r="21" spans="1:10">
      <c r="A21" s="866" t="s">
        <v>1157</v>
      </c>
      <c r="B21" s="867" t="s">
        <v>1119</v>
      </c>
      <c r="C21" s="866"/>
      <c r="D21" s="868"/>
      <c r="E21" s="869" t="s">
        <v>1158</v>
      </c>
      <c r="F21" s="872" t="s">
        <v>1138</v>
      </c>
      <c r="G21" s="870"/>
      <c r="H21" s="871">
        <v>43691</v>
      </c>
      <c r="I21" s="871">
        <v>43692</v>
      </c>
      <c r="J21" s="870" t="s">
        <v>1122</v>
      </c>
    </row>
    <row r="22" spans="1:10">
      <c r="A22" s="866" t="s">
        <v>1159</v>
      </c>
      <c r="B22" s="867" t="s">
        <v>1119</v>
      </c>
      <c r="C22" s="866"/>
      <c r="D22" s="868"/>
      <c r="E22" s="869" t="s">
        <v>1160</v>
      </c>
      <c r="F22" s="872" t="s">
        <v>1138</v>
      </c>
      <c r="G22" s="870"/>
      <c r="H22" s="871">
        <v>43678</v>
      </c>
      <c r="I22" s="871">
        <v>43679</v>
      </c>
      <c r="J22" s="870" t="s">
        <v>1122</v>
      </c>
    </row>
    <row r="23" spans="1:10">
      <c r="A23" s="866" t="s">
        <v>1161</v>
      </c>
      <c r="B23" s="867" t="s">
        <v>1119</v>
      </c>
      <c r="C23" s="866"/>
      <c r="D23" s="868"/>
      <c r="E23" s="869" t="s">
        <v>1160</v>
      </c>
      <c r="F23" s="872" t="s">
        <v>1138</v>
      </c>
      <c r="G23" s="870"/>
      <c r="H23" s="871">
        <v>43678</v>
      </c>
      <c r="I23" s="871">
        <v>43679</v>
      </c>
      <c r="J23" s="870" t="s">
        <v>1122</v>
      </c>
    </row>
    <row r="24" spans="1:10">
      <c r="A24" s="866" t="s">
        <v>1162</v>
      </c>
      <c r="B24" s="867" t="s">
        <v>1119</v>
      </c>
      <c r="C24" s="866"/>
      <c r="D24" s="868"/>
      <c r="E24" s="869" t="s">
        <v>1163</v>
      </c>
      <c r="F24" s="869" t="s">
        <v>1164</v>
      </c>
      <c r="G24" s="870"/>
      <c r="H24" s="871">
        <v>43735</v>
      </c>
      <c r="I24" s="871">
        <v>43735</v>
      </c>
      <c r="J24" s="870" t="s">
        <v>1122</v>
      </c>
    </row>
    <row r="25" spans="1:10">
      <c r="A25" s="866" t="s">
        <v>1165</v>
      </c>
      <c r="B25" s="867" t="s">
        <v>1119</v>
      </c>
      <c r="C25" s="866"/>
      <c r="D25" s="868"/>
      <c r="E25" s="869" t="s">
        <v>1166</v>
      </c>
      <c r="F25" s="872" t="s">
        <v>1138</v>
      </c>
      <c r="G25" s="870"/>
      <c r="H25" s="871">
        <v>43717</v>
      </c>
      <c r="I25" s="871">
        <v>43725</v>
      </c>
      <c r="J25" s="870" t="s">
        <v>1122</v>
      </c>
    </row>
    <row r="26" spans="1:10">
      <c r="A26" s="866" t="s">
        <v>1167</v>
      </c>
      <c r="B26" s="867" t="s">
        <v>1119</v>
      </c>
      <c r="C26" s="866"/>
      <c r="D26" s="868" t="s">
        <v>1168</v>
      </c>
      <c r="E26" s="869" t="s">
        <v>1169</v>
      </c>
      <c r="F26" s="869" t="s">
        <v>1153</v>
      </c>
      <c r="G26" s="870"/>
      <c r="H26" s="871">
        <v>43717</v>
      </c>
      <c r="I26" s="871">
        <v>43717</v>
      </c>
      <c r="J26" s="870" t="s">
        <v>1122</v>
      </c>
    </row>
    <row r="27" spans="1:10">
      <c r="A27" s="866" t="s">
        <v>1170</v>
      </c>
      <c r="B27" s="867" t="s">
        <v>1119</v>
      </c>
      <c r="C27" s="866"/>
      <c r="D27" s="868"/>
      <c r="E27" s="869" t="s">
        <v>1163</v>
      </c>
      <c r="F27" s="869" t="s">
        <v>1171</v>
      </c>
      <c r="G27" s="870"/>
      <c r="H27" s="871">
        <v>43714</v>
      </c>
      <c r="I27" s="871">
        <v>43717</v>
      </c>
      <c r="J27" s="870" t="s">
        <v>1122</v>
      </c>
    </row>
    <row r="28" spans="1:10">
      <c r="A28" s="866" t="s">
        <v>1172</v>
      </c>
      <c r="B28" s="867" t="s">
        <v>1119</v>
      </c>
      <c r="C28" s="866"/>
      <c r="D28" s="868"/>
      <c r="E28" s="869" t="s">
        <v>1173</v>
      </c>
      <c r="F28" s="869" t="s">
        <v>1171</v>
      </c>
      <c r="G28" s="870"/>
      <c r="H28" s="871">
        <v>43714</v>
      </c>
      <c r="I28" s="871">
        <v>43717</v>
      </c>
      <c r="J28" s="870" t="s">
        <v>1122</v>
      </c>
    </row>
    <row r="29" spans="1:10">
      <c r="A29" s="866" t="s">
        <v>1174</v>
      </c>
      <c r="B29" s="867" t="s">
        <v>1119</v>
      </c>
      <c r="C29" s="866"/>
      <c r="D29" s="868"/>
      <c r="E29" s="869" t="s">
        <v>1160</v>
      </c>
      <c r="F29" s="872" t="s">
        <v>1138</v>
      </c>
      <c r="G29" s="870"/>
      <c r="H29" s="871">
        <v>43704</v>
      </c>
      <c r="I29" s="871">
        <v>43705</v>
      </c>
      <c r="J29" s="870" t="s">
        <v>1122</v>
      </c>
    </row>
    <row r="30" spans="1:10">
      <c r="A30" s="866" t="s">
        <v>1175</v>
      </c>
      <c r="B30" s="867" t="s">
        <v>1119</v>
      </c>
      <c r="C30" s="866"/>
      <c r="D30" s="868"/>
      <c r="E30" s="869" t="s">
        <v>1160</v>
      </c>
      <c r="F30" s="872" t="s">
        <v>1138</v>
      </c>
      <c r="G30" s="870"/>
      <c r="H30" s="871">
        <v>43703</v>
      </c>
      <c r="I30" s="871">
        <v>43704</v>
      </c>
      <c r="J30" s="870" t="s">
        <v>1122</v>
      </c>
    </row>
    <row r="31" spans="1:10">
      <c r="A31" s="866" t="s">
        <v>1176</v>
      </c>
      <c r="B31" s="867" t="s">
        <v>1119</v>
      </c>
      <c r="C31" s="866"/>
      <c r="D31" s="868"/>
      <c r="E31" s="869" t="s">
        <v>1177</v>
      </c>
      <c r="F31" s="869" t="s">
        <v>1128</v>
      </c>
      <c r="G31" s="870"/>
      <c r="H31" s="871">
        <v>43735</v>
      </c>
      <c r="I31" s="871">
        <v>43735</v>
      </c>
      <c r="J31" s="870" t="s">
        <v>1122</v>
      </c>
    </row>
    <row r="32" spans="1:10">
      <c r="A32" s="866" t="s">
        <v>1178</v>
      </c>
      <c r="B32" s="867" t="s">
        <v>1119</v>
      </c>
      <c r="C32" s="866"/>
      <c r="D32" s="868"/>
      <c r="E32" s="869" t="s">
        <v>1179</v>
      </c>
      <c r="F32" s="869" t="s">
        <v>1153</v>
      </c>
      <c r="G32" s="870"/>
      <c r="H32" s="871">
        <v>43717</v>
      </c>
      <c r="I32" s="871">
        <v>43731</v>
      </c>
      <c r="J32" s="870" t="s">
        <v>1122</v>
      </c>
    </row>
    <row r="33" spans="1:10">
      <c r="A33" s="866" t="s">
        <v>1176</v>
      </c>
      <c r="B33" s="867" t="s">
        <v>1119</v>
      </c>
      <c r="C33" s="866"/>
      <c r="D33" s="868"/>
      <c r="E33" s="869" t="s">
        <v>1180</v>
      </c>
      <c r="F33" s="869" t="s">
        <v>1164</v>
      </c>
      <c r="G33" s="870"/>
      <c r="H33" s="871">
        <v>43741</v>
      </c>
      <c r="I33" s="871">
        <v>43742</v>
      </c>
      <c r="J33" s="870" t="s">
        <v>1122</v>
      </c>
    </row>
    <row r="34" spans="1:10">
      <c r="A34" s="866" t="s">
        <v>1181</v>
      </c>
      <c r="B34" s="867" t="s">
        <v>1119</v>
      </c>
      <c r="C34" s="866"/>
      <c r="D34" s="868"/>
      <c r="E34" s="869" t="s">
        <v>1182</v>
      </c>
      <c r="F34" s="869" t="s">
        <v>1183</v>
      </c>
      <c r="G34" s="870"/>
      <c r="H34" s="871">
        <v>43760</v>
      </c>
      <c r="I34" s="871">
        <v>43776</v>
      </c>
      <c r="J34" s="870" t="s">
        <v>1122</v>
      </c>
    </row>
    <row r="35" spans="1:10">
      <c r="A35" s="866" t="s">
        <v>1144</v>
      </c>
      <c r="B35" s="867" t="s">
        <v>1119</v>
      </c>
      <c r="C35" s="866"/>
      <c r="D35" s="868"/>
      <c r="E35" s="869" t="s">
        <v>1184</v>
      </c>
      <c r="F35" s="869" t="s">
        <v>1185</v>
      </c>
      <c r="G35" s="870"/>
      <c r="H35" s="871">
        <v>43755</v>
      </c>
      <c r="I35" s="871">
        <v>43760</v>
      </c>
      <c r="J35" s="870" t="s">
        <v>1122</v>
      </c>
    </row>
    <row r="36" spans="1:10">
      <c r="A36" s="866" t="s">
        <v>1176</v>
      </c>
      <c r="B36" s="867" t="s">
        <v>1119</v>
      </c>
      <c r="C36" s="866"/>
      <c r="D36" s="868"/>
      <c r="E36" s="869" t="s">
        <v>1186</v>
      </c>
      <c r="F36" s="869" t="s">
        <v>1164</v>
      </c>
      <c r="G36" s="870"/>
      <c r="H36" s="871">
        <v>43754</v>
      </c>
      <c r="I36" s="871">
        <v>43755</v>
      </c>
      <c r="J36" s="870" t="s">
        <v>1122</v>
      </c>
    </row>
    <row r="37" spans="1:10">
      <c r="A37" s="866" t="s">
        <v>1187</v>
      </c>
      <c r="B37" s="867" t="s">
        <v>1119</v>
      </c>
      <c r="C37" s="866"/>
      <c r="D37" s="868"/>
      <c r="E37" s="869" t="s">
        <v>1132</v>
      </c>
      <c r="F37" s="869" t="s">
        <v>1128</v>
      </c>
      <c r="G37" s="870"/>
      <c r="H37" s="871">
        <v>43703</v>
      </c>
      <c r="I37" s="871">
        <v>43704</v>
      </c>
      <c r="J37" s="870" t="s">
        <v>1122</v>
      </c>
    </row>
    <row r="38" spans="1:10">
      <c r="A38" s="866" t="s">
        <v>1188</v>
      </c>
      <c r="B38" s="867" t="s">
        <v>1119</v>
      </c>
      <c r="C38" s="866"/>
      <c r="D38" s="868"/>
      <c r="E38" s="869" t="s">
        <v>1189</v>
      </c>
      <c r="F38" s="869" t="s">
        <v>1190</v>
      </c>
      <c r="G38" s="870"/>
      <c r="H38" s="871">
        <v>43817</v>
      </c>
      <c r="I38" s="871">
        <v>43822</v>
      </c>
      <c r="J38" s="870" t="s">
        <v>1122</v>
      </c>
    </row>
    <row r="39" spans="1:10">
      <c r="A39" s="866" t="s">
        <v>1191</v>
      </c>
      <c r="B39" s="867" t="s">
        <v>1119</v>
      </c>
      <c r="C39" s="866"/>
      <c r="D39" s="868"/>
      <c r="E39" s="869" t="s">
        <v>1192</v>
      </c>
      <c r="F39" s="869" t="s">
        <v>1193</v>
      </c>
      <c r="G39" s="870"/>
      <c r="H39" s="871">
        <v>43811</v>
      </c>
      <c r="I39" s="871">
        <v>43816</v>
      </c>
      <c r="J39" s="870" t="s">
        <v>1122</v>
      </c>
    </row>
    <row r="40" spans="1:10">
      <c r="A40" s="866" t="s">
        <v>1194</v>
      </c>
      <c r="B40" s="867" t="s">
        <v>1195</v>
      </c>
      <c r="C40" s="866"/>
      <c r="D40" s="868"/>
      <c r="E40" s="869" t="s">
        <v>1196</v>
      </c>
      <c r="F40" s="869" t="s">
        <v>1197</v>
      </c>
      <c r="G40" s="870"/>
      <c r="H40" s="871">
        <v>43818</v>
      </c>
      <c r="I40" s="871">
        <v>43822</v>
      </c>
      <c r="J40" s="870" t="s">
        <v>1122</v>
      </c>
    </row>
    <row r="41" spans="1:10">
      <c r="A41" s="866" t="s">
        <v>1198</v>
      </c>
      <c r="B41" s="867" t="s">
        <v>1195</v>
      </c>
      <c r="C41" s="866"/>
      <c r="D41" s="868"/>
      <c r="E41" s="869" t="s">
        <v>1199</v>
      </c>
      <c r="F41" s="869" t="s">
        <v>1197</v>
      </c>
      <c r="G41" s="870"/>
      <c r="H41" s="871">
        <v>43829</v>
      </c>
      <c r="I41" s="871">
        <v>43860</v>
      </c>
      <c r="J41" s="870" t="s">
        <v>1122</v>
      </c>
    </row>
    <row r="42" spans="1:10">
      <c r="A42" s="866" t="s">
        <v>1200</v>
      </c>
      <c r="B42" s="867" t="s">
        <v>1119</v>
      </c>
      <c r="C42" s="866"/>
      <c r="D42" s="868"/>
      <c r="E42" s="869" t="s">
        <v>1201</v>
      </c>
      <c r="F42" s="869" t="s">
        <v>1202</v>
      </c>
      <c r="G42" s="870"/>
      <c r="H42" s="871">
        <v>43816</v>
      </c>
      <c r="I42" s="871">
        <v>43829</v>
      </c>
      <c r="J42" s="870" t="s">
        <v>1122</v>
      </c>
    </row>
    <row r="43" spans="1:10">
      <c r="A43" s="866" t="s">
        <v>1203</v>
      </c>
      <c r="B43" s="867" t="s">
        <v>1119</v>
      </c>
      <c r="C43" s="866"/>
      <c r="D43" s="868"/>
      <c r="E43" s="869" t="s">
        <v>1201</v>
      </c>
      <c r="F43" s="869" t="s">
        <v>1202</v>
      </c>
      <c r="G43" s="870"/>
      <c r="H43" s="871">
        <v>43830</v>
      </c>
      <c r="I43" s="871">
        <v>43830</v>
      </c>
      <c r="J43" s="870" t="s">
        <v>1122</v>
      </c>
    </row>
    <row r="44" spans="1:10">
      <c r="A44" s="866" t="s">
        <v>1187</v>
      </c>
      <c r="B44" s="867" t="s">
        <v>1119</v>
      </c>
      <c r="C44" s="866"/>
      <c r="D44" s="868"/>
      <c r="E44" s="869" t="s">
        <v>1204</v>
      </c>
      <c r="F44" s="869" t="s">
        <v>1164</v>
      </c>
      <c r="G44" s="870"/>
      <c r="H44" s="871">
        <v>43859</v>
      </c>
      <c r="I44" s="871">
        <v>43860</v>
      </c>
      <c r="J44" s="870" t="s">
        <v>1122</v>
      </c>
    </row>
    <row r="45" spans="1:10">
      <c r="A45" s="866" t="s">
        <v>1205</v>
      </c>
      <c r="B45" s="867" t="s">
        <v>1119</v>
      </c>
      <c r="C45" s="866"/>
      <c r="D45" s="868"/>
      <c r="E45" s="869" t="s">
        <v>1206</v>
      </c>
      <c r="F45" s="869" t="s">
        <v>1171</v>
      </c>
      <c r="G45" s="870"/>
      <c r="H45" s="871">
        <v>43875</v>
      </c>
      <c r="I45" s="871">
        <v>43875</v>
      </c>
      <c r="J45" s="870" t="s">
        <v>1122</v>
      </c>
    </row>
    <row r="46" spans="1:10">
      <c r="A46" s="866" t="s">
        <v>1187</v>
      </c>
      <c r="B46" s="867" t="s">
        <v>1119</v>
      </c>
      <c r="C46" s="866"/>
      <c r="D46" s="868"/>
      <c r="E46" s="869" t="s">
        <v>1207</v>
      </c>
      <c r="F46" s="869" t="s">
        <v>1208</v>
      </c>
      <c r="G46" s="870"/>
      <c r="H46" s="871">
        <v>43903</v>
      </c>
      <c r="I46" s="871">
        <v>43906</v>
      </c>
      <c r="J46" s="870" t="s">
        <v>1122</v>
      </c>
    </row>
    <row r="47" spans="1:10">
      <c r="A47" s="866" t="s">
        <v>1205</v>
      </c>
      <c r="B47" s="867" t="s">
        <v>1119</v>
      </c>
      <c r="C47" s="866"/>
      <c r="D47" s="868"/>
      <c r="E47" s="869" t="s">
        <v>1209</v>
      </c>
      <c r="F47" s="869" t="s">
        <v>1171</v>
      </c>
      <c r="G47" s="870"/>
      <c r="H47" s="871">
        <v>43999</v>
      </c>
      <c r="I47" s="871">
        <v>44000</v>
      </c>
      <c r="J47" s="870" t="s">
        <v>1122</v>
      </c>
    </row>
    <row r="48" spans="1:10">
      <c r="A48" s="866" t="s">
        <v>1210</v>
      </c>
      <c r="B48" s="867" t="s">
        <v>1119</v>
      </c>
      <c r="C48" s="866"/>
      <c r="D48" s="868"/>
      <c r="E48" s="869" t="s">
        <v>1211</v>
      </c>
      <c r="F48" s="869" t="s">
        <v>1212</v>
      </c>
      <c r="G48" s="870"/>
      <c r="H48" s="871">
        <v>43941</v>
      </c>
      <c r="I48" s="871">
        <v>43949</v>
      </c>
      <c r="J48" s="870" t="s">
        <v>1122</v>
      </c>
    </row>
    <row r="49" spans="1:10">
      <c r="A49" s="866" t="s">
        <v>1213</v>
      </c>
      <c r="B49" s="867" t="s">
        <v>1119</v>
      </c>
      <c r="C49" s="866"/>
      <c r="D49" s="868"/>
      <c r="E49" s="869" t="s">
        <v>1214</v>
      </c>
      <c r="F49" s="869" t="s">
        <v>1215</v>
      </c>
      <c r="G49" s="870"/>
      <c r="H49" s="871">
        <v>44067</v>
      </c>
      <c r="I49" s="871">
        <v>44067</v>
      </c>
      <c r="J49" s="870" t="s">
        <v>1122</v>
      </c>
    </row>
    <row r="50" spans="1:10">
      <c r="A50" s="866" t="s">
        <v>1216</v>
      </c>
      <c r="B50" s="867" t="s">
        <v>1119</v>
      </c>
      <c r="C50" s="866"/>
      <c r="D50" s="868"/>
      <c r="E50" s="869" t="s">
        <v>1217</v>
      </c>
      <c r="F50" s="869" t="s">
        <v>1218</v>
      </c>
      <c r="G50" s="870"/>
      <c r="H50" s="871">
        <v>44056</v>
      </c>
      <c r="I50" s="871">
        <v>44057</v>
      </c>
      <c r="J50" s="870" t="s">
        <v>1122</v>
      </c>
    </row>
    <row r="51" spans="1:10" ht="15.75" thickBot="1">
      <c r="A51" s="866" t="s">
        <v>1219</v>
      </c>
      <c r="B51" s="867" t="s">
        <v>1119</v>
      </c>
      <c r="C51" s="866"/>
      <c r="D51" s="868"/>
      <c r="E51" s="869" t="s">
        <v>1220</v>
      </c>
      <c r="F51" s="869" t="s">
        <v>1221</v>
      </c>
      <c r="G51" s="870"/>
      <c r="H51" s="871">
        <v>44029</v>
      </c>
      <c r="I51" s="871">
        <v>44055</v>
      </c>
      <c r="J51" s="870" t="s">
        <v>1122</v>
      </c>
    </row>
    <row r="52" spans="1:10" ht="15.75" thickBot="1">
      <c r="A52" s="827" t="s">
        <v>0</v>
      </c>
      <c r="B52" s="828"/>
      <c r="C52" s="397"/>
      <c r="D52" s="873"/>
      <c r="E52" s="874"/>
      <c r="F52" s="874"/>
      <c r="G52" s="829"/>
      <c r="H52" s="399"/>
      <c r="I52" s="399"/>
      <c r="J52" s="829"/>
    </row>
    <row r="53" spans="1:10">
      <c r="A53" s="381"/>
      <c r="B53" s="381"/>
      <c r="C53" s="381"/>
      <c r="D53" s="381"/>
      <c r="E53" s="381"/>
      <c r="F53" s="381"/>
      <c r="G53" s="401"/>
      <c r="H53" s="402"/>
      <c r="I53" s="402"/>
      <c r="J53" s="402"/>
    </row>
    <row r="56" spans="1:10">
      <c r="A56" s="215" t="s">
        <v>1112</v>
      </c>
      <c r="B56" s="215"/>
      <c r="C56" s="215"/>
      <c r="D56" s="215"/>
      <c r="E56" s="215"/>
      <c r="F56" s="215"/>
      <c r="G56" s="215"/>
      <c r="H56" s="215"/>
      <c r="I56" s="215"/>
      <c r="J56" s="215"/>
    </row>
    <row r="57" spans="1:10">
      <c r="A57" s="369" t="s">
        <v>456</v>
      </c>
      <c r="B57" s="128"/>
      <c r="C57" s="128"/>
      <c r="D57" s="215"/>
      <c r="E57" s="215"/>
      <c r="F57" s="215"/>
      <c r="G57" s="215"/>
      <c r="H57" s="215"/>
      <c r="I57" s="215"/>
      <c r="J57" s="215"/>
    </row>
    <row r="58" spans="1:10" ht="15.75" thickBot="1">
      <c r="A58" s="35" t="s">
        <v>647</v>
      </c>
      <c r="B58" s="35"/>
      <c r="C58" s="35"/>
      <c r="D58" s="875"/>
      <c r="E58" s="875"/>
      <c r="F58" s="875"/>
      <c r="G58" s="876"/>
      <c r="H58" s="295"/>
      <c r="I58" s="295"/>
      <c r="J58" s="295"/>
    </row>
    <row r="59" spans="1:10" ht="15.75" thickBot="1">
      <c r="A59" s="843" t="s">
        <v>1060</v>
      </c>
      <c r="B59" s="843"/>
      <c r="C59" s="843"/>
      <c r="D59" s="845"/>
      <c r="E59" s="845"/>
      <c r="F59" s="845"/>
      <c r="G59" s="845" t="s">
        <v>507</v>
      </c>
      <c r="H59" s="845" t="s">
        <v>1113</v>
      </c>
      <c r="I59" s="845"/>
      <c r="J59" s="845"/>
    </row>
    <row r="60" spans="1:10" ht="36.75" thickBot="1">
      <c r="A60" s="877" t="s">
        <v>1114</v>
      </c>
      <c r="B60" s="878" t="s">
        <v>1063</v>
      </c>
      <c r="C60" s="878" t="s">
        <v>1064</v>
      </c>
      <c r="D60" s="879" t="s">
        <v>1065</v>
      </c>
      <c r="E60" s="879" t="s">
        <v>1115</v>
      </c>
      <c r="F60" s="879" t="s">
        <v>1068</v>
      </c>
      <c r="G60" s="878" t="s">
        <v>1116</v>
      </c>
      <c r="H60" s="879" t="s">
        <v>1067</v>
      </c>
      <c r="I60" s="879" t="s">
        <v>1073</v>
      </c>
      <c r="J60" s="880" t="s">
        <v>1117</v>
      </c>
    </row>
    <row r="61" spans="1:10" ht="24">
      <c r="A61" s="881" t="s">
        <v>1222</v>
      </c>
      <c r="B61" s="882" t="s">
        <v>1223</v>
      </c>
      <c r="C61" s="883" t="s">
        <v>719</v>
      </c>
      <c r="D61" s="883" t="s">
        <v>1224</v>
      </c>
      <c r="E61" s="884">
        <v>220704</v>
      </c>
      <c r="F61" s="885" t="s">
        <v>1225</v>
      </c>
      <c r="G61" s="882" t="s">
        <v>1226</v>
      </c>
      <c r="H61" s="886">
        <v>43572</v>
      </c>
      <c r="I61" s="887" t="s">
        <v>1227</v>
      </c>
      <c r="J61" s="882" t="s">
        <v>1226</v>
      </c>
    </row>
    <row r="62" spans="1:10" ht="24">
      <c r="A62" s="888" t="s">
        <v>1228</v>
      </c>
      <c r="B62" s="889" t="s">
        <v>1223</v>
      </c>
      <c r="C62" s="890" t="s">
        <v>719</v>
      </c>
      <c r="D62" s="890" t="s">
        <v>1229</v>
      </c>
      <c r="E62" s="891">
        <v>285565.73</v>
      </c>
      <c r="F62" s="892" t="s">
        <v>1230</v>
      </c>
      <c r="G62" s="497" t="s">
        <v>1231</v>
      </c>
      <c r="H62" s="893">
        <v>43563</v>
      </c>
      <c r="I62" s="889" t="s">
        <v>1232</v>
      </c>
      <c r="J62" s="889" t="s">
        <v>1231</v>
      </c>
    </row>
    <row r="63" spans="1:10" ht="24">
      <c r="A63" s="890" t="s">
        <v>1233</v>
      </c>
      <c r="B63" s="889" t="s">
        <v>1223</v>
      </c>
      <c r="C63" s="890" t="s">
        <v>719</v>
      </c>
      <c r="D63" s="890" t="s">
        <v>1234</v>
      </c>
      <c r="E63" s="891">
        <v>268326.40000000002</v>
      </c>
      <c r="F63" s="890" t="s">
        <v>1235</v>
      </c>
      <c r="G63" s="889" t="s">
        <v>1226</v>
      </c>
      <c r="H63" s="893">
        <v>43628</v>
      </c>
      <c r="I63" s="887" t="s">
        <v>1236</v>
      </c>
      <c r="J63" s="889" t="s">
        <v>1226</v>
      </c>
    </row>
    <row r="64" spans="1:10" ht="24">
      <c r="A64" s="890" t="s">
        <v>1237</v>
      </c>
      <c r="B64" s="889" t="s">
        <v>1223</v>
      </c>
      <c r="C64" s="890" t="s">
        <v>719</v>
      </c>
      <c r="D64" s="890" t="s">
        <v>1238</v>
      </c>
      <c r="E64" s="891">
        <v>771294</v>
      </c>
      <c r="F64" s="892" t="s">
        <v>1239</v>
      </c>
      <c r="G64" s="497" t="s">
        <v>1226</v>
      </c>
      <c r="H64" s="893">
        <v>43663</v>
      </c>
      <c r="I64" s="887" t="s">
        <v>1240</v>
      </c>
      <c r="J64" s="889" t="s">
        <v>1226</v>
      </c>
    </row>
    <row r="65" spans="1:10">
      <c r="A65" s="890" t="s">
        <v>1241</v>
      </c>
      <c r="B65" s="889" t="s">
        <v>1223</v>
      </c>
      <c r="C65" s="890" t="s">
        <v>719</v>
      </c>
      <c r="D65" s="890" t="s">
        <v>1242</v>
      </c>
      <c r="E65" s="891">
        <v>252320</v>
      </c>
      <c r="F65" s="892" t="s">
        <v>1243</v>
      </c>
      <c r="G65" s="497" t="s">
        <v>1231</v>
      </c>
      <c r="H65" s="893">
        <v>43643</v>
      </c>
      <c r="I65" s="889" t="s">
        <v>1232</v>
      </c>
      <c r="J65" s="889" t="s">
        <v>1231</v>
      </c>
    </row>
    <row r="66" spans="1:10" ht="24">
      <c r="A66" s="890" t="s">
        <v>1244</v>
      </c>
      <c r="B66" s="889" t="s">
        <v>1223</v>
      </c>
      <c r="C66" s="890" t="s">
        <v>719</v>
      </c>
      <c r="D66" s="890" t="s">
        <v>1245</v>
      </c>
      <c r="E66" s="891">
        <v>92000</v>
      </c>
      <c r="F66" s="892" t="s">
        <v>1246</v>
      </c>
      <c r="G66" s="889" t="s">
        <v>1226</v>
      </c>
      <c r="H66" s="893">
        <v>43685</v>
      </c>
      <c r="I66" s="887" t="s">
        <v>1247</v>
      </c>
      <c r="J66" s="889" t="s">
        <v>1226</v>
      </c>
    </row>
    <row r="67" spans="1:10" ht="36">
      <c r="A67" s="890" t="s">
        <v>1248</v>
      </c>
      <c r="B67" s="889" t="s">
        <v>1223</v>
      </c>
      <c r="C67" s="890" t="s">
        <v>719</v>
      </c>
      <c r="D67" s="892" t="s">
        <v>1249</v>
      </c>
      <c r="E67" s="891">
        <v>259452.14</v>
      </c>
      <c r="F67" s="892" t="s">
        <v>1250</v>
      </c>
      <c r="G67" s="497" t="s">
        <v>1231</v>
      </c>
      <c r="H67" s="893">
        <v>43705</v>
      </c>
      <c r="I67" s="889" t="s">
        <v>1232</v>
      </c>
      <c r="J67" s="889" t="s">
        <v>1231</v>
      </c>
    </row>
    <row r="68" spans="1:10" ht="36">
      <c r="A68" s="888" t="s">
        <v>1251</v>
      </c>
      <c r="B68" s="889" t="s">
        <v>1223</v>
      </c>
      <c r="C68" s="890" t="s">
        <v>719</v>
      </c>
      <c r="D68" s="890" t="s">
        <v>1252</v>
      </c>
      <c r="E68" s="891">
        <v>119300</v>
      </c>
      <c r="F68" s="892" t="s">
        <v>1253</v>
      </c>
      <c r="G68" s="889" t="s">
        <v>1226</v>
      </c>
      <c r="H68" s="893">
        <v>43753</v>
      </c>
      <c r="I68" s="887" t="s">
        <v>1254</v>
      </c>
      <c r="J68" s="889" t="s">
        <v>1226</v>
      </c>
    </row>
    <row r="69" spans="1:10" ht="24">
      <c r="A69" s="890" t="s">
        <v>1255</v>
      </c>
      <c r="B69" s="889" t="s">
        <v>1223</v>
      </c>
      <c r="C69" s="890" t="s">
        <v>719</v>
      </c>
      <c r="D69" s="890" t="s">
        <v>1256</v>
      </c>
      <c r="E69" s="891">
        <v>369000</v>
      </c>
      <c r="F69" s="892" t="s">
        <v>1257</v>
      </c>
      <c r="G69" s="889" t="s">
        <v>1226</v>
      </c>
      <c r="H69" s="893">
        <v>43776</v>
      </c>
      <c r="I69" s="887" t="s">
        <v>1258</v>
      </c>
      <c r="J69" s="889" t="s">
        <v>1226</v>
      </c>
    </row>
    <row r="70" spans="1:10" ht="24">
      <c r="A70" s="888" t="s">
        <v>1259</v>
      </c>
      <c r="B70" s="889" t="s">
        <v>1223</v>
      </c>
      <c r="C70" s="890" t="s">
        <v>719</v>
      </c>
      <c r="D70" s="890" t="s">
        <v>1260</v>
      </c>
      <c r="E70" s="891">
        <v>220500</v>
      </c>
      <c r="F70" s="892" t="s">
        <v>1261</v>
      </c>
      <c r="G70" s="889" t="s">
        <v>1226</v>
      </c>
      <c r="H70" s="893">
        <v>43776</v>
      </c>
      <c r="I70" s="887" t="s">
        <v>1262</v>
      </c>
      <c r="J70" s="889" t="s">
        <v>1226</v>
      </c>
    </row>
    <row r="71" spans="1:10" ht="24">
      <c r="A71" s="890" t="s">
        <v>1263</v>
      </c>
      <c r="B71" s="889" t="s">
        <v>1223</v>
      </c>
      <c r="C71" s="890" t="s">
        <v>719</v>
      </c>
      <c r="D71" s="890" t="s">
        <v>1264</v>
      </c>
      <c r="E71" s="891">
        <v>302940</v>
      </c>
      <c r="F71" s="892" t="s">
        <v>1265</v>
      </c>
      <c r="G71" s="889" t="s">
        <v>1226</v>
      </c>
      <c r="H71" s="893">
        <v>43781</v>
      </c>
      <c r="I71" s="887" t="s">
        <v>1266</v>
      </c>
      <c r="J71" s="889" t="s">
        <v>1226</v>
      </c>
    </row>
    <row r="72" spans="1:10" ht="24">
      <c r="A72" s="890" t="s">
        <v>1267</v>
      </c>
      <c r="B72" s="889" t="s">
        <v>1223</v>
      </c>
      <c r="C72" s="890" t="s">
        <v>719</v>
      </c>
      <c r="D72" s="890" t="s">
        <v>1268</v>
      </c>
      <c r="E72" s="891">
        <v>250000</v>
      </c>
      <c r="F72" s="892" t="s">
        <v>1269</v>
      </c>
      <c r="G72" s="889" t="s">
        <v>1226</v>
      </c>
      <c r="H72" s="893">
        <v>43784</v>
      </c>
      <c r="I72" s="887" t="s">
        <v>1270</v>
      </c>
      <c r="J72" s="889" t="s">
        <v>1226</v>
      </c>
    </row>
    <row r="73" spans="1:10" ht="24">
      <c r="A73" s="890" t="s">
        <v>1271</v>
      </c>
      <c r="B73" s="889" t="s">
        <v>1223</v>
      </c>
      <c r="C73" s="890" t="s">
        <v>719</v>
      </c>
      <c r="D73" s="890" t="s">
        <v>1272</v>
      </c>
      <c r="E73" s="891">
        <v>143110</v>
      </c>
      <c r="F73" s="892" t="s">
        <v>1273</v>
      </c>
      <c r="G73" s="889" t="s">
        <v>1226</v>
      </c>
      <c r="H73" s="893">
        <v>43789</v>
      </c>
      <c r="I73" s="887" t="s">
        <v>1274</v>
      </c>
      <c r="J73" s="889" t="s">
        <v>1226</v>
      </c>
    </row>
    <row r="74" spans="1:10" ht="24">
      <c r="A74" s="890" t="s">
        <v>1275</v>
      </c>
      <c r="B74" s="889" t="s">
        <v>1223</v>
      </c>
      <c r="C74" s="890" t="s">
        <v>719</v>
      </c>
      <c r="D74" s="890" t="s">
        <v>1276</v>
      </c>
      <c r="E74" s="891">
        <v>163510.48000000001</v>
      </c>
      <c r="F74" s="890" t="s">
        <v>1277</v>
      </c>
      <c r="G74" s="889" t="s">
        <v>1226</v>
      </c>
      <c r="H74" s="893">
        <v>43801</v>
      </c>
      <c r="I74" s="887" t="s">
        <v>1278</v>
      </c>
      <c r="J74" s="889" t="s">
        <v>1226</v>
      </c>
    </row>
    <row r="75" spans="1:10" ht="24">
      <c r="A75" s="888" t="s">
        <v>1279</v>
      </c>
      <c r="B75" s="889" t="s">
        <v>1223</v>
      </c>
      <c r="C75" s="890" t="s">
        <v>719</v>
      </c>
      <c r="D75" s="890" t="s">
        <v>1280</v>
      </c>
      <c r="E75" s="891">
        <v>97000</v>
      </c>
      <c r="F75" s="892" t="s">
        <v>1281</v>
      </c>
      <c r="G75" s="889" t="s">
        <v>1226</v>
      </c>
      <c r="H75" s="893">
        <v>43797</v>
      </c>
      <c r="I75" s="887" t="s">
        <v>1282</v>
      </c>
      <c r="J75" s="889" t="s">
        <v>1226</v>
      </c>
    </row>
    <row r="76" spans="1:10" ht="36">
      <c r="A76" s="890" t="s">
        <v>1283</v>
      </c>
      <c r="B76" s="889" t="s">
        <v>1223</v>
      </c>
      <c r="C76" s="890" t="s">
        <v>719</v>
      </c>
      <c r="D76" s="890" t="s">
        <v>1284</v>
      </c>
      <c r="E76" s="891">
        <v>248000</v>
      </c>
      <c r="F76" s="892" t="s">
        <v>1285</v>
      </c>
      <c r="G76" s="889" t="s">
        <v>1226</v>
      </c>
      <c r="H76" s="893">
        <v>43829</v>
      </c>
      <c r="I76" s="887" t="s">
        <v>1286</v>
      </c>
      <c r="J76" s="889" t="s">
        <v>1226</v>
      </c>
    </row>
    <row r="77" spans="1:10" ht="24">
      <c r="A77" s="888" t="s">
        <v>1287</v>
      </c>
      <c r="B77" s="889" t="s">
        <v>1223</v>
      </c>
      <c r="C77" s="890" t="s">
        <v>719</v>
      </c>
      <c r="D77" s="890" t="s">
        <v>1288</v>
      </c>
      <c r="E77" s="891">
        <v>57292</v>
      </c>
      <c r="F77" s="890" t="s">
        <v>1289</v>
      </c>
      <c r="G77" s="497" t="s">
        <v>1231</v>
      </c>
      <c r="H77" s="893">
        <v>44046</v>
      </c>
      <c r="I77" s="887" t="s">
        <v>1290</v>
      </c>
      <c r="J77" s="889" t="s">
        <v>1231</v>
      </c>
    </row>
    <row r="78" spans="1:10" ht="36">
      <c r="A78" s="888" t="s">
        <v>1291</v>
      </c>
      <c r="B78" s="889" t="s">
        <v>1292</v>
      </c>
      <c r="C78" s="890" t="s">
        <v>719</v>
      </c>
      <c r="D78" s="890" t="s">
        <v>1293</v>
      </c>
      <c r="E78" s="891">
        <v>90000</v>
      </c>
      <c r="F78" s="892" t="s">
        <v>1294</v>
      </c>
      <c r="G78" s="497" t="s">
        <v>1231</v>
      </c>
      <c r="H78" s="893">
        <v>44068</v>
      </c>
      <c r="I78" s="887" t="s">
        <v>1295</v>
      </c>
      <c r="J78" s="889" t="s">
        <v>1231</v>
      </c>
    </row>
    <row r="79" spans="1:10" ht="36">
      <c r="A79" s="888" t="s">
        <v>1296</v>
      </c>
      <c r="B79" s="889" t="s">
        <v>1297</v>
      </c>
      <c r="C79" s="890" t="s">
        <v>719</v>
      </c>
      <c r="D79" s="892" t="s">
        <v>1298</v>
      </c>
      <c r="E79" s="891">
        <v>454500</v>
      </c>
      <c r="F79" s="892" t="s">
        <v>1299</v>
      </c>
      <c r="G79" s="889" t="s">
        <v>1226</v>
      </c>
      <c r="H79" s="893">
        <v>44057</v>
      </c>
      <c r="I79" s="887" t="s">
        <v>1300</v>
      </c>
      <c r="J79" s="889" t="s">
        <v>1226</v>
      </c>
    </row>
    <row r="80" spans="1:10" ht="36">
      <c r="A80" s="888" t="s">
        <v>1296</v>
      </c>
      <c r="B80" s="889" t="s">
        <v>1297</v>
      </c>
      <c r="C80" s="890" t="s">
        <v>719</v>
      </c>
      <c r="D80" s="892" t="s">
        <v>1298</v>
      </c>
      <c r="E80" s="891">
        <v>178300</v>
      </c>
      <c r="F80" s="892" t="s">
        <v>1301</v>
      </c>
      <c r="G80" s="889" t="s">
        <v>1226</v>
      </c>
      <c r="H80" s="893">
        <v>44057</v>
      </c>
      <c r="I80" s="887" t="s">
        <v>1300</v>
      </c>
      <c r="J80" s="889" t="s">
        <v>1226</v>
      </c>
    </row>
    <row r="81" spans="1:10" ht="24">
      <c r="A81" s="890" t="s">
        <v>1302</v>
      </c>
      <c r="B81" s="889" t="s">
        <v>1223</v>
      </c>
      <c r="C81" s="890" t="s">
        <v>719</v>
      </c>
      <c r="D81" s="890" t="s">
        <v>1303</v>
      </c>
      <c r="E81" s="891">
        <v>293760</v>
      </c>
      <c r="F81" s="892" t="s">
        <v>1304</v>
      </c>
      <c r="G81" s="497" t="s">
        <v>1231</v>
      </c>
      <c r="H81" s="893">
        <v>44090</v>
      </c>
      <c r="I81" s="887" t="s">
        <v>1305</v>
      </c>
      <c r="J81" s="889" t="s">
        <v>1231</v>
      </c>
    </row>
    <row r="82" spans="1:10" ht="24">
      <c r="A82" s="890" t="s">
        <v>1306</v>
      </c>
      <c r="B82" s="889" t="s">
        <v>1223</v>
      </c>
      <c r="C82" s="890" t="s">
        <v>719</v>
      </c>
      <c r="D82" s="890" t="s">
        <v>1307</v>
      </c>
      <c r="E82" s="891">
        <v>308963.71999999997</v>
      </c>
      <c r="F82" s="892" t="s">
        <v>1294</v>
      </c>
      <c r="G82" s="497" t="s">
        <v>1231</v>
      </c>
      <c r="H82" s="893">
        <v>44090</v>
      </c>
      <c r="I82" s="887" t="s">
        <v>1305</v>
      </c>
      <c r="J82" s="889" t="s">
        <v>1231</v>
      </c>
    </row>
    <row r="83" spans="1:10" ht="36">
      <c r="A83" s="890" t="s">
        <v>1308</v>
      </c>
      <c r="B83" s="889" t="s">
        <v>1309</v>
      </c>
      <c r="C83" s="890" t="s">
        <v>719</v>
      </c>
      <c r="D83" s="890" t="s">
        <v>1310</v>
      </c>
      <c r="E83" s="891">
        <v>824866</v>
      </c>
      <c r="F83" s="892" t="s">
        <v>1311</v>
      </c>
      <c r="G83" s="892" t="s">
        <v>1312</v>
      </c>
      <c r="H83" s="892" t="s">
        <v>1312</v>
      </c>
      <c r="I83" s="889" t="s">
        <v>1313</v>
      </c>
      <c r="J83" s="892" t="s">
        <v>1314</v>
      </c>
    </row>
    <row r="84" spans="1:10" ht="36">
      <c r="A84" s="888" t="s">
        <v>1315</v>
      </c>
      <c r="B84" s="889" t="s">
        <v>1223</v>
      </c>
      <c r="C84" s="890" t="s">
        <v>719</v>
      </c>
      <c r="D84" s="890" t="s">
        <v>1316</v>
      </c>
      <c r="E84" s="894" t="s">
        <v>1317</v>
      </c>
      <c r="F84" s="895" t="s">
        <v>1317</v>
      </c>
      <c r="G84" s="892" t="s">
        <v>1318</v>
      </c>
      <c r="H84" s="895" t="s">
        <v>1317</v>
      </c>
      <c r="I84" s="895" t="s">
        <v>1317</v>
      </c>
      <c r="J84" s="892" t="s">
        <v>1319</v>
      </c>
    </row>
    <row r="85" spans="1:10" ht="36">
      <c r="A85" s="888" t="s">
        <v>1320</v>
      </c>
      <c r="B85" s="889" t="s">
        <v>1223</v>
      </c>
      <c r="C85" s="890" t="s">
        <v>719</v>
      </c>
      <c r="D85" s="890" t="s">
        <v>1321</v>
      </c>
      <c r="E85" s="894" t="s">
        <v>1317</v>
      </c>
      <c r="F85" s="895" t="s">
        <v>1317</v>
      </c>
      <c r="G85" s="892" t="s">
        <v>1318</v>
      </c>
      <c r="H85" s="895" t="s">
        <v>1317</v>
      </c>
      <c r="I85" s="895" t="s">
        <v>1317</v>
      </c>
      <c r="J85" s="892" t="s">
        <v>1322</v>
      </c>
    </row>
    <row r="86" spans="1:10" ht="15.75" thickBot="1">
      <c r="A86" s="500" t="s">
        <v>0</v>
      </c>
      <c r="B86" s="859"/>
      <c r="C86" s="500"/>
      <c r="D86" s="896"/>
      <c r="E86" s="859"/>
      <c r="F86" s="859"/>
      <c r="G86" s="897"/>
      <c r="H86" s="501"/>
      <c r="I86" s="501"/>
      <c r="J86" s="897"/>
    </row>
    <row r="87" spans="1:10">
      <c r="A87" s="301"/>
      <c r="B87" s="301"/>
      <c r="C87" s="301"/>
      <c r="D87" s="301"/>
      <c r="E87" s="301"/>
      <c r="F87" s="301"/>
      <c r="G87" s="215"/>
      <c r="H87" s="295"/>
      <c r="I87" s="295"/>
      <c r="J87" s="295"/>
    </row>
    <row r="90" spans="1:10">
      <c r="A90" s="215" t="s">
        <v>1112</v>
      </c>
      <c r="B90" s="215"/>
      <c r="C90" s="215"/>
      <c r="D90" s="215"/>
      <c r="E90" s="215"/>
      <c r="F90" s="215"/>
      <c r="G90" s="215"/>
      <c r="H90" s="215"/>
      <c r="I90" s="215"/>
      <c r="J90" s="215"/>
    </row>
    <row r="91" spans="1:10">
      <c r="A91" s="215" t="s">
        <v>1323</v>
      </c>
      <c r="B91" s="215"/>
      <c r="C91" s="215"/>
      <c r="D91" s="215"/>
      <c r="E91" s="215"/>
      <c r="F91" s="215"/>
      <c r="G91" s="215"/>
      <c r="H91" s="215"/>
      <c r="I91" s="215"/>
      <c r="J91" s="215"/>
    </row>
    <row r="92" spans="1:10" ht="15.75" thickBot="1">
      <c r="A92" s="875" t="s">
        <v>720</v>
      </c>
      <c r="B92" s="875"/>
      <c r="C92" s="875"/>
      <c r="D92" s="875"/>
      <c r="E92" s="875"/>
      <c r="F92" s="875"/>
      <c r="G92" s="876"/>
      <c r="H92" s="295"/>
      <c r="I92" s="295"/>
      <c r="J92" s="295"/>
    </row>
    <row r="93" spans="1:10" ht="15.75" thickBot="1">
      <c r="A93" s="844" t="s">
        <v>1060</v>
      </c>
      <c r="B93" s="843"/>
      <c r="C93" s="843"/>
      <c r="D93" s="559"/>
      <c r="E93" s="559"/>
      <c r="F93" s="559"/>
      <c r="G93" s="559" t="s">
        <v>507</v>
      </c>
      <c r="H93" s="559" t="s">
        <v>1113</v>
      </c>
      <c r="I93" s="845"/>
      <c r="J93" s="845"/>
    </row>
    <row r="94" spans="1:10" ht="36.75" thickBot="1">
      <c r="A94" s="480" t="s">
        <v>1324</v>
      </c>
      <c r="B94" s="898" t="s">
        <v>1063</v>
      </c>
      <c r="C94" s="898" t="s">
        <v>1064</v>
      </c>
      <c r="D94" s="899" t="s">
        <v>1065</v>
      </c>
      <c r="E94" s="899" t="s">
        <v>1115</v>
      </c>
      <c r="F94" s="899" t="s">
        <v>1068</v>
      </c>
      <c r="G94" s="898" t="s">
        <v>1116</v>
      </c>
      <c r="H94" s="899" t="s">
        <v>1067</v>
      </c>
      <c r="I94" s="899" t="s">
        <v>1073</v>
      </c>
      <c r="J94" s="899" t="s">
        <v>1117</v>
      </c>
    </row>
    <row r="95" spans="1:10" ht="39">
      <c r="A95" s="900" t="s">
        <v>1325</v>
      </c>
      <c r="B95" s="901" t="s">
        <v>1103</v>
      </c>
      <c r="C95" s="902"/>
      <c r="D95" s="903" t="s">
        <v>1326</v>
      </c>
      <c r="E95" s="904">
        <v>368997.8</v>
      </c>
      <c r="F95" s="905"/>
      <c r="G95" s="902"/>
      <c r="H95" s="906">
        <v>43748</v>
      </c>
      <c r="I95" s="907"/>
      <c r="J95" s="907"/>
    </row>
    <row r="96" spans="1:10" ht="45">
      <c r="A96" s="908" t="s">
        <v>1327</v>
      </c>
      <c r="B96" s="901" t="s">
        <v>1103</v>
      </c>
      <c r="C96" s="902"/>
      <c r="D96" s="907" t="s">
        <v>1328</v>
      </c>
      <c r="E96" s="904">
        <v>333362.8</v>
      </c>
      <c r="F96" s="905"/>
      <c r="G96" s="902"/>
      <c r="H96" s="906">
        <v>43748</v>
      </c>
      <c r="I96" s="907"/>
      <c r="J96" s="907"/>
    </row>
    <row r="97" spans="1:10" ht="45">
      <c r="A97" s="909" t="s">
        <v>1329</v>
      </c>
      <c r="B97" s="910" t="s">
        <v>1330</v>
      </c>
      <c r="C97" s="902"/>
      <c r="D97" s="907" t="s">
        <v>1331</v>
      </c>
      <c r="E97" s="904">
        <v>59708</v>
      </c>
      <c r="F97" s="905"/>
      <c r="G97" s="902"/>
      <c r="H97" s="906">
        <v>43656</v>
      </c>
      <c r="I97" s="907"/>
      <c r="J97" s="907"/>
    </row>
    <row r="98" spans="1:10" ht="33.75">
      <c r="A98" s="909" t="s">
        <v>1332</v>
      </c>
      <c r="B98" s="910" t="s">
        <v>1333</v>
      </c>
      <c r="C98" s="902"/>
      <c r="D98" s="907" t="s">
        <v>1331</v>
      </c>
      <c r="E98" s="904">
        <v>52781.4</v>
      </c>
      <c r="F98" s="905"/>
      <c r="G98" s="902"/>
      <c r="H98" s="906">
        <v>43649</v>
      </c>
      <c r="I98" s="907"/>
      <c r="J98" s="907"/>
    </row>
    <row r="99" spans="1:10" ht="22.5">
      <c r="A99" s="909" t="s">
        <v>1334</v>
      </c>
      <c r="B99" s="910" t="s">
        <v>1335</v>
      </c>
      <c r="C99" s="902"/>
      <c r="D99" s="907" t="s">
        <v>1336</v>
      </c>
      <c r="E99" s="904">
        <v>86730</v>
      </c>
      <c r="F99" s="905"/>
      <c r="G99" s="902"/>
      <c r="H99" s="906">
        <v>43644</v>
      </c>
      <c r="I99" s="907"/>
      <c r="J99" s="907"/>
    </row>
    <row r="100" spans="1:10" ht="33.75">
      <c r="A100" s="909" t="s">
        <v>1337</v>
      </c>
      <c r="B100" s="910" t="s">
        <v>1338</v>
      </c>
      <c r="C100" s="902"/>
      <c r="D100" s="907" t="s">
        <v>1336</v>
      </c>
      <c r="E100" s="904">
        <v>250444.04</v>
      </c>
      <c r="F100" s="905"/>
      <c r="G100" s="902"/>
      <c r="H100" s="906">
        <v>43563</v>
      </c>
      <c r="I100" s="907"/>
      <c r="J100" s="907"/>
    </row>
    <row r="101" spans="1:10" ht="33.75">
      <c r="A101" s="909" t="s">
        <v>1337</v>
      </c>
      <c r="B101" s="910" t="s">
        <v>1339</v>
      </c>
      <c r="C101" s="902"/>
      <c r="D101" s="907" t="s">
        <v>1336</v>
      </c>
      <c r="E101" s="904">
        <v>250444.04</v>
      </c>
      <c r="F101" s="905"/>
      <c r="G101" s="902"/>
      <c r="H101" s="906">
        <v>43543</v>
      </c>
      <c r="I101" s="907"/>
      <c r="J101" s="907"/>
    </row>
    <row r="102" spans="1:10" ht="48.75">
      <c r="A102" s="900" t="s">
        <v>1340</v>
      </c>
      <c r="B102" s="901" t="s">
        <v>1103</v>
      </c>
      <c r="C102" s="911"/>
      <c r="D102" s="901" t="s">
        <v>1341</v>
      </c>
      <c r="E102" s="912">
        <v>95244.800000000003</v>
      </c>
      <c r="F102" s="913">
        <v>20493246772</v>
      </c>
      <c r="G102" s="914" t="s">
        <v>1226</v>
      </c>
      <c r="H102" s="915">
        <v>44029</v>
      </c>
      <c r="I102" s="916"/>
      <c r="J102" s="917"/>
    </row>
    <row r="103" spans="1:10" ht="39">
      <c r="A103" s="900" t="s">
        <v>1342</v>
      </c>
      <c r="B103" s="901" t="s">
        <v>1103</v>
      </c>
      <c r="C103" s="911"/>
      <c r="D103" s="901" t="s">
        <v>1343</v>
      </c>
      <c r="E103" s="912">
        <v>110640</v>
      </c>
      <c r="F103" s="918">
        <v>20408632146</v>
      </c>
      <c r="G103" s="914" t="s">
        <v>1226</v>
      </c>
      <c r="H103" s="915">
        <v>44029</v>
      </c>
      <c r="I103" s="916"/>
      <c r="J103" s="917"/>
    </row>
    <row r="104" spans="1:10" ht="39">
      <c r="A104" s="900" t="s">
        <v>1344</v>
      </c>
      <c r="B104" s="901" t="s">
        <v>1103</v>
      </c>
      <c r="C104" s="911"/>
      <c r="D104" s="901" t="s">
        <v>1345</v>
      </c>
      <c r="E104" s="912">
        <v>239900</v>
      </c>
      <c r="F104" s="918">
        <v>20603474326</v>
      </c>
      <c r="G104" s="914" t="s">
        <v>1231</v>
      </c>
      <c r="H104" s="915">
        <v>44049</v>
      </c>
      <c r="I104" s="916"/>
      <c r="J104" s="917"/>
    </row>
    <row r="105" spans="1:10" ht="39">
      <c r="A105" s="900" t="s">
        <v>1346</v>
      </c>
      <c r="B105" s="901" t="s">
        <v>1103</v>
      </c>
      <c r="C105" s="911"/>
      <c r="D105" s="901" t="s">
        <v>1347</v>
      </c>
      <c r="E105" s="912">
        <v>128000</v>
      </c>
      <c r="F105" s="918">
        <v>20528255630</v>
      </c>
      <c r="G105" s="914" t="s">
        <v>1231</v>
      </c>
      <c r="H105" s="915">
        <v>44053</v>
      </c>
      <c r="I105" s="916"/>
      <c r="J105" s="917"/>
    </row>
    <row r="106" spans="1:10" ht="39">
      <c r="A106" s="900" t="s">
        <v>1348</v>
      </c>
      <c r="B106" s="901" t="s">
        <v>1103</v>
      </c>
      <c r="C106" s="911"/>
      <c r="D106" s="901" t="s">
        <v>1349</v>
      </c>
      <c r="E106" s="912">
        <v>274576.27</v>
      </c>
      <c r="F106" s="918">
        <v>20602905129</v>
      </c>
      <c r="G106" s="914" t="s">
        <v>1231</v>
      </c>
      <c r="H106" s="915">
        <v>44074</v>
      </c>
      <c r="I106" s="916"/>
      <c r="J106" s="917"/>
    </row>
    <row r="107" spans="1:10" ht="39">
      <c r="A107" s="900" t="s">
        <v>1350</v>
      </c>
      <c r="B107" s="901" t="s">
        <v>1103</v>
      </c>
      <c r="C107" s="911"/>
      <c r="D107" s="901" t="s">
        <v>1351</v>
      </c>
      <c r="E107" s="912">
        <v>158644.07</v>
      </c>
      <c r="F107" s="918">
        <v>20601579830</v>
      </c>
      <c r="G107" s="914" t="s">
        <v>1231</v>
      </c>
      <c r="H107" s="915">
        <v>44083</v>
      </c>
      <c r="I107" s="916"/>
      <c r="J107" s="917"/>
    </row>
    <row r="108" spans="1:10" ht="48.75">
      <c r="A108" s="900" t="s">
        <v>1352</v>
      </c>
      <c r="B108" s="901" t="s">
        <v>1103</v>
      </c>
      <c r="C108" s="911"/>
      <c r="D108" s="901" t="s">
        <v>1353</v>
      </c>
      <c r="E108" s="912">
        <v>110000</v>
      </c>
      <c r="F108" s="919"/>
      <c r="G108" s="914" t="s">
        <v>1354</v>
      </c>
      <c r="H108" s="916"/>
      <c r="I108" s="916"/>
      <c r="J108" s="917"/>
    </row>
    <row r="109" spans="1:10" ht="58.5">
      <c r="A109" s="900" t="s">
        <v>1355</v>
      </c>
      <c r="B109" s="901" t="s">
        <v>1103</v>
      </c>
      <c r="C109" s="911"/>
      <c r="D109" s="901" t="s">
        <v>1356</v>
      </c>
      <c r="E109" s="912">
        <v>140000</v>
      </c>
      <c r="F109" s="920"/>
      <c r="G109" s="914" t="s">
        <v>1354</v>
      </c>
      <c r="H109" s="916"/>
      <c r="I109" s="916"/>
      <c r="J109" s="917"/>
    </row>
    <row r="110" spans="1:10" ht="48.75">
      <c r="A110" s="900" t="s">
        <v>1357</v>
      </c>
      <c r="B110" s="901" t="s">
        <v>1103</v>
      </c>
      <c r="C110" s="911"/>
      <c r="D110" s="901" t="s">
        <v>1358</v>
      </c>
      <c r="E110" s="912">
        <v>74000</v>
      </c>
      <c r="F110" s="920"/>
      <c r="G110" s="914" t="s">
        <v>1354</v>
      </c>
      <c r="H110" s="916"/>
      <c r="I110" s="916"/>
      <c r="J110" s="917"/>
    </row>
    <row r="111" spans="1:10" ht="39">
      <c r="A111" s="900" t="s">
        <v>1359</v>
      </c>
      <c r="B111" s="901" t="s">
        <v>1360</v>
      </c>
      <c r="C111" s="911"/>
      <c r="D111" s="901" t="s">
        <v>1361</v>
      </c>
      <c r="E111" s="912" t="s">
        <v>1362</v>
      </c>
      <c r="F111" s="918"/>
      <c r="G111" s="914" t="s">
        <v>1354</v>
      </c>
      <c r="H111" s="916"/>
      <c r="I111" s="916"/>
      <c r="J111" s="917"/>
    </row>
    <row r="112" spans="1:10" ht="29.25">
      <c r="A112" s="900" t="s">
        <v>1363</v>
      </c>
      <c r="B112" s="901" t="s">
        <v>1364</v>
      </c>
      <c r="C112" s="911"/>
      <c r="D112" s="901" t="s">
        <v>1341</v>
      </c>
      <c r="E112" s="912" t="s">
        <v>1365</v>
      </c>
      <c r="F112" s="918">
        <v>20600220609</v>
      </c>
      <c r="G112" s="914" t="s">
        <v>1231</v>
      </c>
      <c r="H112" s="915">
        <v>44053</v>
      </c>
      <c r="I112" s="916"/>
      <c r="J112" s="917"/>
    </row>
    <row r="113" spans="1:10" ht="39">
      <c r="A113" s="900" t="s">
        <v>1366</v>
      </c>
      <c r="B113" s="901" t="s">
        <v>1364</v>
      </c>
      <c r="C113" s="911"/>
      <c r="D113" s="901" t="s">
        <v>1345</v>
      </c>
      <c r="E113" s="912">
        <v>700000</v>
      </c>
      <c r="F113" s="920"/>
      <c r="G113" s="914" t="s">
        <v>1354</v>
      </c>
      <c r="H113" s="916"/>
      <c r="I113" s="916"/>
      <c r="J113" s="917"/>
    </row>
    <row r="114" spans="1:10" ht="39">
      <c r="A114" s="900" t="s">
        <v>1367</v>
      </c>
      <c r="B114" s="901" t="s">
        <v>1364</v>
      </c>
      <c r="C114" s="911"/>
      <c r="D114" s="901" t="s">
        <v>1347</v>
      </c>
      <c r="E114" s="912" t="s">
        <v>1368</v>
      </c>
      <c r="F114" s="920"/>
      <c r="G114" s="914" t="s">
        <v>1354</v>
      </c>
      <c r="H114" s="916"/>
      <c r="I114" s="916"/>
      <c r="J114" s="917"/>
    </row>
    <row r="115" spans="1:10">
      <c r="A115" s="911">
        <v>14</v>
      </c>
      <c r="B115" s="921"/>
      <c r="C115" s="911"/>
      <c r="D115" s="922"/>
      <c r="E115" s="920"/>
      <c r="F115" s="920"/>
      <c r="G115" s="917"/>
      <c r="H115" s="916"/>
      <c r="I115" s="916"/>
      <c r="J115" s="917"/>
    </row>
    <row r="116" spans="1:10" ht="15.75" thickBot="1">
      <c r="A116" s="923"/>
      <c r="B116" s="857"/>
      <c r="C116" s="313"/>
      <c r="D116" s="321"/>
      <c r="E116" s="924"/>
      <c r="F116" s="924"/>
      <c r="G116" s="660"/>
      <c r="H116" s="314"/>
      <c r="I116" s="314"/>
      <c r="J116" s="660"/>
    </row>
    <row r="117" spans="1:10" ht="15.75" thickBot="1">
      <c r="A117" s="500" t="s">
        <v>0</v>
      </c>
      <c r="B117" s="859"/>
      <c r="C117" s="318"/>
      <c r="D117" s="337"/>
      <c r="E117" s="925"/>
      <c r="F117" s="925"/>
      <c r="G117" s="860"/>
      <c r="H117" s="320"/>
      <c r="I117" s="320"/>
      <c r="J117" s="860"/>
    </row>
    <row r="118" spans="1:10">
      <c r="A118" s="301"/>
      <c r="B118" s="301"/>
      <c r="C118" s="301"/>
      <c r="D118" s="301"/>
      <c r="E118" s="301"/>
      <c r="F118" s="301"/>
      <c r="G118" s="215"/>
      <c r="H118" s="295"/>
      <c r="I118" s="295"/>
      <c r="J118" s="295"/>
    </row>
    <row r="121" spans="1:10">
      <c r="A121" s="215" t="s">
        <v>1112</v>
      </c>
      <c r="B121" s="215"/>
      <c r="C121" s="215"/>
      <c r="D121" s="215"/>
      <c r="E121" s="215"/>
      <c r="F121" s="215"/>
      <c r="G121" s="215"/>
      <c r="H121" s="215"/>
      <c r="I121" s="215"/>
      <c r="J121" s="215"/>
    </row>
    <row r="122" spans="1:10">
      <c r="A122" s="215" t="s">
        <v>1323</v>
      </c>
      <c r="B122" s="215"/>
      <c r="C122" s="215"/>
      <c r="D122" s="215"/>
      <c r="E122" s="215"/>
      <c r="F122" s="215"/>
      <c r="G122" s="215"/>
      <c r="H122" s="215"/>
      <c r="I122" s="215"/>
      <c r="J122" s="215"/>
    </row>
    <row r="123" spans="1:10" ht="15.75" thickBot="1">
      <c r="A123" s="875" t="s">
        <v>1369</v>
      </c>
      <c r="B123" s="875"/>
      <c r="C123" s="875"/>
      <c r="D123" s="875"/>
      <c r="E123" s="875"/>
      <c r="F123" s="875"/>
      <c r="G123" s="876"/>
      <c r="H123" s="295"/>
      <c r="I123" s="295"/>
      <c r="J123" s="295"/>
    </row>
    <row r="124" spans="1:10" ht="15.75" thickBot="1">
      <c r="A124" s="844" t="s">
        <v>1060</v>
      </c>
      <c r="B124" s="843"/>
      <c r="C124" s="843"/>
      <c r="D124" s="559"/>
      <c r="E124" s="559"/>
      <c r="F124" s="559"/>
      <c r="G124" s="559" t="s">
        <v>507</v>
      </c>
      <c r="H124" s="559" t="s">
        <v>1113</v>
      </c>
      <c r="I124" s="845"/>
      <c r="J124" s="845"/>
    </row>
    <row r="125" spans="1:10" ht="36">
      <c r="A125" s="926" t="s">
        <v>1114</v>
      </c>
      <c r="B125" s="217" t="s">
        <v>1063</v>
      </c>
      <c r="C125" s="217" t="s">
        <v>1064</v>
      </c>
      <c r="D125" s="469" t="s">
        <v>1065</v>
      </c>
      <c r="E125" s="469" t="s">
        <v>1115</v>
      </c>
      <c r="F125" s="469" t="s">
        <v>1068</v>
      </c>
      <c r="G125" s="217" t="s">
        <v>1116</v>
      </c>
      <c r="H125" s="469" t="s">
        <v>1067</v>
      </c>
      <c r="I125" s="469" t="s">
        <v>1073</v>
      </c>
      <c r="J125" s="469" t="s">
        <v>1117</v>
      </c>
    </row>
    <row r="126" spans="1:10" ht="34.5">
      <c r="A126" s="846" t="s">
        <v>1370</v>
      </c>
      <c r="B126" s="848" t="s">
        <v>1103</v>
      </c>
      <c r="C126" s="849" t="s">
        <v>719</v>
      </c>
      <c r="D126" s="849">
        <v>1</v>
      </c>
      <c r="E126" s="927">
        <v>34500</v>
      </c>
      <c r="F126" s="847">
        <v>20393332795</v>
      </c>
      <c r="G126" s="849" t="s">
        <v>1371</v>
      </c>
      <c r="H126" s="928">
        <v>43592</v>
      </c>
      <c r="I126" s="928">
        <v>43592</v>
      </c>
      <c r="J126" s="929"/>
    </row>
    <row r="127" spans="1:10" ht="33.75">
      <c r="A127" s="846" t="s">
        <v>1372</v>
      </c>
      <c r="B127" s="848" t="s">
        <v>1103</v>
      </c>
      <c r="C127" s="849" t="s">
        <v>719</v>
      </c>
      <c r="D127" s="849">
        <v>2</v>
      </c>
      <c r="E127" s="930">
        <v>61470</v>
      </c>
      <c r="F127" s="847">
        <v>10058662149</v>
      </c>
      <c r="G127" s="849" t="s">
        <v>1371</v>
      </c>
      <c r="H127" s="928">
        <v>43593</v>
      </c>
      <c r="I127" s="928">
        <v>43593</v>
      </c>
      <c r="J127" s="931"/>
    </row>
    <row r="128" spans="1:10" ht="22.5">
      <c r="A128" s="846" t="s">
        <v>1373</v>
      </c>
      <c r="B128" s="848" t="s">
        <v>1374</v>
      </c>
      <c r="C128" s="849" t="s">
        <v>719</v>
      </c>
      <c r="D128" s="849">
        <v>1</v>
      </c>
      <c r="E128" s="850">
        <v>41176.589999999997</v>
      </c>
      <c r="F128" s="847">
        <v>10058662149</v>
      </c>
      <c r="G128" s="849" t="s">
        <v>1371</v>
      </c>
      <c r="H128" s="928">
        <v>43637</v>
      </c>
      <c r="I128" s="928">
        <v>43637</v>
      </c>
      <c r="J128" s="931"/>
    </row>
    <row r="129" spans="1:10" ht="67.5">
      <c r="A129" s="846" t="s">
        <v>1375</v>
      </c>
      <c r="B129" s="848" t="s">
        <v>1103</v>
      </c>
      <c r="C129" s="849" t="s">
        <v>719</v>
      </c>
      <c r="D129" s="849">
        <v>3</v>
      </c>
      <c r="E129" s="850">
        <v>38288.980000000003</v>
      </c>
      <c r="F129" s="847">
        <v>10058662149</v>
      </c>
      <c r="G129" s="849" t="s">
        <v>1371</v>
      </c>
      <c r="H129" s="928">
        <v>43637</v>
      </c>
      <c r="I129" s="928">
        <v>43637</v>
      </c>
      <c r="J129" s="931"/>
    </row>
    <row r="130" spans="1:10" ht="67.5">
      <c r="A130" s="846" t="s">
        <v>1376</v>
      </c>
      <c r="B130" s="848" t="s">
        <v>1103</v>
      </c>
      <c r="C130" s="849" t="s">
        <v>719</v>
      </c>
      <c r="D130" s="849">
        <v>4</v>
      </c>
      <c r="E130" s="850">
        <v>38400</v>
      </c>
      <c r="F130" s="847">
        <v>10430169667</v>
      </c>
      <c r="G130" s="849" t="s">
        <v>1371</v>
      </c>
      <c r="H130" s="928">
        <v>43643</v>
      </c>
      <c r="I130" s="928">
        <v>43643</v>
      </c>
      <c r="J130" s="931"/>
    </row>
    <row r="131" spans="1:10" ht="67.5">
      <c r="A131" s="846" t="s">
        <v>1377</v>
      </c>
      <c r="B131" s="848" t="s">
        <v>1103</v>
      </c>
      <c r="C131" s="849" t="s">
        <v>719</v>
      </c>
      <c r="D131" s="855">
        <v>5</v>
      </c>
      <c r="E131" s="850">
        <v>53500</v>
      </c>
      <c r="F131" s="847">
        <v>20603912188</v>
      </c>
      <c r="G131" s="849" t="s">
        <v>1371</v>
      </c>
      <c r="H131" s="928">
        <v>43671</v>
      </c>
      <c r="I131" s="928">
        <v>43671</v>
      </c>
      <c r="J131" s="931"/>
    </row>
    <row r="132" spans="1:10" ht="22.5">
      <c r="A132" s="846" t="s">
        <v>1378</v>
      </c>
      <c r="B132" s="848" t="s">
        <v>1374</v>
      </c>
      <c r="C132" s="849" t="s">
        <v>719</v>
      </c>
      <c r="D132" s="849">
        <v>1</v>
      </c>
      <c r="E132" s="927">
        <v>105156</v>
      </c>
      <c r="F132" s="847">
        <v>10058662149</v>
      </c>
      <c r="G132" s="849" t="s">
        <v>1371</v>
      </c>
      <c r="H132" s="928">
        <v>44029</v>
      </c>
      <c r="I132" s="928">
        <v>44029</v>
      </c>
      <c r="J132" s="931"/>
    </row>
    <row r="133" spans="1:10" ht="56.25">
      <c r="A133" s="846" t="s">
        <v>1379</v>
      </c>
      <c r="B133" s="848" t="s">
        <v>1103</v>
      </c>
      <c r="C133" s="849" t="s">
        <v>719</v>
      </c>
      <c r="D133" s="849">
        <v>1</v>
      </c>
      <c r="E133" s="927">
        <v>319972.03000000003</v>
      </c>
      <c r="F133" s="847">
        <v>10001130361</v>
      </c>
      <c r="G133" s="849" t="s">
        <v>1371</v>
      </c>
      <c r="H133" s="928">
        <v>44075</v>
      </c>
      <c r="I133" s="928">
        <v>44075</v>
      </c>
      <c r="J133" s="931"/>
    </row>
    <row r="134" spans="1:10" ht="15.75" thickBot="1">
      <c r="A134" s="923"/>
      <c r="B134" s="857"/>
      <c r="C134" s="313"/>
      <c r="D134" s="321"/>
      <c r="E134" s="932"/>
      <c r="F134" s="924"/>
      <c r="G134" s="660"/>
      <c r="H134" s="314"/>
      <c r="I134" s="314"/>
      <c r="J134" s="660"/>
    </row>
    <row r="135" spans="1:10" ht="15.75" thickBot="1">
      <c r="A135" s="500" t="s">
        <v>0</v>
      </c>
      <c r="B135" s="859"/>
      <c r="C135" s="318"/>
      <c r="D135" s="337"/>
      <c r="E135" s="933">
        <f>SUM(E126:E134)</f>
        <v>692463.60000000009</v>
      </c>
      <c r="F135" s="925"/>
      <c r="G135" s="860"/>
      <c r="H135" s="320"/>
      <c r="I135" s="320"/>
      <c r="J135" s="860"/>
    </row>
    <row r="136" spans="1:10">
      <c r="A136" s="301"/>
      <c r="B136" s="301"/>
      <c r="C136" s="301"/>
      <c r="D136" s="301"/>
      <c r="E136" s="301"/>
      <c r="F136" s="301"/>
      <c r="G136" s="215"/>
      <c r="H136" s="295"/>
      <c r="I136" s="295"/>
      <c r="J136" s="295"/>
    </row>
  </sheetData>
  <mergeCells count="2">
    <mergeCell ref="A2:C2"/>
    <mergeCell ref="A3: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8"/>
  <sheetViews>
    <sheetView topLeftCell="A16" workbookViewId="0">
      <selection activeCell="A14" sqref="A14:XFD14"/>
    </sheetView>
  </sheetViews>
  <sheetFormatPr baseColWidth="10" defaultRowHeight="15"/>
  <cols>
    <col min="2" max="2" width="21.42578125" customWidth="1"/>
    <col min="3" max="3" width="13.28515625" customWidth="1"/>
    <col min="4" max="4" width="15.140625" customWidth="1"/>
    <col min="8" max="8" width="14.42578125" customWidth="1"/>
  </cols>
  <sheetData>
    <row r="1" spans="1:15" ht="26.25">
      <c r="A1" s="1271" t="s">
        <v>177</v>
      </c>
      <c r="B1" s="1271"/>
      <c r="C1" s="1271"/>
      <c r="D1" s="1271"/>
      <c r="E1" s="1271"/>
      <c r="F1" s="1271"/>
      <c r="G1" s="1271"/>
      <c r="H1" s="1271"/>
      <c r="I1" s="1271"/>
      <c r="J1" s="1271"/>
      <c r="K1" s="1271"/>
      <c r="L1" s="1271"/>
      <c r="M1" s="1271"/>
      <c r="N1" s="1271"/>
      <c r="O1" s="1271"/>
    </row>
    <row r="2" spans="1:15" ht="26.25">
      <c r="A2" s="1271" t="s">
        <v>178</v>
      </c>
      <c r="B2" s="1271"/>
      <c r="C2" s="1271"/>
      <c r="D2" s="1271"/>
      <c r="E2" s="1271"/>
      <c r="F2" s="1271"/>
      <c r="G2" s="1271"/>
      <c r="H2" s="1271"/>
      <c r="I2" s="1271"/>
      <c r="J2" s="1271"/>
      <c r="K2" s="1271"/>
      <c r="L2" s="1271"/>
      <c r="M2" s="1271"/>
      <c r="N2" s="1271"/>
      <c r="O2" s="1271"/>
    </row>
    <row r="3" spans="1:15" ht="26.45" customHeight="1">
      <c r="A3" s="1272" t="s">
        <v>179</v>
      </c>
      <c r="B3" s="1272" t="s">
        <v>180</v>
      </c>
      <c r="C3" s="1272" t="s">
        <v>181</v>
      </c>
      <c r="D3" s="1272" t="s">
        <v>182</v>
      </c>
      <c r="E3" s="1273" t="s">
        <v>183</v>
      </c>
      <c r="F3" s="1274"/>
      <c r="G3" s="1272" t="s">
        <v>184</v>
      </c>
      <c r="H3" s="1272" t="s">
        <v>185</v>
      </c>
      <c r="I3" s="1272" t="s">
        <v>186</v>
      </c>
      <c r="J3" s="1264">
        <v>2018</v>
      </c>
      <c r="K3" s="1264"/>
      <c r="L3" s="1264">
        <v>2019</v>
      </c>
      <c r="M3" s="1264"/>
      <c r="N3" s="22">
        <v>2020</v>
      </c>
      <c r="O3" s="22">
        <v>2021</v>
      </c>
    </row>
    <row r="4" spans="1:15" ht="22.9" customHeight="1">
      <c r="A4" s="1272"/>
      <c r="B4" s="1272"/>
      <c r="C4" s="1272"/>
      <c r="D4" s="1272"/>
      <c r="E4" s="23" t="s">
        <v>187</v>
      </c>
      <c r="F4" s="23" t="s">
        <v>188</v>
      </c>
      <c r="G4" s="1272"/>
      <c r="H4" s="1272"/>
      <c r="I4" s="1272"/>
      <c r="J4" s="22" t="s">
        <v>189</v>
      </c>
      <c r="K4" s="22" t="s">
        <v>190</v>
      </c>
      <c r="L4" s="22" t="s">
        <v>189</v>
      </c>
      <c r="M4" s="22" t="s">
        <v>191</v>
      </c>
      <c r="N4" s="22" t="s">
        <v>189</v>
      </c>
      <c r="O4" s="22" t="s">
        <v>189</v>
      </c>
    </row>
    <row r="5" spans="1:15" ht="139.15" customHeight="1">
      <c r="A5" s="24" t="s">
        <v>192</v>
      </c>
      <c r="B5" s="25" t="s">
        <v>193</v>
      </c>
      <c r="C5" s="26" t="s">
        <v>194</v>
      </c>
      <c r="D5" s="27" t="s">
        <v>195</v>
      </c>
      <c r="E5" s="24" t="s">
        <v>196</v>
      </c>
      <c r="F5" s="28">
        <v>2018</v>
      </c>
      <c r="G5" s="24" t="s">
        <v>197</v>
      </c>
      <c r="H5" s="24" t="s">
        <v>198</v>
      </c>
      <c r="I5" s="24" t="s">
        <v>199</v>
      </c>
      <c r="J5" s="24" t="s">
        <v>196</v>
      </c>
      <c r="K5" s="24" t="s">
        <v>196</v>
      </c>
      <c r="L5" s="24" t="s">
        <v>200</v>
      </c>
      <c r="M5" s="24" t="s">
        <v>201</v>
      </c>
      <c r="N5" s="24" t="s">
        <v>202</v>
      </c>
      <c r="O5" s="24" t="s">
        <v>203</v>
      </c>
    </row>
    <row r="6" spans="1:15" ht="87" customHeight="1">
      <c r="A6" s="24" t="s">
        <v>192</v>
      </c>
      <c r="B6" s="29" t="s">
        <v>204</v>
      </c>
      <c r="C6" s="30" t="s">
        <v>205</v>
      </c>
      <c r="D6" s="30" t="s">
        <v>206</v>
      </c>
      <c r="E6" s="28">
        <v>42.8</v>
      </c>
      <c r="F6" s="28">
        <v>2017</v>
      </c>
      <c r="G6" s="28">
        <v>70</v>
      </c>
      <c r="H6" s="24" t="s">
        <v>207</v>
      </c>
      <c r="I6" s="24" t="s">
        <v>208</v>
      </c>
      <c r="J6" s="28">
        <v>42.8</v>
      </c>
      <c r="K6" s="28">
        <v>42.8</v>
      </c>
      <c r="L6" s="28">
        <v>52</v>
      </c>
      <c r="M6" s="28">
        <v>52</v>
      </c>
      <c r="N6" s="28">
        <v>62</v>
      </c>
      <c r="O6" s="28">
        <v>70</v>
      </c>
    </row>
    <row r="7" spans="1:15" ht="89.45" customHeight="1">
      <c r="A7" s="24" t="s">
        <v>192</v>
      </c>
      <c r="B7" s="29" t="s">
        <v>209</v>
      </c>
      <c r="C7" s="30" t="s">
        <v>210</v>
      </c>
      <c r="D7" s="30" t="s">
        <v>211</v>
      </c>
      <c r="E7" s="24" t="s">
        <v>212</v>
      </c>
      <c r="F7" s="28">
        <v>2017</v>
      </c>
      <c r="G7" s="24" t="s">
        <v>213</v>
      </c>
      <c r="H7" s="24" t="s">
        <v>214</v>
      </c>
      <c r="I7" s="24" t="s">
        <v>215</v>
      </c>
      <c r="J7" s="24" t="s">
        <v>212</v>
      </c>
      <c r="K7" s="24" t="s">
        <v>212</v>
      </c>
      <c r="L7" s="24" t="s">
        <v>216</v>
      </c>
      <c r="M7" s="24" t="s">
        <v>216</v>
      </c>
      <c r="N7" s="24" t="s">
        <v>217</v>
      </c>
      <c r="O7" s="24" t="s">
        <v>213</v>
      </c>
    </row>
    <row r="8" spans="1:15" ht="100.9" customHeight="1">
      <c r="A8" s="24" t="s">
        <v>192</v>
      </c>
      <c r="B8" s="29" t="s">
        <v>218</v>
      </c>
      <c r="C8" s="30" t="s">
        <v>219</v>
      </c>
      <c r="D8" s="30" t="s">
        <v>220</v>
      </c>
      <c r="E8" s="28">
        <v>47.2</v>
      </c>
      <c r="F8" s="28">
        <v>2017</v>
      </c>
      <c r="G8" s="28">
        <v>60</v>
      </c>
      <c r="H8" s="24" t="s">
        <v>221</v>
      </c>
      <c r="I8" s="24" t="s">
        <v>222</v>
      </c>
      <c r="J8" s="28">
        <v>47.2</v>
      </c>
      <c r="K8" s="28">
        <v>47.2</v>
      </c>
      <c r="L8" s="28">
        <v>50</v>
      </c>
      <c r="M8" s="28">
        <v>50</v>
      </c>
      <c r="N8" s="28">
        <v>55</v>
      </c>
      <c r="O8" s="28">
        <v>60</v>
      </c>
    </row>
    <row r="9" spans="1:15" ht="94.9" customHeight="1">
      <c r="A9" s="24" t="s">
        <v>192</v>
      </c>
      <c r="B9" s="29" t="s">
        <v>223</v>
      </c>
      <c r="C9" s="27" t="s">
        <v>224</v>
      </c>
      <c r="D9" s="30" t="s">
        <v>225</v>
      </c>
      <c r="E9" s="28">
        <v>2199885.1</v>
      </c>
      <c r="F9" s="28">
        <v>2016</v>
      </c>
      <c r="G9" s="28">
        <v>2199885.1</v>
      </c>
      <c r="H9" s="24" t="s">
        <v>226</v>
      </c>
      <c r="I9" s="24" t="s">
        <v>227</v>
      </c>
      <c r="J9" s="28">
        <v>2199885.1</v>
      </c>
      <c r="K9" s="28">
        <v>2199885.1</v>
      </c>
      <c r="L9" s="28">
        <v>2199885.1</v>
      </c>
      <c r="M9" s="28">
        <v>2199885.1</v>
      </c>
      <c r="N9" s="28">
        <v>2199885.1</v>
      </c>
      <c r="O9" s="28">
        <v>2199885.1</v>
      </c>
    </row>
    <row r="10" spans="1:15" ht="112.15" customHeight="1">
      <c r="A10" s="24" t="s">
        <v>192</v>
      </c>
      <c r="B10" s="29" t="s">
        <v>193</v>
      </c>
      <c r="C10" s="30" t="s">
        <v>228</v>
      </c>
      <c r="D10" s="30" t="s">
        <v>229</v>
      </c>
      <c r="E10" s="28">
        <v>464771</v>
      </c>
      <c r="F10" s="28">
        <v>2017</v>
      </c>
      <c r="G10" s="28">
        <v>479845</v>
      </c>
      <c r="H10" s="24" t="s">
        <v>230</v>
      </c>
      <c r="I10" s="24" t="s">
        <v>199</v>
      </c>
      <c r="J10" s="28">
        <v>464771</v>
      </c>
      <c r="K10" s="28">
        <v>464771</v>
      </c>
      <c r="L10" s="28">
        <v>470567</v>
      </c>
      <c r="M10" s="28">
        <v>470567</v>
      </c>
      <c r="N10" s="28">
        <v>475500</v>
      </c>
      <c r="O10" s="28">
        <v>479845</v>
      </c>
    </row>
    <row r="11" spans="1:15" ht="97.15" customHeight="1">
      <c r="A11" s="24" t="s">
        <v>192</v>
      </c>
      <c r="B11" s="29" t="s">
        <v>231</v>
      </c>
      <c r="C11" s="30" t="s">
        <v>232</v>
      </c>
      <c r="D11" s="27" t="s">
        <v>233</v>
      </c>
      <c r="E11" s="28" t="s">
        <v>234</v>
      </c>
      <c r="F11" s="28">
        <v>2017</v>
      </c>
      <c r="G11" s="28" t="s">
        <v>235</v>
      </c>
      <c r="H11" s="24" t="s">
        <v>236</v>
      </c>
      <c r="I11" s="28" t="s">
        <v>237</v>
      </c>
      <c r="J11" s="28" t="s">
        <v>234</v>
      </c>
      <c r="K11" s="28" t="s">
        <v>234</v>
      </c>
      <c r="L11" s="28" t="s">
        <v>238</v>
      </c>
      <c r="M11" s="28" t="s">
        <v>238</v>
      </c>
      <c r="N11" s="28" t="s">
        <v>235</v>
      </c>
      <c r="O11" s="28" t="s">
        <v>235</v>
      </c>
    </row>
    <row r="12" spans="1:15" ht="86.45" customHeight="1">
      <c r="A12" s="24" t="s">
        <v>192</v>
      </c>
      <c r="B12" s="29" t="s">
        <v>239</v>
      </c>
      <c r="C12" s="30" t="s">
        <v>240</v>
      </c>
      <c r="D12" s="30" t="s">
        <v>241</v>
      </c>
      <c r="E12" s="28">
        <v>23</v>
      </c>
      <c r="F12" s="28">
        <v>2018</v>
      </c>
      <c r="G12" s="28">
        <v>20</v>
      </c>
      <c r="H12" s="24" t="s">
        <v>242</v>
      </c>
      <c r="I12" s="24" t="s">
        <v>243</v>
      </c>
      <c r="J12" s="28">
        <v>23</v>
      </c>
      <c r="K12" s="28">
        <v>23</v>
      </c>
      <c r="L12" s="28">
        <v>22</v>
      </c>
      <c r="M12" s="28">
        <v>22</v>
      </c>
      <c r="N12" s="28">
        <v>21</v>
      </c>
      <c r="O12" s="28">
        <v>20</v>
      </c>
    </row>
    <row r="13" spans="1:15" ht="76.5">
      <c r="A13" s="24" t="s">
        <v>192</v>
      </c>
      <c r="B13" s="29" t="s">
        <v>244</v>
      </c>
      <c r="C13" s="30" t="s">
        <v>245</v>
      </c>
      <c r="D13" s="30" t="s">
        <v>246</v>
      </c>
      <c r="E13" s="28">
        <v>19.399999999999999</v>
      </c>
      <c r="F13" s="28">
        <v>2017</v>
      </c>
      <c r="G13" s="28">
        <v>35</v>
      </c>
      <c r="H13" s="24" t="s">
        <v>247</v>
      </c>
      <c r="I13" s="24" t="s">
        <v>248</v>
      </c>
      <c r="J13" s="28">
        <v>19.399999999999999</v>
      </c>
      <c r="K13" s="28">
        <v>19.399999999999999</v>
      </c>
      <c r="L13" s="28">
        <v>22</v>
      </c>
      <c r="M13" s="28">
        <v>22</v>
      </c>
      <c r="N13" s="28">
        <v>28</v>
      </c>
      <c r="O13" s="28">
        <v>35</v>
      </c>
    </row>
    <row r="14" spans="1:15" ht="125.45" customHeight="1">
      <c r="A14" s="24" t="s">
        <v>192</v>
      </c>
      <c r="B14" s="29" t="s">
        <v>249</v>
      </c>
      <c r="C14" s="30" t="s">
        <v>250</v>
      </c>
      <c r="D14" s="27" t="s">
        <v>251</v>
      </c>
      <c r="E14" s="28">
        <v>33595</v>
      </c>
      <c r="F14" s="28">
        <v>2017</v>
      </c>
      <c r="G14" s="28">
        <v>15000</v>
      </c>
      <c r="H14" s="24" t="s">
        <v>252</v>
      </c>
      <c r="I14" s="24" t="s">
        <v>253</v>
      </c>
      <c r="J14" s="28">
        <v>33595</v>
      </c>
      <c r="K14" s="28">
        <v>33595</v>
      </c>
      <c r="L14" s="28">
        <v>17400</v>
      </c>
      <c r="M14" s="28">
        <v>17400</v>
      </c>
      <c r="N14" s="28">
        <v>15300</v>
      </c>
      <c r="O14" s="28">
        <v>15000</v>
      </c>
    </row>
    <row r="15" spans="1:15" ht="95.45" customHeight="1">
      <c r="A15" s="1265" t="s">
        <v>192</v>
      </c>
      <c r="B15" s="1266" t="s">
        <v>254</v>
      </c>
      <c r="C15" s="1268" t="s">
        <v>255</v>
      </c>
      <c r="D15" s="30" t="s">
        <v>256</v>
      </c>
      <c r="E15" s="28">
        <v>39.799999999999997</v>
      </c>
      <c r="F15" s="28">
        <v>2017</v>
      </c>
      <c r="G15" s="28">
        <v>90.7</v>
      </c>
      <c r="H15" s="1269" t="s">
        <v>221</v>
      </c>
      <c r="I15" s="1269" t="s">
        <v>257</v>
      </c>
      <c r="J15" s="28">
        <v>39.799999999999997</v>
      </c>
      <c r="K15" s="28">
        <v>39.799999999999997</v>
      </c>
      <c r="L15" s="28">
        <v>63.4</v>
      </c>
      <c r="M15" s="28">
        <v>63.4</v>
      </c>
      <c r="N15" s="28">
        <v>77.2</v>
      </c>
      <c r="O15" s="28">
        <v>90.7</v>
      </c>
    </row>
    <row r="16" spans="1:15" ht="82.9" customHeight="1">
      <c r="A16" s="1265"/>
      <c r="B16" s="1267"/>
      <c r="C16" s="1268"/>
      <c r="D16" s="27" t="s">
        <v>258</v>
      </c>
      <c r="E16" s="31">
        <v>45</v>
      </c>
      <c r="F16" s="31">
        <v>2017</v>
      </c>
      <c r="G16" s="31">
        <v>54</v>
      </c>
      <c r="H16" s="1270"/>
      <c r="I16" s="1270"/>
      <c r="J16" s="31">
        <v>45</v>
      </c>
      <c r="K16" s="31">
        <v>45</v>
      </c>
      <c r="L16" s="31">
        <v>48</v>
      </c>
      <c r="M16" s="31">
        <v>48</v>
      </c>
      <c r="N16" s="31">
        <v>51</v>
      </c>
      <c r="O16" s="31">
        <v>54</v>
      </c>
    </row>
    <row r="17" spans="1:15" ht="98.45" customHeight="1">
      <c r="A17" s="24" t="s">
        <v>192</v>
      </c>
      <c r="B17" s="29" t="s">
        <v>259</v>
      </c>
      <c r="C17" s="30" t="s">
        <v>260</v>
      </c>
      <c r="D17" s="30" t="s">
        <v>261</v>
      </c>
      <c r="E17" s="28">
        <v>2</v>
      </c>
      <c r="F17" s="28">
        <v>2018</v>
      </c>
      <c r="G17" s="28">
        <v>9</v>
      </c>
      <c r="H17" s="24" t="s">
        <v>262</v>
      </c>
      <c r="I17" s="24" t="s">
        <v>263</v>
      </c>
      <c r="J17" s="28">
        <v>2</v>
      </c>
      <c r="K17" s="28">
        <v>2</v>
      </c>
      <c r="L17" s="28">
        <v>4</v>
      </c>
      <c r="M17" s="28">
        <v>4</v>
      </c>
      <c r="N17" s="28">
        <v>6</v>
      </c>
      <c r="O17" s="28">
        <v>9</v>
      </c>
    </row>
    <row r="18" spans="1:15">
      <c r="A18" s="1262" t="s">
        <v>264</v>
      </c>
      <c r="B18" s="1263"/>
      <c r="C18" s="1263"/>
      <c r="D18" s="32"/>
    </row>
  </sheetData>
  <mergeCells count="18">
    <mergeCell ref="A1:O1"/>
    <mergeCell ref="A2:O2"/>
    <mergeCell ref="A3:A4"/>
    <mergeCell ref="B3:B4"/>
    <mergeCell ref="C3:C4"/>
    <mergeCell ref="D3:D4"/>
    <mergeCell ref="E3:F3"/>
    <mergeCell ref="G3:G4"/>
    <mergeCell ref="H3:H4"/>
    <mergeCell ref="I3:I4"/>
    <mergeCell ref="A18:C18"/>
    <mergeCell ref="J3:K3"/>
    <mergeCell ref="L3:M3"/>
    <mergeCell ref="A15:A16"/>
    <mergeCell ref="B15:B16"/>
    <mergeCell ref="C15:C16"/>
    <mergeCell ref="H15:H16"/>
    <mergeCell ref="I15:I1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30"/>
  <sheetViews>
    <sheetView topLeftCell="A13" workbookViewId="0">
      <selection activeCell="A23" sqref="A23:H30"/>
    </sheetView>
  </sheetViews>
  <sheetFormatPr baseColWidth="10" defaultRowHeight="15"/>
  <cols>
    <col min="1" max="1" width="35.7109375" customWidth="1"/>
    <col min="2" max="2" width="30.7109375" customWidth="1"/>
    <col min="3" max="3" width="31.140625" customWidth="1"/>
    <col min="4" max="4" width="23.28515625" customWidth="1"/>
    <col min="5" max="5" width="22.28515625" customWidth="1"/>
    <col min="6" max="6" width="32.85546875" customWidth="1"/>
    <col min="7" max="7" width="39.5703125" customWidth="1"/>
    <col min="8" max="8" width="23.5703125" customWidth="1"/>
  </cols>
  <sheetData>
    <row r="1" spans="1:8">
      <c r="A1" s="215" t="s">
        <v>1380</v>
      </c>
      <c r="B1" s="215"/>
      <c r="C1" s="215"/>
      <c r="D1" s="215"/>
      <c r="E1" s="215"/>
      <c r="F1" s="215"/>
      <c r="G1" s="215"/>
      <c r="H1" s="295"/>
    </row>
    <row r="2" spans="1:8">
      <c r="A2" s="215" t="s">
        <v>494</v>
      </c>
      <c r="B2" s="215"/>
      <c r="C2" s="215"/>
      <c r="D2" s="215"/>
      <c r="E2" s="215"/>
      <c r="F2" s="215"/>
      <c r="G2" s="215"/>
      <c r="H2" s="215"/>
    </row>
    <row r="3" spans="1:8" ht="15.75" thickBot="1">
      <c r="A3" s="875" t="s">
        <v>1381</v>
      </c>
      <c r="B3" s="875"/>
      <c r="C3" s="875"/>
      <c r="D3" s="876"/>
      <c r="E3" s="876"/>
      <c r="F3" s="876"/>
      <c r="G3" s="295"/>
      <c r="H3" s="295"/>
    </row>
    <row r="4" spans="1:8">
      <c r="A4" s="1313" t="s">
        <v>996</v>
      </c>
      <c r="B4" s="1313" t="s">
        <v>1382</v>
      </c>
      <c r="C4" s="1313" t="s">
        <v>1383</v>
      </c>
      <c r="D4" s="934" t="s">
        <v>1384</v>
      </c>
      <c r="E4" s="934" t="s">
        <v>1385</v>
      </c>
      <c r="F4" s="216" t="s">
        <v>1386</v>
      </c>
      <c r="G4" s="1313" t="s">
        <v>1387</v>
      </c>
      <c r="H4" s="1313" t="s">
        <v>1388</v>
      </c>
    </row>
    <row r="5" spans="1:8" ht="15.75" thickBot="1">
      <c r="A5" s="1280"/>
      <c r="B5" s="1280"/>
      <c r="C5" s="1280"/>
      <c r="D5" s="935" t="s">
        <v>1389</v>
      </c>
      <c r="E5" s="935" t="s">
        <v>1389</v>
      </c>
      <c r="F5" s="935" t="s">
        <v>1389</v>
      </c>
      <c r="G5" s="1280"/>
      <c r="H5" s="1280"/>
    </row>
    <row r="6" spans="1:8" ht="81">
      <c r="A6" s="936" t="s">
        <v>1390</v>
      </c>
      <c r="B6" s="911"/>
      <c r="C6" s="937">
        <v>5372248</v>
      </c>
      <c r="D6" s="938"/>
      <c r="E6" s="939"/>
      <c r="F6" s="939">
        <v>2019</v>
      </c>
      <c r="G6" s="940" t="s">
        <v>1391</v>
      </c>
      <c r="H6" s="941"/>
    </row>
    <row r="7" spans="1:8" ht="81">
      <c r="A7" s="936" t="s">
        <v>1392</v>
      </c>
      <c r="B7" s="911"/>
      <c r="C7" s="937">
        <v>41903899</v>
      </c>
      <c r="D7" s="938"/>
      <c r="E7" s="939"/>
      <c r="F7" s="939">
        <v>2019</v>
      </c>
      <c r="G7" s="940" t="s">
        <v>1391</v>
      </c>
      <c r="H7" s="941"/>
    </row>
    <row r="8" spans="1:8" ht="72">
      <c r="A8" s="936" t="s">
        <v>1393</v>
      </c>
      <c r="B8" s="911"/>
      <c r="C8" s="937">
        <v>41903899</v>
      </c>
      <c r="D8" s="938"/>
      <c r="E8" s="939"/>
      <c r="F8" s="939">
        <v>2019</v>
      </c>
      <c r="G8" s="940" t="s">
        <v>1391</v>
      </c>
      <c r="H8" s="941"/>
    </row>
    <row r="9" spans="1:8" ht="72">
      <c r="A9" s="936" t="s">
        <v>1394</v>
      </c>
      <c r="B9" s="911"/>
      <c r="C9" s="937">
        <v>41903899</v>
      </c>
      <c r="D9" s="938"/>
      <c r="E9" s="939"/>
      <c r="F9" s="939">
        <v>2019</v>
      </c>
      <c r="G9" s="940" t="s">
        <v>1391</v>
      </c>
      <c r="H9" s="941"/>
    </row>
    <row r="10" spans="1:8" ht="72">
      <c r="A10" s="936" t="s">
        <v>1395</v>
      </c>
      <c r="B10" s="937">
        <v>20304031183</v>
      </c>
      <c r="C10" s="937"/>
      <c r="D10" s="938"/>
      <c r="E10" s="939"/>
      <c r="F10" s="939">
        <v>2019</v>
      </c>
      <c r="G10" s="940" t="s">
        <v>1391</v>
      </c>
      <c r="H10" s="941"/>
    </row>
    <row r="11" spans="1:8" ht="63">
      <c r="A11" s="936" t="s">
        <v>1396</v>
      </c>
      <c r="B11" s="911"/>
      <c r="C11" s="937">
        <v>41903899</v>
      </c>
      <c r="D11" s="938"/>
      <c r="E11" s="939"/>
      <c r="F11" s="939">
        <v>2019</v>
      </c>
      <c r="G11" s="940" t="s">
        <v>1391</v>
      </c>
      <c r="H11" s="941"/>
    </row>
    <row r="12" spans="1:8" ht="72">
      <c r="A12" s="936" t="s">
        <v>1397</v>
      </c>
      <c r="B12" s="937">
        <v>20516351838</v>
      </c>
      <c r="C12" s="937"/>
      <c r="D12" s="938"/>
      <c r="E12" s="939"/>
      <c r="F12" s="939">
        <v>2019</v>
      </c>
      <c r="G12" s="940" t="s">
        <v>1391</v>
      </c>
      <c r="H12" s="941"/>
    </row>
    <row r="13" spans="1:8" ht="72">
      <c r="A13" s="936" t="s">
        <v>1398</v>
      </c>
      <c r="B13" s="937">
        <v>20304031183</v>
      </c>
      <c r="C13" s="937"/>
      <c r="D13" s="938"/>
      <c r="E13" s="939"/>
      <c r="F13" s="939">
        <v>2019</v>
      </c>
      <c r="G13" s="940" t="s">
        <v>1391</v>
      </c>
      <c r="H13" s="941"/>
    </row>
    <row r="14" spans="1:8" ht="45">
      <c r="A14" s="936" t="s">
        <v>1399</v>
      </c>
      <c r="B14" s="937">
        <v>20528388869</v>
      </c>
      <c r="C14" s="937"/>
      <c r="D14" s="938"/>
      <c r="E14" s="939"/>
      <c r="F14" s="939">
        <v>2019</v>
      </c>
      <c r="G14" s="940" t="s">
        <v>1400</v>
      </c>
      <c r="H14" s="941"/>
    </row>
    <row r="15" spans="1:8" ht="81">
      <c r="A15" s="936" t="s">
        <v>1401</v>
      </c>
      <c r="B15" s="937"/>
      <c r="C15" s="937">
        <v>41903899</v>
      </c>
      <c r="D15" s="938"/>
      <c r="E15" s="939"/>
      <c r="F15" s="939">
        <v>2019</v>
      </c>
      <c r="G15" s="940" t="s">
        <v>1391</v>
      </c>
      <c r="H15" s="941"/>
    </row>
    <row r="16" spans="1:8" ht="81">
      <c r="A16" s="936" t="s">
        <v>1402</v>
      </c>
      <c r="B16" s="937">
        <v>20489507103</v>
      </c>
      <c r="C16" s="937"/>
      <c r="D16" s="938"/>
      <c r="E16" s="939"/>
      <c r="F16" s="939">
        <v>2019</v>
      </c>
      <c r="G16" s="940" t="s">
        <v>1391</v>
      </c>
      <c r="H16" s="941"/>
    </row>
    <row r="17" spans="1:8">
      <c r="A17" s="911"/>
      <c r="B17" s="911"/>
      <c r="C17" s="911"/>
      <c r="D17" s="938"/>
      <c r="E17" s="215"/>
      <c r="F17" s="942"/>
      <c r="G17" s="941"/>
      <c r="H17" s="941"/>
    </row>
    <row r="18" spans="1:8" ht="15.75" thickBot="1">
      <c r="A18" s="943"/>
      <c r="B18" s="943"/>
      <c r="C18" s="943"/>
      <c r="D18" s="944"/>
      <c r="E18" s="300"/>
      <c r="F18" s="331"/>
      <c r="G18" s="945"/>
      <c r="H18" s="945"/>
    </row>
    <row r="19" spans="1:8" ht="15.75" thickBot="1">
      <c r="A19" s="500" t="s">
        <v>1058</v>
      </c>
      <c r="B19" s="859"/>
      <c r="C19" s="859"/>
      <c r="D19" s="478"/>
      <c r="E19" s="319"/>
      <c r="F19" s="339"/>
      <c r="G19" s="479"/>
      <c r="H19" s="479"/>
    </row>
    <row r="23" spans="1:8">
      <c r="A23" s="215" t="s">
        <v>1380</v>
      </c>
      <c r="B23" s="215"/>
      <c r="C23" s="215"/>
      <c r="D23" s="215"/>
      <c r="E23" s="215"/>
      <c r="F23" s="215"/>
      <c r="G23" s="215"/>
      <c r="H23" s="295"/>
    </row>
    <row r="24" spans="1:8">
      <c r="A24" s="215" t="s">
        <v>494</v>
      </c>
      <c r="B24" s="215"/>
      <c r="C24" s="215"/>
      <c r="D24" s="215"/>
      <c r="E24" s="215"/>
      <c r="F24" s="215"/>
      <c r="G24" s="215"/>
      <c r="H24" s="215"/>
    </row>
    <row r="25" spans="1:8" ht="15.75" thickBot="1">
      <c r="A25" s="875" t="s">
        <v>1403</v>
      </c>
      <c r="B25" s="875"/>
      <c r="C25" s="875"/>
      <c r="D25" s="876"/>
      <c r="E25" s="876"/>
      <c r="F25" s="876"/>
      <c r="G25" s="295"/>
      <c r="H25" s="295"/>
    </row>
    <row r="26" spans="1:8">
      <c r="A26" s="1313" t="s">
        <v>996</v>
      </c>
      <c r="B26" s="1313" t="s">
        <v>1382</v>
      </c>
      <c r="C26" s="1313" t="s">
        <v>1383</v>
      </c>
      <c r="D26" s="934" t="s">
        <v>1384</v>
      </c>
      <c r="E26" s="934" t="s">
        <v>1385</v>
      </c>
      <c r="F26" s="216" t="s">
        <v>1386</v>
      </c>
      <c r="G26" s="1313" t="s">
        <v>1387</v>
      </c>
      <c r="H26" s="1313" t="s">
        <v>1388</v>
      </c>
    </row>
    <row r="27" spans="1:8" ht="15.75" thickBot="1">
      <c r="A27" s="1280"/>
      <c r="B27" s="1280"/>
      <c r="C27" s="1280"/>
      <c r="D27" s="935" t="s">
        <v>1389</v>
      </c>
      <c r="E27" s="935" t="s">
        <v>1389</v>
      </c>
      <c r="F27" s="935" t="s">
        <v>1389</v>
      </c>
      <c r="G27" s="1280"/>
      <c r="H27" s="1280"/>
    </row>
    <row r="28" spans="1:8" ht="67.5">
      <c r="A28" s="946" t="s">
        <v>1404</v>
      </c>
      <c r="B28" s="313">
        <v>20493560051</v>
      </c>
      <c r="C28" s="477"/>
      <c r="D28" s="944"/>
      <c r="E28" s="947"/>
      <c r="F28" s="948">
        <v>54000</v>
      </c>
      <c r="G28" s="949" t="s">
        <v>1405</v>
      </c>
      <c r="H28" s="949" t="s">
        <v>1406</v>
      </c>
    </row>
    <row r="29" spans="1:8" ht="15.75" thickBot="1">
      <c r="A29" s="943"/>
      <c r="B29" s="943"/>
      <c r="C29" s="943"/>
      <c r="D29" s="944"/>
      <c r="E29" s="300"/>
      <c r="F29" s="331"/>
      <c r="G29" s="945"/>
      <c r="H29" s="945"/>
    </row>
    <row r="30" spans="1:8" ht="15.75" thickBot="1">
      <c r="A30" s="500" t="s">
        <v>1058</v>
      </c>
      <c r="B30" s="859"/>
      <c r="C30" s="859"/>
      <c r="D30" s="478"/>
      <c r="E30" s="319"/>
      <c r="F30" s="950">
        <v>54000</v>
      </c>
      <c r="G30" s="479"/>
      <c r="H30" s="479"/>
    </row>
  </sheetData>
  <mergeCells count="10">
    <mergeCell ref="A4:A5"/>
    <mergeCell ref="B4:B5"/>
    <mergeCell ref="C4:C5"/>
    <mergeCell ref="G4:G5"/>
    <mergeCell ref="H4:H5"/>
    <mergeCell ref="H26:H27"/>
    <mergeCell ref="A26:A27"/>
    <mergeCell ref="B26:B27"/>
    <mergeCell ref="C26:C27"/>
    <mergeCell ref="G26:G2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349"/>
  <sheetViews>
    <sheetView topLeftCell="A316" workbookViewId="0">
      <selection activeCell="A321" sqref="A321:H349"/>
    </sheetView>
  </sheetViews>
  <sheetFormatPr baseColWidth="10" defaultRowHeight="15"/>
  <cols>
    <col min="1" max="1" width="41.5703125" customWidth="1"/>
    <col min="2" max="2" width="20" customWidth="1"/>
    <col min="3" max="3" width="31.5703125" customWidth="1"/>
    <col min="7" max="7" width="15" customWidth="1"/>
    <col min="8" max="8" width="17.140625" customWidth="1"/>
  </cols>
  <sheetData>
    <row r="1" spans="1:8">
      <c r="A1" s="951" t="s">
        <v>1407</v>
      </c>
    </row>
    <row r="2" spans="1:8">
      <c r="A2" s="951" t="s">
        <v>1408</v>
      </c>
    </row>
    <row r="4" spans="1:8">
      <c r="A4" s="952"/>
      <c r="B4" s="953"/>
      <c r="C4" s="1418" t="s">
        <v>1409</v>
      </c>
      <c r="D4" s="1419"/>
      <c r="E4" s="1419"/>
      <c r="F4" s="1419"/>
      <c r="G4" s="1419"/>
      <c r="H4" s="1420"/>
    </row>
    <row r="5" spans="1:8">
      <c r="A5" s="954" t="s">
        <v>1410</v>
      </c>
      <c r="B5" s="955" t="s">
        <v>1411</v>
      </c>
      <c r="C5" s="956" t="s">
        <v>1412</v>
      </c>
      <c r="D5" s="957" t="s">
        <v>1413</v>
      </c>
      <c r="E5" s="956" t="s">
        <v>1414</v>
      </c>
      <c r="F5" s="957" t="s">
        <v>1415</v>
      </c>
      <c r="G5" s="956" t="s">
        <v>1416</v>
      </c>
      <c r="H5" s="958" t="s">
        <v>1417</v>
      </c>
    </row>
    <row r="6" spans="1:8">
      <c r="A6" s="959"/>
      <c r="B6" s="960">
        <v>861</v>
      </c>
      <c r="C6" s="961"/>
      <c r="D6" s="962"/>
      <c r="E6" s="961"/>
      <c r="F6" s="962"/>
      <c r="G6" s="961"/>
      <c r="H6" s="963"/>
    </row>
    <row r="7" spans="1:8">
      <c r="A7" s="964" t="s">
        <v>482</v>
      </c>
      <c r="B7" s="961"/>
      <c r="C7" s="964" t="s">
        <v>1418</v>
      </c>
      <c r="D7" s="178" t="s">
        <v>1419</v>
      </c>
      <c r="E7" s="965">
        <v>2005</v>
      </c>
      <c r="F7" s="966" t="s">
        <v>1420</v>
      </c>
      <c r="G7" s="967">
        <v>4021869</v>
      </c>
      <c r="H7" s="968">
        <f>4021869+36562239</f>
        <v>40584108</v>
      </c>
    </row>
    <row r="8" spans="1:8">
      <c r="A8" s="961"/>
      <c r="B8" s="961"/>
      <c r="C8" s="961"/>
      <c r="D8" s="962"/>
      <c r="E8" s="965"/>
      <c r="F8" s="448"/>
      <c r="G8" s="969"/>
      <c r="H8" s="970"/>
    </row>
    <row r="9" spans="1:8">
      <c r="A9" s="964" t="s">
        <v>483</v>
      </c>
      <c r="B9" s="971"/>
      <c r="C9" s="964"/>
      <c r="D9" s="178"/>
      <c r="E9" s="965"/>
      <c r="F9" s="966"/>
      <c r="G9" s="967">
        <f>SUM(G10:G11)</f>
        <v>402789.00999999995</v>
      </c>
      <c r="H9" s="968">
        <f>SUM(H10:H11)</f>
        <v>505166.16</v>
      </c>
    </row>
    <row r="10" spans="1:8">
      <c r="A10" s="964"/>
      <c r="B10" s="971"/>
      <c r="C10" s="964" t="s">
        <v>1418</v>
      </c>
      <c r="D10" s="178" t="s">
        <v>1419</v>
      </c>
      <c r="E10" s="965">
        <v>2013</v>
      </c>
      <c r="F10" s="966" t="s">
        <v>1420</v>
      </c>
      <c r="G10" s="972">
        <v>397786.41</v>
      </c>
      <c r="H10" s="973">
        <v>499296.74</v>
      </c>
    </row>
    <row r="11" spans="1:8">
      <c r="A11" s="964"/>
      <c r="B11" s="971"/>
      <c r="C11" s="964" t="s">
        <v>1418</v>
      </c>
      <c r="D11" s="178" t="s">
        <v>1421</v>
      </c>
      <c r="E11" s="965">
        <v>2001</v>
      </c>
      <c r="F11" s="966" t="s">
        <v>1420</v>
      </c>
      <c r="G11" s="972">
        <v>5002.6000000000004</v>
      </c>
      <c r="H11" s="973">
        <v>5869.42</v>
      </c>
    </row>
    <row r="12" spans="1:8">
      <c r="A12" s="961"/>
      <c r="B12" s="961"/>
      <c r="C12" s="961"/>
      <c r="D12" s="962"/>
      <c r="E12" s="965"/>
      <c r="F12" s="448"/>
      <c r="G12" s="969"/>
      <c r="H12" s="970"/>
    </row>
    <row r="13" spans="1:8">
      <c r="A13" s="964" t="s">
        <v>1422</v>
      </c>
      <c r="B13" s="961"/>
      <c r="C13" s="964"/>
      <c r="D13" s="178"/>
      <c r="E13" s="965"/>
      <c r="F13" s="966"/>
      <c r="G13" s="967">
        <f>SUM(G15:G16)</f>
        <v>5282329.1400000006</v>
      </c>
      <c r="H13" s="968">
        <f>SUM(H15:H16)</f>
        <v>5260329.1400000006</v>
      </c>
    </row>
    <row r="14" spans="1:8">
      <c r="A14" s="964" t="s">
        <v>1423</v>
      </c>
      <c r="B14" s="961"/>
      <c r="C14" s="961"/>
      <c r="D14" s="962"/>
      <c r="E14" s="965"/>
      <c r="F14" s="448"/>
      <c r="G14" s="969"/>
      <c r="H14" s="970"/>
    </row>
    <row r="15" spans="1:8">
      <c r="A15" s="964"/>
      <c r="B15" s="961"/>
      <c r="C15" s="964" t="s">
        <v>1418</v>
      </c>
      <c r="D15" s="178" t="s">
        <v>1419</v>
      </c>
      <c r="E15" s="965">
        <v>2015</v>
      </c>
      <c r="F15" s="966" t="s">
        <v>1420</v>
      </c>
      <c r="G15" s="969">
        <v>5282328.1500000004</v>
      </c>
      <c r="H15" s="970">
        <v>5260328.1500000004</v>
      </c>
    </row>
    <row r="16" spans="1:8">
      <c r="A16" s="964"/>
      <c r="B16" s="961"/>
      <c r="C16" s="964" t="s">
        <v>1424</v>
      </c>
      <c r="D16" s="178" t="s">
        <v>1425</v>
      </c>
      <c r="E16" s="965">
        <v>2013</v>
      </c>
      <c r="F16" s="966" t="s">
        <v>1420</v>
      </c>
      <c r="G16" s="969">
        <v>0.99</v>
      </c>
      <c r="H16" s="970">
        <v>0.99</v>
      </c>
    </row>
    <row r="17" spans="1:8">
      <c r="A17" s="961"/>
      <c r="B17" s="961"/>
      <c r="C17" s="961"/>
      <c r="D17" s="962"/>
      <c r="E17" s="965"/>
      <c r="F17" s="448"/>
      <c r="G17" s="969"/>
      <c r="H17" s="970"/>
    </row>
    <row r="18" spans="1:8">
      <c r="A18" s="964" t="s">
        <v>486</v>
      </c>
      <c r="B18" s="961"/>
      <c r="C18" s="964"/>
      <c r="D18" s="178"/>
      <c r="E18" s="965"/>
      <c r="F18" s="966"/>
      <c r="G18" s="967">
        <f>SUM(G19:G21)</f>
        <v>262868.66000000003</v>
      </c>
      <c r="H18" s="968">
        <f>SUM(H19:H21)</f>
        <v>257250.54</v>
      </c>
    </row>
    <row r="19" spans="1:8">
      <c r="A19" s="964"/>
      <c r="B19" s="961"/>
      <c r="C19" s="964" t="s">
        <v>1418</v>
      </c>
      <c r="D19" s="178" t="s">
        <v>1419</v>
      </c>
      <c r="E19" s="965">
        <v>2015</v>
      </c>
      <c r="F19" s="966" t="s">
        <v>1420</v>
      </c>
      <c r="G19" s="972">
        <v>243255.42</v>
      </c>
      <c r="H19" s="973">
        <v>244138.42</v>
      </c>
    </row>
    <row r="20" spans="1:8">
      <c r="A20" s="964"/>
      <c r="B20" s="961"/>
      <c r="C20" s="964" t="s">
        <v>1424</v>
      </c>
      <c r="D20" s="178"/>
      <c r="E20" s="965"/>
      <c r="F20" s="966" t="s">
        <v>1420</v>
      </c>
      <c r="G20" s="972">
        <v>19613</v>
      </c>
      <c r="H20" s="973">
        <v>13111.88</v>
      </c>
    </row>
    <row r="21" spans="1:8">
      <c r="A21" s="964"/>
      <c r="B21" s="961"/>
      <c r="C21" s="964" t="s">
        <v>1424</v>
      </c>
      <c r="D21" s="178"/>
      <c r="E21" s="965"/>
      <c r="F21" s="966" t="s">
        <v>1420</v>
      </c>
      <c r="G21" s="972">
        <v>0.24</v>
      </c>
      <c r="H21" s="973">
        <v>0.24</v>
      </c>
    </row>
    <row r="22" spans="1:8">
      <c r="A22" s="961"/>
      <c r="B22" s="961"/>
      <c r="C22" s="961"/>
      <c r="D22" s="962"/>
      <c r="E22" s="965"/>
      <c r="F22" s="448"/>
      <c r="G22" s="969"/>
      <c r="H22" s="970"/>
    </row>
    <row r="23" spans="1:8">
      <c r="A23" s="964" t="s">
        <v>487</v>
      </c>
      <c r="B23" s="961"/>
      <c r="C23" s="964"/>
      <c r="D23" s="178"/>
      <c r="E23" s="965"/>
      <c r="F23" s="966"/>
      <c r="G23" s="967">
        <f>SUM(G24:G33)</f>
        <v>14521363.640000001</v>
      </c>
      <c r="H23" s="968">
        <f>SUM(H25:H33)</f>
        <v>15325651.889999999</v>
      </c>
    </row>
    <row r="24" spans="1:8">
      <c r="A24" s="964" t="s">
        <v>1426</v>
      </c>
      <c r="B24" s="961"/>
      <c r="C24" s="964"/>
      <c r="D24" s="178"/>
      <c r="E24" s="965"/>
      <c r="F24" s="962"/>
      <c r="G24" s="969"/>
      <c r="H24" s="970"/>
    </row>
    <row r="25" spans="1:8">
      <c r="A25" s="964" t="s">
        <v>1427</v>
      </c>
      <c r="B25" s="961"/>
      <c r="C25" s="964" t="s">
        <v>1418</v>
      </c>
      <c r="D25" s="178" t="s">
        <v>1419</v>
      </c>
      <c r="E25" s="965">
        <v>2008</v>
      </c>
      <c r="F25" s="966" t="s">
        <v>1420</v>
      </c>
      <c r="G25" s="969">
        <f>13424284.41</f>
        <v>13424284.41</v>
      </c>
      <c r="H25" s="970">
        <v>14240863.699999999</v>
      </c>
    </row>
    <row r="26" spans="1:8">
      <c r="A26" s="964" t="s">
        <v>1426</v>
      </c>
      <c r="B26" s="961"/>
      <c r="C26" s="961"/>
      <c r="D26" s="962"/>
      <c r="E26" s="961"/>
      <c r="F26" s="962"/>
      <c r="G26" s="969"/>
      <c r="H26" s="970"/>
    </row>
    <row r="27" spans="1:8">
      <c r="A27" s="964" t="s">
        <v>1427</v>
      </c>
      <c r="B27" s="961"/>
      <c r="C27" s="964" t="s">
        <v>1424</v>
      </c>
      <c r="D27" s="178" t="s">
        <v>1428</v>
      </c>
      <c r="E27" s="965">
        <v>2005</v>
      </c>
      <c r="F27" s="966" t="s">
        <v>1420</v>
      </c>
      <c r="G27" s="969">
        <v>0.86</v>
      </c>
      <c r="H27" s="970">
        <v>0.86</v>
      </c>
    </row>
    <row r="28" spans="1:8">
      <c r="A28" s="964" t="s">
        <v>1429</v>
      </c>
      <c r="B28" s="961"/>
      <c r="C28" s="964" t="s">
        <v>1418</v>
      </c>
      <c r="D28" s="178" t="s">
        <v>1419</v>
      </c>
      <c r="E28" s="965">
        <v>2008</v>
      </c>
      <c r="F28" s="966" t="s">
        <v>1420</v>
      </c>
      <c r="G28" s="969">
        <v>355137.36</v>
      </c>
      <c r="H28" s="970">
        <v>367546.53</v>
      </c>
    </row>
    <row r="29" spans="1:8">
      <c r="A29" s="964" t="s">
        <v>1430</v>
      </c>
      <c r="B29" s="961"/>
      <c r="C29" s="964" t="s">
        <v>1418</v>
      </c>
      <c r="D29" s="178" t="s">
        <v>1419</v>
      </c>
      <c r="E29" s="965">
        <v>2008</v>
      </c>
      <c r="F29" s="966" t="s">
        <v>1420</v>
      </c>
      <c r="G29" s="969">
        <v>221249.14</v>
      </c>
      <c r="H29" s="970">
        <v>196031.19</v>
      </c>
    </row>
    <row r="30" spans="1:8">
      <c r="A30" s="964" t="s">
        <v>1431</v>
      </c>
      <c r="B30" s="961"/>
      <c r="C30" s="964" t="s">
        <v>1418</v>
      </c>
      <c r="D30" s="178" t="s">
        <v>1419</v>
      </c>
      <c r="E30" s="965">
        <v>2008</v>
      </c>
      <c r="F30" s="966" t="s">
        <v>1420</v>
      </c>
      <c r="G30" s="969">
        <v>377897</v>
      </c>
      <c r="H30" s="970">
        <v>377897</v>
      </c>
    </row>
    <row r="31" spans="1:8">
      <c r="A31" s="964" t="s">
        <v>1432</v>
      </c>
      <c r="B31" s="961"/>
      <c r="C31" s="964" t="s">
        <v>1418</v>
      </c>
      <c r="D31" s="178" t="s">
        <v>1419</v>
      </c>
      <c r="E31" s="965">
        <v>2008</v>
      </c>
      <c r="F31" s="966" t="s">
        <v>1420</v>
      </c>
      <c r="G31" s="969">
        <v>6760.99</v>
      </c>
      <c r="H31" s="970">
        <v>7273.71</v>
      </c>
    </row>
    <row r="32" spans="1:8">
      <c r="A32" s="964" t="s">
        <v>1433</v>
      </c>
      <c r="B32" s="961"/>
      <c r="C32" s="964" t="s">
        <v>1418</v>
      </c>
      <c r="D32" s="178" t="s">
        <v>1419</v>
      </c>
      <c r="E32" s="965">
        <v>2008</v>
      </c>
      <c r="F32" s="966" t="s">
        <v>1420</v>
      </c>
      <c r="G32" s="969">
        <v>842.89</v>
      </c>
      <c r="H32" s="970">
        <v>847.91</v>
      </c>
    </row>
    <row r="33" spans="1:8">
      <c r="A33" s="964" t="s">
        <v>1434</v>
      </c>
      <c r="B33" s="961"/>
      <c r="C33" s="964" t="s">
        <v>1418</v>
      </c>
      <c r="D33" s="178" t="s">
        <v>1419</v>
      </c>
      <c r="E33" s="965">
        <v>2008</v>
      </c>
      <c r="F33" s="966" t="s">
        <v>1420</v>
      </c>
      <c r="G33" s="969">
        <v>135190.99</v>
      </c>
      <c r="H33" s="970">
        <v>135190.99</v>
      </c>
    </row>
    <row r="34" spans="1:8">
      <c r="A34" s="964" t="s">
        <v>1435</v>
      </c>
      <c r="B34" s="961"/>
      <c r="C34" s="964" t="s">
        <v>1424</v>
      </c>
      <c r="D34" s="974" t="s">
        <v>1436</v>
      </c>
      <c r="E34" s="965">
        <v>2019</v>
      </c>
      <c r="F34" s="966" t="s">
        <v>1420</v>
      </c>
      <c r="G34" s="969">
        <v>224216747.33000001</v>
      </c>
      <c r="H34" s="970">
        <v>186617841.62</v>
      </c>
    </row>
    <row r="35" spans="1:8">
      <c r="A35" s="964"/>
      <c r="B35" s="961"/>
      <c r="C35" s="961"/>
      <c r="D35" s="962"/>
      <c r="E35" s="961"/>
      <c r="F35" s="962"/>
      <c r="G35" s="969"/>
      <c r="H35" s="963"/>
    </row>
    <row r="36" spans="1:8">
      <c r="A36" s="961"/>
      <c r="B36" s="961"/>
      <c r="C36" s="961"/>
      <c r="D36" s="962"/>
      <c r="E36" s="961"/>
      <c r="F36" s="962"/>
      <c r="G36" s="961"/>
      <c r="H36" s="963"/>
    </row>
    <row r="37" spans="1:8">
      <c r="A37" s="975"/>
      <c r="B37" s="975"/>
      <c r="C37" s="975"/>
      <c r="D37" s="976"/>
      <c r="E37" s="975"/>
      <c r="F37" s="976"/>
      <c r="G37" s="975"/>
      <c r="H37" s="977"/>
    </row>
    <row r="41" spans="1:8" ht="15.75">
      <c r="A41" s="875" t="s">
        <v>1437</v>
      </c>
      <c r="B41" s="978"/>
      <c r="C41" s="978"/>
      <c r="D41" s="978"/>
      <c r="E41" s="978"/>
      <c r="F41" s="978"/>
      <c r="G41" s="978"/>
      <c r="H41" s="978"/>
    </row>
    <row r="42" spans="1:8" ht="15.75">
      <c r="A42" s="215" t="s">
        <v>494</v>
      </c>
      <c r="B42" s="297"/>
      <c r="C42" s="297"/>
      <c r="D42" s="297"/>
      <c r="E42" s="297"/>
      <c r="F42" s="297"/>
      <c r="G42" s="297"/>
      <c r="H42" s="297"/>
    </row>
    <row r="43" spans="1:8" ht="15.75" thickBot="1">
      <c r="A43" s="875" t="s">
        <v>537</v>
      </c>
      <c r="B43" s="295"/>
      <c r="C43" s="295"/>
      <c r="D43" s="295"/>
      <c r="E43" s="295"/>
      <c r="F43" s="295"/>
      <c r="G43" s="295"/>
      <c r="H43" s="295"/>
    </row>
    <row r="44" spans="1:8" ht="15.75" thickBot="1">
      <c r="A44" s="1392" t="s">
        <v>1410</v>
      </c>
      <c r="B44" s="1392" t="s">
        <v>1411</v>
      </c>
      <c r="C44" s="1393" t="s">
        <v>1409</v>
      </c>
      <c r="D44" s="1291"/>
      <c r="E44" s="1291"/>
      <c r="F44" s="1291"/>
      <c r="G44" s="1291"/>
      <c r="H44" s="1291"/>
    </row>
    <row r="45" spans="1:8" ht="25.5" thickBot="1">
      <c r="A45" s="1345"/>
      <c r="B45" s="1345"/>
      <c r="C45" s="979" t="s">
        <v>1438</v>
      </c>
      <c r="D45" s="980" t="s">
        <v>1413</v>
      </c>
      <c r="E45" s="981" t="s">
        <v>1439</v>
      </c>
      <c r="F45" s="982" t="s">
        <v>1415</v>
      </c>
      <c r="G45" s="982" t="s">
        <v>1440</v>
      </c>
      <c r="H45" s="982" t="s">
        <v>1441</v>
      </c>
    </row>
    <row r="46" spans="1:8">
      <c r="A46" s="226"/>
      <c r="B46" s="983"/>
      <c r="C46" s="984"/>
      <c r="D46" s="985"/>
      <c r="E46" s="986"/>
      <c r="F46" s="984"/>
      <c r="G46" s="984"/>
      <c r="H46" s="984"/>
    </row>
    <row r="47" spans="1:8">
      <c r="A47" s="235" t="s">
        <v>482</v>
      </c>
      <c r="B47" s="658" t="s">
        <v>1442</v>
      </c>
      <c r="C47" s="984" t="s">
        <v>1424</v>
      </c>
      <c r="D47" s="985"/>
      <c r="E47" s="986"/>
      <c r="F47" s="984" t="s">
        <v>1420</v>
      </c>
      <c r="G47" s="984">
        <v>11405</v>
      </c>
      <c r="H47" s="984">
        <v>495574</v>
      </c>
    </row>
    <row r="48" spans="1:8">
      <c r="A48" s="235"/>
      <c r="B48" s="658"/>
      <c r="C48" s="984"/>
      <c r="D48" s="985"/>
      <c r="E48" s="986"/>
      <c r="F48" s="984"/>
      <c r="G48" s="984"/>
      <c r="H48" s="984"/>
    </row>
    <row r="49" spans="1:8">
      <c r="A49" s="235" t="s">
        <v>483</v>
      </c>
      <c r="B49" s="658" t="s">
        <v>1442</v>
      </c>
      <c r="C49" s="984" t="s">
        <v>1424</v>
      </c>
      <c r="D49" s="985"/>
      <c r="E49" s="986"/>
      <c r="F49" s="984" t="s">
        <v>1420</v>
      </c>
      <c r="G49" s="984">
        <v>9531</v>
      </c>
      <c r="H49" s="984">
        <v>309845</v>
      </c>
    </row>
    <row r="50" spans="1:8">
      <c r="A50" s="235"/>
      <c r="B50" s="658"/>
      <c r="C50" s="984"/>
      <c r="D50" s="985"/>
      <c r="E50" s="986"/>
      <c r="F50" s="984"/>
      <c r="G50" s="984"/>
      <c r="H50" s="984"/>
    </row>
    <row r="51" spans="1:8">
      <c r="A51" s="235" t="s">
        <v>484</v>
      </c>
      <c r="B51" s="658"/>
      <c r="C51" s="984"/>
      <c r="D51" s="985"/>
      <c r="E51" s="986"/>
      <c r="F51" s="984"/>
      <c r="G51" s="984"/>
      <c r="H51" s="984"/>
    </row>
    <row r="52" spans="1:8">
      <c r="A52" s="235" t="s">
        <v>1443</v>
      </c>
      <c r="B52" s="658"/>
      <c r="C52" s="984"/>
      <c r="D52" s="985"/>
      <c r="E52" s="986"/>
      <c r="F52" s="984"/>
      <c r="G52" s="984"/>
      <c r="H52" s="984"/>
    </row>
    <row r="53" spans="1:8">
      <c r="A53" s="235"/>
      <c r="B53" s="658"/>
      <c r="C53" s="984"/>
      <c r="D53" s="985"/>
      <c r="E53" s="986"/>
      <c r="F53" s="984"/>
      <c r="G53" s="984"/>
      <c r="H53" s="984"/>
    </row>
    <row r="54" spans="1:8">
      <c r="A54" s="235" t="s">
        <v>486</v>
      </c>
      <c r="B54" s="658" t="s">
        <v>1442</v>
      </c>
      <c r="C54" s="984" t="s">
        <v>1424</v>
      </c>
      <c r="D54" s="985"/>
      <c r="E54" s="986"/>
      <c r="F54" s="984" t="s">
        <v>1420</v>
      </c>
      <c r="G54" s="984">
        <v>0</v>
      </c>
      <c r="H54" s="984">
        <v>43970</v>
      </c>
    </row>
    <row r="55" spans="1:8">
      <c r="A55" s="235"/>
      <c r="B55" s="658"/>
      <c r="C55" s="984"/>
      <c r="D55" s="985"/>
      <c r="E55" s="986"/>
      <c r="F55" s="984"/>
      <c r="G55" s="984"/>
      <c r="H55" s="984"/>
    </row>
    <row r="56" spans="1:8">
      <c r="A56" s="235" t="s">
        <v>487</v>
      </c>
      <c r="B56" s="658" t="s">
        <v>1442</v>
      </c>
      <c r="C56" s="984" t="s">
        <v>1424</v>
      </c>
      <c r="D56" s="985"/>
      <c r="E56" s="986"/>
      <c r="F56" s="984" t="s">
        <v>1420</v>
      </c>
      <c r="G56" s="984">
        <f>SUM(G58:G63)</f>
        <v>1472973</v>
      </c>
      <c r="H56" s="984">
        <f>SUM(H58:H63)</f>
        <v>654681</v>
      </c>
    </row>
    <row r="57" spans="1:8">
      <c r="A57" s="235"/>
      <c r="B57" s="658"/>
      <c r="C57" s="984"/>
      <c r="D57" s="985"/>
      <c r="E57" s="986"/>
      <c r="F57" s="984"/>
      <c r="G57" s="984"/>
      <c r="H57" s="984"/>
    </row>
    <row r="58" spans="1:8">
      <c r="A58" s="235" t="s">
        <v>488</v>
      </c>
      <c r="B58" s="658"/>
      <c r="C58" s="984"/>
      <c r="D58" s="985"/>
      <c r="E58" s="986"/>
      <c r="F58" s="984"/>
      <c r="G58" s="984">
        <v>1472973</v>
      </c>
      <c r="H58" s="984">
        <v>654681</v>
      </c>
    </row>
    <row r="59" spans="1:8">
      <c r="A59" s="235" t="s">
        <v>489</v>
      </c>
      <c r="B59" s="658"/>
      <c r="C59" s="984"/>
      <c r="D59" s="985"/>
      <c r="E59" s="986"/>
      <c r="F59" s="984"/>
      <c r="G59" s="984"/>
      <c r="H59" s="984"/>
    </row>
    <row r="60" spans="1:8">
      <c r="A60" s="235" t="s">
        <v>490</v>
      </c>
      <c r="B60" s="658"/>
      <c r="C60" s="984"/>
      <c r="D60" s="985"/>
      <c r="E60" s="986"/>
      <c r="F60" s="984"/>
      <c r="G60" s="984"/>
      <c r="H60" s="984"/>
    </row>
    <row r="61" spans="1:8">
      <c r="A61" s="235" t="s">
        <v>491</v>
      </c>
      <c r="B61" s="658"/>
      <c r="C61" s="984"/>
      <c r="D61" s="985"/>
      <c r="E61" s="986"/>
      <c r="F61" s="984"/>
      <c r="G61" s="984"/>
      <c r="H61" s="984"/>
    </row>
    <row r="62" spans="1:8">
      <c r="A62" s="235" t="s">
        <v>492</v>
      </c>
      <c r="B62" s="658"/>
      <c r="C62" s="984"/>
      <c r="D62" s="985"/>
      <c r="E62" s="986"/>
      <c r="F62" s="984"/>
      <c r="G62" s="984"/>
      <c r="H62" s="984"/>
    </row>
    <row r="63" spans="1:8">
      <c r="A63" s="235" t="s">
        <v>1444</v>
      </c>
      <c r="B63" s="658"/>
      <c r="C63" s="984"/>
      <c r="D63" s="985"/>
      <c r="E63" s="986"/>
      <c r="F63" s="984"/>
      <c r="G63" s="984"/>
      <c r="H63" s="984"/>
    </row>
    <row r="64" spans="1:8" ht="15.75" thickBot="1">
      <c r="A64" s="667"/>
      <c r="B64" s="987"/>
      <c r="C64" s="658"/>
      <c r="D64" s="295"/>
      <c r="E64" s="235"/>
      <c r="F64" s="658"/>
      <c r="G64" s="658"/>
      <c r="H64" s="658"/>
    </row>
    <row r="65" spans="1:8" ht="15.75" thickBot="1">
      <c r="A65" s="988" t="s">
        <v>0</v>
      </c>
      <c r="B65" s="640"/>
      <c r="C65" s="989"/>
      <c r="D65" s="989"/>
      <c r="E65" s="989"/>
      <c r="F65" s="989"/>
      <c r="G65" s="989"/>
      <c r="H65" s="990"/>
    </row>
    <row r="68" spans="1:8" ht="15.75">
      <c r="A68" s="862" t="s">
        <v>1437</v>
      </c>
      <c r="B68" s="991"/>
      <c r="C68" s="991"/>
      <c r="D68" s="991"/>
      <c r="E68" s="991"/>
      <c r="F68" s="991"/>
      <c r="G68" s="991"/>
      <c r="H68" s="991"/>
    </row>
    <row r="69" spans="1:8" ht="15.75">
      <c r="A69" s="1330" t="s">
        <v>578</v>
      </c>
      <c r="B69" s="1330"/>
      <c r="C69" s="1330"/>
      <c r="D69" s="378"/>
      <c r="E69" s="378"/>
      <c r="F69" s="378"/>
      <c r="G69" s="378"/>
      <c r="H69" s="378"/>
    </row>
    <row r="70" spans="1:8" ht="15.75" thickBot="1">
      <c r="A70" s="1339" t="s">
        <v>579</v>
      </c>
      <c r="B70" s="1339"/>
      <c r="C70" s="300"/>
      <c r="D70" s="402"/>
      <c r="E70" s="402"/>
      <c r="F70" s="402"/>
      <c r="G70" s="402"/>
      <c r="H70" s="402"/>
    </row>
    <row r="71" spans="1:8" ht="15.75" thickBot="1">
      <c r="A71" s="1414" t="s">
        <v>1410</v>
      </c>
      <c r="B71" s="1414" t="s">
        <v>1411</v>
      </c>
      <c r="C71" s="1415" t="s">
        <v>1409</v>
      </c>
      <c r="D71" s="1354"/>
      <c r="E71" s="1354"/>
      <c r="F71" s="1354"/>
      <c r="G71" s="1354"/>
      <c r="H71" s="1354"/>
    </row>
    <row r="72" spans="1:8" ht="25.5" thickBot="1">
      <c r="A72" s="1351"/>
      <c r="B72" s="1351"/>
      <c r="C72" s="992" t="s">
        <v>1438</v>
      </c>
      <c r="D72" s="993" t="s">
        <v>1413</v>
      </c>
      <c r="E72" s="994" t="s">
        <v>1439</v>
      </c>
      <c r="F72" s="995" t="s">
        <v>1415</v>
      </c>
      <c r="G72" s="995" t="s">
        <v>1440</v>
      </c>
      <c r="H72" s="995" t="s">
        <v>1441</v>
      </c>
    </row>
    <row r="73" spans="1:8">
      <c r="A73" s="694"/>
      <c r="B73" s="996"/>
      <c r="C73" s="997"/>
      <c r="D73" s="998"/>
      <c r="E73" s="999"/>
      <c r="F73" s="997"/>
      <c r="G73" s="997"/>
      <c r="H73" s="997"/>
    </row>
    <row r="74" spans="1:8">
      <c r="A74" s="695" t="s">
        <v>482</v>
      </c>
      <c r="B74" s="1000">
        <v>863</v>
      </c>
      <c r="C74" s="1001" t="s">
        <v>1424</v>
      </c>
      <c r="D74" s="1002" t="s">
        <v>1445</v>
      </c>
      <c r="E74" s="1003">
        <v>2005</v>
      </c>
      <c r="F74" s="1001" t="s">
        <v>1446</v>
      </c>
      <c r="G74" s="1001">
        <v>721918</v>
      </c>
      <c r="H74" s="1001">
        <v>7890335.2400000002</v>
      </c>
    </row>
    <row r="75" spans="1:8">
      <c r="A75" s="695"/>
      <c r="B75" s="1000"/>
      <c r="C75" s="1001"/>
      <c r="D75" s="1002"/>
      <c r="E75" s="1003"/>
      <c r="F75" s="1001"/>
      <c r="G75" s="1001"/>
      <c r="H75" s="1001"/>
    </row>
    <row r="76" spans="1:8">
      <c r="A76" s="695" t="s">
        <v>483</v>
      </c>
      <c r="B76" s="1000">
        <v>863</v>
      </c>
      <c r="C76" s="1001" t="s">
        <v>1424</v>
      </c>
      <c r="D76" s="1002" t="s">
        <v>1445</v>
      </c>
      <c r="E76" s="1003">
        <v>2013</v>
      </c>
      <c r="F76" s="1001" t="s">
        <v>1446</v>
      </c>
      <c r="G76" s="1001">
        <v>1520</v>
      </c>
      <c r="H76" s="1001">
        <v>52210.2</v>
      </c>
    </row>
    <row r="77" spans="1:8">
      <c r="A77" s="695"/>
      <c r="B77" s="1000"/>
      <c r="C77" s="1001"/>
      <c r="D77" s="1002"/>
      <c r="E77" s="1003"/>
      <c r="F77" s="1001"/>
      <c r="G77" s="1001"/>
      <c r="H77" s="1001"/>
    </row>
    <row r="78" spans="1:8">
      <c r="A78" s="695" t="s">
        <v>484</v>
      </c>
      <c r="B78" s="1000">
        <v>863</v>
      </c>
      <c r="C78" s="1001" t="s">
        <v>1424</v>
      </c>
      <c r="D78" s="1002" t="s">
        <v>1445</v>
      </c>
      <c r="E78" s="1003">
        <v>2016</v>
      </c>
      <c r="F78" s="1001" t="s">
        <v>1446</v>
      </c>
      <c r="G78" s="1004" t="s">
        <v>1447</v>
      </c>
      <c r="H78" s="1001">
        <v>1774829.08</v>
      </c>
    </row>
    <row r="79" spans="1:8">
      <c r="A79" s="695" t="s">
        <v>1443</v>
      </c>
      <c r="B79" s="698"/>
      <c r="C79" s="1001"/>
      <c r="D79" s="1002"/>
      <c r="E79" s="1003"/>
      <c r="F79" s="1001"/>
      <c r="G79" s="1001"/>
      <c r="H79" s="1001"/>
    </row>
    <row r="80" spans="1:8">
      <c r="A80" s="695"/>
      <c r="B80" s="698"/>
      <c r="C80" s="1001"/>
      <c r="D80" s="1002"/>
      <c r="E80" s="1003"/>
      <c r="F80" s="1001"/>
      <c r="G80" s="1001"/>
      <c r="H80" s="1001"/>
    </row>
    <row r="81" spans="1:9">
      <c r="A81" s="695" t="s">
        <v>486</v>
      </c>
      <c r="B81" s="1004" t="s">
        <v>1447</v>
      </c>
      <c r="C81" s="1004" t="s">
        <v>1447</v>
      </c>
      <c r="D81" s="1004" t="s">
        <v>1447</v>
      </c>
      <c r="E81" s="1004" t="s">
        <v>1447</v>
      </c>
      <c r="F81" s="1004" t="s">
        <v>1447</v>
      </c>
      <c r="G81" s="1004" t="s">
        <v>1447</v>
      </c>
      <c r="H81" s="1004" t="s">
        <v>1447</v>
      </c>
    </row>
    <row r="82" spans="1:9">
      <c r="A82" s="695"/>
      <c r="B82" s="1000"/>
      <c r="C82" s="1001"/>
      <c r="D82" s="1002"/>
      <c r="E82" s="1003"/>
      <c r="F82" s="1001"/>
      <c r="G82" s="1001"/>
      <c r="H82" s="1001"/>
    </row>
    <row r="83" spans="1:9">
      <c r="A83" s="695" t="s">
        <v>487</v>
      </c>
      <c r="B83" s="1000"/>
      <c r="C83" s="1001"/>
      <c r="D83" s="1002"/>
      <c r="E83" s="1003"/>
      <c r="F83" s="1001"/>
      <c r="G83" s="1001"/>
      <c r="H83" s="1001"/>
    </row>
    <row r="84" spans="1:9">
      <c r="A84" s="695"/>
      <c r="B84" s="1000"/>
      <c r="C84" s="1001"/>
      <c r="D84" s="1002"/>
      <c r="E84" s="1003"/>
      <c r="F84" s="1001"/>
      <c r="G84" s="1001"/>
      <c r="H84" s="1001"/>
    </row>
    <row r="85" spans="1:9">
      <c r="A85" s="695" t="s">
        <v>488</v>
      </c>
      <c r="B85" s="1000">
        <v>863</v>
      </c>
      <c r="C85" s="1001" t="s">
        <v>1424</v>
      </c>
      <c r="D85" s="1002" t="s">
        <v>1445</v>
      </c>
      <c r="E85" s="1003">
        <v>2008</v>
      </c>
      <c r="F85" s="1001" t="s">
        <v>1446</v>
      </c>
      <c r="G85" s="1004" t="s">
        <v>1447</v>
      </c>
      <c r="H85" s="1001">
        <v>58011.6</v>
      </c>
    </row>
    <row r="86" spans="1:9">
      <c r="A86" s="695" t="s">
        <v>489</v>
      </c>
      <c r="B86" s="1000"/>
      <c r="C86" s="1001"/>
      <c r="D86" s="1002"/>
      <c r="E86" s="1003"/>
      <c r="F86" s="1001"/>
      <c r="G86" s="1001"/>
      <c r="H86" s="1001"/>
    </row>
    <row r="87" spans="1:9">
      <c r="A87" s="695" t="s">
        <v>490</v>
      </c>
      <c r="B87" s="1004" t="s">
        <v>1447</v>
      </c>
      <c r="C87" s="1004" t="s">
        <v>1447</v>
      </c>
      <c r="D87" s="1004" t="s">
        <v>1447</v>
      </c>
      <c r="E87" s="1004" t="s">
        <v>1447</v>
      </c>
      <c r="F87" s="1004" t="s">
        <v>1447</v>
      </c>
      <c r="G87" s="1004" t="s">
        <v>1447</v>
      </c>
      <c r="H87" s="1004" t="s">
        <v>1447</v>
      </c>
    </row>
    <row r="88" spans="1:9">
      <c r="A88" s="695" t="s">
        <v>491</v>
      </c>
      <c r="B88" s="1004" t="s">
        <v>1448</v>
      </c>
      <c r="C88" s="1004" t="s">
        <v>1448</v>
      </c>
      <c r="D88" s="1004" t="s">
        <v>1448</v>
      </c>
      <c r="E88" s="1004" t="s">
        <v>1448</v>
      </c>
      <c r="F88" s="1004" t="s">
        <v>1448</v>
      </c>
      <c r="G88" s="1004" t="s">
        <v>1448</v>
      </c>
      <c r="H88" s="1004" t="s">
        <v>1448</v>
      </c>
    </row>
    <row r="89" spans="1:9">
      <c r="A89" s="695" t="s">
        <v>492</v>
      </c>
      <c r="B89" s="1004" t="s">
        <v>1447</v>
      </c>
      <c r="C89" s="1004" t="s">
        <v>1447</v>
      </c>
      <c r="D89" s="1004" t="s">
        <v>1447</v>
      </c>
      <c r="E89" s="1004" t="s">
        <v>1447</v>
      </c>
      <c r="F89" s="1004" t="s">
        <v>1447</v>
      </c>
      <c r="G89" s="1004" t="s">
        <v>1447</v>
      </c>
      <c r="H89" s="1004" t="s">
        <v>1447</v>
      </c>
    </row>
    <row r="90" spans="1:9">
      <c r="A90" s="695" t="s">
        <v>1444</v>
      </c>
      <c r="B90" s="1004" t="s">
        <v>1447</v>
      </c>
      <c r="C90" s="1004" t="s">
        <v>1447</v>
      </c>
      <c r="D90" s="1004" t="s">
        <v>1447</v>
      </c>
      <c r="E90" s="1004" t="s">
        <v>1447</v>
      </c>
      <c r="F90" s="1004" t="s">
        <v>1447</v>
      </c>
      <c r="G90" s="1004" t="s">
        <v>1447</v>
      </c>
      <c r="H90" s="1004" t="s">
        <v>1447</v>
      </c>
    </row>
    <row r="91" spans="1:9" ht="15.75" thickBot="1">
      <c r="A91" s="705"/>
      <c r="B91" s="716"/>
      <c r="C91" s="698"/>
      <c r="D91" s="402"/>
      <c r="E91" s="695"/>
      <c r="F91" s="698"/>
      <c r="G91" s="698"/>
      <c r="H91" s="698"/>
    </row>
    <row r="92" spans="1:9" ht="15.75" thickBot="1">
      <c r="A92" s="1005" t="s">
        <v>0</v>
      </c>
      <c r="B92" s="710"/>
      <c r="C92" s="1006"/>
      <c r="D92" s="1006"/>
      <c r="E92" s="1006"/>
      <c r="F92" s="1006"/>
      <c r="G92" s="1006"/>
      <c r="H92" s="1007"/>
    </row>
    <row r="95" spans="1:9" ht="15.75">
      <c r="A95" s="875" t="s">
        <v>1437</v>
      </c>
      <c r="B95" s="978"/>
      <c r="C95" s="978"/>
      <c r="D95" s="978"/>
      <c r="E95" s="978"/>
      <c r="F95" s="978"/>
      <c r="G95" s="978"/>
      <c r="H95" s="978"/>
      <c r="I95" s="978"/>
    </row>
    <row r="96" spans="1:9" ht="15.75">
      <c r="A96" s="35" t="s">
        <v>456</v>
      </c>
      <c r="B96" s="128"/>
      <c r="C96" s="128"/>
      <c r="D96" s="297"/>
      <c r="E96" s="297"/>
      <c r="F96" s="297"/>
      <c r="G96" s="297"/>
      <c r="H96" s="297"/>
      <c r="I96" s="297"/>
    </row>
    <row r="97" spans="1:9" ht="15.75" thickBot="1">
      <c r="A97" s="35" t="s">
        <v>457</v>
      </c>
      <c r="B97" s="35"/>
      <c r="C97" s="35"/>
      <c r="D97" s="295"/>
      <c r="E97" s="295"/>
      <c r="F97" s="295"/>
      <c r="G97" s="295"/>
      <c r="H97" s="295"/>
      <c r="I97" s="295"/>
    </row>
    <row r="98" spans="1:9" ht="15.75" thickBot="1">
      <c r="A98" s="1392" t="s">
        <v>1410</v>
      </c>
      <c r="B98" s="1392" t="s">
        <v>1411</v>
      </c>
      <c r="C98" s="1416" t="s">
        <v>1409</v>
      </c>
      <c r="D98" s="1417"/>
      <c r="E98" s="1417"/>
      <c r="F98" s="1417"/>
      <c r="G98" s="1417"/>
      <c r="H98" s="1417"/>
      <c r="I98" s="1417"/>
    </row>
    <row r="99" spans="1:9" ht="25.5" thickBot="1">
      <c r="A99" s="1345"/>
      <c r="B99" s="1345"/>
      <c r="C99" s="979" t="s">
        <v>1438</v>
      </c>
      <c r="D99" s="980" t="s">
        <v>1413</v>
      </c>
      <c r="E99" s="981" t="s">
        <v>1439</v>
      </c>
      <c r="F99" s="982" t="s">
        <v>1415</v>
      </c>
      <c r="G99" s="982" t="s">
        <v>1440</v>
      </c>
      <c r="H99" s="982" t="s">
        <v>1441</v>
      </c>
      <c r="I99" s="982" t="s">
        <v>1449</v>
      </c>
    </row>
    <row r="100" spans="1:9">
      <c r="A100" s="226"/>
      <c r="B100" s="1008"/>
      <c r="C100" s="1009"/>
      <c r="D100" s="985"/>
      <c r="E100" s="986"/>
      <c r="F100" s="1009"/>
      <c r="G100" s="984"/>
      <c r="H100" s="984"/>
      <c r="I100" s="984"/>
    </row>
    <row r="101" spans="1:9">
      <c r="A101" s="235" t="s">
        <v>482</v>
      </c>
      <c r="B101" s="1010"/>
      <c r="C101" s="1009"/>
      <c r="D101" s="985"/>
      <c r="E101" s="986"/>
      <c r="F101" s="1009"/>
      <c r="G101" s="984"/>
      <c r="H101" s="984"/>
      <c r="I101" s="984"/>
    </row>
    <row r="102" spans="1:9">
      <c r="A102" s="235"/>
      <c r="B102" s="1011"/>
      <c r="C102" s="1009"/>
      <c r="D102" s="985"/>
      <c r="E102" s="986"/>
      <c r="F102" s="1009"/>
      <c r="G102" s="984"/>
      <c r="H102" s="984"/>
      <c r="I102" s="984"/>
    </row>
    <row r="103" spans="1:9">
      <c r="A103" s="235" t="s">
        <v>483</v>
      </c>
      <c r="B103" s="1010" t="s">
        <v>1450</v>
      </c>
      <c r="C103" s="1009" t="s">
        <v>1424</v>
      </c>
      <c r="D103" s="985" t="s">
        <v>1451</v>
      </c>
      <c r="E103" s="986"/>
      <c r="F103" s="1009" t="s">
        <v>1452</v>
      </c>
      <c r="G103" s="984"/>
      <c r="H103" s="1012">
        <v>120601.5</v>
      </c>
      <c r="I103" s="1012">
        <v>172418.93</v>
      </c>
    </row>
    <row r="104" spans="1:9">
      <c r="A104" s="235"/>
      <c r="B104" s="1011"/>
      <c r="C104" s="1009"/>
      <c r="D104" s="985"/>
      <c r="E104" s="986"/>
      <c r="F104" s="1009"/>
      <c r="G104" s="984"/>
      <c r="H104" s="984"/>
      <c r="I104" s="984"/>
    </row>
    <row r="105" spans="1:9">
      <c r="A105" s="235" t="s">
        <v>484</v>
      </c>
      <c r="B105" s="1011"/>
      <c r="C105" s="1009"/>
      <c r="D105" s="985"/>
      <c r="E105" s="986"/>
      <c r="F105" s="1009"/>
      <c r="G105" s="984"/>
      <c r="H105" s="984"/>
      <c r="I105" s="984"/>
    </row>
    <row r="106" spans="1:9">
      <c r="A106" s="235" t="s">
        <v>1443</v>
      </c>
      <c r="B106" s="1011"/>
      <c r="C106" s="1009"/>
      <c r="D106" s="985"/>
      <c r="E106" s="986"/>
      <c r="F106" s="1009"/>
      <c r="G106" s="984"/>
      <c r="H106" s="984"/>
      <c r="I106" s="984"/>
    </row>
    <row r="107" spans="1:9">
      <c r="A107" s="235"/>
      <c r="B107" s="1011"/>
      <c r="C107" s="1009"/>
      <c r="D107" s="985"/>
      <c r="E107" s="986"/>
      <c r="F107" s="1009"/>
      <c r="G107" s="984"/>
      <c r="H107" s="984"/>
      <c r="I107" s="984"/>
    </row>
    <row r="108" spans="1:9">
      <c r="A108" s="235" t="s">
        <v>1453</v>
      </c>
      <c r="B108" s="1010" t="s">
        <v>1450</v>
      </c>
      <c r="C108" s="1009" t="s">
        <v>1424</v>
      </c>
      <c r="D108" s="985" t="s">
        <v>1454</v>
      </c>
      <c r="E108" s="986"/>
      <c r="F108" s="1009" t="s">
        <v>1452</v>
      </c>
      <c r="G108" s="984"/>
      <c r="H108" s="1012">
        <v>43347.88</v>
      </c>
      <c r="I108" s="1013" t="s">
        <v>1455</v>
      </c>
    </row>
    <row r="109" spans="1:9">
      <c r="A109" s="235" t="s">
        <v>1456</v>
      </c>
      <c r="B109" s="1010" t="s">
        <v>1450</v>
      </c>
      <c r="C109" s="1009" t="s">
        <v>1424</v>
      </c>
      <c r="D109" s="985" t="s">
        <v>1457</v>
      </c>
      <c r="E109" s="986"/>
      <c r="F109" s="1009" t="s">
        <v>1452</v>
      </c>
      <c r="G109" s="984"/>
      <c r="H109" s="1012">
        <v>1720</v>
      </c>
      <c r="I109" s="1012">
        <v>1720</v>
      </c>
    </row>
    <row r="110" spans="1:9">
      <c r="A110" s="235"/>
      <c r="B110" s="1011"/>
      <c r="C110" s="1009"/>
      <c r="D110" s="985"/>
      <c r="E110" s="986"/>
      <c r="F110" s="1009"/>
      <c r="G110" s="984"/>
      <c r="H110" s="984"/>
      <c r="I110" s="984"/>
    </row>
    <row r="111" spans="1:9">
      <c r="A111" s="235" t="s">
        <v>487</v>
      </c>
      <c r="B111" s="1011"/>
      <c r="C111" s="1009"/>
      <c r="D111" s="985"/>
      <c r="E111" s="986"/>
      <c r="F111" s="1009"/>
      <c r="G111" s="984"/>
      <c r="H111" s="984"/>
      <c r="I111" s="984"/>
    </row>
    <row r="112" spans="1:9">
      <c r="A112" s="235"/>
      <c r="B112" s="1011"/>
      <c r="C112" s="1009"/>
      <c r="D112" s="985"/>
      <c r="E112" s="986"/>
      <c r="F112" s="1009"/>
      <c r="G112" s="984"/>
      <c r="H112" s="984"/>
      <c r="I112" s="984"/>
    </row>
    <row r="113" spans="1:9">
      <c r="A113" s="235" t="s">
        <v>488</v>
      </c>
      <c r="B113" s="1010" t="s">
        <v>1450</v>
      </c>
      <c r="C113" s="1009" t="s">
        <v>1424</v>
      </c>
      <c r="D113" s="985" t="s">
        <v>1458</v>
      </c>
      <c r="E113" s="986"/>
      <c r="F113" s="1009" t="s">
        <v>1452</v>
      </c>
      <c r="G113" s="984"/>
      <c r="H113" s="1012">
        <v>3524.35</v>
      </c>
      <c r="I113" s="1012">
        <v>1652.11</v>
      </c>
    </row>
    <row r="114" spans="1:9">
      <c r="A114" s="235" t="s">
        <v>489</v>
      </c>
      <c r="B114" s="1011"/>
      <c r="C114" s="1009"/>
      <c r="D114" s="985"/>
      <c r="E114" s="986"/>
      <c r="F114" s="1009"/>
      <c r="G114" s="984"/>
      <c r="H114" s="984"/>
      <c r="I114" s="984"/>
    </row>
    <row r="115" spans="1:9">
      <c r="A115" s="235" t="s">
        <v>488</v>
      </c>
      <c r="B115" s="1010" t="s">
        <v>1450</v>
      </c>
      <c r="C115" s="1009" t="s">
        <v>1424</v>
      </c>
      <c r="D115" s="985" t="s">
        <v>1459</v>
      </c>
      <c r="E115" s="986"/>
      <c r="F115" s="1009" t="s">
        <v>1452</v>
      </c>
      <c r="G115" s="984"/>
      <c r="H115" s="1012">
        <v>307.89999999999998</v>
      </c>
      <c r="I115" s="1012">
        <v>307.89999999999998</v>
      </c>
    </row>
    <row r="116" spans="1:9">
      <c r="A116" s="235" t="s">
        <v>1460</v>
      </c>
      <c r="B116" s="1011"/>
      <c r="C116" s="1009"/>
      <c r="D116" s="985"/>
      <c r="E116" s="986"/>
      <c r="F116" s="1009"/>
      <c r="G116" s="984"/>
      <c r="H116" s="984"/>
      <c r="I116" s="984"/>
    </row>
    <row r="117" spans="1:9">
      <c r="A117" s="235" t="s">
        <v>1461</v>
      </c>
      <c r="B117" s="1010" t="s">
        <v>1450</v>
      </c>
      <c r="C117" s="1009" t="s">
        <v>1424</v>
      </c>
      <c r="D117" s="985" t="s">
        <v>1462</v>
      </c>
      <c r="E117" s="986"/>
      <c r="F117" s="1009" t="s">
        <v>1452</v>
      </c>
      <c r="G117" s="984"/>
      <c r="H117" s="984"/>
      <c r="I117" s="1012">
        <v>25200</v>
      </c>
    </row>
    <row r="118" spans="1:9">
      <c r="A118" s="235" t="s">
        <v>490</v>
      </c>
      <c r="B118" s="1011"/>
      <c r="C118" s="1009"/>
      <c r="D118" s="985"/>
      <c r="E118" s="986"/>
      <c r="F118" s="1009"/>
      <c r="G118" s="984"/>
      <c r="H118" s="984"/>
      <c r="I118" s="984"/>
    </row>
    <row r="119" spans="1:9">
      <c r="A119" s="235" t="s">
        <v>491</v>
      </c>
      <c r="B119" s="1011"/>
      <c r="C119" s="1009"/>
      <c r="D119" s="985"/>
      <c r="E119" s="986"/>
      <c r="F119" s="1009"/>
      <c r="G119" s="984"/>
      <c r="H119" s="984"/>
      <c r="I119" s="984"/>
    </row>
    <row r="120" spans="1:9">
      <c r="A120" s="235" t="s">
        <v>492</v>
      </c>
      <c r="B120" s="1011"/>
      <c r="C120" s="1009"/>
      <c r="D120" s="985"/>
      <c r="E120" s="986"/>
      <c r="F120" s="1009"/>
      <c r="G120" s="984"/>
      <c r="H120" s="984"/>
      <c r="I120" s="984"/>
    </row>
    <row r="121" spans="1:9">
      <c r="A121" s="235" t="s">
        <v>1444</v>
      </c>
      <c r="B121" s="1011"/>
      <c r="C121" s="1009"/>
      <c r="D121" s="985"/>
      <c r="E121" s="986"/>
      <c r="F121" s="1009"/>
      <c r="G121" s="984"/>
      <c r="H121" s="984"/>
      <c r="I121" s="984"/>
    </row>
    <row r="122" spans="1:9">
      <c r="A122" s="235" t="s">
        <v>1463</v>
      </c>
      <c r="B122" s="1010" t="s">
        <v>1450</v>
      </c>
      <c r="C122" s="1009" t="s">
        <v>1424</v>
      </c>
      <c r="D122" s="985" t="s">
        <v>1464</v>
      </c>
      <c r="E122" s="986"/>
      <c r="F122" s="1009" t="s">
        <v>1452</v>
      </c>
      <c r="G122" s="984"/>
      <c r="H122" s="1012">
        <v>142.16999999999999</v>
      </c>
      <c r="I122" s="1012">
        <v>0.15</v>
      </c>
    </row>
    <row r="123" spans="1:9">
      <c r="A123" s="235" t="s">
        <v>1465</v>
      </c>
      <c r="B123" s="1010" t="s">
        <v>1450</v>
      </c>
      <c r="C123" s="1009" t="s">
        <v>1424</v>
      </c>
      <c r="D123" s="985" t="s">
        <v>1466</v>
      </c>
      <c r="E123" s="986"/>
      <c r="F123" s="1009" t="s">
        <v>1452</v>
      </c>
      <c r="G123" s="984"/>
      <c r="H123" s="1012">
        <v>2617.58</v>
      </c>
      <c r="I123" s="1012">
        <v>0</v>
      </c>
    </row>
    <row r="124" spans="1:9">
      <c r="A124" s="235" t="s">
        <v>1467</v>
      </c>
      <c r="B124" s="1011"/>
      <c r="C124" s="1009"/>
      <c r="D124" s="985"/>
      <c r="E124" s="986"/>
      <c r="F124" s="1009"/>
      <c r="G124" s="984"/>
      <c r="H124" s="984"/>
      <c r="I124" s="984"/>
    </row>
    <row r="125" spans="1:9">
      <c r="A125" s="235" t="s">
        <v>1465</v>
      </c>
      <c r="B125" s="1010" t="s">
        <v>1450</v>
      </c>
      <c r="C125" s="1009" t="s">
        <v>1424</v>
      </c>
      <c r="D125" s="985" t="s">
        <v>1468</v>
      </c>
      <c r="E125" s="986"/>
      <c r="F125" s="1009" t="s">
        <v>1452</v>
      </c>
      <c r="G125" s="984"/>
      <c r="H125" s="1012">
        <v>0.83</v>
      </c>
      <c r="I125" s="1012">
        <v>0.83</v>
      </c>
    </row>
    <row r="126" spans="1:9">
      <c r="A126" s="235" t="s">
        <v>1465</v>
      </c>
      <c r="B126" s="1010" t="s">
        <v>1450</v>
      </c>
      <c r="C126" s="1009" t="s">
        <v>1424</v>
      </c>
      <c r="D126" s="985" t="s">
        <v>1469</v>
      </c>
      <c r="E126" s="986"/>
      <c r="F126" s="1009" t="s">
        <v>1452</v>
      </c>
      <c r="G126" s="984"/>
      <c r="H126" s="1012">
        <v>89647.49</v>
      </c>
      <c r="I126" s="1012">
        <v>0</v>
      </c>
    </row>
    <row r="127" spans="1:9">
      <c r="A127" s="235" t="s">
        <v>1470</v>
      </c>
      <c r="B127" s="1010"/>
      <c r="C127" s="1009"/>
      <c r="D127" s="985"/>
      <c r="E127" s="986"/>
      <c r="F127" s="1009"/>
      <c r="G127" s="984"/>
      <c r="H127" s="1012"/>
      <c r="I127" s="1012"/>
    </row>
    <row r="128" spans="1:9" ht="15.75" thickBot="1">
      <c r="A128" s="667"/>
      <c r="B128" s="1014"/>
      <c r="C128" s="1011"/>
      <c r="D128" s="295"/>
      <c r="E128" s="235"/>
      <c r="F128" s="1011"/>
      <c r="G128" s="658"/>
      <c r="H128" s="658"/>
      <c r="I128" s="658"/>
    </row>
    <row r="129" spans="1:9" ht="15.75" thickBot="1">
      <c r="A129" s="988" t="s">
        <v>0</v>
      </c>
      <c r="B129" s="640"/>
      <c r="C129" s="989"/>
      <c r="D129" s="989"/>
      <c r="E129" s="989"/>
      <c r="F129" s="989"/>
      <c r="G129" s="989"/>
      <c r="H129" s="990"/>
      <c r="I129" s="990"/>
    </row>
    <row r="132" spans="1:9" ht="15.75">
      <c r="A132" s="875" t="s">
        <v>1437</v>
      </c>
      <c r="B132" s="978"/>
      <c r="C132" s="978"/>
      <c r="D132" s="978"/>
      <c r="E132" s="978"/>
      <c r="F132" s="978"/>
      <c r="G132" s="978"/>
      <c r="H132" s="978"/>
    </row>
    <row r="133" spans="1:9" ht="15.75">
      <c r="A133" s="369" t="s">
        <v>456</v>
      </c>
      <c r="B133" s="128"/>
      <c r="C133" s="128"/>
      <c r="D133" s="297"/>
      <c r="E133" s="297"/>
      <c r="F133" s="297"/>
      <c r="G133" s="297"/>
      <c r="H133" s="297"/>
    </row>
    <row r="134" spans="1:9" ht="15.75" thickBot="1">
      <c r="A134" s="35" t="s">
        <v>647</v>
      </c>
      <c r="B134" s="35"/>
      <c r="C134" s="35"/>
      <c r="D134" s="295"/>
      <c r="E134" s="295"/>
      <c r="F134" s="295"/>
      <c r="G134" s="295"/>
      <c r="H134" s="295"/>
    </row>
    <row r="135" spans="1:9" ht="15.75" thickBot="1">
      <c r="A135" s="1392" t="s">
        <v>1410</v>
      </c>
      <c r="B135" s="1392" t="s">
        <v>1411</v>
      </c>
      <c r="C135" s="1393" t="s">
        <v>1409</v>
      </c>
      <c r="D135" s="1291"/>
      <c r="E135" s="1291"/>
      <c r="F135" s="1291"/>
      <c r="G135" s="1291"/>
      <c r="H135" s="1291"/>
    </row>
    <row r="136" spans="1:9" ht="25.5" thickBot="1">
      <c r="A136" s="1345"/>
      <c r="B136" s="1345"/>
      <c r="C136" s="979" t="s">
        <v>1438</v>
      </c>
      <c r="D136" s="980" t="s">
        <v>1413</v>
      </c>
      <c r="E136" s="981" t="s">
        <v>1439</v>
      </c>
      <c r="F136" s="982" t="s">
        <v>1415</v>
      </c>
      <c r="G136" s="982" t="s">
        <v>1416</v>
      </c>
      <c r="H136" s="982" t="s">
        <v>1417</v>
      </c>
    </row>
    <row r="137" spans="1:9">
      <c r="A137" s="226"/>
      <c r="B137" s="983"/>
      <c r="C137" s="1009"/>
      <c r="D137" s="985"/>
      <c r="E137" s="986"/>
      <c r="F137" s="1009"/>
      <c r="G137" s="1012"/>
      <c r="H137" s="1012"/>
    </row>
    <row r="138" spans="1:9">
      <c r="A138" s="235" t="s">
        <v>482</v>
      </c>
      <c r="B138" s="1011">
        <v>874</v>
      </c>
      <c r="C138" s="1009" t="s">
        <v>1471</v>
      </c>
      <c r="D138" s="1015" t="s">
        <v>1472</v>
      </c>
      <c r="E138" s="986">
        <v>2005</v>
      </c>
      <c r="F138" s="1009" t="s">
        <v>480</v>
      </c>
      <c r="G138" s="1012">
        <v>0</v>
      </c>
      <c r="H138" s="1012">
        <v>0</v>
      </c>
    </row>
    <row r="139" spans="1:9">
      <c r="A139" s="235"/>
      <c r="B139" s="1011"/>
      <c r="C139" s="1009"/>
      <c r="D139" s="1015"/>
      <c r="E139" s="986"/>
      <c r="F139" s="1009"/>
      <c r="G139" s="1012"/>
      <c r="H139" s="1012"/>
    </row>
    <row r="140" spans="1:9">
      <c r="A140" s="235" t="s">
        <v>483</v>
      </c>
      <c r="B140" s="1011">
        <v>874</v>
      </c>
      <c r="C140" s="1009" t="s">
        <v>1471</v>
      </c>
      <c r="D140" s="1015" t="s">
        <v>1473</v>
      </c>
      <c r="E140" s="986">
        <v>2001</v>
      </c>
      <c r="F140" s="1009" t="s">
        <v>480</v>
      </c>
      <c r="G140" s="1012">
        <v>32019.84</v>
      </c>
      <c r="H140" s="1012">
        <v>27689.88</v>
      </c>
    </row>
    <row r="141" spans="1:9">
      <c r="A141" s="235"/>
      <c r="B141" s="1011"/>
      <c r="C141" s="1009"/>
      <c r="D141" s="1015"/>
      <c r="E141" s="986"/>
      <c r="F141" s="1009"/>
      <c r="G141" s="1012"/>
      <c r="H141" s="1012"/>
    </row>
    <row r="142" spans="1:9">
      <c r="A142" s="235" t="s">
        <v>484</v>
      </c>
      <c r="B142" s="1011"/>
      <c r="C142" s="1009"/>
      <c r="D142" s="1015"/>
      <c r="E142" s="986"/>
      <c r="F142" s="1009"/>
      <c r="G142" s="1012"/>
      <c r="H142" s="1012"/>
    </row>
    <row r="143" spans="1:9">
      <c r="A143" s="235" t="s">
        <v>1443</v>
      </c>
      <c r="B143" s="1011"/>
      <c r="C143" s="1009"/>
      <c r="D143" s="1015"/>
      <c r="E143" s="986"/>
      <c r="F143" s="1009"/>
      <c r="G143" s="1012"/>
      <c r="H143" s="1012"/>
    </row>
    <row r="144" spans="1:9">
      <c r="A144" s="235"/>
      <c r="B144" s="1011"/>
      <c r="C144" s="1009"/>
      <c r="D144" s="1015"/>
      <c r="E144" s="986"/>
      <c r="F144" s="1009"/>
      <c r="G144" s="1012"/>
      <c r="H144" s="1012"/>
    </row>
    <row r="145" spans="1:8">
      <c r="A145" s="235" t="s">
        <v>486</v>
      </c>
      <c r="B145" s="1011">
        <v>874</v>
      </c>
      <c r="C145" s="1009" t="s">
        <v>1471</v>
      </c>
      <c r="D145" s="1015" t="s">
        <v>1474</v>
      </c>
      <c r="E145" s="986">
        <v>2003</v>
      </c>
      <c r="F145" s="1009" t="s">
        <v>480</v>
      </c>
      <c r="G145" s="1012">
        <v>3</v>
      </c>
      <c r="H145" s="1012">
        <v>3</v>
      </c>
    </row>
    <row r="146" spans="1:8">
      <c r="A146" s="235"/>
      <c r="B146" s="658"/>
      <c r="C146" s="984"/>
      <c r="D146" s="985"/>
      <c r="E146" s="986"/>
      <c r="F146" s="1009"/>
      <c r="G146" s="1012"/>
      <c r="H146" s="1012"/>
    </row>
    <row r="147" spans="1:8">
      <c r="A147" s="235" t="s">
        <v>487</v>
      </c>
      <c r="B147" s="658"/>
      <c r="C147" s="984"/>
      <c r="D147" s="985"/>
      <c r="E147" s="986"/>
      <c r="F147" s="1009"/>
      <c r="G147" s="1012"/>
      <c r="H147" s="1012"/>
    </row>
    <row r="148" spans="1:8">
      <c r="A148" s="235"/>
      <c r="B148" s="658"/>
      <c r="C148" s="984"/>
      <c r="D148" s="985"/>
      <c r="E148" s="986"/>
      <c r="F148" s="1009"/>
      <c r="G148" s="1012"/>
      <c r="H148" s="1012"/>
    </row>
    <row r="149" spans="1:8">
      <c r="A149" s="235" t="s">
        <v>488</v>
      </c>
      <c r="B149" s="658"/>
      <c r="C149" s="984"/>
      <c r="D149" s="985"/>
      <c r="E149" s="986"/>
      <c r="F149" s="1009"/>
      <c r="G149" s="1012"/>
      <c r="H149" s="1012"/>
    </row>
    <row r="150" spans="1:8">
      <c r="A150" s="235" t="s">
        <v>489</v>
      </c>
      <c r="B150" s="658"/>
      <c r="C150" s="984"/>
      <c r="D150" s="985"/>
      <c r="E150" s="986"/>
      <c r="F150" s="1009"/>
      <c r="G150" s="1012"/>
      <c r="H150" s="1012"/>
    </row>
    <row r="151" spans="1:8">
      <c r="A151" s="235" t="s">
        <v>490</v>
      </c>
      <c r="B151" s="658"/>
      <c r="C151" s="984"/>
      <c r="D151" s="985"/>
      <c r="E151" s="986"/>
      <c r="F151" s="1009"/>
      <c r="G151" s="1012"/>
      <c r="H151" s="1012"/>
    </row>
    <row r="152" spans="1:8">
      <c r="A152" s="235" t="s">
        <v>491</v>
      </c>
      <c r="B152" s="658"/>
      <c r="C152" s="984"/>
      <c r="D152" s="985"/>
      <c r="E152" s="986"/>
      <c r="F152" s="1009"/>
      <c r="G152" s="1012"/>
      <c r="H152" s="1012"/>
    </row>
    <row r="153" spans="1:8">
      <c r="A153" s="235" t="s">
        <v>492</v>
      </c>
      <c r="B153" s="658"/>
      <c r="C153" s="984"/>
      <c r="D153" s="985"/>
      <c r="E153" s="986"/>
      <c r="F153" s="1009"/>
      <c r="G153" s="1012"/>
      <c r="H153" s="1012"/>
    </row>
    <row r="154" spans="1:8">
      <c r="A154" s="235" t="s">
        <v>1444</v>
      </c>
      <c r="B154" s="658"/>
      <c r="C154" s="984"/>
      <c r="D154" s="985"/>
      <c r="E154" s="986"/>
      <c r="F154" s="1009"/>
      <c r="G154" s="1012"/>
      <c r="H154" s="1012"/>
    </row>
    <row r="155" spans="1:8" ht="15.75" thickBot="1">
      <c r="A155" s="667"/>
      <c r="B155" s="987"/>
      <c r="C155" s="658"/>
      <c r="D155" s="295"/>
      <c r="E155" s="235"/>
      <c r="F155" s="1011"/>
      <c r="G155" s="1012"/>
      <c r="H155" s="1012"/>
    </row>
    <row r="156" spans="1:8" ht="15.75" thickBot="1">
      <c r="A156" s="988" t="s">
        <v>0</v>
      </c>
      <c r="B156" s="640"/>
      <c r="C156" s="989"/>
      <c r="D156" s="989"/>
      <c r="E156" s="1016">
        <f>SUM(E137:E155)</f>
        <v>6009</v>
      </c>
      <c r="F156" s="989"/>
      <c r="G156" s="1017">
        <f>SUM(G137:G155)</f>
        <v>32022.84</v>
      </c>
      <c r="H156" s="1017">
        <f>SUM(H137:H155)</f>
        <v>27692.880000000001</v>
      </c>
    </row>
    <row r="159" spans="1:8" ht="15.75">
      <c r="A159" s="862" t="s">
        <v>1437</v>
      </c>
      <c r="B159" s="991"/>
      <c r="C159" s="991"/>
      <c r="D159" s="991"/>
      <c r="E159" s="991"/>
      <c r="F159" s="991"/>
      <c r="G159" s="991"/>
      <c r="H159" s="991"/>
    </row>
    <row r="160" spans="1:8" ht="15.75">
      <c r="A160" s="401" t="s">
        <v>815</v>
      </c>
      <c r="B160" s="378"/>
      <c r="C160" s="378"/>
      <c r="D160" s="378"/>
      <c r="E160" s="378"/>
      <c r="F160" s="378"/>
      <c r="G160" s="378"/>
      <c r="H160" s="378"/>
    </row>
    <row r="161" spans="1:8" ht="15.75" thickBot="1">
      <c r="A161" s="402" t="s">
        <v>751</v>
      </c>
      <c r="B161" s="402"/>
      <c r="C161" s="402"/>
      <c r="D161" s="402"/>
      <c r="E161" s="402"/>
      <c r="F161" s="402"/>
      <c r="G161" s="402"/>
      <c r="H161" s="402"/>
    </row>
    <row r="162" spans="1:8" ht="15.75" thickBot="1">
      <c r="A162" s="1414" t="s">
        <v>1410</v>
      </c>
      <c r="B162" s="1414" t="s">
        <v>1411</v>
      </c>
      <c r="C162" s="1415" t="s">
        <v>1409</v>
      </c>
      <c r="D162" s="1354"/>
      <c r="E162" s="1354"/>
      <c r="F162" s="1354"/>
      <c r="G162" s="1354"/>
      <c r="H162" s="1354"/>
    </row>
    <row r="163" spans="1:8" ht="25.5" thickBot="1">
      <c r="A163" s="1351"/>
      <c r="B163" s="1351"/>
      <c r="C163" s="992" t="s">
        <v>1438</v>
      </c>
      <c r="D163" s="1018" t="s">
        <v>1413</v>
      </c>
      <c r="E163" s="994" t="s">
        <v>1439</v>
      </c>
      <c r="F163" s="1019" t="s">
        <v>1415</v>
      </c>
      <c r="G163" s="1019" t="s">
        <v>1416</v>
      </c>
      <c r="H163" s="1019" t="s">
        <v>1417</v>
      </c>
    </row>
    <row r="164" spans="1:8">
      <c r="A164" s="1020"/>
      <c r="B164" s="1021"/>
      <c r="C164" s="1022"/>
      <c r="D164" s="1023"/>
      <c r="E164" s="1022"/>
      <c r="F164" s="1024"/>
      <c r="G164" s="1025"/>
      <c r="H164" s="1026"/>
    </row>
    <row r="165" spans="1:8" ht="24.75">
      <c r="A165" s="1027" t="s">
        <v>482</v>
      </c>
      <c r="B165" s="1028" t="s">
        <v>1475</v>
      </c>
      <c r="C165" s="1029" t="s">
        <v>1424</v>
      </c>
      <c r="D165" s="1030" t="s">
        <v>1476</v>
      </c>
      <c r="E165" s="1031">
        <v>40674</v>
      </c>
      <c r="F165" s="1032" t="s">
        <v>1420</v>
      </c>
      <c r="G165" s="1033">
        <v>0</v>
      </c>
      <c r="H165" s="1034">
        <v>0</v>
      </c>
    </row>
    <row r="166" spans="1:8">
      <c r="A166" s="1027"/>
      <c r="B166" s="1035"/>
      <c r="C166" s="1036"/>
      <c r="D166" s="1037"/>
      <c r="E166" s="1031"/>
      <c r="F166" s="1038"/>
      <c r="G166" s="1039"/>
      <c r="H166" s="1034"/>
    </row>
    <row r="167" spans="1:8">
      <c r="A167" s="1027" t="s">
        <v>483</v>
      </c>
      <c r="B167" s="1028"/>
      <c r="C167" s="1029"/>
      <c r="D167" s="1040"/>
      <c r="E167" s="1031"/>
      <c r="F167" s="1032"/>
      <c r="G167" s="1039"/>
      <c r="H167" s="1041"/>
    </row>
    <row r="168" spans="1:8" ht="24">
      <c r="A168" s="1027" t="s">
        <v>1477</v>
      </c>
      <c r="B168" s="1028" t="s">
        <v>1478</v>
      </c>
      <c r="C168" s="1029" t="s">
        <v>1479</v>
      </c>
      <c r="D168" s="1030" t="s">
        <v>1480</v>
      </c>
      <c r="E168" s="1031">
        <v>40674</v>
      </c>
      <c r="F168" s="1032" t="s">
        <v>1420</v>
      </c>
      <c r="G168" s="1039">
        <v>111887.67</v>
      </c>
      <c r="H168" s="1041">
        <v>115258.77</v>
      </c>
    </row>
    <row r="169" spans="1:8" ht="24">
      <c r="A169" s="1027" t="s">
        <v>1481</v>
      </c>
      <c r="B169" s="1028" t="s">
        <v>1478</v>
      </c>
      <c r="C169" s="1029" t="s">
        <v>1479</v>
      </c>
      <c r="D169" s="1030" t="s">
        <v>1482</v>
      </c>
      <c r="E169" s="1031">
        <v>40674</v>
      </c>
      <c r="F169" s="1032" t="s">
        <v>1420</v>
      </c>
      <c r="G169" s="1039">
        <v>7849.44</v>
      </c>
      <c r="H169" s="1041">
        <v>8000.91</v>
      </c>
    </row>
    <row r="170" spans="1:8">
      <c r="A170" s="1027" t="s">
        <v>1483</v>
      </c>
      <c r="B170" s="1028" t="s">
        <v>1478</v>
      </c>
      <c r="C170" s="1029" t="s">
        <v>1479</v>
      </c>
      <c r="D170" s="1042" t="s">
        <v>1484</v>
      </c>
      <c r="E170" s="1031">
        <v>41275</v>
      </c>
      <c r="F170" s="1032" t="s">
        <v>1420</v>
      </c>
      <c r="G170" s="1039">
        <v>16813.099999999999</v>
      </c>
      <c r="H170" s="1041">
        <v>21396.71</v>
      </c>
    </row>
    <row r="171" spans="1:8">
      <c r="A171" s="1027"/>
      <c r="B171" s="1043"/>
      <c r="C171" s="1022"/>
      <c r="D171" s="1044"/>
      <c r="E171" s="1045"/>
      <c r="F171" s="1046"/>
      <c r="G171" s="1039"/>
      <c r="H171" s="1047"/>
    </row>
    <row r="172" spans="1:8">
      <c r="A172" s="1027" t="s">
        <v>484</v>
      </c>
      <c r="B172" s="1043"/>
      <c r="C172" s="1022"/>
      <c r="D172" s="1044"/>
      <c r="E172" s="1045"/>
      <c r="F172" s="1046"/>
      <c r="G172" s="1039"/>
      <c r="H172" s="1047"/>
    </row>
    <row r="173" spans="1:8">
      <c r="A173" s="1027" t="s">
        <v>1443</v>
      </c>
      <c r="B173" s="1028" t="s">
        <v>1478</v>
      </c>
      <c r="C173" s="1029" t="s">
        <v>1479</v>
      </c>
      <c r="D173" s="1048" t="s">
        <v>1484</v>
      </c>
      <c r="E173" s="1045">
        <v>43983</v>
      </c>
      <c r="F173" s="1046" t="s">
        <v>1420</v>
      </c>
      <c r="G173" s="1039">
        <v>0</v>
      </c>
      <c r="H173" s="1047">
        <v>63994</v>
      </c>
    </row>
    <row r="174" spans="1:8">
      <c r="A174" s="1027"/>
      <c r="B174" s="1043"/>
      <c r="C174" s="1022"/>
      <c r="D174" s="1048"/>
      <c r="E174" s="1045"/>
      <c r="F174" s="1046"/>
      <c r="G174" s="1039"/>
      <c r="H174" s="1047"/>
    </row>
    <row r="175" spans="1:8">
      <c r="A175" s="1027" t="s">
        <v>486</v>
      </c>
      <c r="B175" s="1043"/>
      <c r="C175" s="1022"/>
      <c r="D175" s="1048"/>
      <c r="E175" s="1045"/>
      <c r="F175" s="1046"/>
      <c r="G175" s="1039"/>
      <c r="H175" s="1047"/>
    </row>
    <row r="176" spans="1:8">
      <c r="A176" s="1027" t="s">
        <v>1485</v>
      </c>
      <c r="B176" s="1028" t="s">
        <v>1478</v>
      </c>
      <c r="C176" s="1029" t="s">
        <v>1479</v>
      </c>
      <c r="D176" s="1048" t="s">
        <v>1484</v>
      </c>
      <c r="E176" s="1045">
        <v>43344</v>
      </c>
      <c r="F176" s="1046" t="s">
        <v>1420</v>
      </c>
      <c r="G176" s="1039">
        <v>155</v>
      </c>
      <c r="H176" s="1047">
        <v>65</v>
      </c>
    </row>
    <row r="177" spans="1:8">
      <c r="A177" s="1027" t="s">
        <v>1486</v>
      </c>
      <c r="B177" s="1028" t="s">
        <v>1478</v>
      </c>
      <c r="C177" s="1029" t="s">
        <v>1479</v>
      </c>
      <c r="D177" s="1048" t="s">
        <v>1484</v>
      </c>
      <c r="E177" s="1045">
        <v>43009</v>
      </c>
      <c r="F177" s="1046" t="s">
        <v>1420</v>
      </c>
      <c r="G177" s="1039">
        <v>921150.85</v>
      </c>
      <c r="H177" s="1047">
        <v>1505917.2</v>
      </c>
    </row>
    <row r="178" spans="1:8">
      <c r="A178" s="1027"/>
      <c r="B178" s="1043"/>
      <c r="C178" s="1022"/>
      <c r="D178" s="1048"/>
      <c r="E178" s="1045"/>
      <c r="F178" s="1046"/>
      <c r="G178" s="1039"/>
      <c r="H178" s="1047"/>
    </row>
    <row r="179" spans="1:8">
      <c r="A179" s="1027" t="s">
        <v>487</v>
      </c>
      <c r="B179" s="1043"/>
      <c r="C179" s="1022"/>
      <c r="D179" s="1048"/>
      <c r="E179" s="1045"/>
      <c r="F179" s="1046"/>
      <c r="G179" s="1039"/>
      <c r="H179" s="1047"/>
    </row>
    <row r="180" spans="1:8">
      <c r="A180" s="1027"/>
      <c r="B180" s="1043"/>
      <c r="C180" s="1022"/>
      <c r="D180" s="1048"/>
      <c r="E180" s="1045"/>
      <c r="F180" s="1046"/>
      <c r="G180" s="1039"/>
      <c r="H180" s="1047"/>
    </row>
    <row r="181" spans="1:8">
      <c r="A181" s="1027" t="s">
        <v>488</v>
      </c>
      <c r="B181" s="1043"/>
      <c r="C181" s="1022"/>
      <c r="D181" s="1048"/>
      <c r="E181" s="1045"/>
      <c r="F181" s="1046"/>
      <c r="G181" s="1039"/>
      <c r="H181" s="1047"/>
    </row>
    <row r="182" spans="1:8">
      <c r="A182" s="1027" t="s">
        <v>489</v>
      </c>
      <c r="B182" s="1028"/>
      <c r="C182" s="1029"/>
      <c r="D182" s="1048"/>
      <c r="E182" s="1045"/>
      <c r="F182" s="1046"/>
      <c r="G182" s="1039"/>
      <c r="H182" s="1047"/>
    </row>
    <row r="183" spans="1:8">
      <c r="A183" s="1027" t="s">
        <v>1487</v>
      </c>
      <c r="B183" s="1028" t="s">
        <v>1478</v>
      </c>
      <c r="C183" s="1029" t="s">
        <v>1479</v>
      </c>
      <c r="D183" s="1048" t="s">
        <v>1484</v>
      </c>
      <c r="E183" s="1045">
        <v>41204</v>
      </c>
      <c r="F183" s="1046" t="s">
        <v>1420</v>
      </c>
      <c r="G183" s="1039">
        <v>609.61</v>
      </c>
      <c r="H183" s="1047">
        <v>609.61</v>
      </c>
    </row>
    <row r="184" spans="1:8">
      <c r="A184" s="1027" t="s">
        <v>1488</v>
      </c>
      <c r="B184" s="1028" t="s">
        <v>1478</v>
      </c>
      <c r="C184" s="1029" t="s">
        <v>1479</v>
      </c>
      <c r="D184" s="1048" t="s">
        <v>1484</v>
      </c>
      <c r="E184" s="1045">
        <v>41953</v>
      </c>
      <c r="F184" s="1046" t="s">
        <v>1420</v>
      </c>
      <c r="G184" s="1039">
        <v>365</v>
      </c>
      <c r="H184" s="1047">
        <v>35</v>
      </c>
    </row>
    <row r="185" spans="1:8">
      <c r="A185" s="1027" t="s">
        <v>1489</v>
      </c>
      <c r="B185" s="1028" t="s">
        <v>1478</v>
      </c>
      <c r="C185" s="1029" t="s">
        <v>1479</v>
      </c>
      <c r="D185" s="1048" t="s">
        <v>1484</v>
      </c>
      <c r="E185" s="1045">
        <v>43438</v>
      </c>
      <c r="F185" s="1046" t="s">
        <v>1420</v>
      </c>
      <c r="G185" s="1039">
        <v>5401.52</v>
      </c>
      <c r="H185" s="1047">
        <v>13145.67</v>
      </c>
    </row>
    <row r="186" spans="1:8">
      <c r="A186" s="1027" t="s">
        <v>490</v>
      </c>
      <c r="B186" s="1043"/>
      <c r="C186" s="1022"/>
      <c r="D186" s="1049"/>
      <c r="E186" s="1045"/>
      <c r="F186" s="1046"/>
      <c r="G186" s="1039"/>
      <c r="H186" s="1047"/>
    </row>
    <row r="187" spans="1:8">
      <c r="A187" s="1027" t="s">
        <v>491</v>
      </c>
      <c r="B187" s="1043"/>
      <c r="C187" s="1022"/>
      <c r="D187" s="1049"/>
      <c r="E187" s="1022"/>
      <c r="F187" s="1046"/>
      <c r="G187" s="1039"/>
      <c r="H187" s="1047"/>
    </row>
    <row r="188" spans="1:8">
      <c r="A188" s="1027" t="s">
        <v>492</v>
      </c>
      <c r="B188" s="1043"/>
      <c r="C188" s="1022"/>
      <c r="D188" s="1049"/>
      <c r="E188" s="1022"/>
      <c r="F188" s="1046"/>
      <c r="G188" s="1039"/>
      <c r="H188" s="1047"/>
    </row>
    <row r="189" spans="1:8">
      <c r="A189" s="1027" t="s">
        <v>1444</v>
      </c>
      <c r="B189" s="1043"/>
      <c r="C189" s="1022"/>
      <c r="D189" s="1049"/>
      <c r="E189" s="1022"/>
      <c r="F189" s="1046"/>
      <c r="G189" s="1039"/>
      <c r="H189" s="1047"/>
    </row>
    <row r="190" spans="1:8" ht="15.75" thickBot="1">
      <c r="A190" s="1050"/>
      <c r="B190" s="1051"/>
      <c r="C190" s="1052"/>
      <c r="D190" s="1051"/>
      <c r="E190" s="1052"/>
      <c r="F190" s="1053"/>
      <c r="G190" s="1054"/>
      <c r="H190" s="1055"/>
    </row>
    <row r="191" spans="1:8" ht="15.75" thickBot="1">
      <c r="A191" s="1005" t="s">
        <v>0</v>
      </c>
      <c r="B191" s="710"/>
      <c r="C191" s="1006"/>
      <c r="D191" s="1056"/>
      <c r="E191" s="1006"/>
      <c r="F191" s="1056"/>
      <c r="G191" s="1056"/>
      <c r="H191" s="705"/>
    </row>
    <row r="195" spans="1:8" ht="15.75">
      <c r="A195" s="875" t="s">
        <v>1437</v>
      </c>
      <c r="B195" s="978"/>
      <c r="C195" s="978"/>
      <c r="D195" s="978"/>
      <c r="E195" s="978"/>
      <c r="F195" s="978"/>
      <c r="G195" s="978"/>
      <c r="H195" s="978"/>
    </row>
    <row r="196" spans="1:8" ht="15.75">
      <c r="A196" s="466" t="s">
        <v>723</v>
      </c>
      <c r="B196" s="297"/>
      <c r="C196" s="297"/>
      <c r="D196" s="297"/>
      <c r="E196" s="297"/>
      <c r="F196" s="297"/>
      <c r="G196" s="297"/>
      <c r="H196" s="297"/>
    </row>
    <row r="197" spans="1:8" ht="15.75" thickBot="1">
      <c r="A197" s="466" t="s">
        <v>691</v>
      </c>
      <c r="B197" s="295"/>
      <c r="C197" s="295"/>
      <c r="D197" s="295"/>
      <c r="E197" s="295"/>
      <c r="F197" s="295"/>
      <c r="G197" s="295"/>
      <c r="H197" s="295"/>
    </row>
    <row r="198" spans="1:8" ht="15.75" thickBot="1">
      <c r="A198" s="1392" t="s">
        <v>1410</v>
      </c>
      <c r="B198" s="1392" t="s">
        <v>1411</v>
      </c>
      <c r="C198" s="1393" t="s">
        <v>1409</v>
      </c>
      <c r="D198" s="1291"/>
      <c r="E198" s="1291"/>
      <c r="F198" s="1291"/>
      <c r="G198" s="1291"/>
      <c r="H198" s="1291"/>
    </row>
    <row r="199" spans="1:8" ht="25.5" thickBot="1">
      <c r="A199" s="1345"/>
      <c r="B199" s="1345"/>
      <c r="C199" s="979" t="s">
        <v>1438</v>
      </c>
      <c r="D199" s="980" t="s">
        <v>1413</v>
      </c>
      <c r="E199" s="981" t="s">
        <v>1439</v>
      </c>
      <c r="F199" s="982" t="s">
        <v>1415</v>
      </c>
      <c r="G199" s="982" t="s">
        <v>1440</v>
      </c>
      <c r="H199" s="982" t="s">
        <v>1441</v>
      </c>
    </row>
    <row r="200" spans="1:8">
      <c r="A200" s="226"/>
      <c r="B200" s="983"/>
      <c r="C200" s="984"/>
      <c r="D200" s="985"/>
      <c r="E200" s="986"/>
      <c r="F200" s="984"/>
      <c r="G200" s="984"/>
      <c r="H200" s="984"/>
    </row>
    <row r="201" spans="1:8">
      <c r="A201" s="235" t="s">
        <v>482</v>
      </c>
      <c r="B201" s="658"/>
      <c r="C201" s="984" t="s">
        <v>1424</v>
      </c>
      <c r="D201" s="985" t="s">
        <v>1490</v>
      </c>
      <c r="E201" s="986"/>
      <c r="F201" s="984"/>
      <c r="G201" s="984"/>
      <c r="H201" s="984"/>
    </row>
    <row r="202" spans="1:8">
      <c r="A202" s="235"/>
      <c r="B202" s="658"/>
      <c r="C202" s="984"/>
      <c r="D202" s="985"/>
      <c r="E202" s="986"/>
      <c r="F202" s="984"/>
      <c r="G202" s="984"/>
      <c r="H202" s="984"/>
    </row>
    <row r="203" spans="1:8">
      <c r="A203" s="235" t="s">
        <v>483</v>
      </c>
      <c r="B203" s="658"/>
      <c r="C203" s="984" t="s">
        <v>1424</v>
      </c>
      <c r="D203" s="985" t="s">
        <v>1491</v>
      </c>
      <c r="E203" s="986"/>
      <c r="F203" s="984" t="s">
        <v>1420</v>
      </c>
      <c r="G203" s="984">
        <v>1183.29</v>
      </c>
      <c r="H203" s="984">
        <v>586.99</v>
      </c>
    </row>
    <row r="204" spans="1:8">
      <c r="A204" s="235"/>
      <c r="B204" s="658"/>
      <c r="C204" s="984"/>
      <c r="D204" s="985"/>
      <c r="E204" s="986"/>
      <c r="F204" s="984"/>
      <c r="G204" s="984"/>
      <c r="H204" s="984"/>
    </row>
    <row r="205" spans="1:8">
      <c r="A205" s="235" t="s">
        <v>484</v>
      </c>
      <c r="B205" s="658"/>
      <c r="C205" s="984" t="s">
        <v>1424</v>
      </c>
      <c r="D205" s="985" t="s">
        <v>1490</v>
      </c>
      <c r="E205" s="986"/>
      <c r="F205" s="984"/>
      <c r="G205" s="984"/>
      <c r="H205" s="984"/>
    </row>
    <row r="206" spans="1:8">
      <c r="A206" s="235" t="s">
        <v>1443</v>
      </c>
      <c r="B206" s="658"/>
      <c r="C206" s="984"/>
      <c r="D206" s="985"/>
      <c r="E206" s="986"/>
      <c r="F206" s="984"/>
      <c r="G206" s="984"/>
      <c r="H206" s="984"/>
    </row>
    <row r="207" spans="1:8">
      <c r="A207" s="235"/>
      <c r="B207" s="658"/>
      <c r="C207" s="984"/>
      <c r="D207" s="985"/>
      <c r="E207" s="986"/>
      <c r="F207" s="984"/>
      <c r="G207" s="984"/>
      <c r="H207" s="984"/>
    </row>
    <row r="208" spans="1:8">
      <c r="A208" s="235" t="s">
        <v>486</v>
      </c>
      <c r="B208" s="658"/>
      <c r="C208" s="984" t="s">
        <v>1424</v>
      </c>
      <c r="D208" s="985" t="s">
        <v>1490</v>
      </c>
      <c r="E208" s="986"/>
      <c r="F208" s="984" t="s">
        <v>1420</v>
      </c>
      <c r="G208" s="984">
        <v>1388119.71</v>
      </c>
      <c r="H208" s="984">
        <v>1721803.37</v>
      </c>
    </row>
    <row r="209" spans="1:8">
      <c r="A209" s="235"/>
      <c r="B209" s="658"/>
      <c r="C209" s="984"/>
      <c r="D209" s="985"/>
      <c r="E209" s="986"/>
      <c r="F209" s="984"/>
      <c r="G209" s="984"/>
      <c r="H209" s="984"/>
    </row>
    <row r="210" spans="1:8">
      <c r="A210" s="235" t="s">
        <v>487</v>
      </c>
      <c r="B210" s="658"/>
      <c r="C210" s="984"/>
      <c r="D210" s="985"/>
      <c r="E210" s="986"/>
      <c r="F210" s="984"/>
      <c r="G210" s="984"/>
      <c r="H210" s="984"/>
    </row>
    <row r="211" spans="1:8">
      <c r="A211" s="235"/>
      <c r="B211" s="658"/>
      <c r="C211" s="984"/>
      <c r="D211" s="985"/>
      <c r="E211" s="986"/>
      <c r="F211" s="984"/>
      <c r="G211" s="984"/>
      <c r="H211" s="984"/>
    </row>
    <row r="212" spans="1:8">
      <c r="A212" s="235" t="s">
        <v>488</v>
      </c>
      <c r="B212" s="658"/>
      <c r="C212" s="984" t="s">
        <v>1424</v>
      </c>
      <c r="D212" s="985" t="s">
        <v>1492</v>
      </c>
      <c r="E212" s="986"/>
      <c r="F212" s="984" t="s">
        <v>1420</v>
      </c>
      <c r="G212" s="984">
        <v>89494</v>
      </c>
      <c r="H212" s="984">
        <v>209628</v>
      </c>
    </row>
    <row r="213" spans="1:8">
      <c r="A213" s="235" t="s">
        <v>489</v>
      </c>
      <c r="B213" s="658"/>
      <c r="C213" s="984" t="s">
        <v>1424</v>
      </c>
      <c r="D213" s="985"/>
      <c r="E213" s="986"/>
      <c r="F213" s="984"/>
      <c r="G213" s="984"/>
      <c r="H213" s="984"/>
    </row>
    <row r="214" spans="1:8">
      <c r="A214" s="235" t="s">
        <v>490</v>
      </c>
      <c r="B214" s="658"/>
      <c r="C214" s="984" t="s">
        <v>1424</v>
      </c>
      <c r="D214" s="985"/>
      <c r="E214" s="986"/>
      <c r="F214" s="984"/>
      <c r="G214" s="984"/>
      <c r="H214" s="984"/>
    </row>
    <row r="215" spans="1:8">
      <c r="A215" s="235" t="s">
        <v>491</v>
      </c>
      <c r="B215" s="658"/>
      <c r="C215" s="984" t="s">
        <v>1424</v>
      </c>
      <c r="D215" s="985"/>
      <c r="E215" s="986"/>
      <c r="F215" s="984"/>
      <c r="G215" s="984"/>
      <c r="H215" s="984"/>
    </row>
    <row r="216" spans="1:8">
      <c r="A216" s="235" t="s">
        <v>492</v>
      </c>
      <c r="B216" s="658"/>
      <c r="C216" s="984" t="s">
        <v>1424</v>
      </c>
      <c r="D216" s="985"/>
      <c r="E216" s="986"/>
      <c r="F216" s="984"/>
      <c r="G216" s="984"/>
      <c r="H216" s="984"/>
    </row>
    <row r="217" spans="1:8">
      <c r="A217" s="235" t="s">
        <v>1444</v>
      </c>
      <c r="B217" s="658"/>
      <c r="C217" s="984" t="s">
        <v>1424</v>
      </c>
      <c r="D217" s="985"/>
      <c r="E217" s="986"/>
      <c r="F217" s="984"/>
      <c r="G217" s="984"/>
      <c r="H217" s="984"/>
    </row>
    <row r="218" spans="1:8" ht="15.75" thickBot="1">
      <c r="A218" s="667"/>
      <c r="B218" s="987"/>
      <c r="C218" s="658"/>
      <c r="D218" s="295"/>
      <c r="E218" s="235"/>
      <c r="F218" s="658"/>
      <c r="G218" s="658"/>
      <c r="H218" s="658"/>
    </row>
    <row r="219" spans="1:8" ht="15.75" thickBot="1">
      <c r="A219" s="988" t="s">
        <v>0</v>
      </c>
      <c r="B219" s="640"/>
      <c r="C219" s="989"/>
      <c r="D219" s="989"/>
      <c r="E219" s="989"/>
      <c r="F219" s="989"/>
      <c r="G219" s="989"/>
      <c r="H219" s="990"/>
    </row>
    <row r="223" spans="1:8" ht="15.75">
      <c r="A223" s="875" t="s">
        <v>1437</v>
      </c>
      <c r="B223" s="978"/>
      <c r="C223" s="978"/>
      <c r="D223" s="978"/>
      <c r="E223" s="978"/>
      <c r="F223" s="978"/>
      <c r="G223" s="978"/>
      <c r="H223" s="978"/>
    </row>
    <row r="224" spans="1:8" ht="15.75">
      <c r="A224" s="215" t="s">
        <v>1493</v>
      </c>
      <c r="B224" s="297"/>
      <c r="C224" s="297"/>
      <c r="D224" s="297"/>
      <c r="E224" s="297"/>
      <c r="F224" s="297"/>
      <c r="G224" s="297"/>
      <c r="H224" s="297"/>
    </row>
    <row r="225" spans="1:8" ht="15.75" thickBot="1">
      <c r="A225" s="295" t="s">
        <v>459</v>
      </c>
      <c r="B225" s="295"/>
      <c r="C225" s="295"/>
      <c r="D225" s="295"/>
      <c r="E225" s="295"/>
      <c r="F225" s="295"/>
      <c r="G225" s="295"/>
      <c r="H225" s="295"/>
    </row>
    <row r="226" spans="1:8" ht="15.75" thickBot="1">
      <c r="A226" s="1392" t="s">
        <v>1410</v>
      </c>
      <c r="B226" s="1392" t="s">
        <v>1411</v>
      </c>
      <c r="C226" s="1393" t="s">
        <v>1409</v>
      </c>
      <c r="D226" s="1291"/>
      <c r="E226" s="1291"/>
      <c r="F226" s="1291"/>
      <c r="G226" s="1291"/>
      <c r="H226" s="1291"/>
    </row>
    <row r="227" spans="1:8" ht="24.75">
      <c r="A227" s="1345"/>
      <c r="B227" s="1345"/>
      <c r="C227" s="1057" t="s">
        <v>1438</v>
      </c>
      <c r="D227" s="1058" t="s">
        <v>1413</v>
      </c>
      <c r="E227" s="1059" t="s">
        <v>1439</v>
      </c>
      <c r="F227" s="1060" t="s">
        <v>1415</v>
      </c>
      <c r="G227" s="1060" t="s">
        <v>1440</v>
      </c>
      <c r="H227" s="1060" t="s">
        <v>1441</v>
      </c>
    </row>
    <row r="228" spans="1:8">
      <c r="A228" s="1404" t="s">
        <v>482</v>
      </c>
      <c r="B228" s="1411" t="s">
        <v>1494</v>
      </c>
      <c r="C228" s="1405" t="s">
        <v>1424</v>
      </c>
      <c r="D228" s="1405" t="s">
        <v>1495</v>
      </c>
      <c r="E228" s="1406">
        <v>2017</v>
      </c>
      <c r="F228" s="1407" t="s">
        <v>480</v>
      </c>
      <c r="G228" s="1409">
        <v>87391.64</v>
      </c>
      <c r="H228" s="1409">
        <v>57897.39</v>
      </c>
    </row>
    <row r="229" spans="1:8">
      <c r="A229" s="1404"/>
      <c r="B229" s="1411"/>
      <c r="C229" s="1405"/>
      <c r="D229" s="1405"/>
      <c r="E229" s="1406"/>
      <c r="F229" s="1408"/>
      <c r="G229" s="1409"/>
      <c r="H229" s="1409"/>
    </row>
    <row r="230" spans="1:8">
      <c r="A230" s="1404" t="s">
        <v>483</v>
      </c>
      <c r="B230" s="1411"/>
      <c r="C230" s="1405"/>
      <c r="D230" s="1405" t="s">
        <v>1496</v>
      </c>
      <c r="E230" s="1406">
        <v>2017</v>
      </c>
      <c r="F230" s="1407" t="s">
        <v>480</v>
      </c>
      <c r="G230" s="1409">
        <v>5905.75</v>
      </c>
      <c r="H230" s="1409">
        <v>805.84</v>
      </c>
    </row>
    <row r="231" spans="1:8">
      <c r="A231" s="1404"/>
      <c r="B231" s="1411"/>
      <c r="C231" s="1405"/>
      <c r="D231" s="1405"/>
      <c r="E231" s="1406"/>
      <c r="F231" s="1408"/>
      <c r="G231" s="1409"/>
      <c r="H231" s="1409"/>
    </row>
    <row r="232" spans="1:8">
      <c r="A232" s="1412" t="s">
        <v>1497</v>
      </c>
      <c r="B232" s="1411"/>
      <c r="C232" s="1405"/>
      <c r="D232" s="1413" t="s">
        <v>1498</v>
      </c>
      <c r="E232" s="1406">
        <v>2020</v>
      </c>
      <c r="F232" s="1407" t="s">
        <v>480</v>
      </c>
      <c r="G232" s="1409">
        <v>0</v>
      </c>
      <c r="H232" s="1409">
        <v>0</v>
      </c>
    </row>
    <row r="233" spans="1:8">
      <c r="A233" s="1412"/>
      <c r="B233" s="1411"/>
      <c r="C233" s="1405"/>
      <c r="D233" s="1413"/>
      <c r="E233" s="1406"/>
      <c r="F233" s="1408"/>
      <c r="G233" s="1409"/>
      <c r="H233" s="1409"/>
    </row>
    <row r="234" spans="1:8">
      <c r="A234" s="1404" t="s">
        <v>486</v>
      </c>
      <c r="B234" s="1411"/>
      <c r="C234" s="1405"/>
      <c r="D234" s="1410" t="s">
        <v>1499</v>
      </c>
      <c r="E234" s="1406">
        <v>2017</v>
      </c>
      <c r="F234" s="1407" t="s">
        <v>480</v>
      </c>
      <c r="G234" s="1409">
        <v>61290</v>
      </c>
      <c r="H234" s="1409">
        <v>10373.19</v>
      </c>
    </row>
    <row r="235" spans="1:8">
      <c r="A235" s="1404"/>
      <c r="B235" s="1411"/>
      <c r="C235" s="1405"/>
      <c r="D235" s="1410"/>
      <c r="E235" s="1406"/>
      <c r="F235" s="1408"/>
      <c r="G235" s="1409"/>
      <c r="H235" s="1409"/>
    </row>
    <row r="236" spans="1:8">
      <c r="A236" s="1404" t="s">
        <v>487</v>
      </c>
      <c r="B236" s="1411"/>
      <c r="C236" s="1405"/>
      <c r="D236" s="1405" t="s">
        <v>1500</v>
      </c>
      <c r="E236" s="1406">
        <v>2019</v>
      </c>
      <c r="F236" s="1407" t="s">
        <v>480</v>
      </c>
      <c r="G236" s="1409">
        <v>20975</v>
      </c>
      <c r="H236" s="1409">
        <v>0</v>
      </c>
    </row>
    <row r="237" spans="1:8">
      <c r="A237" s="1404"/>
      <c r="B237" s="1411"/>
      <c r="C237" s="1405"/>
      <c r="D237" s="1405"/>
      <c r="E237" s="1406"/>
      <c r="F237" s="1408"/>
      <c r="G237" s="1409"/>
      <c r="H237" s="1409"/>
    </row>
    <row r="238" spans="1:8">
      <c r="A238" s="1061"/>
      <c r="B238" s="1411"/>
      <c r="C238" s="1405"/>
      <c r="D238" s="1062"/>
      <c r="E238" s="1062"/>
      <c r="F238" s="1062"/>
      <c r="G238" s="1062"/>
      <c r="H238" s="1062"/>
    </row>
    <row r="239" spans="1:8">
      <c r="A239" s="1398" t="s">
        <v>1501</v>
      </c>
      <c r="B239" s="1411"/>
      <c r="C239" s="1405"/>
      <c r="D239" s="1062"/>
      <c r="E239" s="1062"/>
      <c r="F239" s="1062"/>
      <c r="G239" s="1063"/>
      <c r="H239" s="1063"/>
    </row>
    <row r="240" spans="1:8">
      <c r="A240" s="1399"/>
      <c r="B240" s="1411"/>
      <c r="C240" s="1405"/>
      <c r="D240" s="1062"/>
      <c r="E240" s="1062"/>
      <c r="F240" s="1062"/>
      <c r="G240" s="1063"/>
      <c r="H240" s="1063"/>
    </row>
    <row r="241" spans="1:8">
      <c r="A241" s="1061" t="s">
        <v>490</v>
      </c>
      <c r="B241" s="1411"/>
      <c r="C241" s="1405"/>
      <c r="D241" s="1062"/>
      <c r="E241" s="1062"/>
      <c r="F241" s="1062"/>
      <c r="G241" s="1062"/>
      <c r="H241" s="1062"/>
    </row>
    <row r="242" spans="1:8">
      <c r="A242" s="1061" t="s">
        <v>491</v>
      </c>
      <c r="B242" s="1411"/>
      <c r="C242" s="1405"/>
      <c r="D242" s="1062"/>
      <c r="E242" s="1062"/>
      <c r="F242" s="1062"/>
      <c r="G242" s="1062"/>
      <c r="H242" s="1062"/>
    </row>
    <row r="243" spans="1:8">
      <c r="A243" s="1061" t="s">
        <v>492</v>
      </c>
      <c r="B243" s="1411"/>
      <c r="C243" s="1405"/>
      <c r="D243" s="1062"/>
      <c r="E243" s="1062"/>
      <c r="F243" s="1062"/>
      <c r="G243" s="1062"/>
      <c r="H243" s="1062"/>
    </row>
    <row r="244" spans="1:8">
      <c r="A244" s="1061" t="s">
        <v>1444</v>
      </c>
      <c r="B244" s="1411"/>
      <c r="C244" s="1405"/>
      <c r="D244" s="1062"/>
      <c r="E244" s="1062"/>
      <c r="F244" s="1062"/>
      <c r="G244" s="1062"/>
      <c r="H244" s="1062"/>
    </row>
    <row r="245" spans="1:8">
      <c r="A245" s="1061"/>
      <c r="B245" s="1411"/>
      <c r="C245" s="1405"/>
      <c r="D245" s="1061"/>
      <c r="E245" s="1061"/>
      <c r="F245" s="1061"/>
      <c r="G245" s="1061"/>
      <c r="H245" s="1061"/>
    </row>
    <row r="246" spans="1:8" ht="15.75" thickBot="1">
      <c r="A246" s="988" t="s">
        <v>0</v>
      </c>
      <c r="B246" s="988"/>
      <c r="C246" s="1061"/>
      <c r="D246" s="1061"/>
      <c r="E246" s="1061"/>
      <c r="F246" s="1061"/>
      <c r="G246" s="1061"/>
      <c r="H246" s="987"/>
    </row>
    <row r="250" spans="1:8" ht="15.75">
      <c r="A250" s="1064" t="s">
        <v>1437</v>
      </c>
      <c r="B250" s="1065"/>
      <c r="C250" s="1065"/>
      <c r="D250" s="1065"/>
      <c r="E250" s="1065"/>
      <c r="F250" s="1065"/>
      <c r="G250" s="1065"/>
      <c r="H250" s="1065"/>
    </row>
    <row r="251" spans="1:8" ht="15.75">
      <c r="A251" s="1306" t="s">
        <v>301</v>
      </c>
      <c r="B251" s="1306"/>
      <c r="C251" s="1306"/>
      <c r="D251" s="1306"/>
      <c r="E251" s="1066"/>
      <c r="F251" s="1066"/>
      <c r="G251" s="1066"/>
      <c r="H251" s="1066"/>
    </row>
    <row r="252" spans="1:8" ht="15.75" thickBot="1">
      <c r="A252" s="1323" t="s">
        <v>460</v>
      </c>
      <c r="B252" s="1323"/>
      <c r="C252" s="174"/>
      <c r="D252" s="174"/>
      <c r="E252" s="1067"/>
      <c r="F252" s="1067"/>
      <c r="G252" s="1067"/>
      <c r="H252" s="1067"/>
    </row>
    <row r="253" spans="1:8" ht="15.75" thickBot="1">
      <c r="A253" s="1400" t="s">
        <v>1410</v>
      </c>
      <c r="B253" s="1400" t="s">
        <v>1411</v>
      </c>
      <c r="C253" s="1402" t="s">
        <v>1409</v>
      </c>
      <c r="D253" s="1403"/>
      <c r="E253" s="1403"/>
      <c r="F253" s="1403"/>
      <c r="G253" s="1403"/>
      <c r="H253" s="1403"/>
    </row>
    <row r="254" spans="1:8" ht="25.5" thickBot="1">
      <c r="A254" s="1401"/>
      <c r="B254" s="1401"/>
      <c r="C254" s="1068" t="s">
        <v>1438</v>
      </c>
      <c r="D254" s="1069" t="s">
        <v>1413</v>
      </c>
      <c r="E254" s="1070" t="s">
        <v>1439</v>
      </c>
      <c r="F254" s="1071" t="s">
        <v>1415</v>
      </c>
      <c r="G254" s="1071" t="s">
        <v>1416</v>
      </c>
      <c r="H254" s="1071" t="s">
        <v>1417</v>
      </c>
    </row>
    <row r="255" spans="1:8">
      <c r="A255" s="1072"/>
      <c r="B255" s="1073"/>
      <c r="C255" s="1074"/>
      <c r="D255" s="1075"/>
      <c r="E255" s="1076"/>
      <c r="F255" s="1074"/>
      <c r="G255" s="1074"/>
      <c r="H255" s="1074"/>
    </row>
    <row r="256" spans="1:8">
      <c r="A256" s="1077" t="s">
        <v>482</v>
      </c>
      <c r="B256" s="1078">
        <v>870</v>
      </c>
      <c r="C256" s="1079" t="s">
        <v>1424</v>
      </c>
      <c r="D256" s="1080" t="s">
        <v>1502</v>
      </c>
      <c r="E256" s="1081" t="s">
        <v>1503</v>
      </c>
      <c r="F256" s="1079" t="s">
        <v>480</v>
      </c>
      <c r="G256" s="1082">
        <v>0</v>
      </c>
      <c r="H256" s="1083">
        <v>0</v>
      </c>
    </row>
    <row r="257" spans="1:8">
      <c r="A257" s="1084"/>
      <c r="B257" s="1078"/>
      <c r="C257" s="1079"/>
      <c r="D257" s="1080"/>
      <c r="E257" s="1081"/>
      <c r="F257" s="1079"/>
      <c r="G257" s="1085"/>
      <c r="H257" s="1086"/>
    </row>
    <row r="258" spans="1:8">
      <c r="A258" s="1077" t="s">
        <v>483</v>
      </c>
      <c r="B258" s="1078">
        <v>870</v>
      </c>
      <c r="C258" s="1079" t="s">
        <v>1424</v>
      </c>
      <c r="D258" s="1080" t="s">
        <v>1502</v>
      </c>
      <c r="E258" s="1081" t="s">
        <v>1504</v>
      </c>
      <c r="F258" s="1079" t="s">
        <v>480</v>
      </c>
      <c r="G258" s="1087">
        <v>723419.18</v>
      </c>
      <c r="H258" s="1087">
        <v>425508.16</v>
      </c>
    </row>
    <row r="259" spans="1:8">
      <c r="A259" s="1084"/>
      <c r="B259" s="1078"/>
      <c r="C259" s="1079"/>
      <c r="D259" s="1080"/>
      <c r="E259" s="1081"/>
      <c r="F259" s="1079"/>
      <c r="G259" s="1087"/>
      <c r="H259" s="1087"/>
    </row>
    <row r="260" spans="1:8">
      <c r="A260" s="1084" t="s">
        <v>1505</v>
      </c>
      <c r="B260" s="1078"/>
      <c r="C260" s="1079"/>
      <c r="D260" s="1080"/>
      <c r="E260" s="1081"/>
      <c r="F260" s="1079" t="s">
        <v>480</v>
      </c>
      <c r="G260" s="1087">
        <f>SUM(G262:G263)</f>
        <v>8773.7799999999988</v>
      </c>
      <c r="H260" s="1087">
        <f>SUM(H262:H263)</f>
        <v>8777.4699999999993</v>
      </c>
    </row>
    <row r="261" spans="1:8">
      <c r="A261" s="1084"/>
      <c r="B261" s="1078"/>
      <c r="C261" s="1079"/>
      <c r="D261" s="1080"/>
      <c r="E261" s="1081"/>
      <c r="F261" s="1079"/>
      <c r="G261" s="1087"/>
      <c r="H261" s="1087"/>
    </row>
    <row r="262" spans="1:8">
      <c r="A262" s="1084" t="s">
        <v>1506</v>
      </c>
      <c r="B262" s="1078">
        <v>870</v>
      </c>
      <c r="C262" s="1079" t="s">
        <v>1424</v>
      </c>
      <c r="D262" s="1088" t="s">
        <v>1507</v>
      </c>
      <c r="E262" s="1081" t="s">
        <v>1508</v>
      </c>
      <c r="F262" s="1079" t="s">
        <v>480</v>
      </c>
      <c r="G262" s="1087">
        <v>8770.4699999999993</v>
      </c>
      <c r="H262" s="1087">
        <v>8774.16</v>
      </c>
    </row>
    <row r="263" spans="1:8">
      <c r="A263" s="1084" t="s">
        <v>1509</v>
      </c>
      <c r="B263" s="1078">
        <v>870</v>
      </c>
      <c r="C263" s="1079" t="s">
        <v>1424</v>
      </c>
      <c r="D263" s="1088" t="s">
        <v>1510</v>
      </c>
      <c r="E263" s="1081" t="s">
        <v>1508</v>
      </c>
      <c r="F263" s="1079" t="s">
        <v>480</v>
      </c>
      <c r="G263" s="1087">
        <v>3.31</v>
      </c>
      <c r="H263" s="1087">
        <v>3.31</v>
      </c>
    </row>
    <row r="264" spans="1:8">
      <c r="A264" s="1084"/>
      <c r="B264" s="1078"/>
      <c r="C264" s="1079"/>
      <c r="D264" s="1080"/>
      <c r="E264" s="1081"/>
      <c r="F264" s="1079"/>
      <c r="G264" s="1086"/>
      <c r="H264" s="1086"/>
    </row>
    <row r="265" spans="1:8">
      <c r="A265" s="1077" t="s">
        <v>484</v>
      </c>
      <c r="B265" s="1078">
        <v>870</v>
      </c>
      <c r="C265" s="1079" t="s">
        <v>1424</v>
      </c>
      <c r="D265" s="1089" t="s">
        <v>1502</v>
      </c>
      <c r="E265" s="1081" t="s">
        <v>1511</v>
      </c>
      <c r="F265" s="1079" t="s">
        <v>480</v>
      </c>
      <c r="G265" s="1090" t="s">
        <v>1512</v>
      </c>
      <c r="H265" s="1082" t="s">
        <v>1513</v>
      </c>
    </row>
    <row r="266" spans="1:8">
      <c r="A266" s="1077" t="s">
        <v>1443</v>
      </c>
      <c r="B266" s="1078"/>
      <c r="C266" s="1079"/>
      <c r="D266" s="1080"/>
      <c r="E266" s="1081"/>
      <c r="F266" s="1079"/>
      <c r="G266" s="1086"/>
      <c r="H266" s="1086"/>
    </row>
    <row r="267" spans="1:8">
      <c r="A267" s="1084"/>
      <c r="B267" s="1078"/>
      <c r="C267" s="1079"/>
      <c r="D267" s="1080"/>
      <c r="E267" s="1081"/>
      <c r="F267" s="1079"/>
      <c r="G267" s="1086"/>
      <c r="H267" s="1086"/>
    </row>
    <row r="268" spans="1:8">
      <c r="A268" s="1077" t="s">
        <v>1514</v>
      </c>
      <c r="B268" s="1078">
        <v>870</v>
      </c>
      <c r="C268" s="1079"/>
      <c r="D268" s="1089"/>
      <c r="E268" s="1081"/>
      <c r="F268" s="1079" t="s">
        <v>480</v>
      </c>
      <c r="G268" s="1087">
        <f>SUM(G270:G273)</f>
        <v>2189191.73</v>
      </c>
      <c r="H268" s="1087">
        <f>SUM(H270:H273)</f>
        <v>14253019.15</v>
      </c>
    </row>
    <row r="269" spans="1:8">
      <c r="A269" s="1084"/>
      <c r="B269" s="1078"/>
      <c r="C269" s="1079"/>
      <c r="D269" s="1080"/>
      <c r="E269" s="1081"/>
      <c r="F269" s="1079"/>
      <c r="G269" s="1087"/>
      <c r="H269" s="1087"/>
    </row>
    <row r="270" spans="1:8">
      <c r="A270" s="1084" t="s">
        <v>1515</v>
      </c>
      <c r="B270" s="1078">
        <v>870</v>
      </c>
      <c r="C270" s="1079" t="s">
        <v>1424</v>
      </c>
      <c r="D270" s="1089" t="s">
        <v>1502</v>
      </c>
      <c r="E270" s="1081" t="s">
        <v>1516</v>
      </c>
      <c r="F270" s="1079" t="s">
        <v>480</v>
      </c>
      <c r="G270" s="1087">
        <v>1933139.54</v>
      </c>
      <c r="H270" s="1087">
        <v>12503896.960000001</v>
      </c>
    </row>
    <row r="271" spans="1:8">
      <c r="A271" s="1084" t="s">
        <v>1517</v>
      </c>
      <c r="B271" s="1078">
        <v>870</v>
      </c>
      <c r="C271" s="1079" t="s">
        <v>1424</v>
      </c>
      <c r="D271" s="1089" t="s">
        <v>1502</v>
      </c>
      <c r="E271" s="1081" t="s">
        <v>1516</v>
      </c>
      <c r="F271" s="1079" t="s">
        <v>480</v>
      </c>
      <c r="G271" s="1087">
        <v>0</v>
      </c>
      <c r="H271" s="1087">
        <v>1335375</v>
      </c>
    </row>
    <row r="272" spans="1:8">
      <c r="A272" s="1084" t="s">
        <v>1518</v>
      </c>
      <c r="B272" s="1078">
        <v>870</v>
      </c>
      <c r="C272" s="1079" t="s">
        <v>1424</v>
      </c>
      <c r="D272" s="1089" t="s">
        <v>1502</v>
      </c>
      <c r="E272" s="1081" t="s">
        <v>1519</v>
      </c>
      <c r="F272" s="1079" t="s">
        <v>480</v>
      </c>
      <c r="G272" s="1087">
        <v>256052.19</v>
      </c>
      <c r="H272" s="1087">
        <v>256147.19</v>
      </c>
    </row>
    <row r="273" spans="1:8">
      <c r="A273" s="1084" t="s">
        <v>1520</v>
      </c>
      <c r="B273" s="1078">
        <v>870</v>
      </c>
      <c r="C273" s="1079"/>
      <c r="D273" s="1080"/>
      <c r="E273" s="1081"/>
      <c r="F273" s="1079" t="s">
        <v>480</v>
      </c>
      <c r="G273" s="1087">
        <v>0</v>
      </c>
      <c r="H273" s="1087">
        <v>157600</v>
      </c>
    </row>
    <row r="274" spans="1:8">
      <c r="A274" s="1084"/>
      <c r="B274" s="1078"/>
      <c r="C274" s="1079"/>
      <c r="D274" s="1080"/>
      <c r="E274" s="1081"/>
      <c r="F274" s="1079"/>
      <c r="G274" s="1087"/>
      <c r="H274" s="1087"/>
    </row>
    <row r="275" spans="1:8">
      <c r="A275" s="1084" t="s">
        <v>1521</v>
      </c>
      <c r="B275" s="1078"/>
      <c r="C275" s="1079"/>
      <c r="D275" s="1080"/>
      <c r="E275" s="1081"/>
      <c r="F275" s="1079" t="s">
        <v>480</v>
      </c>
      <c r="G275" s="1087">
        <f>SUM(G277:G278)</f>
        <v>5606.6</v>
      </c>
      <c r="H275" s="1087">
        <f>SUM(H277:H278)</f>
        <v>5606.6</v>
      </c>
    </row>
    <row r="276" spans="1:8">
      <c r="A276" s="1084"/>
      <c r="B276" s="1078"/>
      <c r="C276" s="1079"/>
      <c r="D276" s="1080"/>
      <c r="E276" s="1081"/>
      <c r="F276" s="1079"/>
      <c r="G276" s="1087"/>
      <c r="H276" s="1087"/>
    </row>
    <row r="277" spans="1:8">
      <c r="A277" s="1084" t="s">
        <v>1522</v>
      </c>
      <c r="B277" s="1078">
        <v>870</v>
      </c>
      <c r="C277" s="1079" t="s">
        <v>1424</v>
      </c>
      <c r="D277" s="1088" t="s">
        <v>1523</v>
      </c>
      <c r="E277" s="1081" t="s">
        <v>1524</v>
      </c>
      <c r="F277" s="1079" t="s">
        <v>480</v>
      </c>
      <c r="G277" s="1087">
        <v>23.26</v>
      </c>
      <c r="H277" s="1087">
        <v>23.26</v>
      </c>
    </row>
    <row r="278" spans="1:8">
      <c r="A278" s="1084" t="s">
        <v>1525</v>
      </c>
      <c r="B278" s="1078">
        <v>870</v>
      </c>
      <c r="C278" s="1079" t="s">
        <v>1424</v>
      </c>
      <c r="D278" s="1088" t="s">
        <v>1526</v>
      </c>
      <c r="E278" s="1081" t="s">
        <v>1527</v>
      </c>
      <c r="F278" s="1079" t="s">
        <v>480</v>
      </c>
      <c r="G278" s="1087">
        <v>5583.34</v>
      </c>
      <c r="H278" s="1087">
        <v>5583.34</v>
      </c>
    </row>
    <row r="279" spans="1:8">
      <c r="A279" s="1084"/>
      <c r="B279" s="1078"/>
      <c r="C279" s="1079"/>
      <c r="D279" s="1080"/>
      <c r="E279" s="1081"/>
      <c r="F279" s="1079"/>
      <c r="G279" s="1086"/>
      <c r="H279" s="1086"/>
    </row>
    <row r="280" spans="1:8">
      <c r="A280" s="1077" t="s">
        <v>1528</v>
      </c>
      <c r="B280" s="1078"/>
      <c r="C280" s="1079" t="s">
        <v>1424</v>
      </c>
      <c r="D280" s="1089" t="s">
        <v>1502</v>
      </c>
      <c r="E280" s="1081"/>
      <c r="F280" s="1079" t="s">
        <v>480</v>
      </c>
      <c r="G280" s="1083">
        <f>SUM(G282:G283)</f>
        <v>1543967.4000000001</v>
      </c>
      <c r="H280" s="1083">
        <f>SUM(H282:H283)</f>
        <v>309505.02</v>
      </c>
    </row>
    <row r="281" spans="1:8">
      <c r="A281" s="1084"/>
      <c r="B281" s="1091"/>
      <c r="C281" s="1074"/>
      <c r="D281" s="1080"/>
      <c r="E281" s="1081"/>
      <c r="F281" s="1079"/>
      <c r="G281" s="1086"/>
      <c r="H281" s="1086"/>
    </row>
    <row r="282" spans="1:8">
      <c r="A282" s="1084" t="s">
        <v>488</v>
      </c>
      <c r="B282" s="1078">
        <v>870</v>
      </c>
      <c r="C282" s="1079" t="s">
        <v>1424</v>
      </c>
      <c r="D282" s="1089" t="s">
        <v>1502</v>
      </c>
      <c r="E282" s="1081" t="s">
        <v>1504</v>
      </c>
      <c r="F282" s="1079" t="s">
        <v>480</v>
      </c>
      <c r="G282" s="1087">
        <v>1082724.8700000001</v>
      </c>
      <c r="H282" s="1087">
        <v>137617.39000000001</v>
      </c>
    </row>
    <row r="283" spans="1:8">
      <c r="A283" s="1084" t="s">
        <v>1529</v>
      </c>
      <c r="B283" s="1078">
        <v>870</v>
      </c>
      <c r="C283" s="1079" t="s">
        <v>1424</v>
      </c>
      <c r="D283" s="1089" t="s">
        <v>1502</v>
      </c>
      <c r="E283" s="1081" t="s">
        <v>1530</v>
      </c>
      <c r="F283" s="1079" t="s">
        <v>480</v>
      </c>
      <c r="G283" s="1087">
        <v>461242.53</v>
      </c>
      <c r="H283" s="1087">
        <v>171887.63</v>
      </c>
    </row>
    <row r="284" spans="1:8">
      <c r="A284" s="1084"/>
      <c r="B284" s="1078"/>
      <c r="C284" s="1074"/>
      <c r="D284" s="1075"/>
      <c r="E284" s="1076"/>
      <c r="F284" s="1074"/>
      <c r="G284" s="1086"/>
      <c r="H284" s="1086"/>
    </row>
    <row r="285" spans="1:8">
      <c r="A285" s="1084" t="s">
        <v>1531</v>
      </c>
      <c r="B285" s="1091"/>
      <c r="C285" s="1074"/>
      <c r="D285" s="1075"/>
      <c r="E285" s="1076"/>
      <c r="F285" s="1074"/>
      <c r="G285" s="1086"/>
      <c r="H285" s="1086"/>
    </row>
    <row r="286" spans="1:8">
      <c r="A286" s="1084"/>
      <c r="B286" s="1091"/>
      <c r="C286" s="1074"/>
      <c r="D286" s="1075"/>
      <c r="E286" s="1076"/>
      <c r="F286" s="1074"/>
      <c r="G286" s="1086"/>
      <c r="H286" s="1086"/>
    </row>
    <row r="287" spans="1:8" ht="24.75">
      <c r="A287" s="1092" t="s">
        <v>1532</v>
      </c>
      <c r="B287" s="1078">
        <v>870</v>
      </c>
      <c r="C287" s="1078" t="s">
        <v>1424</v>
      </c>
      <c r="D287" s="1093" t="s">
        <v>1533</v>
      </c>
      <c r="E287" s="1094" t="s">
        <v>1534</v>
      </c>
      <c r="F287" s="1079" t="s">
        <v>480</v>
      </c>
      <c r="G287" s="1087">
        <v>21555.39</v>
      </c>
      <c r="H287" s="1087">
        <v>24535.49</v>
      </c>
    </row>
    <row r="288" spans="1:8">
      <c r="A288" s="1095"/>
      <c r="B288" s="1096"/>
      <c r="C288" s="1074"/>
      <c r="D288" s="1075"/>
      <c r="E288" s="1076"/>
      <c r="F288" s="1074"/>
      <c r="G288" s="1086"/>
      <c r="H288" s="1086"/>
    </row>
    <row r="289" spans="1:8" ht="15.75" thickBot="1">
      <c r="A289" s="1097" t="s">
        <v>1535</v>
      </c>
      <c r="B289" s="1098">
        <v>870</v>
      </c>
      <c r="C289" s="1078" t="s">
        <v>1536</v>
      </c>
      <c r="D289" s="1093" t="s">
        <v>1537</v>
      </c>
      <c r="E289" s="1094" t="s">
        <v>1534</v>
      </c>
      <c r="F289" s="1079" t="s">
        <v>480</v>
      </c>
      <c r="G289" s="1087">
        <v>66657.19</v>
      </c>
      <c r="H289" s="1087">
        <v>66657.19</v>
      </c>
    </row>
    <row r="290" spans="1:8" ht="15.75" thickBot="1">
      <c r="A290" s="1099" t="s">
        <v>0</v>
      </c>
      <c r="B290" s="1100"/>
      <c r="C290" s="1101"/>
      <c r="D290" s="1101"/>
      <c r="E290" s="1101"/>
      <c r="F290" s="1102" t="s">
        <v>480</v>
      </c>
      <c r="G290" s="1103">
        <f>SUM(G258:G289)</f>
        <v>8306710.7800000003</v>
      </c>
      <c r="H290" s="1104">
        <f>SUM(H258:H289)</f>
        <v>29670517.320000004</v>
      </c>
    </row>
    <row r="294" spans="1:8" ht="15.75">
      <c r="A294" s="875" t="s">
        <v>1437</v>
      </c>
      <c r="B294" s="978"/>
      <c r="C294" s="978"/>
      <c r="D294" s="978"/>
      <c r="E294" s="978"/>
      <c r="F294" s="978"/>
      <c r="G294" s="978"/>
      <c r="H294" s="978"/>
    </row>
    <row r="295" spans="1:8" ht="15.75">
      <c r="A295" s="215" t="s">
        <v>494</v>
      </c>
      <c r="B295" s="297"/>
      <c r="C295" s="297"/>
      <c r="D295" s="297"/>
      <c r="E295" s="297"/>
      <c r="F295" s="297"/>
      <c r="G295" s="297"/>
      <c r="H295" s="297"/>
    </row>
    <row r="296" spans="1:8" ht="15.75" thickBot="1">
      <c r="A296" s="295" t="s">
        <v>720</v>
      </c>
      <c r="B296" s="295"/>
      <c r="C296" s="295"/>
      <c r="D296" s="295"/>
      <c r="E296" s="295"/>
      <c r="F296" s="295"/>
      <c r="G296" s="295"/>
      <c r="H296" s="295"/>
    </row>
    <row r="297" spans="1:8" ht="15.75" thickBot="1">
      <c r="A297" s="1392" t="s">
        <v>1410</v>
      </c>
      <c r="B297" s="1392" t="s">
        <v>1411</v>
      </c>
      <c r="C297" s="1393" t="s">
        <v>1409</v>
      </c>
      <c r="D297" s="1291"/>
      <c r="E297" s="1291"/>
      <c r="F297" s="1291"/>
      <c r="G297" s="1291"/>
      <c r="H297" s="1291"/>
    </row>
    <row r="298" spans="1:8" ht="25.5" thickBot="1">
      <c r="A298" s="1345"/>
      <c r="B298" s="1345"/>
      <c r="C298" s="979" t="s">
        <v>1438</v>
      </c>
      <c r="D298" s="980" t="s">
        <v>1413</v>
      </c>
      <c r="E298" s="981" t="s">
        <v>1439</v>
      </c>
      <c r="F298" s="982" t="s">
        <v>1415</v>
      </c>
      <c r="G298" s="982" t="s">
        <v>1416</v>
      </c>
      <c r="H298" s="982" t="s">
        <v>1538</v>
      </c>
    </row>
    <row r="299" spans="1:8">
      <c r="A299" s="226"/>
      <c r="B299" s="1394">
        <v>866</v>
      </c>
      <c r="C299" s="984"/>
      <c r="D299" s="985"/>
      <c r="E299" s="986"/>
      <c r="F299" s="984"/>
      <c r="G299" s="984"/>
      <c r="H299" s="984"/>
    </row>
    <row r="300" spans="1:8">
      <c r="A300" s="235" t="s">
        <v>482</v>
      </c>
      <c r="B300" s="1395"/>
      <c r="C300" s="984" t="s">
        <v>1424</v>
      </c>
      <c r="D300" s="985" t="s">
        <v>1539</v>
      </c>
      <c r="E300" s="986">
        <v>2005</v>
      </c>
      <c r="F300" s="984" t="s">
        <v>1420</v>
      </c>
      <c r="G300" s="984">
        <v>177248</v>
      </c>
      <c r="H300" s="984">
        <v>8020594</v>
      </c>
    </row>
    <row r="301" spans="1:8">
      <c r="A301" s="235"/>
      <c r="B301" s="1395"/>
      <c r="C301" s="984"/>
      <c r="D301" s="985"/>
      <c r="E301" s="986"/>
      <c r="F301" s="984"/>
      <c r="G301" s="984"/>
      <c r="H301" s="984"/>
    </row>
    <row r="302" spans="1:8">
      <c r="A302" s="235" t="s">
        <v>483</v>
      </c>
      <c r="B302" s="1395"/>
      <c r="C302" s="984" t="s">
        <v>1424</v>
      </c>
      <c r="D302" s="985" t="s">
        <v>1539</v>
      </c>
      <c r="E302" s="986">
        <v>2013</v>
      </c>
      <c r="F302" s="984" t="s">
        <v>1420</v>
      </c>
      <c r="G302" s="984">
        <v>401182</v>
      </c>
      <c r="H302" s="984">
        <v>1100955</v>
      </c>
    </row>
    <row r="303" spans="1:8">
      <c r="A303" s="235"/>
      <c r="B303" s="1395"/>
      <c r="C303" s="984"/>
      <c r="D303" s="985"/>
      <c r="E303" s="986"/>
      <c r="F303" s="984"/>
      <c r="G303" s="984"/>
      <c r="H303" s="984"/>
    </row>
    <row r="304" spans="1:8">
      <c r="A304" s="235" t="s">
        <v>484</v>
      </c>
      <c r="B304" s="1395"/>
      <c r="C304" s="984" t="s">
        <v>1540</v>
      </c>
      <c r="D304" s="985" t="s">
        <v>1540</v>
      </c>
      <c r="E304" s="986" t="s">
        <v>1540</v>
      </c>
      <c r="F304" s="984" t="s">
        <v>1540</v>
      </c>
      <c r="G304" s="984" t="s">
        <v>1540</v>
      </c>
      <c r="H304" s="984" t="s">
        <v>1540</v>
      </c>
    </row>
    <row r="305" spans="1:8">
      <c r="A305" s="235" t="s">
        <v>1443</v>
      </c>
      <c r="B305" s="1395"/>
      <c r="C305" s="984"/>
      <c r="D305" s="985"/>
      <c r="E305" s="986"/>
      <c r="F305" s="984"/>
      <c r="G305" s="984"/>
      <c r="H305" s="984"/>
    </row>
    <row r="306" spans="1:8">
      <c r="A306" s="235"/>
      <c r="B306" s="1395"/>
      <c r="C306" s="984"/>
      <c r="D306" s="985"/>
      <c r="E306" s="986"/>
      <c r="F306" s="984"/>
      <c r="G306" s="984"/>
      <c r="H306" s="984"/>
    </row>
    <row r="307" spans="1:8">
      <c r="A307" s="235" t="s">
        <v>486</v>
      </c>
      <c r="B307" s="1395"/>
      <c r="C307" s="984" t="s">
        <v>1424</v>
      </c>
      <c r="D307" s="985" t="s">
        <v>1539</v>
      </c>
      <c r="E307" s="986">
        <v>2020</v>
      </c>
      <c r="F307" s="984" t="s">
        <v>1420</v>
      </c>
      <c r="G307" s="984">
        <v>1173</v>
      </c>
      <c r="H307" s="984">
        <v>875809</v>
      </c>
    </row>
    <row r="308" spans="1:8">
      <c r="A308" s="235"/>
      <c r="B308" s="1395"/>
      <c r="C308" s="984"/>
      <c r="D308" s="985"/>
      <c r="E308" s="986"/>
      <c r="F308" s="984"/>
      <c r="G308" s="984"/>
      <c r="H308" s="984"/>
    </row>
    <row r="309" spans="1:8">
      <c r="A309" s="235" t="s">
        <v>487</v>
      </c>
      <c r="B309" s="1395"/>
      <c r="C309" s="984"/>
      <c r="D309" s="985"/>
      <c r="E309" s="986"/>
      <c r="F309" s="984"/>
      <c r="G309" s="984"/>
      <c r="H309" s="984"/>
    </row>
    <row r="310" spans="1:8">
      <c r="A310" s="235"/>
      <c r="B310" s="1395"/>
      <c r="C310" s="984"/>
      <c r="D310" s="985"/>
      <c r="E310" s="986"/>
      <c r="F310" s="984"/>
      <c r="G310" s="984"/>
      <c r="H310" s="984"/>
    </row>
    <row r="311" spans="1:8">
      <c r="A311" s="235" t="s">
        <v>488</v>
      </c>
      <c r="B311" s="1395"/>
      <c r="C311" s="984" t="s">
        <v>1424</v>
      </c>
      <c r="D311" s="985" t="s">
        <v>1539</v>
      </c>
      <c r="E311" s="986">
        <v>2009</v>
      </c>
      <c r="F311" s="984" t="s">
        <v>1420</v>
      </c>
      <c r="G311" s="984">
        <v>211217</v>
      </c>
      <c r="H311" s="984">
        <v>2165593</v>
      </c>
    </row>
    <row r="312" spans="1:8">
      <c r="A312" s="235" t="s">
        <v>489</v>
      </c>
      <c r="B312" s="1395"/>
      <c r="C312" s="984"/>
      <c r="D312" s="985"/>
      <c r="E312" s="986"/>
      <c r="F312" s="984"/>
      <c r="G312" s="984"/>
      <c r="H312" s="984"/>
    </row>
    <row r="313" spans="1:8">
      <c r="A313" s="235" t="s">
        <v>490</v>
      </c>
      <c r="B313" s="1395"/>
      <c r="C313" s="984"/>
      <c r="D313" s="985"/>
      <c r="E313" s="986"/>
      <c r="F313" s="984"/>
      <c r="G313" s="984"/>
      <c r="H313" s="984"/>
    </row>
    <row r="314" spans="1:8">
      <c r="A314" s="235" t="s">
        <v>491</v>
      </c>
      <c r="B314" s="1395"/>
      <c r="C314" s="984" t="s">
        <v>1540</v>
      </c>
      <c r="D314" s="985" t="s">
        <v>1540</v>
      </c>
      <c r="E314" s="986" t="s">
        <v>1540</v>
      </c>
      <c r="F314" s="984" t="s">
        <v>1540</v>
      </c>
      <c r="G314" s="984" t="s">
        <v>1540</v>
      </c>
      <c r="H314" s="984" t="s">
        <v>1540</v>
      </c>
    </row>
    <row r="315" spans="1:8">
      <c r="A315" s="235" t="s">
        <v>492</v>
      </c>
      <c r="B315" s="1395"/>
      <c r="C315" s="984" t="s">
        <v>1540</v>
      </c>
      <c r="D315" s="985" t="s">
        <v>1540</v>
      </c>
      <c r="E315" s="986" t="s">
        <v>1540</v>
      </c>
      <c r="F315" s="984" t="s">
        <v>1540</v>
      </c>
      <c r="G315" s="984" t="s">
        <v>1540</v>
      </c>
      <c r="H315" s="984" t="s">
        <v>1540</v>
      </c>
    </row>
    <row r="316" spans="1:8">
      <c r="A316" s="235" t="s">
        <v>1444</v>
      </c>
      <c r="B316" s="1395"/>
      <c r="C316" s="984" t="s">
        <v>1540</v>
      </c>
      <c r="D316" s="985" t="s">
        <v>1540</v>
      </c>
      <c r="E316" s="986" t="s">
        <v>1540</v>
      </c>
      <c r="F316" s="984" t="s">
        <v>1540</v>
      </c>
      <c r="G316" s="984" t="s">
        <v>1540</v>
      </c>
      <c r="H316" s="984" t="s">
        <v>1540</v>
      </c>
    </row>
    <row r="317" spans="1:8" ht="15.75" thickBot="1">
      <c r="A317" s="667"/>
      <c r="B317" s="1396"/>
      <c r="C317" s="658"/>
      <c r="D317" s="295"/>
      <c r="E317" s="235"/>
      <c r="F317" s="658"/>
      <c r="G317" s="658"/>
      <c r="H317" s="658"/>
    </row>
    <row r="318" spans="1:8" ht="15.75" thickBot="1">
      <c r="A318" s="988" t="s">
        <v>0</v>
      </c>
      <c r="B318" s="640"/>
      <c r="C318" s="989"/>
      <c r="D318" s="989"/>
      <c r="E318" s="989"/>
      <c r="F318" s="989"/>
      <c r="G318" s="989"/>
      <c r="H318" s="990"/>
    </row>
    <row r="321" spans="1:8" ht="15.75">
      <c r="A321" s="875" t="s">
        <v>1437</v>
      </c>
      <c r="B321" s="1105"/>
      <c r="C321" s="1105"/>
      <c r="D321" s="1105"/>
      <c r="E321" s="1105"/>
      <c r="F321" s="1105"/>
      <c r="G321" s="978"/>
      <c r="H321" s="978"/>
    </row>
    <row r="322" spans="1:8" ht="15.75">
      <c r="A322" s="215" t="s">
        <v>494</v>
      </c>
      <c r="B322" s="1106"/>
      <c r="C322" s="1106"/>
      <c r="D322" s="1106"/>
      <c r="E322" s="1106"/>
      <c r="F322" s="1106"/>
      <c r="G322" s="297"/>
      <c r="H322" s="297"/>
    </row>
    <row r="323" spans="1:8" ht="15.75" thickBot="1">
      <c r="A323" s="295" t="s">
        <v>1541</v>
      </c>
      <c r="B323" s="1107"/>
      <c r="C323" s="1107"/>
      <c r="D323" s="1107"/>
      <c r="E323" s="1107"/>
      <c r="F323" s="1107"/>
      <c r="G323" s="295"/>
      <c r="H323" s="295"/>
    </row>
    <row r="324" spans="1:8" ht="15.75" thickBot="1">
      <c r="A324" s="1392" t="s">
        <v>1410</v>
      </c>
      <c r="B324" s="1392" t="s">
        <v>1411</v>
      </c>
      <c r="C324" s="1393" t="s">
        <v>1409</v>
      </c>
      <c r="D324" s="1291"/>
      <c r="E324" s="1291"/>
      <c r="F324" s="1291"/>
      <c r="G324" s="1291"/>
      <c r="H324" s="1291"/>
    </row>
    <row r="325" spans="1:8" ht="25.5" thickBot="1">
      <c r="A325" s="1345"/>
      <c r="B325" s="1397"/>
      <c r="C325" s="979" t="s">
        <v>1438</v>
      </c>
      <c r="D325" s="980" t="s">
        <v>1413</v>
      </c>
      <c r="E325" s="981" t="s">
        <v>1439</v>
      </c>
      <c r="F325" s="982" t="s">
        <v>1415</v>
      </c>
      <c r="G325" s="982" t="s">
        <v>1440</v>
      </c>
      <c r="H325" s="982" t="s">
        <v>1441</v>
      </c>
    </row>
    <row r="326" spans="1:8">
      <c r="A326" s="226"/>
      <c r="B326" s="1008"/>
      <c r="C326" s="1009"/>
      <c r="D326" s="1015"/>
      <c r="E326" s="1108"/>
      <c r="F326" s="1009"/>
      <c r="G326" s="984"/>
      <c r="H326" s="984"/>
    </row>
    <row r="327" spans="1:8">
      <c r="A327" s="235" t="s">
        <v>482</v>
      </c>
      <c r="B327" s="1109" t="s">
        <v>1542</v>
      </c>
      <c r="C327" s="1009" t="s">
        <v>1471</v>
      </c>
      <c r="D327" s="1110" t="s">
        <v>1543</v>
      </c>
      <c r="E327" s="1111">
        <v>2005</v>
      </c>
      <c r="F327" s="1009" t="s">
        <v>1420</v>
      </c>
      <c r="G327" s="1012">
        <v>0</v>
      </c>
      <c r="H327" s="1012">
        <v>0</v>
      </c>
    </row>
    <row r="328" spans="1:8">
      <c r="A328" s="235"/>
      <c r="B328" s="1109"/>
      <c r="C328" s="1009"/>
      <c r="D328" s="1110"/>
      <c r="E328" s="1111"/>
      <c r="F328" s="1009"/>
      <c r="G328" s="1012"/>
      <c r="H328" s="1012"/>
    </row>
    <row r="329" spans="1:8">
      <c r="A329" s="235" t="s">
        <v>483</v>
      </c>
      <c r="B329" s="1109" t="s">
        <v>1542</v>
      </c>
      <c r="C329" s="1009" t="s">
        <v>1471</v>
      </c>
      <c r="D329" s="1110" t="s">
        <v>1543</v>
      </c>
      <c r="E329" s="1111" t="s">
        <v>1544</v>
      </c>
      <c r="F329" s="1009" t="s">
        <v>1420</v>
      </c>
      <c r="G329" s="1012">
        <v>3569.03</v>
      </c>
      <c r="H329" s="1012">
        <v>11080.63</v>
      </c>
    </row>
    <row r="330" spans="1:8">
      <c r="A330" s="235"/>
      <c r="B330" s="1109"/>
      <c r="C330" s="1009"/>
      <c r="D330" s="1110"/>
      <c r="E330" s="1111"/>
      <c r="F330" s="1009"/>
      <c r="G330" s="1012"/>
      <c r="H330" s="1012"/>
    </row>
    <row r="331" spans="1:8">
      <c r="A331" s="235" t="s">
        <v>484</v>
      </c>
      <c r="B331" s="1109" t="s">
        <v>1542</v>
      </c>
      <c r="C331" s="1009" t="s">
        <v>1471</v>
      </c>
      <c r="D331" s="1110" t="s">
        <v>1545</v>
      </c>
      <c r="E331" s="1111" t="s">
        <v>1546</v>
      </c>
      <c r="F331" s="1009" t="s">
        <v>1420</v>
      </c>
      <c r="G331" s="1012">
        <v>1069.28</v>
      </c>
      <c r="H331" s="1012">
        <v>1069.28</v>
      </c>
    </row>
    <row r="332" spans="1:8">
      <c r="A332" s="235" t="s">
        <v>1443</v>
      </c>
      <c r="B332" s="1109"/>
      <c r="C332" s="1009"/>
      <c r="D332" s="1110"/>
      <c r="E332" s="1111"/>
      <c r="F332" s="1009"/>
      <c r="G332" s="1012"/>
      <c r="H332" s="1012"/>
    </row>
    <row r="333" spans="1:8">
      <c r="A333" s="235"/>
      <c r="B333" s="1109"/>
      <c r="C333" s="1009"/>
      <c r="D333" s="1110"/>
      <c r="E333" s="1111"/>
      <c r="F333" s="1009"/>
      <c r="G333" s="1012"/>
      <c r="H333" s="1012"/>
    </row>
    <row r="334" spans="1:8">
      <c r="A334" s="235" t="s">
        <v>486</v>
      </c>
      <c r="B334" s="1109"/>
      <c r="C334" s="1009"/>
      <c r="D334" s="1110"/>
      <c r="E334" s="1111"/>
      <c r="F334" s="1009"/>
      <c r="G334" s="1012"/>
      <c r="H334" s="1012"/>
    </row>
    <row r="335" spans="1:8">
      <c r="A335" s="235"/>
      <c r="B335" s="1109"/>
      <c r="C335" s="1009"/>
      <c r="D335" s="1110"/>
      <c r="E335" s="1111"/>
      <c r="F335" s="1009"/>
      <c r="G335" s="1012"/>
      <c r="H335" s="1012"/>
    </row>
    <row r="336" spans="1:8">
      <c r="A336" s="235" t="s">
        <v>487</v>
      </c>
      <c r="B336" s="1109"/>
      <c r="C336" s="1009"/>
      <c r="D336" s="1110"/>
      <c r="E336" s="1111"/>
      <c r="F336" s="1009"/>
      <c r="G336" s="1012"/>
      <c r="H336" s="1012"/>
    </row>
    <row r="337" spans="1:8">
      <c r="A337" s="235"/>
      <c r="B337" s="1109"/>
      <c r="C337" s="1009"/>
      <c r="D337" s="1110"/>
      <c r="E337" s="1111"/>
      <c r="F337" s="1009"/>
      <c r="G337" s="1012"/>
      <c r="H337" s="1012"/>
    </row>
    <row r="338" spans="1:8">
      <c r="A338" s="235" t="s">
        <v>488</v>
      </c>
      <c r="B338" s="1109" t="s">
        <v>1542</v>
      </c>
      <c r="C338" s="1009" t="s">
        <v>1471</v>
      </c>
      <c r="D338" s="1110" t="s">
        <v>1543</v>
      </c>
      <c r="E338" s="1111" t="s">
        <v>1547</v>
      </c>
      <c r="F338" s="1009" t="s">
        <v>1420</v>
      </c>
      <c r="G338" s="1012">
        <v>141971.57</v>
      </c>
      <c r="H338" s="1012">
        <v>15665.18</v>
      </c>
    </row>
    <row r="339" spans="1:8">
      <c r="A339" s="235" t="s">
        <v>489</v>
      </c>
      <c r="B339" s="1109" t="s">
        <v>1542</v>
      </c>
      <c r="C339" s="1009" t="s">
        <v>1471</v>
      </c>
      <c r="D339" s="1110" t="s">
        <v>1548</v>
      </c>
      <c r="E339" s="1111" t="s">
        <v>1546</v>
      </c>
      <c r="F339" s="1009" t="s">
        <v>1420</v>
      </c>
      <c r="G339" s="1012">
        <v>367.74</v>
      </c>
      <c r="H339" s="1012">
        <v>367.74</v>
      </c>
    </row>
    <row r="340" spans="1:8">
      <c r="A340" s="235" t="s">
        <v>490</v>
      </c>
      <c r="B340" s="1109"/>
      <c r="C340" s="1009"/>
      <c r="D340" s="1110"/>
      <c r="E340" s="1111"/>
      <c r="F340" s="1009"/>
      <c r="G340" s="1012"/>
      <c r="H340" s="1012"/>
    </row>
    <row r="341" spans="1:8">
      <c r="A341" s="235" t="s">
        <v>491</v>
      </c>
      <c r="B341" s="1109"/>
      <c r="C341" s="1009"/>
      <c r="D341" s="1110"/>
      <c r="E341" s="1111"/>
      <c r="F341" s="1009"/>
      <c r="G341" s="1012"/>
      <c r="H341" s="1012"/>
    </row>
    <row r="342" spans="1:8">
      <c r="A342" s="235" t="s">
        <v>492</v>
      </c>
      <c r="B342" s="1109"/>
      <c r="C342" s="1009"/>
      <c r="D342" s="1110"/>
      <c r="E342" s="1111"/>
      <c r="F342" s="1009"/>
      <c r="G342" s="1012"/>
      <c r="H342" s="1012"/>
    </row>
    <row r="343" spans="1:8">
      <c r="A343" s="235" t="s">
        <v>1444</v>
      </c>
      <c r="B343" s="1109"/>
      <c r="C343" s="1009"/>
      <c r="D343" s="1110"/>
      <c r="E343" s="1111"/>
      <c r="F343" s="1009"/>
      <c r="G343" s="1012"/>
      <c r="H343" s="1012"/>
    </row>
    <row r="344" spans="1:8">
      <c r="A344" s="1112" t="s">
        <v>1549</v>
      </c>
      <c r="B344" s="1109" t="s">
        <v>1542</v>
      </c>
      <c r="C344" s="1009" t="s">
        <v>1471</v>
      </c>
      <c r="D344" s="1110" t="s">
        <v>1550</v>
      </c>
      <c r="E344" s="1111" t="s">
        <v>1551</v>
      </c>
      <c r="F344" s="1009" t="s">
        <v>1420</v>
      </c>
      <c r="G344" s="1012">
        <v>5.57</v>
      </c>
      <c r="H344" s="1012">
        <v>5.57</v>
      </c>
    </row>
    <row r="345" spans="1:8">
      <c r="A345" s="1112" t="s">
        <v>1552</v>
      </c>
      <c r="B345" s="1109" t="s">
        <v>1542</v>
      </c>
      <c r="C345" s="1009" t="s">
        <v>1471</v>
      </c>
      <c r="D345" s="1110" t="s">
        <v>1553</v>
      </c>
      <c r="E345" s="1111" t="s">
        <v>1546</v>
      </c>
      <c r="F345" s="1009" t="s">
        <v>1420</v>
      </c>
      <c r="G345" s="1012">
        <v>418.38</v>
      </c>
      <c r="H345" s="1012">
        <v>418.38</v>
      </c>
    </row>
    <row r="346" spans="1:8">
      <c r="A346" s="1112" t="s">
        <v>1554</v>
      </c>
      <c r="B346" s="1109" t="s">
        <v>1542</v>
      </c>
      <c r="C346" s="1009" t="s">
        <v>1471</v>
      </c>
      <c r="D346" s="1110" t="s">
        <v>1555</v>
      </c>
      <c r="E346" s="1111" t="s">
        <v>1556</v>
      </c>
      <c r="F346" s="1009" t="s">
        <v>1420</v>
      </c>
      <c r="G346" s="1012">
        <v>2103.7199999999998</v>
      </c>
      <c r="H346" s="1012">
        <v>0</v>
      </c>
    </row>
    <row r="347" spans="1:8">
      <c r="A347" s="1112" t="s">
        <v>1557</v>
      </c>
      <c r="B347" s="1109" t="s">
        <v>1542</v>
      </c>
      <c r="C347" s="1009" t="s">
        <v>1471</v>
      </c>
      <c r="D347" s="1110" t="s">
        <v>1558</v>
      </c>
      <c r="E347" s="1111" t="s">
        <v>1559</v>
      </c>
      <c r="F347" s="1009" t="s">
        <v>1420</v>
      </c>
      <c r="G347" s="1012">
        <v>54804.36</v>
      </c>
      <c r="H347" s="1012">
        <v>16513.16</v>
      </c>
    </row>
    <row r="348" spans="1:8" ht="15.75" thickBot="1">
      <c r="A348" s="1113"/>
      <c r="B348" s="1114"/>
      <c r="C348" s="1011"/>
      <c r="D348" s="1110"/>
      <c r="E348" s="1111"/>
      <c r="F348" s="1011"/>
      <c r="G348" s="1012"/>
      <c r="H348" s="1012"/>
    </row>
    <row r="349" spans="1:8" ht="15.75" thickBot="1">
      <c r="A349" s="988" t="s">
        <v>0</v>
      </c>
      <c r="B349" s="640"/>
      <c r="C349" s="1115"/>
      <c r="D349" s="1115"/>
      <c r="E349" s="1115"/>
      <c r="F349" s="1115"/>
      <c r="G349" s="1116">
        <f>SUM(G327:G348)</f>
        <v>204309.65000000002</v>
      </c>
      <c r="H349" s="1116">
        <f>SUM(H327:H348)</f>
        <v>45119.94</v>
      </c>
    </row>
  </sheetData>
  <mergeCells count="69">
    <mergeCell ref="C4:H4"/>
    <mergeCell ref="A44:A45"/>
    <mergeCell ref="B44:B45"/>
    <mergeCell ref="C44:H44"/>
    <mergeCell ref="A69:C69"/>
    <mergeCell ref="A70:B70"/>
    <mergeCell ref="A71:A72"/>
    <mergeCell ref="B71:B72"/>
    <mergeCell ref="C71:H71"/>
    <mergeCell ref="A98:A99"/>
    <mergeCell ref="B98:B99"/>
    <mergeCell ref="C98:I98"/>
    <mergeCell ref="A135:A136"/>
    <mergeCell ref="B135:B136"/>
    <mergeCell ref="C135:H135"/>
    <mergeCell ref="A162:A163"/>
    <mergeCell ref="B162:B163"/>
    <mergeCell ref="C162:H162"/>
    <mergeCell ref="A198:A199"/>
    <mergeCell ref="B198:B199"/>
    <mergeCell ref="C198:H198"/>
    <mergeCell ref="A226:A227"/>
    <mergeCell ref="B226:B227"/>
    <mergeCell ref="C226:H226"/>
    <mergeCell ref="G228:G229"/>
    <mergeCell ref="H228:H229"/>
    <mergeCell ref="A230:A231"/>
    <mergeCell ref="D230:D231"/>
    <mergeCell ref="E230:E231"/>
    <mergeCell ref="F230:F231"/>
    <mergeCell ref="G230:G231"/>
    <mergeCell ref="H230:H231"/>
    <mergeCell ref="A228:A229"/>
    <mergeCell ref="B228:B245"/>
    <mergeCell ref="C228:C245"/>
    <mergeCell ref="D228:D229"/>
    <mergeCell ref="E228:E229"/>
    <mergeCell ref="F228:F229"/>
    <mergeCell ref="A232:A233"/>
    <mergeCell ref="D232:D233"/>
    <mergeCell ref="H236:H237"/>
    <mergeCell ref="G232:G233"/>
    <mergeCell ref="H232:H233"/>
    <mergeCell ref="A234:A235"/>
    <mergeCell ref="D234:D235"/>
    <mergeCell ref="E234:E235"/>
    <mergeCell ref="F234:F235"/>
    <mergeCell ref="G234:G235"/>
    <mergeCell ref="H234:H235"/>
    <mergeCell ref="E232:E233"/>
    <mergeCell ref="F232:F233"/>
    <mergeCell ref="A236:A237"/>
    <mergeCell ref="D236:D237"/>
    <mergeCell ref="E236:E237"/>
    <mergeCell ref="F236:F237"/>
    <mergeCell ref="G236:G237"/>
    <mergeCell ref="A239:A240"/>
    <mergeCell ref="A251:D251"/>
    <mergeCell ref="A252:B252"/>
    <mergeCell ref="A253:A254"/>
    <mergeCell ref="B253:B254"/>
    <mergeCell ref="C253:H253"/>
    <mergeCell ref="A297:A298"/>
    <mergeCell ref="B297:B298"/>
    <mergeCell ref="C297:H297"/>
    <mergeCell ref="B299:B317"/>
    <mergeCell ref="A324:A325"/>
    <mergeCell ref="B324:B325"/>
    <mergeCell ref="C324:H32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31"/>
  <sheetViews>
    <sheetView workbookViewId="0">
      <selection activeCell="E17" sqref="E17"/>
    </sheetView>
  </sheetViews>
  <sheetFormatPr baseColWidth="10" defaultRowHeight="15"/>
  <cols>
    <col min="1" max="1" width="10.7109375" customWidth="1"/>
    <col min="2" max="2" width="18.28515625" customWidth="1"/>
    <col min="3" max="3" width="13.28515625" customWidth="1"/>
    <col min="4" max="4" width="38.28515625" customWidth="1"/>
    <col min="5" max="5" width="19.42578125" customWidth="1"/>
    <col min="6" max="6" width="9.140625" customWidth="1"/>
    <col min="7" max="7" width="33.42578125" customWidth="1"/>
    <col min="8" max="8" width="39.42578125" customWidth="1"/>
    <col min="9" max="9" width="36.85546875" customWidth="1"/>
    <col min="10" max="10" width="41.28515625" customWidth="1"/>
    <col min="11" max="11" width="11.7109375" customWidth="1"/>
    <col min="12" max="12" width="21.42578125" customWidth="1"/>
    <col min="13" max="13" width="9.5703125" customWidth="1"/>
    <col min="15" max="15" width="16.140625" customWidth="1"/>
    <col min="16" max="16" width="9.5703125" customWidth="1"/>
  </cols>
  <sheetData>
    <row r="1" spans="1:16" ht="15.75">
      <c r="A1" s="1421" t="s">
        <v>1560</v>
      </c>
      <c r="B1" s="1421"/>
      <c r="C1" s="1421"/>
      <c r="D1" s="1421"/>
      <c r="E1" s="1421"/>
      <c r="F1" s="1421"/>
      <c r="G1" s="1421"/>
      <c r="H1" s="1421"/>
      <c r="I1" s="1421"/>
      <c r="J1" s="1421"/>
      <c r="K1" s="1421"/>
      <c r="L1" s="1421"/>
      <c r="M1" s="1421"/>
      <c r="N1" s="1421"/>
      <c r="O1" s="1421"/>
      <c r="P1" s="1421"/>
    </row>
    <row r="2" spans="1:16" ht="15.75">
      <c r="A2" s="1117" t="s">
        <v>1561</v>
      </c>
      <c r="B2" s="1117"/>
      <c r="C2" s="1117"/>
      <c r="D2" s="1117"/>
      <c r="E2" s="1117"/>
      <c r="F2" s="1117"/>
      <c r="G2" s="1117"/>
      <c r="H2" s="1117"/>
    </row>
    <row r="3" spans="1:16" ht="16.5" thickBot="1">
      <c r="A3" s="1118" t="s">
        <v>537</v>
      </c>
      <c r="B3" s="1119"/>
      <c r="C3" s="1119"/>
      <c r="D3" s="1119"/>
      <c r="E3" s="1119"/>
      <c r="F3" s="1119"/>
      <c r="G3" s="1119"/>
      <c r="H3" s="1119"/>
      <c r="I3" s="1119"/>
      <c r="J3" s="1119"/>
      <c r="K3" s="1119"/>
      <c r="L3" s="1119"/>
      <c r="M3" s="1119"/>
      <c r="N3" s="1119"/>
      <c r="O3" s="1119"/>
      <c r="P3" s="1119"/>
    </row>
    <row r="4" spans="1:16" ht="16.5" thickBot="1">
      <c r="A4" s="1422" t="s">
        <v>1562</v>
      </c>
      <c r="B4" s="1423"/>
      <c r="C4" s="1423"/>
      <c r="D4" s="1423"/>
      <c r="E4" s="1424"/>
      <c r="F4" s="1422" t="s">
        <v>1371</v>
      </c>
      <c r="G4" s="1423"/>
      <c r="H4" s="1423"/>
      <c r="I4" s="1423"/>
      <c r="J4" s="1424"/>
      <c r="K4" s="1422" t="s">
        <v>1563</v>
      </c>
      <c r="L4" s="1423"/>
      <c r="M4" s="1424"/>
      <c r="N4" s="1422" t="s">
        <v>1564</v>
      </c>
      <c r="O4" s="1423"/>
      <c r="P4" s="1424"/>
    </row>
    <row r="5" spans="1:16" ht="69">
      <c r="A5" s="1120"/>
      <c r="B5" s="1121"/>
      <c r="C5" s="1121"/>
      <c r="D5" s="1121"/>
      <c r="E5" s="1122"/>
      <c r="F5" s="1123"/>
      <c r="G5" s="1121"/>
      <c r="H5" s="1121"/>
      <c r="I5" s="1121"/>
      <c r="J5" s="1124" t="s">
        <v>1565</v>
      </c>
      <c r="K5" s="1125" t="s">
        <v>1566</v>
      </c>
      <c r="L5" s="1126" t="s">
        <v>1567</v>
      </c>
      <c r="M5" s="1127" t="s">
        <v>1568</v>
      </c>
      <c r="N5" s="1125" t="s">
        <v>1569</v>
      </c>
      <c r="O5" s="1126" t="s">
        <v>1567</v>
      </c>
      <c r="P5" s="1127" t="s">
        <v>1568</v>
      </c>
    </row>
    <row r="6" spans="1:16">
      <c r="A6" s="1123"/>
      <c r="B6" s="1128" t="s">
        <v>1570</v>
      </c>
      <c r="C6" s="1128" t="s">
        <v>1571</v>
      </c>
      <c r="D6" s="1128" t="s">
        <v>1572</v>
      </c>
      <c r="E6" s="1129" t="s">
        <v>1573</v>
      </c>
      <c r="F6" s="1130" t="s">
        <v>1574</v>
      </c>
      <c r="G6" s="1128" t="s">
        <v>1575</v>
      </c>
      <c r="H6" s="1128" t="s">
        <v>1576</v>
      </c>
      <c r="I6" s="1128" t="s">
        <v>1577</v>
      </c>
      <c r="J6" s="1131"/>
      <c r="K6" s="1123"/>
      <c r="L6" s="1132"/>
      <c r="M6" s="1129"/>
      <c r="N6" s="1123"/>
      <c r="O6" s="1132"/>
      <c r="P6" s="1129"/>
    </row>
    <row r="7" spans="1:16">
      <c r="A7" s="1123" t="s">
        <v>1578</v>
      </c>
      <c r="B7" s="1128" t="s">
        <v>1579</v>
      </c>
      <c r="C7" s="1132" t="s">
        <v>1580</v>
      </c>
      <c r="D7" s="1128" t="s">
        <v>1581</v>
      </c>
      <c r="E7" s="1131" t="s">
        <v>1582</v>
      </c>
      <c r="F7" s="1130"/>
      <c r="G7" s="1128"/>
      <c r="H7" s="1128"/>
      <c r="I7" s="1128"/>
      <c r="J7" s="1131"/>
      <c r="K7" s="1123"/>
      <c r="L7" s="1132"/>
      <c r="M7" s="1129"/>
      <c r="N7" s="1123"/>
      <c r="O7" s="1132"/>
      <c r="P7" s="1129"/>
    </row>
    <row r="8" spans="1:16" ht="15.75" thickBot="1">
      <c r="A8" s="1133"/>
      <c r="B8" s="1134"/>
      <c r="C8" s="1134"/>
      <c r="D8" s="1134"/>
      <c r="E8" s="1135"/>
      <c r="F8" s="1133"/>
      <c r="G8" s="1134"/>
      <c r="H8" s="1134"/>
      <c r="I8" s="1134"/>
      <c r="J8" s="1136"/>
      <c r="K8" s="1133"/>
      <c r="L8" s="1134"/>
      <c r="M8" s="1136"/>
      <c r="N8" s="1133"/>
      <c r="O8" s="1134"/>
      <c r="P8" s="1136"/>
    </row>
    <row r="9" spans="1:16">
      <c r="A9" s="1123"/>
      <c r="B9" s="1137"/>
      <c r="C9" s="1132"/>
      <c r="D9" s="1132"/>
      <c r="E9" s="1129"/>
      <c r="F9" s="1123"/>
      <c r="G9" s="1132"/>
      <c r="H9" s="1132"/>
      <c r="I9" s="1132"/>
      <c r="J9" s="1129"/>
      <c r="K9" s="1123"/>
      <c r="L9" s="1132"/>
      <c r="M9" s="1129"/>
      <c r="N9" s="1123"/>
      <c r="O9" s="1132"/>
      <c r="P9" s="1129"/>
    </row>
    <row r="10" spans="1:16">
      <c r="A10" s="1130">
        <v>100</v>
      </c>
      <c r="B10" s="961" t="s">
        <v>1583</v>
      </c>
      <c r="C10" s="1128" t="s">
        <v>620</v>
      </c>
      <c r="D10" s="1132" t="s">
        <v>1584</v>
      </c>
      <c r="E10" s="1138">
        <v>2500</v>
      </c>
      <c r="F10" s="1139" t="s">
        <v>1585</v>
      </c>
      <c r="G10" s="1132" t="s">
        <v>1586</v>
      </c>
      <c r="H10" s="1132" t="s">
        <v>1587</v>
      </c>
      <c r="I10" s="1140" t="s">
        <v>1588</v>
      </c>
      <c r="J10" s="1132" t="s">
        <v>1587</v>
      </c>
      <c r="K10" s="1139" t="s">
        <v>1588</v>
      </c>
      <c r="L10" s="1141" t="s">
        <v>1588</v>
      </c>
      <c r="M10" s="1142" t="s">
        <v>1588</v>
      </c>
      <c r="N10" s="1123" t="s">
        <v>1589</v>
      </c>
      <c r="O10" s="1141" t="s">
        <v>1590</v>
      </c>
      <c r="P10" s="1131">
        <v>4833.33</v>
      </c>
    </row>
    <row r="11" spans="1:16">
      <c r="A11" s="1130">
        <v>100</v>
      </c>
      <c r="B11" s="961" t="s">
        <v>1583</v>
      </c>
      <c r="C11" s="1128" t="s">
        <v>620</v>
      </c>
      <c r="D11" s="1132" t="s">
        <v>1591</v>
      </c>
      <c r="E11" s="1138">
        <v>3500</v>
      </c>
      <c r="F11" s="1139" t="s">
        <v>1592</v>
      </c>
      <c r="G11" s="1132" t="s">
        <v>1593</v>
      </c>
      <c r="H11" s="1132" t="s">
        <v>1594</v>
      </c>
      <c r="I11" s="961"/>
      <c r="J11" s="1129" t="s">
        <v>1594</v>
      </c>
      <c r="K11" s="1139" t="s">
        <v>1588</v>
      </c>
      <c r="L11" s="1141" t="s">
        <v>1588</v>
      </c>
      <c r="M11" s="1142" t="s">
        <v>1588</v>
      </c>
      <c r="N11" s="1123" t="s">
        <v>1595</v>
      </c>
      <c r="O11" s="1141" t="s">
        <v>1596</v>
      </c>
      <c r="P11" s="1138">
        <v>2800</v>
      </c>
    </row>
    <row r="12" spans="1:16">
      <c r="A12" s="1130">
        <v>100</v>
      </c>
      <c r="B12" s="961" t="s">
        <v>1583</v>
      </c>
      <c r="C12" s="1128" t="s">
        <v>620</v>
      </c>
      <c r="D12" s="1132" t="s">
        <v>1597</v>
      </c>
      <c r="E12" s="1138">
        <v>4500</v>
      </c>
      <c r="F12" s="1139" t="s">
        <v>1598</v>
      </c>
      <c r="G12" s="1132" t="s">
        <v>1599</v>
      </c>
      <c r="H12" s="1132" t="s">
        <v>1587</v>
      </c>
      <c r="I12" s="1132"/>
      <c r="J12" s="1132" t="s">
        <v>1587</v>
      </c>
      <c r="K12" s="1139" t="s">
        <v>1588</v>
      </c>
      <c r="L12" s="1141" t="s">
        <v>1588</v>
      </c>
      <c r="M12" s="1142" t="s">
        <v>1588</v>
      </c>
      <c r="N12" s="1123" t="s">
        <v>1600</v>
      </c>
      <c r="O12" s="1141" t="s">
        <v>1590</v>
      </c>
      <c r="P12" s="1138">
        <v>8700</v>
      </c>
    </row>
    <row r="13" spans="1:16">
      <c r="A13" s="1130">
        <v>100</v>
      </c>
      <c r="B13" s="961" t="s">
        <v>1583</v>
      </c>
      <c r="C13" s="1128" t="s">
        <v>620</v>
      </c>
      <c r="D13" s="1132" t="s">
        <v>1601</v>
      </c>
      <c r="E13" s="1138">
        <v>1100</v>
      </c>
      <c r="F13" s="1139" t="s">
        <v>1602</v>
      </c>
      <c r="G13" s="1132" t="s">
        <v>1603</v>
      </c>
      <c r="H13" s="1143" t="s">
        <v>1588</v>
      </c>
      <c r="I13" s="1140" t="s">
        <v>1588</v>
      </c>
      <c r="J13" s="1144" t="s">
        <v>1588</v>
      </c>
      <c r="K13" s="1123" t="s">
        <v>1604</v>
      </c>
      <c r="L13" s="1141" t="s">
        <v>1605</v>
      </c>
      <c r="M13" s="1142">
        <v>4253.33</v>
      </c>
      <c r="N13" s="1123" t="s">
        <v>1606</v>
      </c>
      <c r="O13" s="1145" t="s">
        <v>1607</v>
      </c>
      <c r="P13" s="1138">
        <v>9900</v>
      </c>
    </row>
    <row r="14" spans="1:16">
      <c r="A14" s="1130">
        <v>100</v>
      </c>
      <c r="B14" s="961" t="s">
        <v>1583</v>
      </c>
      <c r="C14" s="1128" t="s">
        <v>620</v>
      </c>
      <c r="D14" s="1132" t="s">
        <v>1608</v>
      </c>
      <c r="E14" s="1138">
        <v>1100</v>
      </c>
      <c r="F14" s="1139" t="s">
        <v>1609</v>
      </c>
      <c r="G14" s="1132" t="s">
        <v>1610</v>
      </c>
      <c r="H14" s="1143" t="s">
        <v>1588</v>
      </c>
      <c r="I14" s="1132"/>
      <c r="J14" s="1144" t="s">
        <v>1588</v>
      </c>
      <c r="K14" s="1123" t="s">
        <v>1604</v>
      </c>
      <c r="L14" s="1141" t="s">
        <v>1611</v>
      </c>
      <c r="M14" s="1146">
        <v>13200</v>
      </c>
      <c r="N14" s="1123" t="s">
        <v>1606</v>
      </c>
      <c r="O14" s="1145" t="s">
        <v>1607</v>
      </c>
      <c r="P14" s="1138">
        <v>9900</v>
      </c>
    </row>
    <row r="15" spans="1:16">
      <c r="A15" s="1130">
        <v>100</v>
      </c>
      <c r="B15" s="961" t="s">
        <v>1583</v>
      </c>
      <c r="C15" s="1128" t="s">
        <v>620</v>
      </c>
      <c r="D15" s="1132" t="s">
        <v>1612</v>
      </c>
      <c r="E15" s="1138">
        <v>3500</v>
      </c>
      <c r="F15" s="1139" t="s">
        <v>1613</v>
      </c>
      <c r="G15" s="1132" t="s">
        <v>1614</v>
      </c>
      <c r="H15" s="1132" t="s">
        <v>1587</v>
      </c>
      <c r="I15" s="1140" t="s">
        <v>1588</v>
      </c>
      <c r="J15" s="1132" t="s">
        <v>1587</v>
      </c>
      <c r="K15" s="1123" t="s">
        <v>1615</v>
      </c>
      <c r="L15" s="1141" t="s">
        <v>1616</v>
      </c>
      <c r="M15" s="1146">
        <v>42000</v>
      </c>
      <c r="N15" s="1123" t="s">
        <v>1615</v>
      </c>
      <c r="O15" s="1145" t="s">
        <v>1607</v>
      </c>
      <c r="P15" s="1138">
        <v>42000</v>
      </c>
    </row>
    <row r="16" spans="1:16">
      <c r="A16" s="1130">
        <v>100</v>
      </c>
      <c r="B16" s="961" t="s">
        <v>1583</v>
      </c>
      <c r="C16" s="1128" t="s">
        <v>620</v>
      </c>
      <c r="D16" s="1132" t="s">
        <v>1617</v>
      </c>
      <c r="E16" s="1138">
        <v>3500</v>
      </c>
      <c r="F16" s="1139" t="s">
        <v>1618</v>
      </c>
      <c r="G16" s="1132" t="s">
        <v>1619</v>
      </c>
      <c r="H16" s="1132" t="s">
        <v>1587</v>
      </c>
      <c r="I16" s="1140" t="s">
        <v>1588</v>
      </c>
      <c r="J16" s="1132" t="s">
        <v>1620</v>
      </c>
      <c r="K16" s="1123" t="s">
        <v>1621</v>
      </c>
      <c r="L16" s="1141" t="s">
        <v>1616</v>
      </c>
      <c r="M16" s="1146">
        <v>42000</v>
      </c>
      <c r="N16" s="1123" t="s">
        <v>1615</v>
      </c>
      <c r="O16" s="1145" t="s">
        <v>1607</v>
      </c>
      <c r="P16" s="1138">
        <v>42000</v>
      </c>
    </row>
    <row r="17" spans="1:16">
      <c r="A17" s="1130">
        <v>100</v>
      </c>
      <c r="B17" s="961" t="s">
        <v>1583</v>
      </c>
      <c r="C17" s="1128" t="s">
        <v>620</v>
      </c>
      <c r="D17" s="1132" t="s">
        <v>1622</v>
      </c>
      <c r="E17" s="1138">
        <v>1700</v>
      </c>
      <c r="F17" s="1139" t="s">
        <v>1623</v>
      </c>
      <c r="G17" s="1132" t="s">
        <v>1624</v>
      </c>
      <c r="H17" s="1143" t="s">
        <v>1588</v>
      </c>
      <c r="I17" s="1140" t="s">
        <v>1588</v>
      </c>
      <c r="J17" s="1129" t="s">
        <v>1625</v>
      </c>
      <c r="K17" s="1123" t="s">
        <v>1604</v>
      </c>
      <c r="L17" s="1141" t="s">
        <v>1605</v>
      </c>
      <c r="M17" s="1129">
        <v>6573.33</v>
      </c>
      <c r="N17" s="1123" t="s">
        <v>1606</v>
      </c>
      <c r="O17" s="1145" t="s">
        <v>1607</v>
      </c>
      <c r="P17" s="1138">
        <v>15300</v>
      </c>
    </row>
    <row r="18" spans="1:16">
      <c r="A18" s="1130">
        <v>100</v>
      </c>
      <c r="B18" s="961" t="s">
        <v>1583</v>
      </c>
      <c r="C18" s="1128" t="s">
        <v>620</v>
      </c>
      <c r="D18" s="1132" t="s">
        <v>1626</v>
      </c>
      <c r="E18" s="1138">
        <v>2000</v>
      </c>
      <c r="F18" s="1139" t="s">
        <v>1627</v>
      </c>
      <c r="G18" s="1132" t="s">
        <v>1628</v>
      </c>
      <c r="H18" s="1132" t="s">
        <v>1629</v>
      </c>
      <c r="I18" s="1132" t="s">
        <v>1630</v>
      </c>
      <c r="J18" s="1144" t="s">
        <v>1588</v>
      </c>
      <c r="K18" s="1123" t="s">
        <v>1604</v>
      </c>
      <c r="L18" s="1141" t="s">
        <v>1605</v>
      </c>
      <c r="M18" s="1147">
        <v>7733.33</v>
      </c>
      <c r="N18" s="1123" t="s">
        <v>1606</v>
      </c>
      <c r="O18" s="1145" t="s">
        <v>1607</v>
      </c>
      <c r="P18" s="1138">
        <v>18000</v>
      </c>
    </row>
    <row r="19" spans="1:16">
      <c r="A19" s="1130">
        <v>100</v>
      </c>
      <c r="B19" s="961" t="s">
        <v>1583</v>
      </c>
      <c r="C19" s="1128" t="s">
        <v>1631</v>
      </c>
      <c r="D19" s="1132" t="s">
        <v>1632</v>
      </c>
      <c r="E19" s="1138">
        <v>3500</v>
      </c>
      <c r="F19" s="1139" t="s">
        <v>1633</v>
      </c>
      <c r="G19" s="1132" t="s">
        <v>1634</v>
      </c>
      <c r="H19" s="1132" t="s">
        <v>1635</v>
      </c>
      <c r="I19" s="1132"/>
      <c r="J19" s="1132" t="s">
        <v>1635</v>
      </c>
      <c r="K19" s="1123" t="s">
        <v>1604</v>
      </c>
      <c r="L19" s="1141" t="s">
        <v>1605</v>
      </c>
      <c r="M19" s="1129">
        <v>13533.33</v>
      </c>
      <c r="N19" s="1123" t="s">
        <v>1606</v>
      </c>
      <c r="O19" s="1145" t="s">
        <v>1636</v>
      </c>
      <c r="P19" s="1138">
        <v>24500</v>
      </c>
    </row>
    <row r="20" spans="1:16">
      <c r="A20" s="1130">
        <v>100</v>
      </c>
      <c r="B20" s="961" t="s">
        <v>1583</v>
      </c>
      <c r="C20" s="1128" t="s">
        <v>620</v>
      </c>
      <c r="D20" s="1132" t="s">
        <v>1637</v>
      </c>
      <c r="E20" s="1138">
        <v>6000</v>
      </c>
      <c r="F20" s="1139" t="s">
        <v>1633</v>
      </c>
      <c r="G20" s="1132" t="s">
        <v>1634</v>
      </c>
      <c r="H20" s="1132" t="s">
        <v>1635</v>
      </c>
      <c r="I20" s="1140" t="s">
        <v>1588</v>
      </c>
      <c r="J20" s="1132" t="s">
        <v>1635</v>
      </c>
      <c r="K20" s="1139" t="s">
        <v>1588</v>
      </c>
      <c r="L20" s="1141" t="s">
        <v>1588</v>
      </c>
      <c r="M20" s="1148" t="s">
        <v>1588</v>
      </c>
      <c r="N20" s="1139" t="s">
        <v>1638</v>
      </c>
      <c r="O20" s="1132" t="s">
        <v>1639</v>
      </c>
      <c r="P20" s="1138">
        <v>12000</v>
      </c>
    </row>
    <row r="21" spans="1:16">
      <c r="A21" s="1130">
        <v>100</v>
      </c>
      <c r="B21" s="961" t="s">
        <v>1583</v>
      </c>
      <c r="C21" s="1128" t="s">
        <v>620</v>
      </c>
      <c r="D21" s="1132" t="s">
        <v>1640</v>
      </c>
      <c r="E21" s="1138">
        <v>3200</v>
      </c>
      <c r="F21" s="1139" t="s">
        <v>1641</v>
      </c>
      <c r="G21" s="1132" t="s">
        <v>1642</v>
      </c>
      <c r="H21" s="1132" t="s">
        <v>1594</v>
      </c>
      <c r="I21" s="1140" t="s">
        <v>1588</v>
      </c>
      <c r="J21" s="1129" t="s">
        <v>1594</v>
      </c>
      <c r="K21" s="1123" t="s">
        <v>1604</v>
      </c>
      <c r="L21" s="1141" t="s">
        <v>1605</v>
      </c>
      <c r="M21" s="1131">
        <v>12363.02</v>
      </c>
      <c r="N21" s="1123" t="s">
        <v>1606</v>
      </c>
      <c r="O21" s="1145" t="s">
        <v>1607</v>
      </c>
      <c r="P21" s="1138">
        <v>28800</v>
      </c>
    </row>
    <row r="22" spans="1:16">
      <c r="A22" s="1130">
        <v>100</v>
      </c>
      <c r="B22" s="961" t="s">
        <v>1583</v>
      </c>
      <c r="C22" s="1128" t="s">
        <v>620</v>
      </c>
      <c r="D22" s="1132" t="s">
        <v>1643</v>
      </c>
      <c r="E22" s="1138">
        <v>4200</v>
      </c>
      <c r="F22" s="1139" t="s">
        <v>1644</v>
      </c>
      <c r="G22" s="1132" t="s">
        <v>1645</v>
      </c>
      <c r="H22" s="1132" t="s">
        <v>1587</v>
      </c>
      <c r="I22" s="1140" t="s">
        <v>1588</v>
      </c>
      <c r="J22" s="1132" t="s">
        <v>1587</v>
      </c>
      <c r="K22" s="1123" t="s">
        <v>1604</v>
      </c>
      <c r="L22" s="1141" t="s">
        <v>1605</v>
      </c>
      <c r="M22" s="1138">
        <v>16240</v>
      </c>
      <c r="N22" s="1123" t="s">
        <v>1606</v>
      </c>
      <c r="O22" s="1145" t="s">
        <v>1607</v>
      </c>
      <c r="P22" s="1138">
        <v>37800</v>
      </c>
    </row>
    <row r="23" spans="1:16">
      <c r="A23" s="1130">
        <v>100</v>
      </c>
      <c r="B23" s="961" t="s">
        <v>1583</v>
      </c>
      <c r="C23" s="1128" t="s">
        <v>620</v>
      </c>
      <c r="D23" s="1132" t="s">
        <v>1640</v>
      </c>
      <c r="E23" s="1138">
        <v>3200</v>
      </c>
      <c r="F23" s="1139" t="s">
        <v>1646</v>
      </c>
      <c r="G23" s="1132" t="s">
        <v>1647</v>
      </c>
      <c r="H23" s="1132" t="s">
        <v>1587</v>
      </c>
      <c r="I23" s="1140" t="s">
        <v>1588</v>
      </c>
      <c r="J23" s="1132" t="s">
        <v>1587</v>
      </c>
      <c r="K23" s="1123" t="s">
        <v>1604</v>
      </c>
      <c r="L23" s="1141" t="s">
        <v>1605</v>
      </c>
      <c r="M23" s="1131">
        <v>12363.02</v>
      </c>
      <c r="N23" s="1123" t="s">
        <v>1606</v>
      </c>
      <c r="O23" s="1145" t="s">
        <v>1607</v>
      </c>
      <c r="P23" s="1138">
        <v>28800</v>
      </c>
    </row>
    <row r="24" spans="1:16">
      <c r="A24" s="1130">
        <v>100</v>
      </c>
      <c r="B24" s="961" t="s">
        <v>1583</v>
      </c>
      <c r="C24" s="1128" t="s">
        <v>620</v>
      </c>
      <c r="D24" s="1132" t="s">
        <v>1640</v>
      </c>
      <c r="E24" s="1138">
        <v>3200</v>
      </c>
      <c r="F24" s="1139" t="s">
        <v>1648</v>
      </c>
      <c r="G24" s="1132" t="s">
        <v>1649</v>
      </c>
      <c r="H24" s="1132" t="s">
        <v>1587</v>
      </c>
      <c r="I24" s="1140" t="s">
        <v>1588</v>
      </c>
      <c r="J24" s="1132" t="s">
        <v>1587</v>
      </c>
      <c r="K24" s="1123" t="s">
        <v>1604</v>
      </c>
      <c r="L24" s="1141" t="s">
        <v>1605</v>
      </c>
      <c r="M24" s="1131">
        <v>12363.02</v>
      </c>
      <c r="N24" s="1123" t="s">
        <v>1606</v>
      </c>
      <c r="O24" s="1145" t="s">
        <v>1607</v>
      </c>
      <c r="P24" s="1138">
        <v>28800</v>
      </c>
    </row>
    <row r="25" spans="1:16">
      <c r="A25" s="1130">
        <v>100</v>
      </c>
      <c r="B25" s="961" t="s">
        <v>1583</v>
      </c>
      <c r="C25" s="1128" t="s">
        <v>620</v>
      </c>
      <c r="D25" s="1132" t="s">
        <v>1650</v>
      </c>
      <c r="E25" s="1138">
        <v>3200</v>
      </c>
      <c r="F25" s="1139" t="s">
        <v>1651</v>
      </c>
      <c r="G25" s="1132" t="s">
        <v>1652</v>
      </c>
      <c r="H25" s="1132" t="s">
        <v>1587</v>
      </c>
      <c r="I25" s="1140" t="s">
        <v>1588</v>
      </c>
      <c r="J25" s="1132" t="s">
        <v>1587</v>
      </c>
      <c r="K25" s="1123" t="s">
        <v>1604</v>
      </c>
      <c r="L25" s="1141" t="s">
        <v>1605</v>
      </c>
      <c r="M25" s="1131">
        <v>12363.02</v>
      </c>
      <c r="N25" s="1123" t="s">
        <v>1606</v>
      </c>
      <c r="O25" s="1145" t="s">
        <v>1607</v>
      </c>
      <c r="P25" s="1138">
        <v>28800</v>
      </c>
    </row>
    <row r="26" spans="1:16">
      <c r="A26" s="1130">
        <v>100</v>
      </c>
      <c r="B26" s="961" t="s">
        <v>1583</v>
      </c>
      <c r="C26" s="1128" t="s">
        <v>620</v>
      </c>
      <c r="D26" s="1132" t="s">
        <v>1653</v>
      </c>
      <c r="E26" s="1138">
        <v>3000</v>
      </c>
      <c r="F26" s="1139" t="s">
        <v>1654</v>
      </c>
      <c r="G26" s="1132" t="s">
        <v>1655</v>
      </c>
      <c r="H26" s="1143" t="s">
        <v>1588</v>
      </c>
      <c r="I26" s="1132" t="s">
        <v>1656</v>
      </c>
      <c r="J26" s="1144" t="s">
        <v>1588</v>
      </c>
      <c r="K26" s="1123" t="s">
        <v>1604</v>
      </c>
      <c r="L26" s="1141" t="s">
        <v>1605</v>
      </c>
      <c r="M26" s="1138">
        <v>11600</v>
      </c>
      <c r="N26" s="1123" t="s">
        <v>1606</v>
      </c>
      <c r="O26" s="1145" t="s">
        <v>1607</v>
      </c>
      <c r="P26" s="1138">
        <v>27000</v>
      </c>
    </row>
    <row r="27" spans="1:16">
      <c r="A27" s="1130">
        <v>100</v>
      </c>
      <c r="B27" s="961" t="s">
        <v>1583</v>
      </c>
      <c r="C27" s="1128" t="s">
        <v>620</v>
      </c>
      <c r="D27" s="1132" t="s">
        <v>1657</v>
      </c>
      <c r="E27" s="1138">
        <v>3000</v>
      </c>
      <c r="F27" s="1139" t="s">
        <v>1658</v>
      </c>
      <c r="G27" s="1132" t="s">
        <v>1659</v>
      </c>
      <c r="H27" s="1132" t="s">
        <v>1587</v>
      </c>
      <c r="I27" s="1140" t="s">
        <v>1588</v>
      </c>
      <c r="J27" s="1132" t="s">
        <v>1587</v>
      </c>
      <c r="K27" s="1123" t="s">
        <v>1604</v>
      </c>
      <c r="L27" s="1141" t="s">
        <v>1605</v>
      </c>
      <c r="M27" s="1138">
        <v>11600</v>
      </c>
      <c r="N27" s="1123" t="s">
        <v>1606</v>
      </c>
      <c r="O27" s="1145" t="s">
        <v>1607</v>
      </c>
      <c r="P27" s="1138">
        <v>27000</v>
      </c>
    </row>
    <row r="28" spans="1:16">
      <c r="A28" s="1130">
        <v>100</v>
      </c>
      <c r="B28" s="961" t="s">
        <v>1583</v>
      </c>
      <c r="C28" s="1128" t="s">
        <v>620</v>
      </c>
      <c r="D28" s="1132" t="s">
        <v>1660</v>
      </c>
      <c r="E28" s="1138">
        <v>2200</v>
      </c>
      <c r="F28" s="1139" t="s">
        <v>1661</v>
      </c>
      <c r="G28" s="1132" t="s">
        <v>1662</v>
      </c>
      <c r="H28" s="1143" t="s">
        <v>1588</v>
      </c>
      <c r="I28" s="1140" t="s">
        <v>1588</v>
      </c>
      <c r="J28" s="1129" t="s">
        <v>1663</v>
      </c>
      <c r="K28" s="1123" t="s">
        <v>1604</v>
      </c>
      <c r="L28" s="1141" t="s">
        <v>1605</v>
      </c>
      <c r="M28" s="1129">
        <v>8506.66</v>
      </c>
      <c r="N28" s="1123" t="s">
        <v>1606</v>
      </c>
      <c r="O28" s="1145" t="s">
        <v>1607</v>
      </c>
      <c r="P28" s="1138">
        <v>19800</v>
      </c>
    </row>
    <row r="29" spans="1:16">
      <c r="A29" s="1130">
        <v>100</v>
      </c>
      <c r="B29" s="961" t="s">
        <v>1583</v>
      </c>
      <c r="C29" s="1128" t="s">
        <v>620</v>
      </c>
      <c r="D29" s="1132" t="s">
        <v>1664</v>
      </c>
      <c r="E29" s="1138">
        <v>4500</v>
      </c>
      <c r="F29" s="1139" t="s">
        <v>1665</v>
      </c>
      <c r="G29" s="1132" t="s">
        <v>1666</v>
      </c>
      <c r="H29" s="1132" t="s">
        <v>1667</v>
      </c>
      <c r="I29" s="1140" t="s">
        <v>1588</v>
      </c>
      <c r="J29" s="1129" t="s">
        <v>1667</v>
      </c>
      <c r="K29" s="1139" t="s">
        <v>1588</v>
      </c>
      <c r="L29" s="1141" t="s">
        <v>1588</v>
      </c>
      <c r="M29" s="1148" t="s">
        <v>1588</v>
      </c>
      <c r="N29" s="1123" t="s">
        <v>1668</v>
      </c>
      <c r="O29" s="1132" t="s">
        <v>1669</v>
      </c>
      <c r="P29" s="1138">
        <v>27000</v>
      </c>
    </row>
    <row r="30" spans="1:16">
      <c r="A30" s="1130">
        <v>100</v>
      </c>
      <c r="B30" s="961" t="s">
        <v>1583</v>
      </c>
      <c r="C30" s="1128" t="s">
        <v>620</v>
      </c>
      <c r="D30" s="1132" t="s">
        <v>1670</v>
      </c>
      <c r="E30" s="1138">
        <v>3500</v>
      </c>
      <c r="F30" s="1139" t="s">
        <v>1671</v>
      </c>
      <c r="G30" s="1132" t="s">
        <v>1672</v>
      </c>
      <c r="H30" s="1132" t="s">
        <v>1673</v>
      </c>
      <c r="I30" s="1140" t="s">
        <v>1588</v>
      </c>
      <c r="J30" s="1132" t="s">
        <v>1587</v>
      </c>
      <c r="K30" s="1123" t="s">
        <v>1674</v>
      </c>
      <c r="L30" s="1141" t="s">
        <v>1675</v>
      </c>
      <c r="M30" s="1146">
        <v>32000</v>
      </c>
      <c r="N30" s="1123" t="s">
        <v>1674</v>
      </c>
      <c r="O30" s="1145" t="s">
        <v>1607</v>
      </c>
      <c r="P30" s="1138">
        <v>31500</v>
      </c>
    </row>
    <row r="31" spans="1:16" ht="15.75" thickBot="1">
      <c r="A31" s="1133"/>
      <c r="B31" s="1149"/>
      <c r="C31" s="1134"/>
      <c r="D31" s="1134"/>
      <c r="E31" s="1136"/>
      <c r="F31" s="1133"/>
      <c r="G31" s="1134"/>
      <c r="H31" s="1134"/>
      <c r="I31" s="1134"/>
      <c r="J31" s="1136"/>
      <c r="K31" s="1133"/>
      <c r="L31" s="1134"/>
      <c r="M31" s="1136"/>
      <c r="N31" s="1133"/>
      <c r="O31" s="1134"/>
      <c r="P31" s="1136"/>
    </row>
  </sheetData>
  <mergeCells count="5">
    <mergeCell ref="A1:P1"/>
    <mergeCell ref="A4:E4"/>
    <mergeCell ref="F4:J4"/>
    <mergeCell ref="K4:M4"/>
    <mergeCell ref="N4:P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U90"/>
  <sheetViews>
    <sheetView tabSelected="1" topLeftCell="A55" workbookViewId="0">
      <selection activeCell="P70" sqref="P70"/>
    </sheetView>
  </sheetViews>
  <sheetFormatPr baseColWidth="10" defaultRowHeight="15"/>
  <sheetData>
    <row r="1" spans="1:15">
      <c r="A1" s="1437" t="s">
        <v>1676</v>
      </c>
      <c r="B1" s="1437"/>
      <c r="C1" s="1437"/>
      <c r="D1" s="1437"/>
      <c r="E1" s="862"/>
      <c r="F1" s="862"/>
      <c r="G1" s="862"/>
      <c r="H1" s="862"/>
      <c r="I1" s="862"/>
      <c r="J1" s="862"/>
      <c r="K1" s="862"/>
      <c r="L1" s="862"/>
      <c r="M1" s="862"/>
      <c r="N1" s="862"/>
      <c r="O1" s="862"/>
    </row>
    <row r="2" spans="1:15">
      <c r="A2" s="1330" t="s">
        <v>578</v>
      </c>
      <c r="B2" s="1330"/>
      <c r="C2" s="1330"/>
      <c r="D2" s="401"/>
      <c r="E2" s="401"/>
      <c r="F2" s="401"/>
      <c r="G2" s="401"/>
      <c r="H2" s="401"/>
      <c r="I2" s="401"/>
      <c r="J2" s="401"/>
      <c r="K2" s="401"/>
      <c r="L2" s="401"/>
      <c r="M2" s="401"/>
      <c r="N2" s="401"/>
      <c r="O2" s="401"/>
    </row>
    <row r="3" spans="1:15" ht="15.75" thickBot="1">
      <c r="A3" s="819" t="s">
        <v>579</v>
      </c>
      <c r="B3" s="819"/>
      <c r="C3" s="304"/>
      <c r="D3" s="402"/>
      <c r="E3" s="402"/>
      <c r="F3" s="402"/>
      <c r="G3" s="1150"/>
      <c r="H3" s="1150"/>
      <c r="I3" s="402"/>
      <c r="J3" s="402"/>
      <c r="K3" s="402"/>
      <c r="L3" s="402"/>
      <c r="M3" s="402"/>
      <c r="N3" s="402"/>
      <c r="O3" s="402"/>
    </row>
    <row r="4" spans="1:15" ht="15.75" thickBot="1">
      <c r="A4" s="1438" t="s">
        <v>1677</v>
      </c>
      <c r="B4" s="1356"/>
      <c r="C4" s="1439" t="s">
        <v>1678</v>
      </c>
      <c r="D4" s="1354"/>
      <c r="E4" s="1438" t="s">
        <v>1679</v>
      </c>
      <c r="F4" s="1354"/>
      <c r="G4" s="1354"/>
      <c r="H4" s="1354"/>
      <c r="I4" s="1356"/>
      <c r="J4" s="1439" t="s">
        <v>1680</v>
      </c>
      <c r="K4" s="1354"/>
      <c r="L4" s="1356"/>
      <c r="M4" s="1350" t="s">
        <v>1681</v>
      </c>
      <c r="N4" s="1435" t="s">
        <v>1682</v>
      </c>
      <c r="O4" s="1151"/>
    </row>
    <row r="5" spans="1:15" ht="72.75" thickBot="1">
      <c r="A5" s="1152" t="s">
        <v>1683</v>
      </c>
      <c r="B5" s="824" t="s">
        <v>1411</v>
      </c>
      <c r="C5" s="1153" t="s">
        <v>1684</v>
      </c>
      <c r="D5" s="1154" t="s">
        <v>1685</v>
      </c>
      <c r="E5" s="1152" t="s">
        <v>1686</v>
      </c>
      <c r="F5" s="1155" t="s">
        <v>1687</v>
      </c>
      <c r="G5" s="1156" t="s">
        <v>1688</v>
      </c>
      <c r="H5" s="1156" t="s">
        <v>1689</v>
      </c>
      <c r="I5" s="1157" t="s">
        <v>875</v>
      </c>
      <c r="J5" s="1152" t="s">
        <v>1690</v>
      </c>
      <c r="K5" s="1153" t="s">
        <v>1691</v>
      </c>
      <c r="L5" s="825" t="s">
        <v>1692</v>
      </c>
      <c r="M5" s="1352"/>
      <c r="N5" s="1436"/>
      <c r="O5" s="1158"/>
    </row>
    <row r="6" spans="1:15" ht="60">
      <c r="A6" s="1159" t="s">
        <v>1693</v>
      </c>
      <c r="B6" s="1159" t="s">
        <v>1694</v>
      </c>
      <c r="C6" s="1159" t="s">
        <v>1695</v>
      </c>
      <c r="D6" s="1160">
        <v>5593546</v>
      </c>
      <c r="E6" s="1161" t="s">
        <v>1696</v>
      </c>
      <c r="F6" s="1162">
        <v>11500783</v>
      </c>
      <c r="G6" s="1163" t="s">
        <v>1697</v>
      </c>
      <c r="H6" s="1162" t="s">
        <v>1082</v>
      </c>
      <c r="I6" s="1164"/>
      <c r="J6" s="1165">
        <v>43535</v>
      </c>
      <c r="K6" s="1166">
        <v>10000</v>
      </c>
      <c r="L6" s="826" t="s">
        <v>1698</v>
      </c>
      <c r="M6" s="698"/>
      <c r="N6" s="826" t="s">
        <v>1699</v>
      </c>
      <c r="O6" s="402"/>
    </row>
    <row r="7" spans="1:15">
      <c r="A7" s="697"/>
      <c r="B7" s="698"/>
      <c r="C7" s="696"/>
      <c r="D7" s="1167"/>
      <c r="E7" s="697"/>
      <c r="F7" s="1168"/>
      <c r="G7" s="1168"/>
      <c r="H7" s="1168"/>
      <c r="I7" s="1164"/>
      <c r="J7" s="697"/>
      <c r="K7" s="696"/>
      <c r="L7" s="698"/>
      <c r="M7" s="698"/>
      <c r="N7" s="698"/>
      <c r="O7" s="402"/>
    </row>
    <row r="8" spans="1:15">
      <c r="A8" s="697"/>
      <c r="B8" s="698"/>
      <c r="C8" s="696"/>
      <c r="D8" s="1167"/>
      <c r="E8" s="697"/>
      <c r="F8" s="1168"/>
      <c r="G8" s="1168"/>
      <c r="H8" s="1168"/>
      <c r="I8" s="1164"/>
      <c r="J8" s="697"/>
      <c r="K8" s="696"/>
      <c r="L8" s="698"/>
      <c r="M8" s="698"/>
      <c r="N8" s="698"/>
      <c r="O8" s="402"/>
    </row>
    <row r="9" spans="1:15">
      <c r="A9" s="697"/>
      <c r="B9" s="698"/>
      <c r="C9" s="696"/>
      <c r="D9" s="1167"/>
      <c r="E9" s="697"/>
      <c r="F9" s="1168"/>
      <c r="G9" s="1168"/>
      <c r="H9" s="1168"/>
      <c r="I9" s="1164"/>
      <c r="J9" s="697"/>
      <c r="K9" s="696"/>
      <c r="L9" s="698"/>
      <c r="M9" s="698"/>
      <c r="N9" s="698"/>
      <c r="O9" s="402"/>
    </row>
    <row r="10" spans="1:15">
      <c r="A10" s="697"/>
      <c r="B10" s="698"/>
      <c r="C10" s="696"/>
      <c r="D10" s="1167"/>
      <c r="E10" s="697"/>
      <c r="F10" s="1168"/>
      <c r="G10" s="1168"/>
      <c r="H10" s="1168"/>
      <c r="I10" s="1164"/>
      <c r="J10" s="697"/>
      <c r="K10" s="696"/>
      <c r="L10" s="698"/>
      <c r="M10" s="698"/>
      <c r="N10" s="698"/>
      <c r="O10" s="402"/>
    </row>
    <row r="11" spans="1:15">
      <c r="A11" s="697"/>
      <c r="B11" s="698"/>
      <c r="C11" s="696"/>
      <c r="D11" s="1167"/>
      <c r="E11" s="697"/>
      <c r="F11" s="1168"/>
      <c r="G11" s="1168"/>
      <c r="H11" s="1168"/>
      <c r="I11" s="1164"/>
      <c r="J11" s="697"/>
      <c r="K11" s="696"/>
      <c r="L11" s="698"/>
      <c r="M11" s="698"/>
      <c r="N11" s="698"/>
      <c r="O11" s="402"/>
    </row>
    <row r="12" spans="1:15">
      <c r="A12" s="697"/>
      <c r="B12" s="698"/>
      <c r="C12" s="696"/>
      <c r="D12" s="1167"/>
      <c r="E12" s="697"/>
      <c r="F12" s="1168"/>
      <c r="G12" s="1168"/>
      <c r="H12" s="1168"/>
      <c r="I12" s="1164"/>
      <c r="J12" s="697"/>
      <c r="K12" s="696"/>
      <c r="L12" s="698"/>
      <c r="M12" s="698"/>
      <c r="N12" s="698"/>
      <c r="O12" s="402"/>
    </row>
    <row r="13" spans="1:15">
      <c r="A13" s="697"/>
      <c r="B13" s="698"/>
      <c r="C13" s="696"/>
      <c r="D13" s="1167"/>
      <c r="E13" s="697"/>
      <c r="F13" s="1168"/>
      <c r="G13" s="1168"/>
      <c r="H13" s="1168"/>
      <c r="I13" s="1164"/>
      <c r="J13" s="697"/>
      <c r="K13" s="696"/>
      <c r="L13" s="698"/>
      <c r="M13" s="698"/>
      <c r="N13" s="698"/>
      <c r="O13" s="402"/>
    </row>
    <row r="14" spans="1:15">
      <c r="A14" s="697"/>
      <c r="B14" s="698"/>
      <c r="C14" s="696"/>
      <c r="D14" s="1167"/>
      <c r="E14" s="697"/>
      <c r="F14" s="1168"/>
      <c r="G14" s="1168"/>
      <c r="H14" s="1168"/>
      <c r="I14" s="1164"/>
      <c r="J14" s="697"/>
      <c r="K14" s="696"/>
      <c r="L14" s="698"/>
      <c r="M14" s="698"/>
      <c r="N14" s="698"/>
      <c r="O14" s="402"/>
    </row>
    <row r="15" spans="1:15">
      <c r="A15" s="697"/>
      <c r="B15" s="698"/>
      <c r="C15" s="696"/>
      <c r="D15" s="1167"/>
      <c r="E15" s="697"/>
      <c r="F15" s="1168"/>
      <c r="G15" s="1168"/>
      <c r="H15" s="1168"/>
      <c r="I15" s="1164"/>
      <c r="J15" s="697"/>
      <c r="K15" s="696"/>
      <c r="L15" s="698"/>
      <c r="M15" s="698"/>
      <c r="N15" s="698"/>
      <c r="O15" s="402"/>
    </row>
    <row r="16" spans="1:15">
      <c r="A16" s="697"/>
      <c r="B16" s="698"/>
      <c r="C16" s="696"/>
      <c r="D16" s="1167"/>
      <c r="E16" s="697"/>
      <c r="F16" s="1168"/>
      <c r="G16" s="1168"/>
      <c r="H16" s="1168"/>
      <c r="I16" s="1164"/>
      <c r="J16" s="697"/>
      <c r="K16" s="696"/>
      <c r="L16" s="698"/>
      <c r="M16" s="698"/>
      <c r="N16" s="698"/>
      <c r="O16" s="402"/>
    </row>
    <row r="17" spans="1:21" ht="15.75" thickBot="1">
      <c r="A17" s="1169"/>
      <c r="B17" s="716"/>
      <c r="C17" s="696"/>
      <c r="D17" s="1167"/>
      <c r="E17" s="697"/>
      <c r="F17" s="1168"/>
      <c r="G17" s="1168"/>
      <c r="H17" s="1168"/>
      <c r="I17" s="1164"/>
      <c r="J17" s="697"/>
      <c r="K17" s="696"/>
      <c r="L17" s="698"/>
      <c r="M17" s="698"/>
      <c r="N17" s="698"/>
      <c r="O17" s="402"/>
    </row>
    <row r="18" spans="1:21" ht="15.75" thickBot="1">
      <c r="A18" s="1170"/>
      <c r="B18" s="1171"/>
      <c r="C18" s="1172"/>
      <c r="D18" s="1173"/>
      <c r="E18" s="1174"/>
      <c r="F18" s="1175"/>
      <c r="G18" s="1175"/>
      <c r="H18" s="1175"/>
      <c r="I18" s="1176"/>
      <c r="J18" s="1007"/>
      <c r="K18" s="1172"/>
      <c r="L18" s="1177"/>
      <c r="M18" s="1177"/>
      <c r="N18" s="1177"/>
      <c r="O18" s="402"/>
    </row>
    <row r="19" spans="1:21">
      <c r="A19" s="402" t="s">
        <v>1700</v>
      </c>
      <c r="B19" s="402"/>
      <c r="C19" s="402"/>
      <c r="D19" s="402"/>
      <c r="E19" s="402"/>
      <c r="F19" s="402"/>
      <c r="G19" s="1150"/>
      <c r="H19" s="1150"/>
      <c r="I19" s="402"/>
      <c r="J19" s="402"/>
      <c r="K19" s="402"/>
      <c r="L19" s="402"/>
      <c r="M19" s="402"/>
      <c r="N19" s="402"/>
      <c r="O19" s="402"/>
    </row>
    <row r="22" spans="1:21">
      <c r="A22" s="875" t="s">
        <v>1676</v>
      </c>
      <c r="B22" s="875" t="s">
        <v>1701</v>
      </c>
      <c r="C22" s="875"/>
      <c r="D22" s="875"/>
      <c r="E22" s="875"/>
      <c r="F22" s="875"/>
      <c r="G22" s="875"/>
      <c r="H22" s="875"/>
      <c r="I22" s="875"/>
      <c r="J22" s="875"/>
      <c r="K22" s="875"/>
      <c r="L22" s="875"/>
      <c r="M22" s="875"/>
      <c r="N22" s="875"/>
      <c r="O22" s="875"/>
      <c r="P22" s="875"/>
      <c r="Q22" s="875"/>
      <c r="R22" s="875"/>
      <c r="S22" s="875"/>
      <c r="T22" s="875"/>
      <c r="U22" s="875"/>
    </row>
    <row r="23" spans="1:21">
      <c r="A23" s="35" t="s">
        <v>456</v>
      </c>
      <c r="B23" s="128"/>
      <c r="C23" s="128"/>
      <c r="D23" s="215"/>
      <c r="E23" s="215"/>
      <c r="F23" s="215"/>
      <c r="G23" s="215"/>
      <c r="H23" s="215"/>
      <c r="I23" s="215"/>
      <c r="J23" s="215"/>
      <c r="K23" s="215"/>
      <c r="L23" s="215"/>
      <c r="M23" s="215"/>
      <c r="N23" s="215"/>
      <c r="O23" s="215"/>
      <c r="P23" s="215"/>
      <c r="Q23" s="215"/>
      <c r="R23" s="215"/>
      <c r="S23" s="215"/>
      <c r="T23" s="295"/>
      <c r="U23" s="295"/>
    </row>
    <row r="24" spans="1:21" ht="15.75" thickBot="1">
      <c r="A24" s="35" t="s">
        <v>457</v>
      </c>
      <c r="B24" s="35"/>
      <c r="C24" s="35"/>
      <c r="D24" s="295"/>
      <c r="E24" s="295"/>
      <c r="F24" s="295"/>
      <c r="G24" s="1178"/>
      <c r="H24" s="1178"/>
      <c r="I24" s="295"/>
      <c r="J24" s="295"/>
      <c r="K24" s="295"/>
      <c r="L24" s="295"/>
      <c r="M24" s="295"/>
      <c r="N24" s="295"/>
      <c r="O24" s="295"/>
      <c r="P24" s="295"/>
      <c r="Q24" s="295"/>
      <c r="R24" s="295"/>
      <c r="S24" s="295"/>
      <c r="T24" s="295"/>
      <c r="U24" s="295"/>
    </row>
    <row r="25" spans="1:21" ht="15.75" thickBot="1">
      <c r="A25" s="1433" t="s">
        <v>1677</v>
      </c>
      <c r="B25" s="1292"/>
      <c r="C25" s="1434" t="s">
        <v>1678</v>
      </c>
      <c r="D25" s="1291"/>
      <c r="E25" s="1433" t="s">
        <v>1679</v>
      </c>
      <c r="F25" s="1291"/>
      <c r="G25" s="1291"/>
      <c r="H25" s="1291"/>
      <c r="I25" s="1292"/>
      <c r="J25" s="1434" t="s">
        <v>1680</v>
      </c>
      <c r="K25" s="1291"/>
      <c r="L25" s="1292"/>
      <c r="M25" s="1314" t="s">
        <v>1681</v>
      </c>
      <c r="N25" s="1425" t="s">
        <v>1682</v>
      </c>
      <c r="O25" s="1179"/>
      <c r="P25" s="1179"/>
      <c r="Q25" s="1179"/>
      <c r="R25" s="1179"/>
      <c r="S25" s="1179"/>
      <c r="T25" s="1179"/>
      <c r="U25" s="1179"/>
    </row>
    <row r="26" spans="1:21" ht="72.75" thickBot="1">
      <c r="A26" s="1180" t="s">
        <v>1683</v>
      </c>
      <c r="B26" s="898" t="s">
        <v>1411</v>
      </c>
      <c r="C26" s="1181" t="s">
        <v>1684</v>
      </c>
      <c r="D26" s="1182" t="s">
        <v>1685</v>
      </c>
      <c r="E26" s="1180" t="s">
        <v>1686</v>
      </c>
      <c r="F26" s="1183" t="s">
        <v>1687</v>
      </c>
      <c r="G26" s="1184" t="s">
        <v>1688</v>
      </c>
      <c r="H26" s="1184" t="s">
        <v>1689</v>
      </c>
      <c r="I26" s="1185" t="s">
        <v>875</v>
      </c>
      <c r="J26" s="1180" t="s">
        <v>1690</v>
      </c>
      <c r="K26" s="1181" t="s">
        <v>1691</v>
      </c>
      <c r="L26" s="899" t="s">
        <v>1692</v>
      </c>
      <c r="M26" s="1280"/>
      <c r="N26" s="1426"/>
      <c r="O26" s="1186"/>
      <c r="P26" s="1186"/>
      <c r="Q26" s="1186"/>
      <c r="R26" s="1186"/>
      <c r="S26" s="1186"/>
      <c r="T26" s="1186"/>
      <c r="U26" s="1186"/>
    </row>
    <row r="27" spans="1:21">
      <c r="A27" s="1187" t="s">
        <v>1702</v>
      </c>
      <c r="B27" s="1188" t="s">
        <v>1703</v>
      </c>
      <c r="C27" s="1189" t="s">
        <v>1704</v>
      </c>
      <c r="D27" s="1190">
        <v>5211776</v>
      </c>
      <c r="E27" s="659" t="s">
        <v>1705</v>
      </c>
      <c r="F27" s="1191" t="s">
        <v>1706</v>
      </c>
      <c r="G27" s="1191" t="s">
        <v>1707</v>
      </c>
      <c r="H27" s="1191"/>
      <c r="I27" s="1192"/>
      <c r="J27" s="1193" t="s">
        <v>1708</v>
      </c>
      <c r="K27" s="1194">
        <v>3000</v>
      </c>
      <c r="L27" s="658" t="s">
        <v>1709</v>
      </c>
      <c r="M27" s="658"/>
      <c r="N27" s="1011" t="s">
        <v>1699</v>
      </c>
      <c r="O27" s="295"/>
      <c r="P27" s="295"/>
      <c r="Q27" s="295"/>
      <c r="R27" s="295"/>
      <c r="S27" s="295"/>
      <c r="T27" s="295"/>
      <c r="U27" s="295"/>
    </row>
    <row r="28" spans="1:21">
      <c r="A28" s="1195" t="s">
        <v>1710</v>
      </c>
      <c r="B28" s="1011" t="s">
        <v>1703</v>
      </c>
      <c r="C28" s="626" t="s">
        <v>1704</v>
      </c>
      <c r="D28" s="1196">
        <v>5211776</v>
      </c>
      <c r="E28" s="659" t="s">
        <v>1705</v>
      </c>
      <c r="F28" s="1191" t="s">
        <v>1706</v>
      </c>
      <c r="G28" s="1191" t="s">
        <v>1707</v>
      </c>
      <c r="H28" s="1191"/>
      <c r="I28" s="1192"/>
      <c r="J28" s="1193" t="s">
        <v>1708</v>
      </c>
      <c r="K28" s="1197">
        <v>3000</v>
      </c>
      <c r="L28" s="658" t="s">
        <v>1709</v>
      </c>
      <c r="M28" s="658"/>
      <c r="N28" s="1011" t="s">
        <v>1699</v>
      </c>
      <c r="O28" s="295"/>
      <c r="P28" s="295"/>
      <c r="Q28" s="295"/>
      <c r="R28" s="295"/>
      <c r="S28" s="295"/>
      <c r="T28" s="295"/>
      <c r="U28" s="295"/>
    </row>
    <row r="29" spans="1:21">
      <c r="A29" s="1195" t="s">
        <v>1710</v>
      </c>
      <c r="B29" s="1011" t="s">
        <v>1703</v>
      </c>
      <c r="C29" s="626" t="s">
        <v>1704</v>
      </c>
      <c r="D29" s="1196">
        <v>5211776</v>
      </c>
      <c r="E29" s="659" t="s">
        <v>1705</v>
      </c>
      <c r="F29" s="1191" t="s">
        <v>1706</v>
      </c>
      <c r="G29" s="1191" t="s">
        <v>1707</v>
      </c>
      <c r="H29" s="1191"/>
      <c r="I29" s="1192"/>
      <c r="J29" s="1193" t="s">
        <v>1708</v>
      </c>
      <c r="K29" s="1197">
        <v>3000</v>
      </c>
      <c r="L29" s="658" t="s">
        <v>1711</v>
      </c>
      <c r="M29" s="658"/>
      <c r="N29" s="1011">
        <v>2020</v>
      </c>
      <c r="O29" s="295"/>
      <c r="P29" s="295"/>
      <c r="Q29" s="295"/>
      <c r="R29" s="295"/>
      <c r="S29" s="295"/>
      <c r="T29" s="295"/>
      <c r="U29" s="295"/>
    </row>
    <row r="30" spans="1:21">
      <c r="A30" s="1195" t="s">
        <v>1710</v>
      </c>
      <c r="B30" s="1011" t="s">
        <v>1703</v>
      </c>
      <c r="C30" s="626" t="s">
        <v>1704</v>
      </c>
      <c r="D30" s="1196">
        <v>5211776</v>
      </c>
      <c r="E30" s="659" t="s">
        <v>1705</v>
      </c>
      <c r="F30" s="1191" t="s">
        <v>1712</v>
      </c>
      <c r="G30" s="1191" t="s">
        <v>1707</v>
      </c>
      <c r="H30" s="1191"/>
      <c r="I30" s="1192"/>
      <c r="J30" s="1193" t="s">
        <v>1713</v>
      </c>
      <c r="K30" s="1197">
        <v>3000</v>
      </c>
      <c r="L30" s="658" t="s">
        <v>1714</v>
      </c>
      <c r="M30" s="658"/>
      <c r="N30" s="1011">
        <v>2020</v>
      </c>
      <c r="O30" s="295"/>
      <c r="P30" s="295"/>
      <c r="Q30" s="295"/>
      <c r="R30" s="295"/>
      <c r="S30" s="295"/>
      <c r="T30" s="295"/>
      <c r="U30" s="295"/>
    </row>
    <row r="31" spans="1:21">
      <c r="A31" s="1195" t="s">
        <v>1710</v>
      </c>
      <c r="B31" s="1011" t="s">
        <v>1703</v>
      </c>
      <c r="C31" s="626" t="s">
        <v>1704</v>
      </c>
      <c r="D31" s="1196">
        <v>5211776</v>
      </c>
      <c r="E31" s="659" t="s">
        <v>1705</v>
      </c>
      <c r="F31" s="1191" t="s">
        <v>1712</v>
      </c>
      <c r="G31" s="1191" t="s">
        <v>1707</v>
      </c>
      <c r="H31" s="1191"/>
      <c r="I31" s="1192"/>
      <c r="J31" s="1193" t="s">
        <v>1713</v>
      </c>
      <c r="K31" s="1197">
        <v>3000</v>
      </c>
      <c r="L31" s="658" t="s">
        <v>1715</v>
      </c>
      <c r="M31" s="658"/>
      <c r="N31" s="1011">
        <v>2020</v>
      </c>
      <c r="O31" s="295"/>
      <c r="P31" s="295"/>
      <c r="Q31" s="295"/>
      <c r="R31" s="295"/>
      <c r="S31" s="295"/>
      <c r="T31" s="295"/>
      <c r="U31" s="295"/>
    </row>
    <row r="32" spans="1:21">
      <c r="A32" s="1195" t="s">
        <v>1710</v>
      </c>
      <c r="B32" s="1011" t="s">
        <v>1703</v>
      </c>
      <c r="C32" s="626" t="s">
        <v>1704</v>
      </c>
      <c r="D32" s="1196">
        <v>5211776</v>
      </c>
      <c r="E32" s="659" t="s">
        <v>1705</v>
      </c>
      <c r="F32" s="1191" t="s">
        <v>1712</v>
      </c>
      <c r="G32" s="1191" t="s">
        <v>1707</v>
      </c>
      <c r="H32" s="1191"/>
      <c r="I32" s="1192"/>
      <c r="J32" s="1193" t="s">
        <v>1713</v>
      </c>
      <c r="K32" s="1197">
        <v>3000</v>
      </c>
      <c r="L32" s="658" t="s">
        <v>1716</v>
      </c>
      <c r="M32" s="658"/>
      <c r="N32" s="1011">
        <v>2020</v>
      </c>
      <c r="O32" s="295"/>
      <c r="P32" s="295"/>
      <c r="Q32" s="295"/>
      <c r="R32" s="295"/>
      <c r="S32" s="295"/>
      <c r="T32" s="295"/>
      <c r="U32" s="295"/>
    </row>
    <row r="33" spans="1:21">
      <c r="A33" s="1195" t="s">
        <v>1710</v>
      </c>
      <c r="B33" s="1011" t="s">
        <v>1703</v>
      </c>
      <c r="C33" s="626" t="s">
        <v>1704</v>
      </c>
      <c r="D33" s="1196">
        <v>5211776</v>
      </c>
      <c r="E33" s="659" t="s">
        <v>1705</v>
      </c>
      <c r="F33" s="1191" t="s">
        <v>1712</v>
      </c>
      <c r="G33" s="1191" t="s">
        <v>1707</v>
      </c>
      <c r="H33" s="1191"/>
      <c r="I33" s="1192"/>
      <c r="J33" s="1193" t="s">
        <v>1713</v>
      </c>
      <c r="K33" s="1197">
        <v>3000</v>
      </c>
      <c r="L33" s="658" t="s">
        <v>1717</v>
      </c>
      <c r="M33" s="658"/>
      <c r="N33" s="1011">
        <v>2020</v>
      </c>
      <c r="O33" s="295"/>
      <c r="P33" s="295"/>
      <c r="Q33" s="295"/>
      <c r="R33" s="295"/>
      <c r="S33" s="295"/>
      <c r="T33" s="295"/>
      <c r="U33" s="295"/>
    </row>
    <row r="34" spans="1:21">
      <c r="A34" s="1195" t="s">
        <v>1710</v>
      </c>
      <c r="B34" s="1011" t="s">
        <v>1703</v>
      </c>
      <c r="C34" s="626" t="s">
        <v>1704</v>
      </c>
      <c r="D34" s="1196">
        <v>5211776</v>
      </c>
      <c r="E34" s="659" t="s">
        <v>1705</v>
      </c>
      <c r="F34" s="1191" t="s">
        <v>1712</v>
      </c>
      <c r="G34" s="1191" t="s">
        <v>1707</v>
      </c>
      <c r="H34" s="1191"/>
      <c r="I34" s="1192"/>
      <c r="J34" s="1193" t="s">
        <v>1718</v>
      </c>
      <c r="K34" s="1197">
        <v>3000</v>
      </c>
      <c r="L34" s="658" t="s">
        <v>1719</v>
      </c>
      <c r="M34" s="658"/>
      <c r="N34" s="1011">
        <v>2020</v>
      </c>
      <c r="O34" s="295"/>
      <c r="P34" s="295"/>
      <c r="Q34" s="295"/>
      <c r="R34" s="295"/>
      <c r="S34" s="295"/>
      <c r="T34" s="295"/>
      <c r="U34" s="295"/>
    </row>
    <row r="35" spans="1:21">
      <c r="A35" s="1195" t="s">
        <v>1710</v>
      </c>
      <c r="B35" s="1011" t="s">
        <v>1703</v>
      </c>
      <c r="C35" s="626" t="s">
        <v>1704</v>
      </c>
      <c r="D35" s="1196">
        <v>5211776</v>
      </c>
      <c r="E35" s="659" t="s">
        <v>1705</v>
      </c>
      <c r="F35" s="1191" t="s">
        <v>1712</v>
      </c>
      <c r="G35" s="1191" t="s">
        <v>1707</v>
      </c>
      <c r="H35" s="1191"/>
      <c r="I35" s="1192"/>
      <c r="J35" s="1193" t="s">
        <v>1720</v>
      </c>
      <c r="K35" s="1197">
        <v>3000</v>
      </c>
      <c r="L35" s="658" t="s">
        <v>1721</v>
      </c>
      <c r="M35" s="658"/>
      <c r="N35" s="1011">
        <v>2020</v>
      </c>
      <c r="O35" s="295"/>
      <c r="P35" s="295"/>
      <c r="Q35" s="295"/>
      <c r="R35" s="295"/>
      <c r="S35" s="295"/>
      <c r="T35" s="295"/>
      <c r="U35" s="295"/>
    </row>
    <row r="36" spans="1:21">
      <c r="A36" s="659"/>
      <c r="B36" s="658"/>
      <c r="C36" s="626"/>
      <c r="D36" s="1198"/>
      <c r="E36" s="659"/>
      <c r="F36" s="1191"/>
      <c r="G36" s="1191"/>
      <c r="H36" s="1191"/>
      <c r="I36" s="1192"/>
      <c r="J36" s="659"/>
      <c r="K36" s="626"/>
      <c r="L36" s="658"/>
      <c r="M36" s="658"/>
      <c r="N36" s="658"/>
      <c r="O36" s="295"/>
      <c r="P36" s="295"/>
      <c r="Q36" s="295"/>
      <c r="R36" s="295"/>
      <c r="S36" s="295"/>
      <c r="T36" s="295"/>
      <c r="U36" s="295"/>
    </row>
    <row r="37" spans="1:21">
      <c r="A37" s="659"/>
      <c r="B37" s="658"/>
      <c r="C37" s="626"/>
      <c r="D37" s="1198"/>
      <c r="E37" s="659"/>
      <c r="F37" s="1191"/>
      <c r="G37" s="1191"/>
      <c r="H37" s="1191"/>
      <c r="I37" s="1192"/>
      <c r="J37" s="659"/>
      <c r="K37" s="626"/>
      <c r="L37" s="658"/>
      <c r="M37" s="658"/>
      <c r="N37" s="658"/>
      <c r="O37" s="295"/>
      <c r="P37" s="295"/>
      <c r="Q37" s="295"/>
      <c r="R37" s="295"/>
      <c r="S37" s="295"/>
      <c r="T37" s="295"/>
      <c r="U37" s="295"/>
    </row>
    <row r="38" spans="1:21" ht="15.75" thickBot="1">
      <c r="A38" s="1199"/>
      <c r="B38" s="987"/>
      <c r="C38" s="626"/>
      <c r="D38" s="1198"/>
      <c r="E38" s="659"/>
      <c r="F38" s="1191"/>
      <c r="G38" s="1191"/>
      <c r="H38" s="1191"/>
      <c r="I38" s="1192"/>
      <c r="J38" s="659"/>
      <c r="K38" s="626"/>
      <c r="L38" s="658"/>
      <c r="M38" s="658"/>
      <c r="N38" s="658"/>
      <c r="O38" s="295"/>
      <c r="P38" s="295"/>
      <c r="Q38" s="295"/>
      <c r="R38" s="295"/>
      <c r="S38" s="295"/>
      <c r="T38" s="295"/>
      <c r="U38" s="295"/>
    </row>
    <row r="39" spans="1:21" ht="15.75" thickBot="1">
      <c r="A39" s="1200"/>
      <c r="B39" s="1201"/>
      <c r="C39" s="1202"/>
      <c r="D39" s="1203"/>
      <c r="E39" s="1204"/>
      <c r="F39" s="1205"/>
      <c r="G39" s="1205"/>
      <c r="H39" s="1205"/>
      <c r="I39" s="1206"/>
      <c r="J39" s="990"/>
      <c r="K39" s="1207">
        <v>27000</v>
      </c>
      <c r="L39" s="1208"/>
      <c r="M39" s="1208"/>
      <c r="N39" s="1208"/>
      <c r="O39" s="295"/>
      <c r="P39" s="295"/>
      <c r="Q39" s="295"/>
      <c r="R39" s="295"/>
      <c r="S39" s="295"/>
      <c r="T39" s="295"/>
      <c r="U39" s="295"/>
    </row>
    <row r="40" spans="1:21">
      <c r="A40" s="295" t="s">
        <v>1700</v>
      </c>
      <c r="B40" s="295"/>
      <c r="C40" s="295"/>
      <c r="D40" s="295"/>
      <c r="E40" s="295"/>
      <c r="F40" s="295"/>
      <c r="G40" s="1178"/>
      <c r="H40" s="1178"/>
      <c r="I40" s="295"/>
      <c r="J40" s="295"/>
      <c r="K40" s="295"/>
      <c r="L40" s="295"/>
      <c r="M40" s="295"/>
      <c r="N40" s="295"/>
      <c r="O40" s="295"/>
      <c r="P40" s="295"/>
      <c r="Q40" s="295"/>
      <c r="R40" s="295"/>
      <c r="S40" s="295"/>
      <c r="T40" s="295"/>
      <c r="U40" s="295"/>
    </row>
    <row r="44" spans="1:21">
      <c r="A44" s="1219" t="s">
        <v>1676</v>
      </c>
      <c r="B44" s="1219"/>
      <c r="C44" s="1219"/>
      <c r="D44" s="1219"/>
      <c r="E44" s="875"/>
      <c r="F44" s="875"/>
      <c r="G44" s="875"/>
      <c r="H44" s="875"/>
      <c r="I44" s="875"/>
      <c r="J44" s="875"/>
      <c r="K44" s="875"/>
      <c r="L44" s="875"/>
      <c r="M44" s="875"/>
      <c r="N44" s="875"/>
      <c r="O44" s="875"/>
      <c r="P44" s="875"/>
    </row>
    <row r="45" spans="1:21" ht="15.75">
      <c r="A45" s="215" t="s">
        <v>1493</v>
      </c>
      <c r="B45" s="297"/>
      <c r="C45" s="215"/>
      <c r="D45" s="215"/>
      <c r="E45" s="215"/>
      <c r="F45" s="215"/>
      <c r="G45" s="215"/>
      <c r="H45" s="215"/>
      <c r="I45" s="215"/>
      <c r="J45" s="215"/>
      <c r="K45" s="215"/>
      <c r="L45" s="215"/>
      <c r="M45" s="215"/>
      <c r="N45" s="215"/>
      <c r="O45" s="215"/>
      <c r="P45" s="215"/>
    </row>
    <row r="46" spans="1:21" ht="15.75" thickBot="1">
      <c r="A46" s="875" t="s">
        <v>459</v>
      </c>
      <c r="B46" s="295"/>
      <c r="C46" s="295"/>
      <c r="D46" s="295"/>
      <c r="E46" s="295"/>
      <c r="F46" s="295"/>
      <c r="G46" s="1178"/>
      <c r="H46" s="1178"/>
      <c r="I46" s="295"/>
      <c r="J46" s="295"/>
      <c r="K46" s="295"/>
      <c r="L46" s="295"/>
      <c r="M46" s="295"/>
      <c r="N46" s="295"/>
      <c r="O46" s="295"/>
      <c r="P46" s="295"/>
    </row>
    <row r="47" spans="1:21" ht="15.75" thickBot="1">
      <c r="A47" s="1433" t="s">
        <v>1677</v>
      </c>
      <c r="B47" s="1292"/>
      <c r="C47" s="1434" t="s">
        <v>1678</v>
      </c>
      <c r="D47" s="1291"/>
      <c r="E47" s="1433" t="s">
        <v>1679</v>
      </c>
      <c r="F47" s="1291"/>
      <c r="G47" s="1291"/>
      <c r="H47" s="1291"/>
      <c r="I47" s="1292"/>
      <c r="J47" s="1434" t="s">
        <v>1680</v>
      </c>
      <c r="K47" s="1291"/>
      <c r="L47" s="1292"/>
      <c r="M47" s="1314" t="s">
        <v>1681</v>
      </c>
      <c r="N47" s="1425" t="s">
        <v>1682</v>
      </c>
      <c r="O47" s="1179"/>
      <c r="P47" s="1179"/>
    </row>
    <row r="48" spans="1:21" ht="72.75" thickBot="1">
      <c r="A48" s="1180" t="s">
        <v>1683</v>
      </c>
      <c r="B48" s="898" t="s">
        <v>1411</v>
      </c>
      <c r="C48" s="1181" t="s">
        <v>1684</v>
      </c>
      <c r="D48" s="1182" t="s">
        <v>1685</v>
      </c>
      <c r="E48" s="1180" t="s">
        <v>1686</v>
      </c>
      <c r="F48" s="1183" t="s">
        <v>1687</v>
      </c>
      <c r="G48" s="1184" t="s">
        <v>1688</v>
      </c>
      <c r="H48" s="1184" t="s">
        <v>1689</v>
      </c>
      <c r="I48" s="1185" t="s">
        <v>875</v>
      </c>
      <c r="J48" s="1180" t="s">
        <v>1690</v>
      </c>
      <c r="K48" s="1181" t="s">
        <v>1691</v>
      </c>
      <c r="L48" s="899" t="s">
        <v>1692</v>
      </c>
      <c r="M48" s="1280"/>
      <c r="N48" s="1426"/>
      <c r="O48" s="1186"/>
      <c r="P48" s="1186"/>
    </row>
    <row r="49" spans="1:16" ht="15.75" thickBot="1">
      <c r="A49" s="1209" t="s">
        <v>1722</v>
      </c>
      <c r="B49" s="983" t="s">
        <v>1723</v>
      </c>
      <c r="C49" s="1189" t="s">
        <v>1724</v>
      </c>
      <c r="D49" s="1210" t="s">
        <v>1725</v>
      </c>
      <c r="E49" s="1211" t="s">
        <v>1696</v>
      </c>
      <c r="F49" s="1212" t="s">
        <v>1726</v>
      </c>
      <c r="G49" s="1213">
        <v>520</v>
      </c>
      <c r="H49" s="1213" t="s">
        <v>1082</v>
      </c>
      <c r="I49" s="1214" t="s">
        <v>1727</v>
      </c>
      <c r="J49" s="1211" t="s">
        <v>1728</v>
      </c>
      <c r="K49" s="1189">
        <v>5000</v>
      </c>
      <c r="L49" s="1215" t="s">
        <v>1582</v>
      </c>
      <c r="M49" s="1215">
        <v>21000</v>
      </c>
      <c r="N49" s="1215">
        <v>66500</v>
      </c>
      <c r="O49" s="295"/>
      <c r="P49" s="295"/>
    </row>
    <row r="50" spans="1:16" ht="15.75" thickBot="1">
      <c r="A50" s="659" t="s">
        <v>1722</v>
      </c>
      <c r="B50" s="983" t="s">
        <v>1723</v>
      </c>
      <c r="C50" s="626" t="s">
        <v>1729</v>
      </c>
      <c r="D50" s="1216">
        <v>10059229597</v>
      </c>
      <c r="E50" s="1211" t="s">
        <v>1696</v>
      </c>
      <c r="F50" s="1213" t="s">
        <v>1730</v>
      </c>
      <c r="G50" s="1213">
        <v>155</v>
      </c>
      <c r="H50" s="1213" t="s">
        <v>1082</v>
      </c>
      <c r="I50" s="1214"/>
      <c r="J50" s="1211" t="s">
        <v>1731</v>
      </c>
      <c r="K50" s="1217">
        <v>1200</v>
      </c>
      <c r="L50" s="1215" t="s">
        <v>1582</v>
      </c>
      <c r="M50" s="1215">
        <v>5400</v>
      </c>
      <c r="N50" s="1215">
        <v>18000</v>
      </c>
      <c r="O50" s="295"/>
      <c r="P50" s="295"/>
    </row>
    <row r="51" spans="1:16">
      <c r="A51" s="659" t="s">
        <v>1722</v>
      </c>
      <c r="B51" s="983" t="s">
        <v>1723</v>
      </c>
      <c r="C51" s="626" t="s">
        <v>1732</v>
      </c>
      <c r="D51" s="1216">
        <v>10404943907</v>
      </c>
      <c r="E51" s="1211" t="s">
        <v>1696</v>
      </c>
      <c r="F51" s="1213"/>
      <c r="G51" s="1213"/>
      <c r="H51" s="1213"/>
      <c r="I51" s="1214"/>
      <c r="J51" s="1211" t="s">
        <v>1733</v>
      </c>
      <c r="K51" s="1217">
        <v>3500</v>
      </c>
      <c r="L51" s="1215" t="s">
        <v>1582</v>
      </c>
      <c r="M51" s="1215">
        <v>28000</v>
      </c>
      <c r="N51" s="1215">
        <v>48595</v>
      </c>
      <c r="O51" s="295"/>
      <c r="P51" s="295"/>
    </row>
    <row r="52" spans="1:16">
      <c r="A52" s="659" t="s">
        <v>1722</v>
      </c>
      <c r="B52" s="658" t="s">
        <v>1723</v>
      </c>
      <c r="C52" s="626" t="s">
        <v>1734</v>
      </c>
      <c r="D52" s="1216">
        <v>20393598639</v>
      </c>
      <c r="E52" s="1211" t="s">
        <v>1696</v>
      </c>
      <c r="F52" s="1213" t="s">
        <v>1735</v>
      </c>
      <c r="G52" s="1213"/>
      <c r="H52" s="1213"/>
      <c r="I52" s="1214"/>
      <c r="J52" s="1211"/>
      <c r="K52" s="1217"/>
      <c r="L52" s="1215"/>
      <c r="M52" s="1215"/>
      <c r="N52" s="1215">
        <v>15000</v>
      </c>
      <c r="O52" s="295"/>
      <c r="P52" s="295"/>
    </row>
    <row r="53" spans="1:16">
      <c r="A53" s="659"/>
      <c r="B53" s="658"/>
      <c r="C53" s="626"/>
      <c r="D53" s="1216"/>
      <c r="E53" s="1211"/>
      <c r="F53" s="1213"/>
      <c r="G53" s="1213"/>
      <c r="H53" s="1213"/>
      <c r="I53" s="1214"/>
      <c r="J53" s="1211"/>
      <c r="K53" s="1217"/>
      <c r="L53" s="1215"/>
      <c r="M53" s="1215"/>
      <c r="N53" s="1215"/>
      <c r="O53" s="295"/>
      <c r="P53" s="295"/>
    </row>
    <row r="54" spans="1:16">
      <c r="A54" s="659"/>
      <c r="B54" s="658"/>
      <c r="C54" s="626"/>
      <c r="D54" s="1216"/>
      <c r="E54" s="1211"/>
      <c r="F54" s="1213"/>
      <c r="G54" s="1213"/>
      <c r="H54" s="1213"/>
      <c r="I54" s="1214"/>
      <c r="J54" s="1211"/>
      <c r="K54" s="1217"/>
      <c r="L54" s="1215"/>
      <c r="M54" s="1215"/>
      <c r="N54" s="1215"/>
      <c r="O54" s="295"/>
      <c r="P54" s="295"/>
    </row>
    <row r="55" spans="1:16">
      <c r="A55" s="659"/>
      <c r="B55" s="658"/>
      <c r="C55" s="626"/>
      <c r="D55" s="1216"/>
      <c r="E55" s="1211"/>
      <c r="F55" s="1213"/>
      <c r="G55" s="1213"/>
      <c r="H55" s="1213"/>
      <c r="I55" s="1214"/>
      <c r="J55" s="1211"/>
      <c r="K55" s="1217"/>
      <c r="L55" s="1215"/>
      <c r="M55" s="1215"/>
      <c r="N55" s="1215"/>
      <c r="O55" s="295"/>
      <c r="P55" s="295"/>
    </row>
    <row r="56" spans="1:16">
      <c r="A56" s="659"/>
      <c r="B56" s="658"/>
      <c r="C56" s="626"/>
      <c r="D56" s="1198"/>
      <c r="E56" s="1211"/>
      <c r="F56" s="1213"/>
      <c r="G56" s="1213"/>
      <c r="H56" s="1213"/>
      <c r="I56" s="1214"/>
      <c r="J56" s="1211"/>
      <c r="K56" s="1217"/>
      <c r="L56" s="1215"/>
      <c r="M56" s="1215"/>
      <c r="N56" s="1215"/>
      <c r="O56" s="295"/>
      <c r="P56" s="295"/>
    </row>
    <row r="57" spans="1:16">
      <c r="A57" s="659"/>
      <c r="B57" s="658"/>
      <c r="C57" s="626"/>
      <c r="D57" s="1198"/>
      <c r="E57" s="1211"/>
      <c r="F57" s="1213"/>
      <c r="G57" s="1213"/>
      <c r="H57" s="1213"/>
      <c r="I57" s="1214"/>
      <c r="J57" s="1211"/>
      <c r="K57" s="1217"/>
      <c r="L57" s="1215"/>
      <c r="M57" s="1215"/>
      <c r="N57" s="1215"/>
      <c r="O57" s="295"/>
      <c r="P57" s="295"/>
    </row>
    <row r="58" spans="1:16">
      <c r="A58" s="659"/>
      <c r="B58" s="658"/>
      <c r="C58" s="626"/>
      <c r="D58" s="1198"/>
      <c r="E58" s="1211"/>
      <c r="F58" s="1213"/>
      <c r="G58" s="1213"/>
      <c r="H58" s="1213"/>
      <c r="I58" s="1214"/>
      <c r="J58" s="1211"/>
      <c r="K58" s="1217"/>
      <c r="L58" s="1215"/>
      <c r="M58" s="1215"/>
      <c r="N58" s="1215"/>
      <c r="O58" s="295"/>
      <c r="P58" s="295"/>
    </row>
    <row r="59" spans="1:16">
      <c r="A59" s="659"/>
      <c r="B59" s="658"/>
      <c r="C59" s="626"/>
      <c r="D59" s="1198"/>
      <c r="E59" s="1211"/>
      <c r="F59" s="1191"/>
      <c r="G59" s="1191"/>
      <c r="H59" s="1191"/>
      <c r="I59" s="1192"/>
      <c r="J59" s="659"/>
      <c r="K59" s="626"/>
      <c r="L59" s="658"/>
      <c r="M59" s="658"/>
      <c r="N59" s="658"/>
      <c r="O59" s="295"/>
      <c r="P59" s="295"/>
    </row>
    <row r="60" spans="1:16" ht="15.75" thickBot="1">
      <c r="A60" s="1199"/>
      <c r="B60" s="987"/>
      <c r="C60" s="626"/>
      <c r="D60" s="1198"/>
      <c r="E60" s="1211"/>
      <c r="F60" s="1191"/>
      <c r="G60" s="1191"/>
      <c r="H60" s="1191"/>
      <c r="I60" s="1192"/>
      <c r="J60" s="659"/>
      <c r="K60" s="626"/>
      <c r="L60" s="658"/>
      <c r="M60" s="658"/>
      <c r="N60" s="658"/>
      <c r="O60" s="295"/>
      <c r="P60" s="295"/>
    </row>
    <row r="61" spans="1:16" ht="15.75" thickBot="1">
      <c r="A61" s="1200"/>
      <c r="B61" s="1201"/>
      <c r="C61" s="1202"/>
      <c r="D61" s="1203"/>
      <c r="E61" s="1218"/>
      <c r="F61" s="1205"/>
      <c r="G61" s="1205"/>
      <c r="H61" s="1205"/>
      <c r="I61" s="1206"/>
      <c r="J61" s="990"/>
      <c r="K61" s="1202"/>
      <c r="L61" s="1208"/>
      <c r="M61" s="1208"/>
      <c r="N61" s="1208"/>
      <c r="O61" s="295"/>
      <c r="P61" s="295"/>
    </row>
    <row r="62" spans="1:16">
      <c r="A62" s="295" t="s">
        <v>1700</v>
      </c>
      <c r="B62" s="295"/>
      <c r="C62" s="295"/>
      <c r="D62" s="295"/>
      <c r="E62" s="295"/>
      <c r="F62" s="295"/>
      <c r="G62" s="1178"/>
      <c r="H62" s="1178"/>
      <c r="I62" s="295"/>
      <c r="J62" s="295"/>
      <c r="K62" s="295"/>
      <c r="L62" s="295"/>
      <c r="M62" s="295"/>
      <c r="N62" s="295"/>
      <c r="O62" s="295"/>
      <c r="P62" s="295"/>
    </row>
    <row r="66" spans="1:15">
      <c r="A66" s="1220" t="s">
        <v>1676</v>
      </c>
      <c r="B66" s="1064"/>
      <c r="C66" s="1064"/>
      <c r="D66" s="1064"/>
      <c r="E66" s="1064"/>
      <c r="F66" s="1064"/>
      <c r="G66" s="1064"/>
      <c r="H66" s="1064"/>
      <c r="I66" s="1064"/>
      <c r="J66" s="1064"/>
      <c r="K66" s="1064"/>
      <c r="L66" s="1064"/>
      <c r="M66" s="1064"/>
      <c r="N66" s="1064"/>
      <c r="O66" s="1064"/>
    </row>
    <row r="67" spans="1:15">
      <c r="A67" s="1306" t="s">
        <v>301</v>
      </c>
      <c r="B67" s="1306"/>
      <c r="C67" s="1306"/>
      <c r="D67" s="1306"/>
      <c r="E67" s="1221"/>
      <c r="F67" s="1221"/>
      <c r="G67" s="1221"/>
      <c r="H67" s="1221"/>
      <c r="I67" s="1221"/>
      <c r="J67" s="1221"/>
      <c r="K67" s="1221"/>
      <c r="L67" s="1221"/>
      <c r="M67" s="1221"/>
      <c r="N67" s="1221"/>
      <c r="O67" s="1221"/>
    </row>
    <row r="68" spans="1:15" ht="15.75" thickBot="1">
      <c r="A68" s="1222" t="s">
        <v>460</v>
      </c>
      <c r="B68" s="1222"/>
      <c r="C68" s="1223"/>
      <c r="D68" s="174"/>
      <c r="E68" s="1067"/>
      <c r="F68" s="1067"/>
      <c r="G68" s="1224"/>
      <c r="H68" s="1224"/>
      <c r="I68" s="1067"/>
      <c r="J68" s="1067"/>
      <c r="K68" s="1067"/>
      <c r="L68" s="1067"/>
      <c r="M68" s="1067"/>
      <c r="N68" s="1067"/>
      <c r="O68" s="1067"/>
    </row>
    <row r="69" spans="1:15" ht="15.75" thickBot="1">
      <c r="A69" s="1427" t="s">
        <v>1677</v>
      </c>
      <c r="B69" s="1428"/>
      <c r="C69" s="1429" t="s">
        <v>1678</v>
      </c>
      <c r="D69" s="1403"/>
      <c r="E69" s="1427" t="s">
        <v>1679</v>
      </c>
      <c r="F69" s="1403"/>
      <c r="G69" s="1403"/>
      <c r="H69" s="1403"/>
      <c r="I69" s="1428"/>
      <c r="J69" s="1429" t="s">
        <v>1680</v>
      </c>
      <c r="K69" s="1403"/>
      <c r="L69" s="1428"/>
      <c r="M69" s="1430" t="s">
        <v>1681</v>
      </c>
      <c r="N69" s="1431" t="s">
        <v>1682</v>
      </c>
      <c r="O69" s="1225"/>
    </row>
    <row r="70" spans="1:15" ht="72">
      <c r="A70" s="1226" t="s">
        <v>1683</v>
      </c>
      <c r="B70" s="1227" t="s">
        <v>1411</v>
      </c>
      <c r="C70" s="1228" t="s">
        <v>1684</v>
      </c>
      <c r="D70" s="1229" t="s">
        <v>1685</v>
      </c>
      <c r="E70" s="1226" t="s">
        <v>1686</v>
      </c>
      <c r="F70" s="1230" t="s">
        <v>1687</v>
      </c>
      <c r="G70" s="1231" t="s">
        <v>1688</v>
      </c>
      <c r="H70" s="1231" t="s">
        <v>1689</v>
      </c>
      <c r="I70" s="1232" t="s">
        <v>875</v>
      </c>
      <c r="J70" s="1226" t="s">
        <v>1690</v>
      </c>
      <c r="K70" s="1228" t="s">
        <v>1691</v>
      </c>
      <c r="L70" s="1233" t="s">
        <v>1692</v>
      </c>
      <c r="M70" s="1401"/>
      <c r="N70" s="1432"/>
      <c r="O70" s="1234"/>
    </row>
    <row r="71" spans="1:15" ht="22.5">
      <c r="A71" s="1235" t="s">
        <v>1736</v>
      </c>
      <c r="B71" s="1235" t="s">
        <v>1737</v>
      </c>
      <c r="C71" s="1236" t="s">
        <v>1738</v>
      </c>
      <c r="D71" s="1237">
        <v>53667391</v>
      </c>
      <c r="E71" s="1235" t="s">
        <v>1696</v>
      </c>
      <c r="F71" s="1235"/>
      <c r="G71" s="1235"/>
      <c r="H71" s="1235"/>
      <c r="I71" s="1235"/>
      <c r="J71" s="1235" t="s">
        <v>1739</v>
      </c>
      <c r="K71" s="1238">
        <v>20000</v>
      </c>
      <c r="L71" s="1239" t="s">
        <v>1582</v>
      </c>
      <c r="M71" s="1238">
        <v>20000</v>
      </c>
      <c r="N71" s="1238">
        <v>20000</v>
      </c>
      <c r="O71" s="1067"/>
    </row>
    <row r="72" spans="1:15" ht="45">
      <c r="A72" s="1235" t="s">
        <v>1736</v>
      </c>
      <c r="B72" s="1235" t="s">
        <v>1737</v>
      </c>
      <c r="C72" s="1236" t="s">
        <v>1740</v>
      </c>
      <c r="D72" s="1240">
        <v>41537090</v>
      </c>
      <c r="E72" s="1235" t="s">
        <v>1696</v>
      </c>
      <c r="F72" s="1235"/>
      <c r="G72" s="1235"/>
      <c r="H72" s="1235"/>
      <c r="I72" s="1235"/>
      <c r="J72" s="1235" t="s">
        <v>1739</v>
      </c>
      <c r="K72" s="1241">
        <v>3500</v>
      </c>
      <c r="L72" s="1239" t="s">
        <v>1582</v>
      </c>
      <c r="M72" s="1241">
        <v>3500</v>
      </c>
      <c r="N72" s="1241">
        <v>3500</v>
      </c>
      <c r="O72" s="1067"/>
    </row>
    <row r="73" spans="1:15" ht="45">
      <c r="A73" s="1235" t="s">
        <v>1736</v>
      </c>
      <c r="B73" s="1235" t="s">
        <v>1737</v>
      </c>
      <c r="C73" s="1236" t="s">
        <v>1741</v>
      </c>
      <c r="D73" s="1240">
        <v>41330997</v>
      </c>
      <c r="E73" s="1235" t="s">
        <v>1696</v>
      </c>
      <c r="F73" s="1235"/>
      <c r="G73" s="1235"/>
      <c r="H73" s="1235"/>
      <c r="I73" s="1235"/>
      <c r="J73" s="1235" t="s">
        <v>1739</v>
      </c>
      <c r="K73" s="1241">
        <v>3250</v>
      </c>
      <c r="L73" s="1239" t="s">
        <v>1582</v>
      </c>
      <c r="M73" s="1241">
        <v>3250</v>
      </c>
      <c r="N73" s="1241">
        <v>3250</v>
      </c>
      <c r="O73" s="1067"/>
    </row>
    <row r="74" spans="1:15" ht="33.75">
      <c r="A74" s="1235" t="s">
        <v>1736</v>
      </c>
      <c r="B74" s="1235" t="s">
        <v>1737</v>
      </c>
      <c r="C74" s="1236" t="s">
        <v>1742</v>
      </c>
      <c r="D74" s="1240" t="s">
        <v>1743</v>
      </c>
      <c r="E74" s="1235" t="s">
        <v>1696</v>
      </c>
      <c r="F74" s="1235"/>
      <c r="G74" s="1235"/>
      <c r="H74" s="1235"/>
      <c r="I74" s="1235"/>
      <c r="J74" s="1235" t="s">
        <v>1744</v>
      </c>
      <c r="K74" s="1241">
        <v>1700</v>
      </c>
      <c r="L74" s="1239" t="s">
        <v>1582</v>
      </c>
      <c r="M74" s="1241">
        <v>1700</v>
      </c>
      <c r="N74" s="1241">
        <v>1700</v>
      </c>
      <c r="O74" s="1067"/>
    </row>
    <row r="75" spans="1:15" ht="33.75">
      <c r="A75" s="1235" t="s">
        <v>1736</v>
      </c>
      <c r="B75" s="1235" t="s">
        <v>1737</v>
      </c>
      <c r="C75" s="1236" t="s">
        <v>1745</v>
      </c>
      <c r="D75" s="1240" t="s">
        <v>1746</v>
      </c>
      <c r="E75" s="1235" t="s">
        <v>1696</v>
      </c>
      <c r="F75" s="1235"/>
      <c r="G75" s="1235"/>
      <c r="H75" s="1235"/>
      <c r="I75" s="1235"/>
      <c r="J75" s="1235" t="s">
        <v>1739</v>
      </c>
      <c r="K75" s="1241">
        <v>2000</v>
      </c>
      <c r="L75" s="1239" t="s">
        <v>1582</v>
      </c>
      <c r="M75" s="1241">
        <v>2000</v>
      </c>
      <c r="N75" s="1241">
        <v>2000</v>
      </c>
      <c r="O75" s="1067"/>
    </row>
    <row r="76" spans="1:15" ht="45">
      <c r="A76" s="1235" t="s">
        <v>1736</v>
      </c>
      <c r="B76" s="1235" t="s">
        <v>1737</v>
      </c>
      <c r="C76" s="1236" t="s">
        <v>1747</v>
      </c>
      <c r="D76" s="1240" t="s">
        <v>1748</v>
      </c>
      <c r="E76" s="1235" t="s">
        <v>1696</v>
      </c>
      <c r="F76" s="1235"/>
      <c r="G76" s="1235"/>
      <c r="H76" s="1235"/>
      <c r="I76" s="1235"/>
      <c r="J76" s="1235" t="s">
        <v>1749</v>
      </c>
      <c r="K76" s="1241">
        <v>1200</v>
      </c>
      <c r="L76" s="1239" t="s">
        <v>1582</v>
      </c>
      <c r="M76" s="1241">
        <v>1200</v>
      </c>
      <c r="N76" s="1241">
        <v>1200</v>
      </c>
      <c r="O76" s="1067"/>
    </row>
    <row r="77" spans="1:15" ht="45">
      <c r="A77" s="1235" t="s">
        <v>1736</v>
      </c>
      <c r="B77" s="1235" t="s">
        <v>1737</v>
      </c>
      <c r="C77" s="1242" t="s">
        <v>1750</v>
      </c>
      <c r="D77" s="1240" t="s">
        <v>1751</v>
      </c>
      <c r="E77" s="1235" t="s">
        <v>1696</v>
      </c>
      <c r="F77" s="1235"/>
      <c r="G77" s="1235"/>
      <c r="H77" s="1235"/>
      <c r="I77" s="1235"/>
      <c r="J77" s="1235" t="s">
        <v>1752</v>
      </c>
      <c r="K77" s="1241">
        <v>3500</v>
      </c>
      <c r="L77" s="1239" t="s">
        <v>1582</v>
      </c>
      <c r="M77" s="1241">
        <v>3500</v>
      </c>
      <c r="N77" s="1241">
        <v>3500</v>
      </c>
      <c r="O77" s="1067"/>
    </row>
    <row r="78" spans="1:15" ht="33.75">
      <c r="A78" s="1235" t="s">
        <v>1736</v>
      </c>
      <c r="B78" s="1235" t="s">
        <v>1737</v>
      </c>
      <c r="C78" s="1242" t="s">
        <v>1753</v>
      </c>
      <c r="D78" s="1240" t="s">
        <v>1754</v>
      </c>
      <c r="E78" s="1235" t="s">
        <v>1696</v>
      </c>
      <c r="F78" s="1235"/>
      <c r="G78" s="1235"/>
      <c r="H78" s="1235"/>
      <c r="I78" s="1235"/>
      <c r="J78" s="1235" t="s">
        <v>1755</v>
      </c>
      <c r="K78" s="1241">
        <v>1500</v>
      </c>
      <c r="L78" s="1239" t="s">
        <v>1582</v>
      </c>
      <c r="M78" s="1241">
        <v>1500</v>
      </c>
      <c r="N78" s="1241">
        <v>1500</v>
      </c>
      <c r="O78" s="1067"/>
    </row>
    <row r="79" spans="1:15" ht="33.75">
      <c r="A79" s="1235" t="s">
        <v>1736</v>
      </c>
      <c r="B79" s="1235" t="s">
        <v>1737</v>
      </c>
      <c r="C79" s="1242" t="s">
        <v>1756</v>
      </c>
      <c r="D79" s="1240" t="s">
        <v>1757</v>
      </c>
      <c r="E79" s="1235" t="s">
        <v>1696</v>
      </c>
      <c r="F79" s="1235"/>
      <c r="G79" s="1235"/>
      <c r="H79" s="1235"/>
      <c r="I79" s="1235"/>
      <c r="J79" s="1235" t="s">
        <v>1758</v>
      </c>
      <c r="K79" s="1241">
        <v>12000</v>
      </c>
      <c r="L79" s="1239" t="s">
        <v>1582</v>
      </c>
      <c r="M79" s="1241">
        <v>12000</v>
      </c>
      <c r="N79" s="1241">
        <v>12000</v>
      </c>
      <c r="O79" s="1067"/>
    </row>
    <row r="80" spans="1:15" ht="45">
      <c r="A80" s="1235" t="s">
        <v>1736</v>
      </c>
      <c r="B80" s="1235" t="s">
        <v>1737</v>
      </c>
      <c r="C80" s="1242" t="s">
        <v>1759</v>
      </c>
      <c r="D80" s="1240" t="s">
        <v>1760</v>
      </c>
      <c r="E80" s="1235" t="s">
        <v>1696</v>
      </c>
      <c r="F80" s="1235"/>
      <c r="G80" s="1235"/>
      <c r="H80" s="1235"/>
      <c r="I80" s="1235"/>
      <c r="J80" s="1235" t="s">
        <v>1761</v>
      </c>
      <c r="K80" s="1241">
        <v>4000</v>
      </c>
      <c r="L80" s="1239" t="s">
        <v>1582</v>
      </c>
      <c r="M80" s="1241">
        <v>4000</v>
      </c>
      <c r="N80" s="1241">
        <v>4000</v>
      </c>
      <c r="O80" s="1067"/>
    </row>
    <row r="81" spans="1:15" ht="33.75">
      <c r="A81" s="1235" t="s">
        <v>1736</v>
      </c>
      <c r="B81" s="1235" t="s">
        <v>1737</v>
      </c>
      <c r="C81" s="1242" t="s">
        <v>1762</v>
      </c>
      <c r="D81" s="1240" t="s">
        <v>1763</v>
      </c>
      <c r="E81" s="1235" t="s">
        <v>1696</v>
      </c>
      <c r="F81" s="1235"/>
      <c r="G81" s="1235"/>
      <c r="H81" s="1235"/>
      <c r="I81" s="1235"/>
      <c r="J81" s="1235" t="s">
        <v>1764</v>
      </c>
      <c r="K81" s="1241">
        <v>2000</v>
      </c>
      <c r="L81" s="1239" t="s">
        <v>1582</v>
      </c>
      <c r="M81" s="1241">
        <v>2000</v>
      </c>
      <c r="N81" s="1241">
        <v>2000</v>
      </c>
      <c r="O81" s="1067"/>
    </row>
    <row r="82" spans="1:15" ht="56.25">
      <c r="A82" s="1235" t="s">
        <v>1736</v>
      </c>
      <c r="B82" s="1235" t="s">
        <v>1737</v>
      </c>
      <c r="C82" s="1242" t="s">
        <v>1765</v>
      </c>
      <c r="D82" s="1240" t="s">
        <v>1766</v>
      </c>
      <c r="E82" s="1235" t="s">
        <v>1696</v>
      </c>
      <c r="F82" s="1235"/>
      <c r="G82" s="1235"/>
      <c r="H82" s="1235"/>
      <c r="I82" s="1235"/>
      <c r="J82" s="1235" t="s">
        <v>1767</v>
      </c>
      <c r="K82" s="1241">
        <v>2000</v>
      </c>
      <c r="L82" s="1239" t="s">
        <v>1582</v>
      </c>
      <c r="M82" s="1241">
        <v>2000</v>
      </c>
      <c r="N82" s="1241">
        <v>2000</v>
      </c>
      <c r="O82" s="1067"/>
    </row>
    <row r="83" spans="1:15" ht="33.75">
      <c r="A83" s="1235" t="s">
        <v>1736</v>
      </c>
      <c r="B83" s="1235" t="s">
        <v>1737</v>
      </c>
      <c r="C83" s="1242" t="s">
        <v>1768</v>
      </c>
      <c r="D83" s="1240" t="s">
        <v>1769</v>
      </c>
      <c r="E83" s="1235" t="s">
        <v>1696</v>
      </c>
      <c r="F83" s="1235"/>
      <c r="G83" s="1235"/>
      <c r="H83" s="1235"/>
      <c r="I83" s="1235"/>
      <c r="J83" s="1235" t="s">
        <v>1770</v>
      </c>
      <c r="K83" s="1241">
        <v>2200</v>
      </c>
      <c r="L83" s="1239" t="s">
        <v>1582</v>
      </c>
      <c r="M83" s="1241">
        <v>2200</v>
      </c>
      <c r="N83" s="1241">
        <v>2200</v>
      </c>
      <c r="O83" s="1067"/>
    </row>
    <row r="84" spans="1:15" ht="33.75">
      <c r="A84" s="1235" t="s">
        <v>1736</v>
      </c>
      <c r="B84" s="1235" t="s">
        <v>1737</v>
      </c>
      <c r="C84" s="1242" t="s">
        <v>1768</v>
      </c>
      <c r="D84" s="1240" t="s">
        <v>1769</v>
      </c>
      <c r="E84" s="1235" t="s">
        <v>1696</v>
      </c>
      <c r="F84" s="1235"/>
      <c r="G84" s="1235"/>
      <c r="H84" s="1235"/>
      <c r="I84" s="1235"/>
      <c r="J84" s="1235" t="s">
        <v>1771</v>
      </c>
      <c r="K84" s="1241">
        <v>3500</v>
      </c>
      <c r="L84" s="1239" t="s">
        <v>1582</v>
      </c>
      <c r="M84" s="1241">
        <v>3500</v>
      </c>
      <c r="N84" s="1241">
        <v>3500</v>
      </c>
      <c r="O84" s="1067"/>
    </row>
    <row r="85" spans="1:15" ht="22.5">
      <c r="A85" s="1235" t="s">
        <v>1736</v>
      </c>
      <c r="B85" s="1235" t="s">
        <v>1737</v>
      </c>
      <c r="C85" s="1242" t="s">
        <v>1772</v>
      </c>
      <c r="D85" s="1240" t="s">
        <v>1773</v>
      </c>
      <c r="E85" s="1235" t="s">
        <v>1696</v>
      </c>
      <c r="F85" s="1235"/>
      <c r="G85" s="1235"/>
      <c r="H85" s="1235"/>
      <c r="I85" s="1235"/>
      <c r="J85" s="1235" t="s">
        <v>1774</v>
      </c>
      <c r="K85" s="1241">
        <v>2500</v>
      </c>
      <c r="L85" s="1239" t="s">
        <v>1582</v>
      </c>
      <c r="M85" s="1241">
        <v>2500</v>
      </c>
      <c r="N85" s="1241">
        <v>2500</v>
      </c>
      <c r="O85" s="1067"/>
    </row>
    <row r="86" spans="1:15">
      <c r="A86" s="1235" t="s">
        <v>1736</v>
      </c>
      <c r="B86" s="1235" t="s">
        <v>1737</v>
      </c>
      <c r="C86" s="1235" t="s">
        <v>1775</v>
      </c>
      <c r="D86" s="1243"/>
      <c r="E86" s="1235" t="s">
        <v>1696</v>
      </c>
      <c r="F86" s="1235"/>
      <c r="G86" s="1235"/>
      <c r="H86" s="1235"/>
      <c r="I86" s="1235"/>
      <c r="J86" s="1235" t="s">
        <v>1776</v>
      </c>
      <c r="K86" s="1241">
        <v>3150</v>
      </c>
      <c r="L86" s="1239" t="s">
        <v>1582</v>
      </c>
      <c r="M86" s="1241">
        <v>3150</v>
      </c>
      <c r="N86" s="1241">
        <v>3150</v>
      </c>
      <c r="O86" s="1067"/>
    </row>
    <row r="87" spans="1:15">
      <c r="A87" s="1235" t="s">
        <v>1736</v>
      </c>
      <c r="B87" s="1235" t="s">
        <v>1737</v>
      </c>
      <c r="C87" s="1235" t="s">
        <v>1777</v>
      </c>
      <c r="D87" s="1240" t="s">
        <v>1778</v>
      </c>
      <c r="E87" s="1235" t="s">
        <v>1696</v>
      </c>
      <c r="F87" s="1235"/>
      <c r="G87" s="1235"/>
      <c r="H87" s="1235"/>
      <c r="I87" s="1235"/>
      <c r="J87" s="1235" t="s">
        <v>1779</v>
      </c>
      <c r="K87" s="1241">
        <v>2000</v>
      </c>
      <c r="L87" s="1239" t="s">
        <v>1582</v>
      </c>
      <c r="M87" s="1241">
        <v>2000</v>
      </c>
      <c r="N87" s="1241">
        <v>2000</v>
      </c>
      <c r="O87" s="1067"/>
    </row>
    <row r="88" spans="1:15">
      <c r="A88" s="1235" t="s">
        <v>1736</v>
      </c>
      <c r="B88" s="1235" t="s">
        <v>1737</v>
      </c>
      <c r="C88" s="1235" t="s">
        <v>1780</v>
      </c>
      <c r="D88" s="1240" t="s">
        <v>1781</v>
      </c>
      <c r="E88" s="1235" t="s">
        <v>1696</v>
      </c>
      <c r="F88" s="1235"/>
      <c r="G88" s="1235"/>
      <c r="H88" s="1235"/>
      <c r="I88" s="1235"/>
      <c r="J88" s="1235" t="s">
        <v>1739</v>
      </c>
      <c r="K88" s="1241">
        <v>3800</v>
      </c>
      <c r="L88" s="1239" t="s">
        <v>1582</v>
      </c>
      <c r="M88" s="1241">
        <v>3800</v>
      </c>
      <c r="N88" s="1241">
        <v>3800</v>
      </c>
      <c r="O88" s="1067"/>
    </row>
    <row r="89" spans="1:15" ht="15.75" thickBot="1">
      <c r="A89" s="1244"/>
      <c r="B89" s="1245"/>
      <c r="C89" s="1246"/>
      <c r="D89" s="1247"/>
      <c r="E89" s="1248"/>
      <c r="F89" s="1249"/>
      <c r="G89" s="1249"/>
      <c r="H89" s="1249"/>
      <c r="I89" s="1250"/>
      <c r="J89" s="1251"/>
      <c r="K89" s="1252">
        <f>SUM(K71:K88)</f>
        <v>73800</v>
      </c>
      <c r="L89" s="1253"/>
      <c r="M89" s="1252">
        <f>SUM(M71:M88)</f>
        <v>73800</v>
      </c>
      <c r="N89" s="1252">
        <f>SUM(N71:N88)</f>
        <v>73800</v>
      </c>
      <c r="O89" s="1067"/>
    </row>
    <row r="90" spans="1:15">
      <c r="A90" s="1067" t="s">
        <v>1700</v>
      </c>
      <c r="B90" s="1067"/>
      <c r="C90" s="1067"/>
      <c r="D90" s="1067"/>
      <c r="E90" s="1067"/>
      <c r="F90" s="1067"/>
      <c r="G90" s="1224"/>
      <c r="H90" s="1224"/>
      <c r="I90" s="1067"/>
      <c r="J90" s="1067"/>
      <c r="K90" s="1067"/>
      <c r="L90" s="1067"/>
      <c r="M90" s="1067"/>
      <c r="N90" s="1067"/>
      <c r="O90" s="1067"/>
    </row>
  </sheetData>
  <mergeCells count="27">
    <mergeCell ref="A1:D1"/>
    <mergeCell ref="A2:C2"/>
    <mergeCell ref="A4:B4"/>
    <mergeCell ref="C4:D4"/>
    <mergeCell ref="E4:I4"/>
    <mergeCell ref="M4:M5"/>
    <mergeCell ref="N4:N5"/>
    <mergeCell ref="A25:B25"/>
    <mergeCell ref="C25:D25"/>
    <mergeCell ref="E25:I25"/>
    <mergeCell ref="J25:L25"/>
    <mergeCell ref="M25:M26"/>
    <mergeCell ref="N25:N26"/>
    <mergeCell ref="J4:L4"/>
    <mergeCell ref="N47:N48"/>
    <mergeCell ref="A67:D67"/>
    <mergeCell ref="A69:B69"/>
    <mergeCell ref="C69:D69"/>
    <mergeCell ref="E69:I69"/>
    <mergeCell ref="J69:L69"/>
    <mergeCell ref="M69:M70"/>
    <mergeCell ref="N69:N70"/>
    <mergeCell ref="A47:B47"/>
    <mergeCell ref="C47:D47"/>
    <mergeCell ref="E47:I47"/>
    <mergeCell ref="J47:L47"/>
    <mergeCell ref="M47:M4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2"/>
  <sheetViews>
    <sheetView topLeftCell="A7" workbookViewId="0">
      <selection activeCell="G15" sqref="G15"/>
    </sheetView>
  </sheetViews>
  <sheetFormatPr baseColWidth="10" defaultRowHeight="15"/>
  <cols>
    <col min="1" max="1" width="66.42578125" customWidth="1"/>
    <col min="2" max="2" width="15.7109375" customWidth="1"/>
    <col min="3" max="3" width="15" customWidth="1"/>
    <col min="4" max="4" width="14.42578125" customWidth="1"/>
  </cols>
  <sheetData>
    <row r="1" spans="1:5">
      <c r="A1" s="33" t="s">
        <v>265</v>
      </c>
      <c r="B1" s="34"/>
      <c r="C1" s="34"/>
      <c r="D1" s="34"/>
      <c r="E1" s="34"/>
    </row>
    <row r="2" spans="1:5">
      <c r="A2" s="35" t="s">
        <v>266</v>
      </c>
      <c r="B2" s="34"/>
      <c r="C2" s="34"/>
      <c r="D2" s="34"/>
      <c r="E2" s="34"/>
    </row>
    <row r="3" spans="1:5" ht="38.450000000000003" customHeight="1">
      <c r="A3" s="36" t="s">
        <v>267</v>
      </c>
      <c r="B3" s="37">
        <v>2019</v>
      </c>
      <c r="C3" s="37">
        <v>2020</v>
      </c>
      <c r="D3" s="37">
        <v>2021</v>
      </c>
      <c r="E3" s="38"/>
    </row>
    <row r="4" spans="1:5">
      <c r="A4" s="39" t="s">
        <v>268</v>
      </c>
      <c r="B4" s="40">
        <v>215891707</v>
      </c>
      <c r="C4" s="40">
        <v>266791899</v>
      </c>
      <c r="D4" s="40">
        <v>207409258</v>
      </c>
      <c r="E4" s="41"/>
    </row>
    <row r="5" spans="1:5">
      <c r="A5" s="39" t="s">
        <v>269</v>
      </c>
      <c r="B5" s="40">
        <v>369812386</v>
      </c>
      <c r="C5" s="40">
        <v>565656281</v>
      </c>
      <c r="D5" s="40">
        <v>537856189</v>
      </c>
      <c r="E5" s="41"/>
    </row>
    <row r="6" spans="1:5">
      <c r="A6" s="39" t="s">
        <v>270</v>
      </c>
      <c r="B6" s="40">
        <v>1008317046</v>
      </c>
      <c r="C6" s="40">
        <v>1028454073</v>
      </c>
      <c r="D6" s="40">
        <v>995156603</v>
      </c>
      <c r="E6" s="41"/>
    </row>
    <row r="7" spans="1:5">
      <c r="A7" s="42" t="s">
        <v>271</v>
      </c>
      <c r="B7" s="43">
        <f>SUM(B4:B6)</f>
        <v>1594021139</v>
      </c>
      <c r="C7" s="43">
        <f>SUM(C4:C6)</f>
        <v>1860902253</v>
      </c>
      <c r="D7" s="43">
        <f>SUM(D4:D6)</f>
        <v>1740422050</v>
      </c>
      <c r="E7" s="44"/>
    </row>
    <row r="8" spans="1:5">
      <c r="A8" s="34"/>
      <c r="B8" s="34"/>
      <c r="C8" s="34"/>
      <c r="D8" s="34"/>
      <c r="E8" s="34"/>
    </row>
    <row r="9" spans="1:5" ht="33" customHeight="1">
      <c r="A9" s="36" t="s">
        <v>272</v>
      </c>
      <c r="B9" s="37">
        <v>2019</v>
      </c>
      <c r="C9" s="37" t="s">
        <v>273</v>
      </c>
      <c r="D9" s="37" t="s">
        <v>274</v>
      </c>
      <c r="E9" s="38"/>
    </row>
    <row r="10" spans="1:5">
      <c r="A10" s="39" t="s">
        <v>268</v>
      </c>
      <c r="B10" s="40">
        <v>246525398</v>
      </c>
      <c r="C10" s="40">
        <v>238735726</v>
      </c>
      <c r="D10" s="40">
        <v>207409258</v>
      </c>
      <c r="E10" s="41"/>
    </row>
    <row r="11" spans="1:5">
      <c r="A11" s="39" t="s">
        <v>269</v>
      </c>
      <c r="B11" s="40">
        <v>519715696</v>
      </c>
      <c r="C11" s="40">
        <v>618255919</v>
      </c>
      <c r="D11" s="40">
        <v>537856189</v>
      </c>
      <c r="E11" s="41"/>
    </row>
    <row r="12" spans="1:5">
      <c r="A12" s="39" t="s">
        <v>270</v>
      </c>
      <c r="B12" s="40">
        <v>1353948653</v>
      </c>
      <c r="C12" s="40">
        <v>1428329100</v>
      </c>
      <c r="D12" s="40">
        <v>995156603</v>
      </c>
      <c r="E12" s="41"/>
    </row>
    <row r="13" spans="1:5">
      <c r="A13" s="42" t="s">
        <v>275</v>
      </c>
      <c r="B13" s="43">
        <f>SUM(B10:B12)</f>
        <v>2120189747</v>
      </c>
      <c r="C13" s="43">
        <f>SUM(C10:C12)</f>
        <v>2285320745</v>
      </c>
      <c r="D13" s="43">
        <f>SUM(D10:D12)</f>
        <v>1740422050</v>
      </c>
      <c r="E13" s="44"/>
    </row>
    <row r="14" spans="1:5">
      <c r="A14" s="34"/>
      <c r="B14" s="34"/>
      <c r="C14" s="34"/>
      <c r="D14" s="34"/>
      <c r="E14" s="34"/>
    </row>
    <row r="15" spans="1:5" ht="39" customHeight="1">
      <c r="A15" s="36" t="s">
        <v>276</v>
      </c>
      <c r="B15" s="37">
        <v>2019</v>
      </c>
      <c r="C15" s="37" t="s">
        <v>273</v>
      </c>
      <c r="D15" s="37" t="s">
        <v>274</v>
      </c>
      <c r="E15" s="38"/>
    </row>
    <row r="16" spans="1:5">
      <c r="A16" s="39" t="s">
        <v>268</v>
      </c>
      <c r="B16" s="40">
        <v>237484039</v>
      </c>
      <c r="C16" s="40">
        <v>238735726</v>
      </c>
      <c r="D16" s="40">
        <v>207409258</v>
      </c>
      <c r="E16" s="41"/>
    </row>
    <row r="17" spans="1:5">
      <c r="A17" s="39" t="s">
        <v>269</v>
      </c>
      <c r="B17" s="40">
        <v>511793158</v>
      </c>
      <c r="C17" s="40">
        <v>618255919</v>
      </c>
      <c r="D17" s="40">
        <v>537856189</v>
      </c>
      <c r="E17" s="41"/>
    </row>
    <row r="18" spans="1:5">
      <c r="A18" s="39" t="s">
        <v>270</v>
      </c>
      <c r="B18" s="40">
        <v>1333806501</v>
      </c>
      <c r="C18" s="40">
        <v>1428329100</v>
      </c>
      <c r="D18" s="40">
        <v>995156603</v>
      </c>
      <c r="E18" s="41"/>
    </row>
    <row r="19" spans="1:5">
      <c r="A19" s="42" t="s">
        <v>277</v>
      </c>
      <c r="B19" s="43">
        <f>SUM(B16:B18)</f>
        <v>2083083698</v>
      </c>
      <c r="C19" s="43">
        <f>SUM(C16:C18)</f>
        <v>2285320745</v>
      </c>
      <c r="D19" s="43">
        <f>SUM(D16:D18)</f>
        <v>1740422050</v>
      </c>
      <c r="E19" s="44"/>
    </row>
    <row r="20" spans="1:5">
      <c r="A20" s="45" t="s">
        <v>278</v>
      </c>
      <c r="B20" s="34"/>
      <c r="C20" s="34"/>
      <c r="D20" s="34"/>
      <c r="E20" s="34"/>
    </row>
    <row r="21" spans="1:5">
      <c r="A21" s="46" t="s">
        <v>279</v>
      </c>
      <c r="B21" s="34"/>
      <c r="C21" s="34"/>
      <c r="D21" s="34"/>
      <c r="E21" s="34"/>
    </row>
    <row r="22" spans="1:5">
      <c r="A22" s="34"/>
      <c r="B22" s="34"/>
      <c r="C22" s="34"/>
      <c r="D22" s="34"/>
      <c r="E22" s="3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6"/>
  <sheetViews>
    <sheetView topLeftCell="A37" workbookViewId="0">
      <selection activeCell="F70" sqref="F70"/>
    </sheetView>
  </sheetViews>
  <sheetFormatPr baseColWidth="10" defaultRowHeight="15"/>
  <cols>
    <col min="1" max="1" width="56.5703125" customWidth="1"/>
    <col min="2" max="2" width="15.28515625" customWidth="1"/>
    <col min="3" max="3" width="14.42578125" customWidth="1"/>
    <col min="4" max="4" width="15.42578125" customWidth="1"/>
  </cols>
  <sheetData>
    <row r="1" spans="1:5">
      <c r="A1" s="33" t="s">
        <v>280</v>
      </c>
      <c r="B1" s="34"/>
      <c r="C1" s="34"/>
      <c r="D1" s="34"/>
      <c r="E1" s="34"/>
    </row>
    <row r="2" spans="1:5">
      <c r="A2" s="35" t="s">
        <v>281</v>
      </c>
      <c r="B2" s="34"/>
      <c r="C2" s="34"/>
      <c r="D2" s="34"/>
      <c r="E2" s="34"/>
    </row>
    <row r="3" spans="1:5">
      <c r="A3" s="47" t="s">
        <v>282</v>
      </c>
      <c r="B3" s="34"/>
      <c r="C3" s="34"/>
      <c r="D3" s="34"/>
      <c r="E3" s="34"/>
    </row>
    <row r="4" spans="1:5" ht="47.45" customHeight="1">
      <c r="A4" s="36" t="s">
        <v>283</v>
      </c>
      <c r="B4" s="37">
        <v>2019</v>
      </c>
      <c r="C4" s="37">
        <v>2020</v>
      </c>
      <c r="D4" s="37">
        <v>2021</v>
      </c>
      <c r="E4" s="38"/>
    </row>
    <row r="5" spans="1:5">
      <c r="A5" s="48" t="s">
        <v>284</v>
      </c>
      <c r="B5" s="49">
        <f>SUM(B6:B11)</f>
        <v>8375784</v>
      </c>
      <c r="C5" s="49">
        <f>SUM(C6:C11)</f>
        <v>27251965</v>
      </c>
      <c r="D5" s="49">
        <f>SUM(D6:D11)</f>
        <v>28799747</v>
      </c>
      <c r="E5" s="41"/>
    </row>
    <row r="6" spans="1:5">
      <c r="A6" s="50" t="s">
        <v>285</v>
      </c>
      <c r="B6" s="40"/>
      <c r="C6" s="40"/>
      <c r="D6" s="40"/>
      <c r="E6" s="41"/>
    </row>
    <row r="7" spans="1:5">
      <c r="A7" s="50" t="s">
        <v>286</v>
      </c>
      <c r="B7" s="40">
        <v>0</v>
      </c>
      <c r="C7" s="40"/>
      <c r="D7" s="40"/>
      <c r="E7" s="41"/>
    </row>
    <row r="8" spans="1:5">
      <c r="A8" s="50" t="s">
        <v>287</v>
      </c>
      <c r="B8" s="40">
        <v>0</v>
      </c>
      <c r="C8" s="40"/>
      <c r="D8" s="40"/>
      <c r="E8" s="41"/>
    </row>
    <row r="9" spans="1:5">
      <c r="A9" s="50" t="s">
        <v>288</v>
      </c>
      <c r="B9" s="40">
        <v>3319905</v>
      </c>
      <c r="C9" s="40">
        <v>16611905</v>
      </c>
      <c r="D9" s="40">
        <v>28799747</v>
      </c>
      <c r="E9" s="41"/>
    </row>
    <row r="10" spans="1:5">
      <c r="A10" s="50" t="s">
        <v>289</v>
      </c>
      <c r="B10" s="40"/>
      <c r="C10" s="40"/>
      <c r="D10" s="40"/>
      <c r="E10" s="41"/>
    </row>
    <row r="11" spans="1:5">
      <c r="A11" s="50" t="s">
        <v>290</v>
      </c>
      <c r="B11" s="40">
        <v>5055879</v>
      </c>
      <c r="C11" s="40">
        <v>10640060</v>
      </c>
      <c r="D11" s="40"/>
      <c r="E11" s="41"/>
    </row>
    <row r="12" spans="1:5">
      <c r="A12" s="48" t="s">
        <v>291</v>
      </c>
      <c r="B12" s="49">
        <f>SUM(B13:B16)</f>
        <v>87313922</v>
      </c>
      <c r="C12" s="49">
        <f>SUM(C13:C16)</f>
        <v>390774674</v>
      </c>
      <c r="D12" s="49">
        <f>SUM(D13:D16)</f>
        <v>433115582</v>
      </c>
      <c r="E12" s="41"/>
    </row>
    <row r="13" spans="1:5">
      <c r="A13" s="50" t="s">
        <v>292</v>
      </c>
      <c r="B13" s="40"/>
      <c r="C13" s="40"/>
      <c r="D13" s="40"/>
      <c r="E13" s="41"/>
    </row>
    <row r="14" spans="1:5">
      <c r="A14" s="50" t="s">
        <v>293</v>
      </c>
      <c r="B14" s="40"/>
      <c r="C14" s="40"/>
      <c r="D14" s="40">
        <v>5190163</v>
      </c>
      <c r="E14" s="41"/>
    </row>
    <row r="15" spans="1:5">
      <c r="A15" s="50" t="s">
        <v>294</v>
      </c>
      <c r="B15" s="40">
        <v>83916690</v>
      </c>
      <c r="C15" s="40">
        <v>390774674</v>
      </c>
      <c r="D15" s="40">
        <v>427925419</v>
      </c>
      <c r="E15" s="41"/>
    </row>
    <row r="16" spans="1:5">
      <c r="A16" s="50" t="s">
        <v>295</v>
      </c>
      <c r="B16" s="40">
        <v>3397232</v>
      </c>
      <c r="C16" s="40">
        <v>0</v>
      </c>
      <c r="D16" s="40"/>
      <c r="E16" s="41"/>
    </row>
    <row r="17" spans="1:5">
      <c r="A17" s="48" t="s">
        <v>296</v>
      </c>
      <c r="B17" s="49">
        <f>SUM(B18)</f>
        <v>26219447</v>
      </c>
      <c r="C17" s="49">
        <f>SUM(C18)</f>
        <v>24424700</v>
      </c>
      <c r="D17" s="49">
        <f>SUM(D18)</f>
        <v>37546447</v>
      </c>
      <c r="E17" s="41"/>
    </row>
    <row r="18" spans="1:5">
      <c r="A18" s="50" t="s">
        <v>297</v>
      </c>
      <c r="B18" s="40">
        <v>26219447</v>
      </c>
      <c r="C18" s="40">
        <v>24424700</v>
      </c>
      <c r="D18" s="40">
        <v>37546447</v>
      </c>
      <c r="E18" s="41"/>
    </row>
    <row r="19" spans="1:5">
      <c r="A19" s="42" t="s">
        <v>271</v>
      </c>
      <c r="B19" s="43">
        <f>+B5+B12+B17</f>
        <v>121909153</v>
      </c>
      <c r="C19" s="43">
        <f>+C5+C12+C17</f>
        <v>442451339</v>
      </c>
      <c r="D19" s="43">
        <f>+D5+D12+D17</f>
        <v>499461776</v>
      </c>
      <c r="E19" s="44"/>
    </row>
    <row r="20" spans="1:5">
      <c r="A20" s="34"/>
      <c r="B20" s="34"/>
      <c r="C20" s="34"/>
      <c r="D20" s="34"/>
      <c r="E20" s="34"/>
    </row>
    <row r="21" spans="1:5" ht="50.45" customHeight="1">
      <c r="A21" s="36" t="s">
        <v>298</v>
      </c>
      <c r="B21" s="37">
        <v>2019</v>
      </c>
      <c r="C21" s="37">
        <v>2020</v>
      </c>
      <c r="D21" s="37">
        <v>2021</v>
      </c>
      <c r="E21" s="38"/>
    </row>
    <row r="22" spans="1:5">
      <c r="A22" s="48" t="s">
        <v>284</v>
      </c>
      <c r="B22" s="49">
        <f>SUM(B23:B28)</f>
        <v>22738105</v>
      </c>
      <c r="C22" s="49">
        <f>SUM(C23:C28)</f>
        <v>24845740</v>
      </c>
      <c r="D22" s="48"/>
      <c r="E22" s="41"/>
    </row>
    <row r="23" spans="1:5">
      <c r="A23" s="50" t="s">
        <v>285</v>
      </c>
      <c r="B23" s="40"/>
      <c r="C23" s="40"/>
      <c r="D23" s="40"/>
      <c r="E23" s="41"/>
    </row>
    <row r="24" spans="1:5">
      <c r="A24" s="50" t="s">
        <v>286</v>
      </c>
      <c r="B24" s="40"/>
      <c r="C24" s="40"/>
      <c r="D24" s="40"/>
      <c r="E24" s="41"/>
    </row>
    <row r="25" spans="1:5">
      <c r="A25" s="50" t="s">
        <v>287</v>
      </c>
      <c r="B25" s="40">
        <v>200000</v>
      </c>
      <c r="C25" s="40"/>
      <c r="D25" s="40"/>
      <c r="E25" s="41"/>
    </row>
    <row r="26" spans="1:5">
      <c r="A26" s="50" t="s">
        <v>288</v>
      </c>
      <c r="B26" s="40">
        <v>16732048</v>
      </c>
      <c r="C26" s="40">
        <v>16679908</v>
      </c>
      <c r="D26" s="40"/>
      <c r="E26" s="41"/>
    </row>
    <row r="27" spans="1:5">
      <c r="A27" s="50" t="s">
        <v>289</v>
      </c>
      <c r="B27" s="40"/>
      <c r="C27" s="40"/>
      <c r="D27" s="40"/>
      <c r="E27" s="41"/>
    </row>
    <row r="28" spans="1:5">
      <c r="A28" s="50" t="s">
        <v>290</v>
      </c>
      <c r="B28" s="40">
        <v>5806057</v>
      </c>
      <c r="C28" s="40">
        <v>8165832</v>
      </c>
      <c r="D28" s="40"/>
      <c r="E28" s="41"/>
    </row>
    <row r="29" spans="1:5">
      <c r="A29" s="48" t="s">
        <v>291</v>
      </c>
      <c r="B29" s="49">
        <f>SUM(B30:B33)</f>
        <v>186312711</v>
      </c>
      <c r="C29" s="49">
        <f>SUM(C30:C33)</f>
        <v>517842753</v>
      </c>
      <c r="D29" s="49"/>
      <c r="E29" s="41"/>
    </row>
    <row r="30" spans="1:5">
      <c r="A30" s="50" t="s">
        <v>292</v>
      </c>
      <c r="B30" s="40"/>
      <c r="C30" s="40"/>
      <c r="D30" s="40"/>
      <c r="E30" s="41"/>
    </row>
    <row r="31" spans="1:5">
      <c r="A31" s="50" t="s">
        <v>293</v>
      </c>
      <c r="B31" s="40"/>
      <c r="C31" s="40"/>
      <c r="D31" s="40"/>
      <c r="E31" s="41"/>
    </row>
    <row r="32" spans="1:5">
      <c r="A32" s="50" t="s">
        <v>294</v>
      </c>
      <c r="B32" s="40">
        <v>184518511</v>
      </c>
      <c r="C32" s="40">
        <v>514868525</v>
      </c>
      <c r="D32" s="40"/>
      <c r="E32" s="41"/>
    </row>
    <row r="33" spans="1:5">
      <c r="A33" s="50" t="s">
        <v>295</v>
      </c>
      <c r="B33" s="39">
        <v>1794200</v>
      </c>
      <c r="C33" s="39">
        <v>2974228</v>
      </c>
      <c r="D33" s="39"/>
      <c r="E33" s="41"/>
    </row>
    <row r="34" spans="1:5">
      <c r="A34" s="48" t="s">
        <v>296</v>
      </c>
      <c r="B34" s="48">
        <f>SUM(B35)</f>
        <v>49240904</v>
      </c>
      <c r="C34" s="48">
        <f>SUM(C35)</f>
        <v>24424700</v>
      </c>
      <c r="D34" s="48"/>
      <c r="E34" s="41"/>
    </row>
    <row r="35" spans="1:5">
      <c r="A35" s="50" t="s">
        <v>297</v>
      </c>
      <c r="B35" s="39">
        <v>49240904</v>
      </c>
      <c r="C35" s="39">
        <v>24424700</v>
      </c>
      <c r="D35" s="39"/>
      <c r="E35" s="41"/>
    </row>
    <row r="36" spans="1:5">
      <c r="A36" s="42" t="s">
        <v>275</v>
      </c>
      <c r="B36" s="43">
        <f>+B22+B29+B34</f>
        <v>258291720</v>
      </c>
      <c r="C36" s="43">
        <f>+C22+C29+C34</f>
        <v>567113193</v>
      </c>
      <c r="D36" s="51"/>
      <c r="E36" s="44"/>
    </row>
    <row r="37" spans="1:5">
      <c r="A37" s="34"/>
      <c r="B37" s="34"/>
      <c r="C37" s="34"/>
      <c r="D37" s="34"/>
      <c r="E37" s="34"/>
    </row>
    <row r="38" spans="1:5" ht="56.45" customHeight="1">
      <c r="A38" s="36" t="s">
        <v>299</v>
      </c>
      <c r="B38" s="37">
        <v>2019</v>
      </c>
      <c r="C38" s="37">
        <v>2020</v>
      </c>
      <c r="D38" s="37">
        <v>2021</v>
      </c>
      <c r="E38" s="38"/>
    </row>
    <row r="39" spans="1:5">
      <c r="A39" s="48" t="s">
        <v>284</v>
      </c>
      <c r="B39" s="49">
        <f>SUM(B40:B45)</f>
        <v>19673577</v>
      </c>
      <c r="C39" s="49">
        <f>SUM(C40:C45)</f>
        <v>24845740</v>
      </c>
      <c r="D39" s="48"/>
      <c r="E39" s="41"/>
    </row>
    <row r="40" spans="1:5">
      <c r="A40" s="50" t="s">
        <v>285</v>
      </c>
      <c r="B40" s="40"/>
      <c r="C40" s="40"/>
      <c r="D40" s="40"/>
      <c r="E40" s="41"/>
    </row>
    <row r="41" spans="1:5">
      <c r="A41" s="50" t="s">
        <v>286</v>
      </c>
      <c r="B41" s="40"/>
      <c r="C41" s="40"/>
      <c r="D41" s="40"/>
      <c r="E41" s="41"/>
    </row>
    <row r="42" spans="1:5">
      <c r="A42" s="50" t="s">
        <v>287</v>
      </c>
      <c r="B42" s="40">
        <v>200000</v>
      </c>
      <c r="C42" s="40"/>
      <c r="D42" s="40"/>
      <c r="E42" s="41"/>
    </row>
    <row r="43" spans="1:5">
      <c r="A43" s="50" t="s">
        <v>288</v>
      </c>
      <c r="B43" s="40">
        <v>13755307</v>
      </c>
      <c r="C43" s="40">
        <v>16679908</v>
      </c>
      <c r="D43" s="40"/>
      <c r="E43" s="41"/>
    </row>
    <row r="44" spans="1:5">
      <c r="A44" s="50" t="s">
        <v>289</v>
      </c>
      <c r="B44" s="40"/>
      <c r="C44" s="40"/>
      <c r="D44" s="40"/>
      <c r="E44" s="41"/>
    </row>
    <row r="45" spans="1:5">
      <c r="A45" s="50" t="s">
        <v>290</v>
      </c>
      <c r="B45" s="40">
        <v>5718270</v>
      </c>
      <c r="C45" s="40">
        <v>8165832</v>
      </c>
      <c r="D45" s="40"/>
      <c r="E45" s="41"/>
    </row>
    <row r="46" spans="1:5">
      <c r="A46" s="48" t="s">
        <v>291</v>
      </c>
      <c r="B46" s="49">
        <f>SUM(B47:B50)</f>
        <v>182035084</v>
      </c>
      <c r="C46" s="49">
        <f>SUM(C47:C50)</f>
        <v>517842753</v>
      </c>
      <c r="D46" s="48"/>
      <c r="E46" s="41"/>
    </row>
    <row r="47" spans="1:5">
      <c r="A47" s="50" t="s">
        <v>292</v>
      </c>
      <c r="B47" s="40"/>
      <c r="C47" s="40"/>
      <c r="D47" s="40"/>
      <c r="E47" s="41"/>
    </row>
    <row r="48" spans="1:5">
      <c r="A48" s="50" t="s">
        <v>293</v>
      </c>
      <c r="B48" s="40"/>
      <c r="C48" s="40"/>
      <c r="D48" s="40"/>
      <c r="E48" s="41"/>
    </row>
    <row r="49" spans="1:5">
      <c r="A49" s="50" t="s">
        <v>294</v>
      </c>
      <c r="B49" s="40">
        <v>180240884</v>
      </c>
      <c r="C49" s="40">
        <v>514868525</v>
      </c>
      <c r="D49" s="40"/>
      <c r="E49" s="41"/>
    </row>
    <row r="50" spans="1:5">
      <c r="A50" s="50" t="s">
        <v>295</v>
      </c>
      <c r="B50" s="40">
        <v>1794200</v>
      </c>
      <c r="C50" s="40">
        <v>2974228</v>
      </c>
      <c r="D50" s="40"/>
      <c r="E50" s="41"/>
    </row>
    <row r="51" spans="1:5">
      <c r="A51" s="48" t="s">
        <v>296</v>
      </c>
      <c r="B51" s="48">
        <f>SUM(B52)</f>
        <v>48876641</v>
      </c>
      <c r="C51" s="48">
        <f>SUM(C52)</f>
        <v>24424700</v>
      </c>
      <c r="D51" s="48"/>
      <c r="E51" s="41"/>
    </row>
    <row r="52" spans="1:5">
      <c r="A52" s="50" t="s">
        <v>297</v>
      </c>
      <c r="B52" s="39">
        <v>48876641</v>
      </c>
      <c r="C52" s="39">
        <v>24424700</v>
      </c>
      <c r="D52" s="39"/>
      <c r="E52" s="41"/>
    </row>
    <row r="53" spans="1:5">
      <c r="A53" s="52" t="s">
        <v>277</v>
      </c>
      <c r="B53" s="43">
        <f>+B39+B46+B51</f>
        <v>250585302</v>
      </c>
      <c r="C53" s="43">
        <f>+C39+C46+C51</f>
        <v>567113193</v>
      </c>
      <c r="D53" s="51"/>
      <c r="E53" s="44"/>
    </row>
    <row r="54" spans="1:5">
      <c r="A54" s="45" t="s">
        <v>278</v>
      </c>
      <c r="B54" s="34"/>
      <c r="C54" s="34"/>
      <c r="D54" s="34"/>
      <c r="E54" s="34"/>
    </row>
    <row r="55" spans="1:5">
      <c r="A55" s="46" t="s">
        <v>279</v>
      </c>
      <c r="B55" s="34"/>
      <c r="C55" s="34"/>
      <c r="D55" s="34"/>
      <c r="E55" s="34"/>
    </row>
    <row r="56" spans="1:5">
      <c r="A56" s="34"/>
      <c r="B56" s="34"/>
      <c r="C56" s="34"/>
      <c r="D56" s="34"/>
      <c r="E56" s="3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22"/>
  <sheetViews>
    <sheetView topLeftCell="A25" workbookViewId="0">
      <selection activeCell="A96" sqref="A96:C96"/>
    </sheetView>
  </sheetViews>
  <sheetFormatPr baseColWidth="10" defaultRowHeight="15"/>
  <cols>
    <col min="2" max="2" width="14.85546875" customWidth="1"/>
  </cols>
  <sheetData>
    <row r="1" spans="1:18">
      <c r="A1" s="33" t="s">
        <v>300</v>
      </c>
      <c r="B1" s="33"/>
      <c r="C1" s="53"/>
      <c r="D1" s="53"/>
      <c r="E1" s="53"/>
      <c r="F1" s="53"/>
      <c r="G1" s="53"/>
      <c r="H1" s="54"/>
      <c r="I1" s="54"/>
      <c r="J1" s="54"/>
      <c r="K1" s="54"/>
      <c r="L1" s="54"/>
      <c r="M1" s="54"/>
      <c r="N1" s="54"/>
      <c r="O1" s="54"/>
      <c r="P1" s="54"/>
      <c r="Q1" s="54"/>
      <c r="R1" s="54"/>
    </row>
    <row r="2" spans="1:18">
      <c r="A2" s="33" t="s">
        <v>301</v>
      </c>
      <c r="B2" s="35"/>
      <c r="C2" s="53"/>
      <c r="D2" s="53"/>
      <c r="E2" s="53"/>
      <c r="F2" s="53"/>
      <c r="G2" s="53"/>
      <c r="H2" s="54"/>
      <c r="I2" s="54"/>
      <c r="J2" s="54"/>
      <c r="K2" s="54"/>
      <c r="L2" s="54"/>
      <c r="M2" s="54"/>
      <c r="N2" s="54"/>
      <c r="O2" s="54"/>
      <c r="P2" s="54"/>
      <c r="Q2" s="54"/>
      <c r="R2" s="54"/>
    </row>
    <row r="3" spans="1:18" ht="15.75" thickBot="1">
      <c r="A3" s="1283" t="s">
        <v>302</v>
      </c>
      <c r="B3" s="1283"/>
      <c r="C3" s="35"/>
      <c r="D3" s="35"/>
      <c r="E3" s="35"/>
      <c r="F3" s="35"/>
      <c r="G3" s="35"/>
      <c r="H3" s="35"/>
      <c r="I3" s="35"/>
      <c r="J3" s="35"/>
      <c r="K3" s="35"/>
      <c r="L3" s="35"/>
      <c r="M3" s="35"/>
      <c r="N3" s="35"/>
      <c r="O3" s="35"/>
      <c r="P3" s="35"/>
      <c r="Q3" s="35"/>
      <c r="R3" s="35"/>
    </row>
    <row r="4" spans="1:18" ht="15.75" thickBot="1">
      <c r="A4" s="1279" t="s">
        <v>303</v>
      </c>
      <c r="B4" s="1279" t="s">
        <v>304</v>
      </c>
      <c r="C4" s="1277" t="s">
        <v>284</v>
      </c>
      <c r="D4" s="1281"/>
      <c r="E4" s="1281"/>
      <c r="F4" s="1281"/>
      <c r="G4" s="1281"/>
      <c r="H4" s="1281"/>
      <c r="I4" s="1278"/>
      <c r="J4" s="1277" t="s">
        <v>291</v>
      </c>
      <c r="K4" s="1281"/>
      <c r="L4" s="1281"/>
      <c r="M4" s="1281"/>
      <c r="N4" s="1278"/>
      <c r="O4" s="1277" t="s">
        <v>296</v>
      </c>
      <c r="P4" s="1278"/>
      <c r="Q4" s="1277" t="s">
        <v>0</v>
      </c>
      <c r="R4" s="1278"/>
    </row>
    <row r="5" spans="1:18" ht="71.25" thickBot="1">
      <c r="A5" s="1280"/>
      <c r="B5" s="1280"/>
      <c r="C5" s="55" t="s">
        <v>285</v>
      </c>
      <c r="D5" s="56" t="s">
        <v>286</v>
      </c>
      <c r="E5" s="56" t="s">
        <v>287</v>
      </c>
      <c r="F5" s="56" t="s">
        <v>288</v>
      </c>
      <c r="G5" s="56" t="s">
        <v>305</v>
      </c>
      <c r="H5" s="56" t="s">
        <v>306</v>
      </c>
      <c r="I5" s="57" t="s">
        <v>307</v>
      </c>
      <c r="J5" s="55" t="s">
        <v>308</v>
      </c>
      <c r="K5" s="56" t="s">
        <v>309</v>
      </c>
      <c r="L5" s="56" t="s">
        <v>294</v>
      </c>
      <c r="M5" s="56" t="s">
        <v>295</v>
      </c>
      <c r="N5" s="57" t="s">
        <v>310</v>
      </c>
      <c r="O5" s="55" t="s">
        <v>297</v>
      </c>
      <c r="P5" s="57" t="s">
        <v>311</v>
      </c>
      <c r="Q5" s="58" t="s">
        <v>312</v>
      </c>
      <c r="R5" s="59" t="s">
        <v>313</v>
      </c>
    </row>
    <row r="6" spans="1:18">
      <c r="A6" s="60" t="s">
        <v>314</v>
      </c>
      <c r="B6" s="61" t="s">
        <v>315</v>
      </c>
      <c r="C6" s="62"/>
      <c r="D6" s="63">
        <v>25161999</v>
      </c>
      <c r="E6" s="63">
        <v>3926610</v>
      </c>
      <c r="F6" s="63">
        <v>22904099</v>
      </c>
      <c r="G6" s="63"/>
      <c r="H6" s="63">
        <v>3648133</v>
      </c>
      <c r="I6" s="64">
        <f t="shared" ref="I6:I14" si="0">SUM(C6:H6)</f>
        <v>55640841</v>
      </c>
      <c r="J6" s="62"/>
      <c r="K6" s="65"/>
      <c r="L6" s="63">
        <v>12852237</v>
      </c>
      <c r="M6" s="65"/>
      <c r="N6" s="64">
        <f>SUM(J6:M6)</f>
        <v>12852237</v>
      </c>
      <c r="O6" s="62"/>
      <c r="P6" s="64">
        <v>0</v>
      </c>
      <c r="Q6" s="62">
        <f>+I6+L6+P6</f>
        <v>68493078</v>
      </c>
      <c r="R6" s="66">
        <f>(Q6/Q28)*100</f>
        <v>5.5777231653450814</v>
      </c>
    </row>
    <row r="7" spans="1:18">
      <c r="A7" s="67"/>
      <c r="B7" s="67" t="s">
        <v>316</v>
      </c>
      <c r="C7" s="68"/>
      <c r="D7" s="69">
        <v>802986</v>
      </c>
      <c r="E7" s="69">
        <v>85945</v>
      </c>
      <c r="F7" s="69">
        <v>2542338</v>
      </c>
      <c r="G7" s="69"/>
      <c r="H7" s="69"/>
      <c r="I7" s="70">
        <f t="shared" si="0"/>
        <v>3431269</v>
      </c>
      <c r="J7" s="68"/>
      <c r="K7" s="71"/>
      <c r="L7" s="71"/>
      <c r="M7" s="71"/>
      <c r="N7" s="70"/>
      <c r="O7" s="68"/>
      <c r="P7" s="70"/>
      <c r="Q7" s="68">
        <f t="shared" ref="Q7:Q27" si="1">+I7+N6:N7+P7</f>
        <v>3431269</v>
      </c>
      <c r="R7" s="66">
        <f>(Q7/Q28)*100</f>
        <v>0.27942485790798377</v>
      </c>
    </row>
    <row r="8" spans="1:18">
      <c r="A8" s="67"/>
      <c r="B8" s="67" t="s">
        <v>317</v>
      </c>
      <c r="C8" s="72"/>
      <c r="D8" s="73">
        <v>471931</v>
      </c>
      <c r="E8" s="73">
        <v>19138</v>
      </c>
      <c r="F8" s="73">
        <v>2329788</v>
      </c>
      <c r="G8" s="73"/>
      <c r="H8" s="73"/>
      <c r="I8" s="70">
        <f t="shared" si="0"/>
        <v>2820857</v>
      </c>
      <c r="J8" s="72"/>
      <c r="K8" s="74"/>
      <c r="L8" s="74"/>
      <c r="M8" s="74"/>
      <c r="N8" s="75"/>
      <c r="O8" s="72"/>
      <c r="P8" s="76"/>
      <c r="Q8" s="68">
        <f t="shared" si="1"/>
        <v>2820857</v>
      </c>
      <c r="R8" s="66">
        <f>(Q8/Q28)*100</f>
        <v>0.22971605152605098</v>
      </c>
    </row>
    <row r="9" spans="1:18" ht="75.599999999999994" customHeight="1">
      <c r="A9" s="67"/>
      <c r="B9" s="77" t="s">
        <v>318</v>
      </c>
      <c r="C9" s="72"/>
      <c r="D9" s="74"/>
      <c r="E9" s="73"/>
      <c r="F9" s="73"/>
      <c r="G9" s="73"/>
      <c r="H9" s="73"/>
      <c r="I9" s="70">
        <f t="shared" si="0"/>
        <v>0</v>
      </c>
      <c r="J9" s="72"/>
      <c r="K9" s="74"/>
      <c r="L9" s="73">
        <v>1500000</v>
      </c>
      <c r="M9" s="74"/>
      <c r="N9" s="75">
        <f>SUM(J9:M9)</f>
        <v>1500000</v>
      </c>
      <c r="O9" s="72"/>
      <c r="P9" s="76"/>
      <c r="Q9" s="68">
        <f t="shared" si="1"/>
        <v>1500000</v>
      </c>
      <c r="R9" s="78">
        <f>(Q9/Q28)*100</f>
        <v>0.12215226694904298</v>
      </c>
    </row>
    <row r="10" spans="1:18">
      <c r="A10" s="67"/>
      <c r="B10" s="67" t="s">
        <v>319</v>
      </c>
      <c r="C10" s="68"/>
      <c r="D10" s="69">
        <v>2178028</v>
      </c>
      <c r="E10" s="69">
        <v>1937023</v>
      </c>
      <c r="F10" s="69">
        <v>2779739</v>
      </c>
      <c r="G10" s="69"/>
      <c r="H10" s="69"/>
      <c r="I10" s="70">
        <f t="shared" si="0"/>
        <v>6894790</v>
      </c>
      <c r="J10" s="68"/>
      <c r="K10" s="71"/>
      <c r="L10" s="71"/>
      <c r="M10" s="71"/>
      <c r="N10" s="70"/>
      <c r="O10" s="68"/>
      <c r="P10" s="70"/>
      <c r="Q10" s="68">
        <f t="shared" si="1"/>
        <v>6894790</v>
      </c>
      <c r="R10" s="79">
        <f>(Q10/Q28)*100</f>
        <v>0.56147615242506133</v>
      </c>
    </row>
    <row r="11" spans="1:18">
      <c r="A11" s="67"/>
      <c r="B11" s="67" t="s">
        <v>320</v>
      </c>
      <c r="C11" s="80"/>
      <c r="D11" s="69">
        <v>1558432</v>
      </c>
      <c r="E11" s="69">
        <v>599533</v>
      </c>
      <c r="F11" s="69">
        <v>3249146</v>
      </c>
      <c r="G11" s="69"/>
      <c r="H11" s="69"/>
      <c r="I11" s="70">
        <f t="shared" si="0"/>
        <v>5407111</v>
      </c>
      <c r="J11" s="80"/>
      <c r="K11" s="69"/>
      <c r="L11" s="69"/>
      <c r="M11" s="69"/>
      <c r="N11" s="81"/>
      <c r="O11" s="80"/>
      <c r="P11" s="81"/>
      <c r="Q11" s="68">
        <f t="shared" si="1"/>
        <v>5407111</v>
      </c>
      <c r="R11" s="82">
        <f>(Q11/Q28)*100</f>
        <v>0.44032724419673774</v>
      </c>
    </row>
    <row r="12" spans="1:18">
      <c r="A12" s="67"/>
      <c r="B12" s="67" t="s">
        <v>321</v>
      </c>
      <c r="C12" s="80"/>
      <c r="D12" s="69">
        <v>337024516</v>
      </c>
      <c r="E12" s="69">
        <v>37750808</v>
      </c>
      <c r="F12" s="69">
        <v>9080456</v>
      </c>
      <c r="G12" s="69"/>
      <c r="H12" s="69"/>
      <c r="I12" s="70">
        <f t="shared" si="0"/>
        <v>383855780</v>
      </c>
      <c r="J12" s="80"/>
      <c r="K12" s="69"/>
      <c r="L12" s="69"/>
      <c r="M12" s="69"/>
      <c r="N12" s="81"/>
      <c r="O12" s="80"/>
      <c r="P12" s="81"/>
      <c r="Q12" s="68">
        <f t="shared" si="1"/>
        <v>383855780</v>
      </c>
      <c r="R12" s="82">
        <f>(Q12/Q28)*100</f>
        <v>31.259235805662072</v>
      </c>
    </row>
    <row r="13" spans="1:18">
      <c r="A13" s="83"/>
      <c r="B13" s="83" t="s">
        <v>322</v>
      </c>
      <c r="C13" s="84"/>
      <c r="D13" s="85">
        <v>98708960</v>
      </c>
      <c r="E13" s="85">
        <v>6506819</v>
      </c>
      <c r="F13" s="85">
        <v>3790216</v>
      </c>
      <c r="G13" s="85"/>
      <c r="H13" s="85"/>
      <c r="I13" s="86">
        <f t="shared" si="0"/>
        <v>109005995</v>
      </c>
      <c r="J13" s="84"/>
      <c r="K13" s="85"/>
      <c r="L13" s="85"/>
      <c r="M13" s="85"/>
      <c r="N13" s="87"/>
      <c r="O13" s="84"/>
      <c r="P13" s="87"/>
      <c r="Q13" s="68">
        <f t="shared" si="1"/>
        <v>109005995</v>
      </c>
      <c r="R13" s="88">
        <f>(Q13/Q28)*100</f>
        <v>8.8768862668573618</v>
      </c>
    </row>
    <row r="14" spans="1:18">
      <c r="A14" s="83"/>
      <c r="B14" s="83" t="s">
        <v>323</v>
      </c>
      <c r="C14" s="84"/>
      <c r="D14" s="85">
        <v>63019642</v>
      </c>
      <c r="E14" s="85">
        <v>2407688</v>
      </c>
      <c r="F14" s="85">
        <v>2375651</v>
      </c>
      <c r="G14" s="85"/>
      <c r="H14" s="85"/>
      <c r="I14" s="86">
        <f t="shared" si="0"/>
        <v>67802981</v>
      </c>
      <c r="J14" s="84"/>
      <c r="K14" s="85"/>
      <c r="L14" s="85"/>
      <c r="M14" s="85"/>
      <c r="N14" s="87"/>
      <c r="O14" s="84"/>
      <c r="P14" s="87"/>
      <c r="Q14" s="68">
        <f t="shared" si="1"/>
        <v>67802981</v>
      </c>
      <c r="R14" s="88">
        <f>(Q14/Q28)*100</f>
        <v>5.5215252233685925</v>
      </c>
    </row>
    <row r="15" spans="1:18">
      <c r="A15" s="83"/>
      <c r="B15" s="83" t="s">
        <v>324</v>
      </c>
      <c r="C15" s="84"/>
      <c r="D15" s="85">
        <v>45240281</v>
      </c>
      <c r="E15" s="85">
        <v>999698</v>
      </c>
      <c r="F15" s="85">
        <v>3003201</v>
      </c>
      <c r="G15" s="85"/>
      <c r="H15" s="85"/>
      <c r="I15" s="86">
        <f t="shared" ref="I15:I27" si="2">SUM(C15:H15)</f>
        <v>49243180</v>
      </c>
      <c r="J15" s="84"/>
      <c r="K15" s="85"/>
      <c r="L15" s="85"/>
      <c r="M15" s="85"/>
      <c r="N15" s="87"/>
      <c r="O15" s="84"/>
      <c r="P15" s="87"/>
      <c r="Q15" s="68">
        <f t="shared" si="1"/>
        <v>49243180</v>
      </c>
      <c r="R15" s="88">
        <f>(Q15/Q28)*100</f>
        <v>4.0101107125198494</v>
      </c>
    </row>
    <row r="16" spans="1:18">
      <c r="A16" s="83"/>
      <c r="B16" s="83" t="s">
        <v>325</v>
      </c>
      <c r="C16" s="84"/>
      <c r="D16" s="85">
        <v>64587187</v>
      </c>
      <c r="E16" s="85">
        <v>2742742</v>
      </c>
      <c r="F16" s="85">
        <v>1986637</v>
      </c>
      <c r="G16" s="85"/>
      <c r="H16" s="85"/>
      <c r="I16" s="86">
        <f t="shared" si="2"/>
        <v>69316566</v>
      </c>
      <c r="J16" s="84"/>
      <c r="K16" s="85"/>
      <c r="L16" s="85"/>
      <c r="M16" s="85"/>
      <c r="N16" s="87"/>
      <c r="O16" s="84"/>
      <c r="P16" s="87"/>
      <c r="Q16" s="68">
        <f t="shared" si="1"/>
        <v>69316566</v>
      </c>
      <c r="R16" s="88">
        <f>(Q16/Q28)*100</f>
        <v>5.6447837826819702</v>
      </c>
    </row>
    <row r="17" spans="1:18">
      <c r="A17" s="83"/>
      <c r="B17" s="83" t="s">
        <v>326</v>
      </c>
      <c r="C17" s="84"/>
      <c r="D17" s="85">
        <v>71287044</v>
      </c>
      <c r="E17" s="85">
        <v>1552199</v>
      </c>
      <c r="F17" s="85">
        <v>983475</v>
      </c>
      <c r="G17" s="85"/>
      <c r="H17" s="85"/>
      <c r="I17" s="86">
        <f t="shared" si="2"/>
        <v>73822718</v>
      </c>
      <c r="J17" s="84"/>
      <c r="K17" s="85"/>
      <c r="L17" s="85"/>
      <c r="M17" s="85"/>
      <c r="N17" s="87"/>
      <c r="O17" s="84"/>
      <c r="P17" s="87"/>
      <c r="Q17" s="68">
        <f t="shared" si="1"/>
        <v>73822718</v>
      </c>
      <c r="R17" s="88">
        <f>(Q17/Q28)*100</f>
        <v>6.01174157069328</v>
      </c>
    </row>
    <row r="18" spans="1:18">
      <c r="A18" s="83"/>
      <c r="B18" s="83" t="s">
        <v>327</v>
      </c>
      <c r="C18" s="84"/>
      <c r="D18" s="85">
        <v>70028321</v>
      </c>
      <c r="E18" s="85">
        <v>632339</v>
      </c>
      <c r="F18" s="85">
        <v>2943998</v>
      </c>
      <c r="G18" s="85"/>
      <c r="H18" s="85"/>
      <c r="I18" s="86">
        <f t="shared" si="2"/>
        <v>73604658</v>
      </c>
      <c r="J18" s="84"/>
      <c r="K18" s="85"/>
      <c r="L18" s="85"/>
      <c r="M18" s="85"/>
      <c r="N18" s="87"/>
      <c r="O18" s="84"/>
      <c r="P18" s="87"/>
      <c r="Q18" s="68">
        <f t="shared" si="1"/>
        <v>73604658</v>
      </c>
      <c r="R18" s="88">
        <f>(Q18/Q28)*100</f>
        <v>5.9939838884726742</v>
      </c>
    </row>
    <row r="19" spans="1:18">
      <c r="A19" s="83"/>
      <c r="B19" s="83" t="s">
        <v>328</v>
      </c>
      <c r="C19" s="84"/>
      <c r="D19" s="85">
        <v>8606091</v>
      </c>
      <c r="E19" s="85">
        <v>98310</v>
      </c>
      <c r="F19" s="85">
        <v>1706080</v>
      </c>
      <c r="G19" s="85"/>
      <c r="H19" s="85"/>
      <c r="I19" s="86">
        <f t="shared" si="2"/>
        <v>10410481</v>
      </c>
      <c r="J19" s="84"/>
      <c r="K19" s="85"/>
      <c r="L19" s="85"/>
      <c r="M19" s="85"/>
      <c r="N19" s="87"/>
      <c r="O19" s="84"/>
      <c r="P19" s="87"/>
      <c r="Q19" s="68">
        <f t="shared" si="1"/>
        <v>10410481</v>
      </c>
      <c r="R19" s="88">
        <f>(Q19/Q28)*100</f>
        <v>0.8477759027866264</v>
      </c>
    </row>
    <row r="20" spans="1:18">
      <c r="A20" s="83"/>
      <c r="B20" s="83" t="s">
        <v>329</v>
      </c>
      <c r="C20" s="84"/>
      <c r="D20" s="85">
        <v>83014521</v>
      </c>
      <c r="E20" s="85">
        <v>7578742</v>
      </c>
      <c r="F20" s="85">
        <v>46432884</v>
      </c>
      <c r="G20" s="85"/>
      <c r="H20" s="85">
        <v>1499284</v>
      </c>
      <c r="I20" s="86">
        <f t="shared" si="2"/>
        <v>138525431</v>
      </c>
      <c r="J20" s="84"/>
      <c r="K20" s="85"/>
      <c r="L20" s="85"/>
      <c r="M20" s="85"/>
      <c r="N20" s="87"/>
      <c r="O20" s="84"/>
      <c r="P20" s="87"/>
      <c r="Q20" s="68">
        <f t="shared" si="1"/>
        <v>138525431</v>
      </c>
      <c r="R20" s="88">
        <f>(Q20/Q28)*100</f>
        <v>11.280796951162154</v>
      </c>
    </row>
    <row r="21" spans="1:18">
      <c r="A21" s="83"/>
      <c r="B21" s="83" t="s">
        <v>330</v>
      </c>
      <c r="C21" s="84"/>
      <c r="D21" s="85">
        <v>20368950</v>
      </c>
      <c r="E21" s="85">
        <v>20000</v>
      </c>
      <c r="F21" s="85">
        <v>9677017</v>
      </c>
      <c r="G21" s="85"/>
      <c r="H21" s="85"/>
      <c r="I21" s="86">
        <f t="shared" si="2"/>
        <v>30065967</v>
      </c>
      <c r="J21" s="84"/>
      <c r="K21" s="85"/>
      <c r="L21" s="85"/>
      <c r="M21" s="85"/>
      <c r="N21" s="87"/>
      <c r="O21" s="84"/>
      <c r="P21" s="87"/>
      <c r="Q21" s="68">
        <f t="shared" si="1"/>
        <v>30065967</v>
      </c>
      <c r="R21" s="88">
        <f>(Q21/Q28)*100</f>
        <v>2.4484173513767442</v>
      </c>
    </row>
    <row r="22" spans="1:18">
      <c r="A22" s="83"/>
      <c r="B22" s="83" t="s">
        <v>331</v>
      </c>
      <c r="C22" s="84"/>
      <c r="D22" s="85">
        <v>26070701</v>
      </c>
      <c r="E22" s="85">
        <v>20000</v>
      </c>
      <c r="F22" s="85">
        <v>6850216</v>
      </c>
      <c r="G22" s="85"/>
      <c r="H22" s="85"/>
      <c r="I22" s="86">
        <f t="shared" si="2"/>
        <v>32940917</v>
      </c>
      <c r="J22" s="84"/>
      <c r="K22" s="85"/>
      <c r="L22" s="85"/>
      <c r="M22" s="85"/>
      <c r="N22" s="87"/>
      <c r="O22" s="84"/>
      <c r="P22" s="87"/>
      <c r="Q22" s="68">
        <f t="shared" si="1"/>
        <v>32940917</v>
      </c>
      <c r="R22" s="88">
        <f>(Q22/Q28)*100</f>
        <v>2.6825384579535116</v>
      </c>
    </row>
    <row r="23" spans="1:18">
      <c r="A23" s="83"/>
      <c r="B23" s="83" t="s">
        <v>332</v>
      </c>
      <c r="C23" s="84"/>
      <c r="D23" s="85">
        <v>35375608</v>
      </c>
      <c r="E23" s="85">
        <v>16593</v>
      </c>
      <c r="F23" s="85">
        <v>10689520</v>
      </c>
      <c r="G23" s="85"/>
      <c r="H23" s="85"/>
      <c r="I23" s="86">
        <f t="shared" si="2"/>
        <v>46081721</v>
      </c>
      <c r="J23" s="84"/>
      <c r="K23" s="85"/>
      <c r="L23" s="85"/>
      <c r="M23" s="85"/>
      <c r="N23" s="87"/>
      <c r="O23" s="84"/>
      <c r="P23" s="87"/>
      <c r="Q23" s="68">
        <f t="shared" si="1"/>
        <v>46081721</v>
      </c>
      <c r="R23" s="88">
        <f>(Q23/Q28)*100</f>
        <v>3.7526577900422131</v>
      </c>
    </row>
    <row r="24" spans="1:18">
      <c r="A24" s="83"/>
      <c r="B24" s="83" t="s">
        <v>333</v>
      </c>
      <c r="C24" s="84"/>
      <c r="D24" s="85">
        <v>8541935</v>
      </c>
      <c r="E24" s="85">
        <v>15000</v>
      </c>
      <c r="F24" s="85">
        <v>11663434</v>
      </c>
      <c r="G24" s="85"/>
      <c r="H24" s="85"/>
      <c r="I24" s="86">
        <f t="shared" si="2"/>
        <v>20220369</v>
      </c>
      <c r="J24" s="84"/>
      <c r="K24" s="85"/>
      <c r="L24" s="85"/>
      <c r="M24" s="85"/>
      <c r="N24" s="87"/>
      <c r="O24" s="84"/>
      <c r="P24" s="87"/>
      <c r="Q24" s="68">
        <f t="shared" si="1"/>
        <v>20220369</v>
      </c>
      <c r="R24" s="88">
        <f>(Q24/Q28)*100</f>
        <v>1.6466426079307688</v>
      </c>
    </row>
    <row r="25" spans="1:18">
      <c r="A25" s="83"/>
      <c r="B25" s="83" t="s">
        <v>334</v>
      </c>
      <c r="C25" s="84"/>
      <c r="D25" s="85">
        <v>14279282</v>
      </c>
      <c r="E25" s="85">
        <v>888052</v>
      </c>
      <c r="F25" s="85">
        <v>3242677</v>
      </c>
      <c r="G25" s="85"/>
      <c r="H25" s="85"/>
      <c r="I25" s="86">
        <f t="shared" si="2"/>
        <v>18410011</v>
      </c>
      <c r="J25" s="84"/>
      <c r="K25" s="85"/>
      <c r="L25" s="85"/>
      <c r="M25" s="85"/>
      <c r="N25" s="87"/>
      <c r="O25" s="84"/>
      <c r="P25" s="87"/>
      <c r="Q25" s="68">
        <f t="shared" si="1"/>
        <v>18410011</v>
      </c>
      <c r="R25" s="88">
        <f>(Q25/Q28)*100</f>
        <v>1.4992163854712117</v>
      </c>
    </row>
    <row r="26" spans="1:18">
      <c r="A26" s="83" t="s">
        <v>335</v>
      </c>
      <c r="B26" s="67" t="s">
        <v>336</v>
      </c>
      <c r="C26" s="80"/>
      <c r="D26" s="69">
        <v>6540934</v>
      </c>
      <c r="E26" s="69">
        <v>3568064</v>
      </c>
      <c r="F26" s="69">
        <v>150000</v>
      </c>
      <c r="G26" s="69"/>
      <c r="H26" s="69"/>
      <c r="I26" s="86">
        <f t="shared" si="2"/>
        <v>10258998</v>
      </c>
      <c r="J26" s="68"/>
      <c r="K26" s="71"/>
      <c r="L26" s="71"/>
      <c r="M26" s="71"/>
      <c r="N26" s="70"/>
      <c r="O26" s="68"/>
      <c r="P26" s="70"/>
      <c r="Q26" s="68">
        <f t="shared" si="1"/>
        <v>10258998</v>
      </c>
      <c r="R26" s="79">
        <f>(Q26/Q28)*100</f>
        <v>0.83543990821713188</v>
      </c>
    </row>
    <row r="27" spans="1:18" ht="15.75" thickBot="1">
      <c r="A27" s="89"/>
      <c r="B27" s="90" t="s">
        <v>337</v>
      </c>
      <c r="C27" s="91"/>
      <c r="D27" s="92">
        <v>4017931</v>
      </c>
      <c r="E27" s="92"/>
      <c r="F27" s="92">
        <v>1844764</v>
      </c>
      <c r="G27" s="92"/>
      <c r="H27" s="92"/>
      <c r="I27" s="86">
        <f t="shared" si="2"/>
        <v>5862695</v>
      </c>
      <c r="J27" s="93"/>
      <c r="K27" s="94"/>
      <c r="L27" s="94"/>
      <c r="M27" s="94"/>
      <c r="N27" s="95"/>
      <c r="O27" s="93"/>
      <c r="P27" s="95"/>
      <c r="Q27" s="68">
        <f t="shared" si="1"/>
        <v>5862695</v>
      </c>
      <c r="R27" s="96">
        <f>(Q27/Q28)*100</f>
        <v>0.47742765645387969</v>
      </c>
    </row>
    <row r="28" spans="1:18" ht="15.75" thickBot="1">
      <c r="A28" s="1275" t="s">
        <v>338</v>
      </c>
      <c r="B28" s="1282"/>
      <c r="C28" s="97">
        <f>SUM(C6:C27)</f>
        <v>0</v>
      </c>
      <c r="D28" s="97">
        <f t="shared" ref="D28:Q28" si="3">SUM(D6:D27)</f>
        <v>986885280</v>
      </c>
      <c r="E28" s="97">
        <f t="shared" si="3"/>
        <v>71365303</v>
      </c>
      <c r="F28" s="97">
        <f t="shared" si="3"/>
        <v>150225336</v>
      </c>
      <c r="G28" s="97">
        <f t="shared" si="3"/>
        <v>0</v>
      </c>
      <c r="H28" s="97">
        <f t="shared" si="3"/>
        <v>5147417</v>
      </c>
      <c r="I28" s="97">
        <f t="shared" si="3"/>
        <v>1213623336</v>
      </c>
      <c r="J28" s="97">
        <f t="shared" si="3"/>
        <v>0</v>
      </c>
      <c r="K28" s="97">
        <f t="shared" si="3"/>
        <v>0</v>
      </c>
      <c r="L28" s="97">
        <f t="shared" si="3"/>
        <v>14352237</v>
      </c>
      <c r="M28" s="97">
        <f t="shared" si="3"/>
        <v>0</v>
      </c>
      <c r="N28" s="97">
        <f t="shared" si="3"/>
        <v>14352237</v>
      </c>
      <c r="O28" s="97">
        <f t="shared" si="3"/>
        <v>0</v>
      </c>
      <c r="P28" s="97">
        <f t="shared" si="3"/>
        <v>0</v>
      </c>
      <c r="Q28" s="97">
        <f t="shared" si="3"/>
        <v>1227975573</v>
      </c>
      <c r="R28" s="98">
        <f>SUM(R6:R27)</f>
        <v>99.999999999999986</v>
      </c>
    </row>
    <row r="29" spans="1:18">
      <c r="A29" s="99"/>
      <c r="B29" s="99"/>
      <c r="C29" s="100"/>
      <c r="D29" s="100"/>
      <c r="E29" s="101"/>
      <c r="F29" s="101"/>
      <c r="G29" s="101"/>
      <c r="H29" s="101"/>
      <c r="I29" s="101"/>
      <c r="J29" s="101"/>
      <c r="K29" s="101"/>
      <c r="L29" s="101"/>
      <c r="M29" s="101"/>
      <c r="N29" s="101"/>
      <c r="O29" s="101"/>
      <c r="P29" s="101"/>
      <c r="Q29" s="101"/>
      <c r="R29" s="101"/>
    </row>
    <row r="30" spans="1:18">
      <c r="A30" s="102"/>
      <c r="B30" s="102"/>
      <c r="C30" s="102"/>
      <c r="D30" s="102"/>
      <c r="E30" s="102"/>
      <c r="F30" s="102"/>
      <c r="G30" s="102"/>
      <c r="H30" s="102"/>
      <c r="I30" s="102"/>
      <c r="J30" s="102"/>
      <c r="K30" s="102"/>
      <c r="L30" s="102"/>
      <c r="M30" s="102"/>
      <c r="N30" s="102"/>
      <c r="O30" s="102"/>
      <c r="P30" s="102"/>
      <c r="Q30" s="102"/>
      <c r="R30" s="102"/>
    </row>
    <row r="31" spans="1:18">
      <c r="A31" s="33" t="s">
        <v>300</v>
      </c>
      <c r="B31" s="33"/>
      <c r="C31" s="53"/>
      <c r="D31" s="53"/>
      <c r="E31" s="53"/>
      <c r="F31" s="53"/>
      <c r="G31" s="53"/>
      <c r="H31" s="54"/>
      <c r="I31" s="54"/>
      <c r="J31" s="54"/>
      <c r="K31" s="54"/>
      <c r="L31" s="54"/>
      <c r="M31" s="54"/>
      <c r="N31" s="54"/>
      <c r="O31" s="54"/>
      <c r="P31" s="54"/>
      <c r="Q31" s="54"/>
      <c r="R31" s="54"/>
    </row>
    <row r="32" spans="1:18">
      <c r="A32" s="33" t="s">
        <v>301</v>
      </c>
      <c r="B32" s="33"/>
      <c r="C32" s="53"/>
      <c r="D32" s="53"/>
      <c r="E32" s="53"/>
      <c r="F32" s="53"/>
      <c r="G32" s="53"/>
      <c r="H32" s="54"/>
      <c r="I32" s="54"/>
      <c r="J32" s="54"/>
      <c r="K32" s="54"/>
      <c r="L32" s="54"/>
      <c r="M32" s="54"/>
      <c r="N32" s="54"/>
      <c r="O32" s="54"/>
      <c r="P32" s="54"/>
      <c r="Q32" s="54"/>
      <c r="R32" s="54"/>
    </row>
    <row r="33" spans="1:18" ht="15.75" thickBot="1">
      <c r="A33" s="1283" t="s">
        <v>339</v>
      </c>
      <c r="B33" s="1283"/>
      <c r="C33" s="35"/>
      <c r="D33" s="35"/>
      <c r="E33" s="35"/>
      <c r="F33" s="35"/>
      <c r="G33" s="35"/>
      <c r="H33" s="35"/>
      <c r="I33" s="35"/>
      <c r="J33" s="35"/>
      <c r="K33" s="35"/>
      <c r="L33" s="35"/>
      <c r="M33" s="35"/>
      <c r="N33" s="35"/>
      <c r="O33" s="35"/>
      <c r="P33" s="35"/>
      <c r="Q33" s="35"/>
      <c r="R33" s="35"/>
    </row>
    <row r="34" spans="1:18" ht="15.75" thickBot="1">
      <c r="A34" s="1279" t="s">
        <v>303</v>
      </c>
      <c r="B34" s="1279" t="s">
        <v>304</v>
      </c>
      <c r="C34" s="1277" t="s">
        <v>284</v>
      </c>
      <c r="D34" s="1281"/>
      <c r="E34" s="1281"/>
      <c r="F34" s="1281"/>
      <c r="G34" s="1281"/>
      <c r="H34" s="1281"/>
      <c r="I34" s="1278"/>
      <c r="J34" s="1277" t="s">
        <v>291</v>
      </c>
      <c r="K34" s="1281"/>
      <c r="L34" s="1281"/>
      <c r="M34" s="1281"/>
      <c r="N34" s="1278"/>
      <c r="O34" s="1277" t="s">
        <v>296</v>
      </c>
      <c r="P34" s="1278"/>
      <c r="Q34" s="1277" t="s">
        <v>0</v>
      </c>
      <c r="R34" s="1278"/>
    </row>
    <row r="35" spans="1:18" ht="71.25" thickBot="1">
      <c r="A35" s="1280"/>
      <c r="B35" s="1280"/>
      <c r="C35" s="55" t="s">
        <v>285</v>
      </c>
      <c r="D35" s="56" t="s">
        <v>286</v>
      </c>
      <c r="E35" s="56" t="s">
        <v>287</v>
      </c>
      <c r="F35" s="56" t="s">
        <v>288</v>
      </c>
      <c r="G35" s="56" t="s">
        <v>305</v>
      </c>
      <c r="H35" s="56" t="s">
        <v>306</v>
      </c>
      <c r="I35" s="57" t="s">
        <v>307</v>
      </c>
      <c r="J35" s="55" t="s">
        <v>308</v>
      </c>
      <c r="K35" s="56" t="s">
        <v>309</v>
      </c>
      <c r="L35" s="56" t="s">
        <v>294</v>
      </c>
      <c r="M35" s="56" t="s">
        <v>295</v>
      </c>
      <c r="N35" s="57" t="s">
        <v>310</v>
      </c>
      <c r="O35" s="55" t="s">
        <v>297</v>
      </c>
      <c r="P35" s="57" t="s">
        <v>311</v>
      </c>
      <c r="Q35" s="58" t="s">
        <v>312</v>
      </c>
      <c r="R35" s="59" t="s">
        <v>313</v>
      </c>
    </row>
    <row r="36" spans="1:18">
      <c r="A36" s="60" t="s">
        <v>314</v>
      </c>
      <c r="B36" s="61" t="s">
        <v>315</v>
      </c>
      <c r="C36" s="62"/>
      <c r="D36" s="63"/>
      <c r="E36" s="63"/>
      <c r="F36" s="63">
        <v>4181417</v>
      </c>
      <c r="G36" s="63"/>
      <c r="H36" s="63"/>
      <c r="I36" s="64">
        <f>SUM(C36:H36)</f>
        <v>4181417</v>
      </c>
      <c r="J36" s="62"/>
      <c r="K36" s="65"/>
      <c r="L36" s="63"/>
      <c r="M36" s="65"/>
      <c r="N36" s="64">
        <f>SUM(J36:M36)</f>
        <v>0</v>
      </c>
      <c r="O36" s="62"/>
      <c r="P36" s="64">
        <f>SUM(O36)</f>
        <v>0</v>
      </c>
      <c r="Q36" s="62">
        <f>+I36+N36+P36</f>
        <v>4181417</v>
      </c>
      <c r="R36" s="66">
        <f>(Q36/Q58)*100</f>
        <v>32.439234479382037</v>
      </c>
    </row>
    <row r="37" spans="1:18">
      <c r="A37" s="67"/>
      <c r="B37" s="67" t="s">
        <v>316</v>
      </c>
      <c r="C37" s="62"/>
      <c r="D37" s="63"/>
      <c r="E37" s="63"/>
      <c r="F37" s="63">
        <v>150000</v>
      </c>
      <c r="G37" s="63"/>
      <c r="H37" s="63"/>
      <c r="I37" s="64">
        <f t="shared" ref="I37:I57" si="4">SUM(C37:H37)</f>
        <v>150000</v>
      </c>
      <c r="J37" s="62"/>
      <c r="K37" s="65"/>
      <c r="L37" s="63"/>
      <c r="M37" s="65"/>
      <c r="N37" s="64">
        <f t="shared" ref="N37:N57" si="5">SUM(J37:M37)</f>
        <v>0</v>
      </c>
      <c r="O37" s="62"/>
      <c r="P37" s="64">
        <f t="shared" ref="P37:P57" si="6">SUM(O37)</f>
        <v>0</v>
      </c>
      <c r="Q37" s="62">
        <f t="shared" ref="Q37:Q57" si="7">+I37+N37+P37</f>
        <v>150000</v>
      </c>
      <c r="R37" s="66">
        <f>(Q37/Q58)*100</f>
        <v>1.1636928753834659</v>
      </c>
    </row>
    <row r="38" spans="1:18">
      <c r="A38" s="67"/>
      <c r="B38" s="67" t="s">
        <v>317</v>
      </c>
      <c r="C38" s="62"/>
      <c r="D38" s="63"/>
      <c r="E38" s="63"/>
      <c r="F38" s="63">
        <v>170000</v>
      </c>
      <c r="G38" s="63"/>
      <c r="H38" s="63"/>
      <c r="I38" s="64">
        <f t="shared" si="4"/>
        <v>170000</v>
      </c>
      <c r="J38" s="62"/>
      <c r="K38" s="65"/>
      <c r="L38" s="63"/>
      <c r="M38" s="65"/>
      <c r="N38" s="64">
        <f t="shared" si="5"/>
        <v>0</v>
      </c>
      <c r="O38" s="62"/>
      <c r="P38" s="64">
        <f t="shared" si="6"/>
        <v>0</v>
      </c>
      <c r="Q38" s="62">
        <f t="shared" si="7"/>
        <v>170000</v>
      </c>
      <c r="R38" s="66">
        <f>(Q38/Q58)*100</f>
        <v>1.3188519254345947</v>
      </c>
    </row>
    <row r="39" spans="1:18" ht="56.25">
      <c r="A39" s="67"/>
      <c r="B39" s="77" t="s">
        <v>318</v>
      </c>
      <c r="C39" s="62"/>
      <c r="D39" s="63"/>
      <c r="E39" s="63"/>
      <c r="F39" s="63">
        <v>0</v>
      </c>
      <c r="G39" s="63"/>
      <c r="H39" s="63"/>
      <c r="I39" s="64">
        <f t="shared" si="4"/>
        <v>0</v>
      </c>
      <c r="J39" s="62"/>
      <c r="K39" s="65"/>
      <c r="L39" s="63"/>
      <c r="M39" s="65"/>
      <c r="N39" s="64">
        <f t="shared" si="5"/>
        <v>0</v>
      </c>
      <c r="O39" s="62"/>
      <c r="P39" s="64">
        <f t="shared" si="6"/>
        <v>0</v>
      </c>
      <c r="Q39" s="62">
        <f t="shared" si="7"/>
        <v>0</v>
      </c>
      <c r="R39" s="78">
        <f>(Q39/Q58)*100</f>
        <v>0</v>
      </c>
    </row>
    <row r="40" spans="1:18">
      <c r="A40" s="67"/>
      <c r="B40" s="67" t="s">
        <v>319</v>
      </c>
      <c r="C40" s="62"/>
      <c r="D40" s="63"/>
      <c r="E40" s="63"/>
      <c r="F40" s="63">
        <v>268893</v>
      </c>
      <c r="G40" s="63"/>
      <c r="H40" s="63"/>
      <c r="I40" s="64">
        <f t="shared" si="4"/>
        <v>268893</v>
      </c>
      <c r="J40" s="62"/>
      <c r="K40" s="65"/>
      <c r="L40" s="63"/>
      <c r="M40" s="65"/>
      <c r="N40" s="64">
        <f t="shared" si="5"/>
        <v>0</v>
      </c>
      <c r="O40" s="62"/>
      <c r="P40" s="64">
        <f t="shared" si="6"/>
        <v>0</v>
      </c>
      <c r="Q40" s="62">
        <f t="shared" si="7"/>
        <v>268893</v>
      </c>
      <c r="R40" s="79">
        <f>(Q40/Q58)*100</f>
        <v>2.0860591222699085</v>
      </c>
    </row>
    <row r="41" spans="1:18">
      <c r="A41" s="67"/>
      <c r="B41" s="67" t="s">
        <v>320</v>
      </c>
      <c r="C41" s="62"/>
      <c r="D41" s="63"/>
      <c r="E41" s="63"/>
      <c r="F41" s="63">
        <v>1039292</v>
      </c>
      <c r="G41" s="63"/>
      <c r="H41" s="63"/>
      <c r="I41" s="64">
        <f t="shared" si="4"/>
        <v>1039292</v>
      </c>
      <c r="J41" s="62"/>
      <c r="K41" s="65"/>
      <c r="L41" s="63"/>
      <c r="M41" s="65"/>
      <c r="N41" s="64">
        <f t="shared" si="5"/>
        <v>0</v>
      </c>
      <c r="O41" s="62"/>
      <c r="P41" s="64">
        <f t="shared" si="6"/>
        <v>0</v>
      </c>
      <c r="Q41" s="62">
        <f t="shared" si="7"/>
        <v>1039292</v>
      </c>
      <c r="R41" s="82">
        <f>(Q41/Q58)*100</f>
        <v>8.062777972286888</v>
      </c>
    </row>
    <row r="42" spans="1:18">
      <c r="A42" s="67"/>
      <c r="B42" s="67" t="s">
        <v>321</v>
      </c>
      <c r="C42" s="62"/>
      <c r="D42" s="63"/>
      <c r="E42" s="63"/>
      <c r="F42" s="63">
        <v>1101519</v>
      </c>
      <c r="G42" s="63"/>
      <c r="H42" s="63"/>
      <c r="I42" s="64">
        <f t="shared" si="4"/>
        <v>1101519</v>
      </c>
      <c r="J42" s="62"/>
      <c r="K42" s="65"/>
      <c r="L42" s="63"/>
      <c r="M42" s="65"/>
      <c r="N42" s="64">
        <f t="shared" si="5"/>
        <v>0</v>
      </c>
      <c r="O42" s="62"/>
      <c r="P42" s="64">
        <f t="shared" si="6"/>
        <v>0</v>
      </c>
      <c r="Q42" s="62">
        <f t="shared" si="7"/>
        <v>1101519</v>
      </c>
      <c r="R42" s="82">
        <f>(Q42/Q58)*100</f>
        <v>8.5455320826634669</v>
      </c>
    </row>
    <row r="43" spans="1:18">
      <c r="A43" s="83"/>
      <c r="B43" s="83" t="s">
        <v>322</v>
      </c>
      <c r="C43" s="62"/>
      <c r="D43" s="63"/>
      <c r="E43" s="63"/>
      <c r="F43" s="63">
        <v>160000</v>
      </c>
      <c r="G43" s="63"/>
      <c r="H43" s="63"/>
      <c r="I43" s="64">
        <f t="shared" si="4"/>
        <v>160000</v>
      </c>
      <c r="J43" s="62"/>
      <c r="K43" s="65"/>
      <c r="L43" s="63"/>
      <c r="M43" s="65"/>
      <c r="N43" s="64">
        <f t="shared" si="5"/>
        <v>0</v>
      </c>
      <c r="O43" s="62"/>
      <c r="P43" s="64">
        <f t="shared" si="6"/>
        <v>0</v>
      </c>
      <c r="Q43" s="62">
        <f t="shared" si="7"/>
        <v>160000</v>
      </c>
      <c r="R43" s="88">
        <f>(Q43/Q58)*100</f>
        <v>1.2412724004090303</v>
      </c>
    </row>
    <row r="44" spans="1:18">
      <c r="A44" s="83"/>
      <c r="B44" s="83" t="s">
        <v>323</v>
      </c>
      <c r="C44" s="62"/>
      <c r="D44" s="63"/>
      <c r="E44" s="63"/>
      <c r="F44" s="63">
        <v>200000</v>
      </c>
      <c r="G44" s="63"/>
      <c r="H44" s="63"/>
      <c r="I44" s="64">
        <f t="shared" si="4"/>
        <v>200000</v>
      </c>
      <c r="J44" s="62"/>
      <c r="K44" s="65"/>
      <c r="L44" s="63"/>
      <c r="M44" s="65"/>
      <c r="N44" s="64">
        <f t="shared" si="5"/>
        <v>0</v>
      </c>
      <c r="O44" s="62"/>
      <c r="P44" s="64">
        <f t="shared" si="6"/>
        <v>0</v>
      </c>
      <c r="Q44" s="62">
        <f t="shared" si="7"/>
        <v>200000</v>
      </c>
      <c r="R44" s="88">
        <f>(Q44/Q58)*100</f>
        <v>1.551590500511288</v>
      </c>
    </row>
    <row r="45" spans="1:18">
      <c r="A45" s="83"/>
      <c r="B45" s="83" t="s">
        <v>324</v>
      </c>
      <c r="C45" s="62"/>
      <c r="D45" s="63"/>
      <c r="E45" s="63"/>
      <c r="F45" s="63">
        <v>200000</v>
      </c>
      <c r="G45" s="63"/>
      <c r="H45" s="63"/>
      <c r="I45" s="64">
        <f t="shared" si="4"/>
        <v>200000</v>
      </c>
      <c r="J45" s="62"/>
      <c r="K45" s="65"/>
      <c r="L45" s="63"/>
      <c r="M45" s="65"/>
      <c r="N45" s="64">
        <f t="shared" si="5"/>
        <v>0</v>
      </c>
      <c r="O45" s="62"/>
      <c r="P45" s="64">
        <f t="shared" si="6"/>
        <v>0</v>
      </c>
      <c r="Q45" s="62">
        <f t="shared" si="7"/>
        <v>200000</v>
      </c>
      <c r="R45" s="88">
        <f>(Q45/Q58)*100</f>
        <v>1.551590500511288</v>
      </c>
    </row>
    <row r="46" spans="1:18">
      <c r="A46" s="83"/>
      <c r="B46" s="83" t="s">
        <v>325</v>
      </c>
      <c r="C46" s="62"/>
      <c r="D46" s="63"/>
      <c r="E46" s="63"/>
      <c r="F46" s="63">
        <v>150000</v>
      </c>
      <c r="G46" s="63"/>
      <c r="H46" s="63"/>
      <c r="I46" s="64">
        <f t="shared" si="4"/>
        <v>150000</v>
      </c>
      <c r="J46" s="62"/>
      <c r="K46" s="65"/>
      <c r="L46" s="63"/>
      <c r="M46" s="65"/>
      <c r="N46" s="64">
        <f t="shared" si="5"/>
        <v>0</v>
      </c>
      <c r="O46" s="62"/>
      <c r="P46" s="64">
        <f t="shared" si="6"/>
        <v>0</v>
      </c>
      <c r="Q46" s="62">
        <f t="shared" si="7"/>
        <v>150000</v>
      </c>
      <c r="R46" s="88">
        <f>(Q46/Q58)*100</f>
        <v>1.1636928753834659</v>
      </c>
    </row>
    <row r="47" spans="1:18">
      <c r="A47" s="83"/>
      <c r="B47" s="83" t="s">
        <v>326</v>
      </c>
      <c r="C47" s="62"/>
      <c r="D47" s="63"/>
      <c r="E47" s="63"/>
      <c r="F47" s="63">
        <v>200000</v>
      </c>
      <c r="G47" s="63"/>
      <c r="H47" s="63"/>
      <c r="I47" s="64">
        <f t="shared" si="4"/>
        <v>200000</v>
      </c>
      <c r="J47" s="62"/>
      <c r="K47" s="65"/>
      <c r="L47" s="63"/>
      <c r="M47" s="65"/>
      <c r="N47" s="64">
        <f t="shared" si="5"/>
        <v>0</v>
      </c>
      <c r="O47" s="62"/>
      <c r="P47" s="64">
        <f t="shared" si="6"/>
        <v>0</v>
      </c>
      <c r="Q47" s="62">
        <f t="shared" si="7"/>
        <v>200000</v>
      </c>
      <c r="R47" s="88">
        <f>(Q47/Q58)*100</f>
        <v>1.551590500511288</v>
      </c>
    </row>
    <row r="48" spans="1:18">
      <c r="A48" s="83"/>
      <c r="B48" s="83" t="s">
        <v>327</v>
      </c>
      <c r="C48" s="62"/>
      <c r="D48" s="63"/>
      <c r="E48" s="63"/>
      <c r="F48" s="63">
        <v>200000</v>
      </c>
      <c r="G48" s="63"/>
      <c r="H48" s="63"/>
      <c r="I48" s="64">
        <f t="shared" si="4"/>
        <v>200000</v>
      </c>
      <c r="J48" s="62"/>
      <c r="K48" s="65"/>
      <c r="L48" s="63"/>
      <c r="M48" s="65"/>
      <c r="N48" s="64">
        <f t="shared" si="5"/>
        <v>0</v>
      </c>
      <c r="O48" s="62"/>
      <c r="P48" s="64">
        <f t="shared" si="6"/>
        <v>0</v>
      </c>
      <c r="Q48" s="62">
        <f t="shared" si="7"/>
        <v>200000</v>
      </c>
      <c r="R48" s="88">
        <f>(Q48/Q58)*100</f>
        <v>1.551590500511288</v>
      </c>
    </row>
    <row r="49" spans="1:18">
      <c r="A49" s="83"/>
      <c r="B49" s="83" t="s">
        <v>328</v>
      </c>
      <c r="C49" s="62"/>
      <c r="D49" s="63"/>
      <c r="E49" s="63"/>
      <c r="F49" s="63">
        <v>12000</v>
      </c>
      <c r="G49" s="63"/>
      <c r="H49" s="63"/>
      <c r="I49" s="64">
        <f t="shared" si="4"/>
        <v>12000</v>
      </c>
      <c r="J49" s="62"/>
      <c r="K49" s="65"/>
      <c r="L49" s="63"/>
      <c r="M49" s="65"/>
      <c r="N49" s="64">
        <f t="shared" si="5"/>
        <v>0</v>
      </c>
      <c r="O49" s="62"/>
      <c r="P49" s="64">
        <f t="shared" si="6"/>
        <v>0</v>
      </c>
      <c r="Q49" s="62">
        <f t="shared" si="7"/>
        <v>12000</v>
      </c>
      <c r="R49" s="88">
        <f>(Q49/Q58)*100</f>
        <v>9.3095430030677273E-2</v>
      </c>
    </row>
    <row r="50" spans="1:18">
      <c r="A50" s="83"/>
      <c r="B50" s="83" t="s">
        <v>329</v>
      </c>
      <c r="C50" s="62"/>
      <c r="D50" s="63"/>
      <c r="E50" s="63"/>
      <c r="F50" s="63">
        <v>700000</v>
      </c>
      <c r="G50" s="63"/>
      <c r="H50" s="63">
        <v>256878</v>
      </c>
      <c r="I50" s="64">
        <f t="shared" si="4"/>
        <v>956878</v>
      </c>
      <c r="J50" s="62"/>
      <c r="K50" s="65"/>
      <c r="L50" s="63"/>
      <c r="M50" s="65"/>
      <c r="N50" s="64">
        <f t="shared" si="5"/>
        <v>0</v>
      </c>
      <c r="O50" s="62"/>
      <c r="P50" s="64">
        <f t="shared" si="6"/>
        <v>0</v>
      </c>
      <c r="Q50" s="62">
        <f t="shared" si="7"/>
        <v>956878</v>
      </c>
      <c r="R50" s="88">
        <f>(Q50/Q58)*100</f>
        <v>7.423414074741201</v>
      </c>
    </row>
    <row r="51" spans="1:18">
      <c r="A51" s="83"/>
      <c r="B51" s="83" t="s">
        <v>330</v>
      </c>
      <c r="C51" s="62"/>
      <c r="D51" s="63"/>
      <c r="E51" s="63"/>
      <c r="F51" s="63">
        <v>137918</v>
      </c>
      <c r="G51" s="63"/>
      <c r="H51" s="63"/>
      <c r="I51" s="64">
        <f t="shared" si="4"/>
        <v>137918</v>
      </c>
      <c r="J51" s="62"/>
      <c r="K51" s="65"/>
      <c r="L51" s="63"/>
      <c r="M51" s="65"/>
      <c r="N51" s="64">
        <f t="shared" si="5"/>
        <v>0</v>
      </c>
      <c r="O51" s="62"/>
      <c r="P51" s="64">
        <f t="shared" si="6"/>
        <v>0</v>
      </c>
      <c r="Q51" s="62">
        <f t="shared" si="7"/>
        <v>137918</v>
      </c>
      <c r="R51" s="88">
        <f>(Q51/Q58)*100</f>
        <v>1.069961293247579</v>
      </c>
    </row>
    <row r="52" spans="1:18">
      <c r="A52" s="83"/>
      <c r="B52" s="83" t="s">
        <v>340</v>
      </c>
      <c r="C52" s="62"/>
      <c r="D52" s="63"/>
      <c r="E52" s="63"/>
      <c r="F52" s="63">
        <v>1500000</v>
      </c>
      <c r="G52" s="63"/>
      <c r="H52" s="63"/>
      <c r="I52" s="64">
        <f t="shared" si="4"/>
        <v>1500000</v>
      </c>
      <c r="J52" s="62"/>
      <c r="K52" s="65"/>
      <c r="L52" s="63"/>
      <c r="M52" s="65"/>
      <c r="N52" s="64">
        <f t="shared" si="5"/>
        <v>0</v>
      </c>
      <c r="O52" s="62"/>
      <c r="P52" s="64">
        <f t="shared" si="6"/>
        <v>0</v>
      </c>
      <c r="Q52" s="62">
        <f t="shared" si="7"/>
        <v>1500000</v>
      </c>
      <c r="R52" s="88">
        <f>(Q52/Q58)*100</f>
        <v>11.63692875383466</v>
      </c>
    </row>
    <row r="53" spans="1:18">
      <c r="A53" s="83"/>
      <c r="B53" s="83" t="s">
        <v>332</v>
      </c>
      <c r="C53" s="62"/>
      <c r="D53" s="63">
        <v>12082</v>
      </c>
      <c r="E53" s="63"/>
      <c r="F53" s="63">
        <v>1500000</v>
      </c>
      <c r="G53" s="63"/>
      <c r="H53" s="63"/>
      <c r="I53" s="64">
        <f t="shared" si="4"/>
        <v>1512082</v>
      </c>
      <c r="J53" s="62"/>
      <c r="K53" s="65"/>
      <c r="L53" s="63"/>
      <c r="M53" s="65"/>
      <c r="N53" s="64">
        <f t="shared" si="5"/>
        <v>0</v>
      </c>
      <c r="O53" s="62"/>
      <c r="P53" s="64">
        <f t="shared" si="6"/>
        <v>0</v>
      </c>
      <c r="Q53" s="62">
        <f t="shared" si="7"/>
        <v>1512082</v>
      </c>
      <c r="R53" s="88">
        <f>(Q53/Q58)*100</f>
        <v>11.730660335970546</v>
      </c>
    </row>
    <row r="54" spans="1:18">
      <c r="A54" s="83"/>
      <c r="B54" s="83" t="s">
        <v>341</v>
      </c>
      <c r="C54" s="62"/>
      <c r="D54" s="63"/>
      <c r="E54" s="63"/>
      <c r="F54" s="63">
        <v>200000</v>
      </c>
      <c r="G54" s="63"/>
      <c r="H54" s="63"/>
      <c r="I54" s="64">
        <f t="shared" si="4"/>
        <v>200000</v>
      </c>
      <c r="J54" s="62"/>
      <c r="K54" s="65"/>
      <c r="L54" s="63"/>
      <c r="M54" s="65"/>
      <c r="N54" s="64">
        <f t="shared" si="5"/>
        <v>0</v>
      </c>
      <c r="O54" s="62"/>
      <c r="P54" s="64">
        <f t="shared" si="6"/>
        <v>0</v>
      </c>
      <c r="Q54" s="62">
        <f t="shared" si="7"/>
        <v>200000</v>
      </c>
      <c r="R54" s="88">
        <f>(Q54/Q58)*100</f>
        <v>1.551590500511288</v>
      </c>
    </row>
    <row r="55" spans="1:18">
      <c r="A55" s="83"/>
      <c r="B55" s="83" t="s">
        <v>334</v>
      </c>
      <c r="C55" s="62"/>
      <c r="D55" s="63"/>
      <c r="E55" s="63"/>
      <c r="F55" s="63">
        <v>500000</v>
      </c>
      <c r="G55" s="63"/>
      <c r="H55" s="63"/>
      <c r="I55" s="64">
        <f t="shared" si="4"/>
        <v>500000</v>
      </c>
      <c r="J55" s="62"/>
      <c r="K55" s="65"/>
      <c r="L55" s="63"/>
      <c r="M55" s="65"/>
      <c r="N55" s="64">
        <f t="shared" si="5"/>
        <v>0</v>
      </c>
      <c r="O55" s="62"/>
      <c r="P55" s="64">
        <f t="shared" si="6"/>
        <v>0</v>
      </c>
      <c r="Q55" s="62">
        <f t="shared" si="7"/>
        <v>500000</v>
      </c>
      <c r="R55" s="88">
        <f>(Q55/Q58)*100</f>
        <v>3.8789762512782198</v>
      </c>
    </row>
    <row r="56" spans="1:18">
      <c r="A56" s="83" t="s">
        <v>335</v>
      </c>
      <c r="B56" s="67" t="s">
        <v>336</v>
      </c>
      <c r="C56" s="62"/>
      <c r="D56" s="63"/>
      <c r="E56" s="63"/>
      <c r="F56" s="63">
        <v>50000</v>
      </c>
      <c r="G56" s="63"/>
      <c r="H56" s="63"/>
      <c r="I56" s="64">
        <f t="shared" si="4"/>
        <v>50000</v>
      </c>
      <c r="J56" s="62"/>
      <c r="K56" s="65"/>
      <c r="L56" s="63"/>
      <c r="M56" s="65"/>
      <c r="N56" s="64">
        <f t="shared" si="5"/>
        <v>0</v>
      </c>
      <c r="O56" s="62"/>
      <c r="P56" s="64">
        <f t="shared" si="6"/>
        <v>0</v>
      </c>
      <c r="Q56" s="62">
        <f t="shared" si="7"/>
        <v>50000</v>
      </c>
      <c r="R56" s="79">
        <f>(Q56/Q58)*100</f>
        <v>0.387897625127822</v>
      </c>
    </row>
    <row r="57" spans="1:18" ht="15.75" thickBot="1">
      <c r="A57" s="89"/>
      <c r="B57" s="90" t="s">
        <v>337</v>
      </c>
      <c r="C57" s="62"/>
      <c r="D57" s="63"/>
      <c r="E57" s="63"/>
      <c r="F57" s="63">
        <v>0</v>
      </c>
      <c r="G57" s="63"/>
      <c r="H57" s="63"/>
      <c r="I57" s="64">
        <f t="shared" si="4"/>
        <v>0</v>
      </c>
      <c r="J57" s="62"/>
      <c r="K57" s="65"/>
      <c r="L57" s="63"/>
      <c r="M57" s="65"/>
      <c r="N57" s="64">
        <f t="shared" si="5"/>
        <v>0</v>
      </c>
      <c r="O57" s="62"/>
      <c r="P57" s="64">
        <f t="shared" si="6"/>
        <v>0</v>
      </c>
      <c r="Q57" s="62">
        <f t="shared" si="7"/>
        <v>0</v>
      </c>
      <c r="R57" s="96">
        <f>(Q57/Q58)*100</f>
        <v>0</v>
      </c>
    </row>
    <row r="58" spans="1:18" ht="15.75" thickBot="1">
      <c r="A58" s="1275" t="s">
        <v>338</v>
      </c>
      <c r="B58" s="1276"/>
      <c r="C58" s="97">
        <f>SUM(C36:C57)</f>
        <v>0</v>
      </c>
      <c r="D58" s="97">
        <f t="shared" ref="D58:Q58" si="8">SUM(D36:D57)</f>
        <v>12082</v>
      </c>
      <c r="E58" s="97">
        <f t="shared" si="8"/>
        <v>0</v>
      </c>
      <c r="F58" s="97">
        <f t="shared" si="8"/>
        <v>12621039</v>
      </c>
      <c r="G58" s="97">
        <f t="shared" si="8"/>
        <v>0</v>
      </c>
      <c r="H58" s="97">
        <f t="shared" si="8"/>
        <v>256878</v>
      </c>
      <c r="I58" s="97">
        <f t="shared" si="8"/>
        <v>12889999</v>
      </c>
      <c r="J58" s="97">
        <f t="shared" si="8"/>
        <v>0</v>
      </c>
      <c r="K58" s="97">
        <f t="shared" si="8"/>
        <v>0</v>
      </c>
      <c r="L58" s="97">
        <f t="shared" si="8"/>
        <v>0</v>
      </c>
      <c r="M58" s="97">
        <f t="shared" si="8"/>
        <v>0</v>
      </c>
      <c r="N58" s="97">
        <f t="shared" si="8"/>
        <v>0</v>
      </c>
      <c r="O58" s="97">
        <f t="shared" si="8"/>
        <v>0</v>
      </c>
      <c r="P58" s="97">
        <f t="shared" si="8"/>
        <v>0</v>
      </c>
      <c r="Q58" s="97">
        <f t="shared" si="8"/>
        <v>12889999</v>
      </c>
      <c r="R58" s="98">
        <f>SUM(R36:R57)</f>
        <v>99.999999999999986</v>
      </c>
    </row>
    <row r="59" spans="1:18">
      <c r="A59" s="99"/>
      <c r="B59" s="99"/>
      <c r="C59" s="100"/>
      <c r="D59" s="100"/>
      <c r="E59" s="101"/>
      <c r="F59" s="101"/>
      <c r="G59" s="101"/>
      <c r="H59" s="101"/>
      <c r="I59" s="101"/>
      <c r="J59" s="101"/>
      <c r="K59" s="101"/>
      <c r="L59" s="101"/>
      <c r="M59" s="101"/>
      <c r="N59" s="101"/>
      <c r="O59" s="101"/>
      <c r="P59" s="101"/>
      <c r="Q59" s="101"/>
      <c r="R59" s="101"/>
    </row>
    <row r="63" spans="1:18">
      <c r="A63" s="33" t="s">
        <v>300</v>
      </c>
      <c r="B63" s="33"/>
      <c r="C63" s="53"/>
      <c r="D63" s="53"/>
      <c r="E63" s="53"/>
      <c r="F63" s="53"/>
      <c r="G63" s="53"/>
      <c r="H63" s="54"/>
      <c r="I63" s="54"/>
      <c r="J63" s="54"/>
      <c r="K63" s="54"/>
      <c r="L63" s="54"/>
      <c r="M63" s="54"/>
      <c r="N63" s="54"/>
      <c r="O63" s="54"/>
      <c r="P63" s="54"/>
      <c r="Q63" s="54"/>
      <c r="R63" s="54"/>
    </row>
    <row r="64" spans="1:18">
      <c r="A64" s="33" t="s">
        <v>301</v>
      </c>
      <c r="B64" s="33"/>
      <c r="C64" s="53"/>
      <c r="D64" s="53"/>
      <c r="E64" s="53"/>
      <c r="F64" s="53"/>
      <c r="G64" s="53"/>
      <c r="H64" s="54"/>
      <c r="I64" s="54"/>
      <c r="J64" s="54"/>
      <c r="K64" s="54"/>
      <c r="L64" s="54"/>
      <c r="M64" s="54"/>
      <c r="N64" s="54"/>
      <c r="O64" s="54"/>
      <c r="P64" s="54"/>
      <c r="Q64" s="54"/>
      <c r="R64" s="54"/>
    </row>
    <row r="65" spans="1:18" ht="15.75" thickBot="1">
      <c r="A65" s="104" t="s">
        <v>342</v>
      </c>
      <c r="B65" s="105"/>
      <c r="C65" s="105"/>
      <c r="D65" s="35"/>
      <c r="E65" s="35"/>
      <c r="F65" s="35"/>
      <c r="G65" s="35"/>
      <c r="H65" s="35"/>
      <c r="I65" s="35"/>
      <c r="J65" s="35"/>
      <c r="K65" s="35"/>
      <c r="L65" s="35"/>
      <c r="M65" s="35"/>
      <c r="N65" s="35"/>
      <c r="O65" s="35"/>
      <c r="P65" s="35"/>
      <c r="Q65" s="35"/>
      <c r="R65" s="35"/>
    </row>
    <row r="66" spans="1:18" ht="15.75" thickBot="1">
      <c r="A66" s="1279" t="s">
        <v>303</v>
      </c>
      <c r="B66" s="1279" t="s">
        <v>304</v>
      </c>
      <c r="C66" s="1277" t="s">
        <v>284</v>
      </c>
      <c r="D66" s="1281"/>
      <c r="E66" s="1281"/>
      <c r="F66" s="1281"/>
      <c r="G66" s="1281"/>
      <c r="H66" s="1281"/>
      <c r="I66" s="1278"/>
      <c r="J66" s="1277" t="s">
        <v>291</v>
      </c>
      <c r="K66" s="1281"/>
      <c r="L66" s="1281"/>
      <c r="M66" s="1281"/>
      <c r="N66" s="1278"/>
      <c r="O66" s="1277" t="s">
        <v>296</v>
      </c>
      <c r="P66" s="1278"/>
      <c r="Q66" s="1277" t="s">
        <v>0</v>
      </c>
      <c r="R66" s="1278"/>
    </row>
    <row r="67" spans="1:18" ht="71.25" thickBot="1">
      <c r="A67" s="1280"/>
      <c r="B67" s="1280"/>
      <c r="C67" s="55" t="s">
        <v>285</v>
      </c>
      <c r="D67" s="56" t="s">
        <v>286</v>
      </c>
      <c r="E67" s="56" t="s">
        <v>287</v>
      </c>
      <c r="F67" s="56" t="s">
        <v>288</v>
      </c>
      <c r="G67" s="56" t="s">
        <v>305</v>
      </c>
      <c r="H67" s="56" t="s">
        <v>306</v>
      </c>
      <c r="I67" s="57" t="s">
        <v>307</v>
      </c>
      <c r="J67" s="55" t="s">
        <v>308</v>
      </c>
      <c r="K67" s="56" t="s">
        <v>309</v>
      </c>
      <c r="L67" s="56" t="s">
        <v>294</v>
      </c>
      <c r="M67" s="56" t="s">
        <v>295</v>
      </c>
      <c r="N67" s="57" t="s">
        <v>310</v>
      </c>
      <c r="O67" s="55" t="s">
        <v>297</v>
      </c>
      <c r="P67" s="57" t="s">
        <v>311</v>
      </c>
      <c r="Q67" s="58" t="s">
        <v>312</v>
      </c>
      <c r="R67" s="59" t="s">
        <v>313</v>
      </c>
    </row>
    <row r="68" spans="1:18">
      <c r="A68" s="60" t="s">
        <v>314</v>
      </c>
      <c r="B68" s="61" t="s">
        <v>315</v>
      </c>
      <c r="C68" s="62"/>
      <c r="D68" s="63"/>
      <c r="E68" s="63"/>
      <c r="F68" s="63">
        <v>94702</v>
      </c>
      <c r="G68" s="63"/>
      <c r="H68" s="63"/>
      <c r="I68" s="64">
        <f>SUM(C68:H68)</f>
        <v>94702</v>
      </c>
      <c r="J68" s="62"/>
      <c r="K68" s="65"/>
      <c r="L68" s="63"/>
      <c r="M68" s="65"/>
      <c r="N68" s="64">
        <f>SUM(J68:M68)</f>
        <v>0</v>
      </c>
      <c r="O68" s="62"/>
      <c r="P68" s="64">
        <f>SUM(O68)</f>
        <v>0</v>
      </c>
      <c r="Q68" s="62">
        <f>+I68+N68+P68</f>
        <v>94702</v>
      </c>
      <c r="R68" s="66">
        <f>(Q68/Q90)*100</f>
        <v>100</v>
      </c>
    </row>
    <row r="69" spans="1:18">
      <c r="A69" s="67"/>
      <c r="B69" s="67" t="s">
        <v>316</v>
      </c>
      <c r="C69" s="62"/>
      <c r="D69" s="63"/>
      <c r="E69" s="63"/>
      <c r="F69" s="63"/>
      <c r="G69" s="63"/>
      <c r="H69" s="63"/>
      <c r="I69" s="64"/>
      <c r="J69" s="62"/>
      <c r="K69" s="65"/>
      <c r="L69" s="63"/>
      <c r="M69" s="65"/>
      <c r="N69" s="64"/>
      <c r="O69" s="62"/>
      <c r="P69" s="64"/>
      <c r="Q69" s="62"/>
      <c r="R69" s="66"/>
    </row>
    <row r="70" spans="1:18">
      <c r="A70" s="67"/>
      <c r="B70" s="67" t="s">
        <v>317</v>
      </c>
      <c r="C70" s="62"/>
      <c r="D70" s="63"/>
      <c r="E70" s="63"/>
      <c r="F70" s="63"/>
      <c r="G70" s="63"/>
      <c r="H70" s="63"/>
      <c r="I70" s="64"/>
      <c r="J70" s="62"/>
      <c r="K70" s="65"/>
      <c r="L70" s="63"/>
      <c r="M70" s="65"/>
      <c r="N70" s="64"/>
      <c r="O70" s="62"/>
      <c r="P70" s="64"/>
      <c r="Q70" s="62"/>
      <c r="R70" s="66"/>
    </row>
    <row r="71" spans="1:18" ht="56.25">
      <c r="A71" s="67"/>
      <c r="B71" s="77" t="s">
        <v>318</v>
      </c>
      <c r="C71" s="62"/>
      <c r="D71" s="63"/>
      <c r="E71" s="63"/>
      <c r="F71" s="63"/>
      <c r="G71" s="63"/>
      <c r="H71" s="63"/>
      <c r="I71" s="64"/>
      <c r="J71" s="62"/>
      <c r="K71" s="65"/>
      <c r="L71" s="63"/>
      <c r="M71" s="65"/>
      <c r="N71" s="64"/>
      <c r="O71" s="62"/>
      <c r="P71" s="64"/>
      <c r="Q71" s="62"/>
      <c r="R71" s="78"/>
    </row>
    <row r="72" spans="1:18">
      <c r="A72" s="67"/>
      <c r="B72" s="67" t="s">
        <v>319</v>
      </c>
      <c r="C72" s="62"/>
      <c r="D72" s="63"/>
      <c r="E72" s="63"/>
      <c r="F72" s="63"/>
      <c r="G72" s="63"/>
      <c r="H72" s="63"/>
      <c r="I72" s="64"/>
      <c r="J72" s="62"/>
      <c r="K72" s="65"/>
      <c r="L72" s="63"/>
      <c r="M72" s="65"/>
      <c r="N72" s="64"/>
      <c r="O72" s="62"/>
      <c r="P72" s="64"/>
      <c r="Q72" s="62"/>
      <c r="R72" s="79"/>
    </row>
    <row r="73" spans="1:18">
      <c r="A73" s="67"/>
      <c r="B73" s="67" t="s">
        <v>320</v>
      </c>
      <c r="C73" s="62"/>
      <c r="D73" s="63"/>
      <c r="E73" s="63"/>
      <c r="F73" s="63"/>
      <c r="G73" s="63"/>
      <c r="H73" s="63"/>
      <c r="I73" s="64"/>
      <c r="J73" s="62"/>
      <c r="K73" s="65"/>
      <c r="L73" s="63"/>
      <c r="M73" s="65"/>
      <c r="N73" s="64"/>
      <c r="O73" s="62"/>
      <c r="P73" s="64"/>
      <c r="Q73" s="62"/>
      <c r="R73" s="82"/>
    </row>
    <row r="74" spans="1:18">
      <c r="A74" s="67"/>
      <c r="B74" s="67" t="s">
        <v>321</v>
      </c>
      <c r="C74" s="62"/>
      <c r="D74" s="63"/>
      <c r="E74" s="63"/>
      <c r="F74" s="63"/>
      <c r="G74" s="63"/>
      <c r="H74" s="63"/>
      <c r="I74" s="64"/>
      <c r="J74" s="62"/>
      <c r="K74" s="65"/>
      <c r="L74" s="63"/>
      <c r="M74" s="65"/>
      <c r="N74" s="64"/>
      <c r="O74" s="62"/>
      <c r="P74" s="64"/>
      <c r="Q74" s="62"/>
      <c r="R74" s="82"/>
    </row>
    <row r="75" spans="1:18">
      <c r="A75" s="83"/>
      <c r="B75" s="83" t="s">
        <v>322</v>
      </c>
      <c r="C75" s="62"/>
      <c r="D75" s="63"/>
      <c r="E75" s="63"/>
      <c r="F75" s="63"/>
      <c r="G75" s="63"/>
      <c r="H75" s="63"/>
      <c r="I75" s="64"/>
      <c r="J75" s="62"/>
      <c r="K75" s="65"/>
      <c r="L75" s="63"/>
      <c r="M75" s="65"/>
      <c r="N75" s="64"/>
      <c r="O75" s="62"/>
      <c r="P75" s="64"/>
      <c r="Q75" s="62"/>
      <c r="R75" s="88"/>
    </row>
    <row r="76" spans="1:18">
      <c r="A76" s="83"/>
      <c r="B76" s="83" t="s">
        <v>323</v>
      </c>
      <c r="C76" s="62"/>
      <c r="D76" s="63"/>
      <c r="E76" s="63"/>
      <c r="F76" s="63"/>
      <c r="G76" s="63"/>
      <c r="H76" s="63"/>
      <c r="I76" s="64"/>
      <c r="J76" s="62"/>
      <c r="K76" s="65"/>
      <c r="L76" s="63"/>
      <c r="M76" s="65"/>
      <c r="N76" s="64"/>
      <c r="O76" s="62"/>
      <c r="P76" s="64"/>
      <c r="Q76" s="62"/>
      <c r="R76" s="88"/>
    </row>
    <row r="77" spans="1:18">
      <c r="A77" s="83"/>
      <c r="B77" s="83" t="s">
        <v>324</v>
      </c>
      <c r="C77" s="62"/>
      <c r="D77" s="63"/>
      <c r="E77" s="63"/>
      <c r="F77" s="63"/>
      <c r="G77" s="63"/>
      <c r="H77" s="63"/>
      <c r="I77" s="64"/>
      <c r="J77" s="62"/>
      <c r="K77" s="65"/>
      <c r="L77" s="63"/>
      <c r="M77" s="65"/>
      <c r="N77" s="64"/>
      <c r="O77" s="62"/>
      <c r="P77" s="64"/>
      <c r="Q77" s="62"/>
      <c r="R77" s="88"/>
    </row>
    <row r="78" spans="1:18">
      <c r="A78" s="83"/>
      <c r="B78" s="83" t="s">
        <v>325</v>
      </c>
      <c r="C78" s="62"/>
      <c r="D78" s="63"/>
      <c r="E78" s="63"/>
      <c r="F78" s="63"/>
      <c r="G78" s="63"/>
      <c r="H78" s="63"/>
      <c r="I78" s="64"/>
      <c r="J78" s="62"/>
      <c r="K78" s="65"/>
      <c r="L78" s="63"/>
      <c r="M78" s="65"/>
      <c r="N78" s="64"/>
      <c r="O78" s="62"/>
      <c r="P78" s="64"/>
      <c r="Q78" s="62"/>
      <c r="R78" s="88"/>
    </row>
    <row r="79" spans="1:18">
      <c r="A79" s="83"/>
      <c r="B79" s="83" t="s">
        <v>326</v>
      </c>
      <c r="C79" s="62"/>
      <c r="D79" s="63"/>
      <c r="E79" s="63"/>
      <c r="F79" s="63"/>
      <c r="G79" s="63"/>
      <c r="H79" s="63"/>
      <c r="I79" s="64"/>
      <c r="J79" s="62"/>
      <c r="K79" s="65"/>
      <c r="L79" s="63"/>
      <c r="M79" s="65"/>
      <c r="N79" s="64"/>
      <c r="O79" s="62"/>
      <c r="P79" s="64"/>
      <c r="Q79" s="62"/>
      <c r="R79" s="88"/>
    </row>
    <row r="80" spans="1:18">
      <c r="A80" s="83"/>
      <c r="B80" s="83" t="s">
        <v>327</v>
      </c>
      <c r="C80" s="62"/>
      <c r="D80" s="63"/>
      <c r="E80" s="63"/>
      <c r="F80" s="63"/>
      <c r="G80" s="63"/>
      <c r="H80" s="63"/>
      <c r="I80" s="64"/>
      <c r="J80" s="62"/>
      <c r="K80" s="65"/>
      <c r="L80" s="63"/>
      <c r="M80" s="65"/>
      <c r="N80" s="64"/>
      <c r="O80" s="62"/>
      <c r="P80" s="64"/>
      <c r="Q80" s="62"/>
      <c r="R80" s="88"/>
    </row>
    <row r="81" spans="1:18">
      <c r="A81" s="83"/>
      <c r="B81" s="83" t="s">
        <v>328</v>
      </c>
      <c r="C81" s="62"/>
      <c r="D81" s="63"/>
      <c r="E81" s="63"/>
      <c r="F81" s="63"/>
      <c r="G81" s="63"/>
      <c r="H81" s="63"/>
      <c r="I81" s="64"/>
      <c r="J81" s="62"/>
      <c r="K81" s="65"/>
      <c r="L81" s="63"/>
      <c r="M81" s="65"/>
      <c r="N81" s="64"/>
      <c r="O81" s="62"/>
      <c r="P81" s="64"/>
      <c r="Q81" s="62"/>
      <c r="R81" s="88"/>
    </row>
    <row r="82" spans="1:18">
      <c r="A82" s="83"/>
      <c r="B82" s="83" t="s">
        <v>329</v>
      </c>
      <c r="C82" s="62"/>
      <c r="D82" s="63"/>
      <c r="E82" s="63"/>
      <c r="F82" s="63"/>
      <c r="G82" s="63"/>
      <c r="H82" s="63"/>
      <c r="I82" s="64"/>
      <c r="J82" s="62"/>
      <c r="K82" s="65"/>
      <c r="L82" s="63"/>
      <c r="M82" s="65"/>
      <c r="N82" s="64"/>
      <c r="O82" s="62"/>
      <c r="P82" s="64"/>
      <c r="Q82" s="62"/>
      <c r="R82" s="88"/>
    </row>
    <row r="83" spans="1:18">
      <c r="A83" s="83"/>
      <c r="B83" s="83" t="s">
        <v>330</v>
      </c>
      <c r="C83" s="62"/>
      <c r="D83" s="63"/>
      <c r="E83" s="63"/>
      <c r="F83" s="63"/>
      <c r="G83" s="63"/>
      <c r="H83" s="63"/>
      <c r="I83" s="64"/>
      <c r="J83" s="62"/>
      <c r="K83" s="65"/>
      <c r="L83" s="63"/>
      <c r="M83" s="65"/>
      <c r="N83" s="64"/>
      <c r="O83" s="62"/>
      <c r="P83" s="64"/>
      <c r="Q83" s="62"/>
      <c r="R83" s="88"/>
    </row>
    <row r="84" spans="1:18">
      <c r="A84" s="83"/>
      <c r="B84" s="83" t="s">
        <v>331</v>
      </c>
      <c r="C84" s="62"/>
      <c r="D84" s="63"/>
      <c r="E84" s="63"/>
      <c r="F84" s="63"/>
      <c r="G84" s="63"/>
      <c r="H84" s="63"/>
      <c r="I84" s="64"/>
      <c r="J84" s="62"/>
      <c r="K84" s="65"/>
      <c r="L84" s="63"/>
      <c r="M84" s="65"/>
      <c r="N84" s="64"/>
      <c r="O84" s="62"/>
      <c r="P84" s="64"/>
      <c r="Q84" s="62"/>
      <c r="R84" s="88"/>
    </row>
    <row r="85" spans="1:18">
      <c r="A85" s="83"/>
      <c r="B85" s="83" t="s">
        <v>332</v>
      </c>
      <c r="C85" s="62"/>
      <c r="D85" s="63"/>
      <c r="E85" s="63"/>
      <c r="F85" s="63"/>
      <c r="G85" s="63"/>
      <c r="H85" s="63"/>
      <c r="I85" s="64"/>
      <c r="J85" s="62"/>
      <c r="K85" s="65"/>
      <c r="L85" s="63"/>
      <c r="M85" s="65"/>
      <c r="N85" s="64"/>
      <c r="O85" s="62"/>
      <c r="P85" s="64"/>
      <c r="Q85" s="62"/>
      <c r="R85" s="88"/>
    </row>
    <row r="86" spans="1:18">
      <c r="A86" s="83"/>
      <c r="B86" s="83" t="s">
        <v>341</v>
      </c>
      <c r="C86" s="62"/>
      <c r="D86" s="63"/>
      <c r="E86" s="63"/>
      <c r="F86" s="63"/>
      <c r="G86" s="63"/>
      <c r="H86" s="63"/>
      <c r="I86" s="64"/>
      <c r="J86" s="62"/>
      <c r="K86" s="65"/>
      <c r="L86" s="63"/>
      <c r="M86" s="65"/>
      <c r="N86" s="64"/>
      <c r="O86" s="62"/>
      <c r="P86" s="64"/>
      <c r="Q86" s="62"/>
      <c r="R86" s="88"/>
    </row>
    <row r="87" spans="1:18">
      <c r="A87" s="83"/>
      <c r="B87" s="83" t="s">
        <v>334</v>
      </c>
      <c r="C87" s="62"/>
      <c r="D87" s="63"/>
      <c r="E87" s="63"/>
      <c r="F87" s="63"/>
      <c r="G87" s="63"/>
      <c r="H87" s="63"/>
      <c r="I87" s="64"/>
      <c r="J87" s="62"/>
      <c r="K87" s="65"/>
      <c r="L87" s="63"/>
      <c r="M87" s="65"/>
      <c r="N87" s="64"/>
      <c r="O87" s="62"/>
      <c r="P87" s="64"/>
      <c r="Q87" s="62"/>
      <c r="R87" s="88"/>
    </row>
    <row r="88" spans="1:18">
      <c r="A88" s="83" t="s">
        <v>335</v>
      </c>
      <c r="B88" s="67" t="s">
        <v>336</v>
      </c>
      <c r="C88" s="62"/>
      <c r="D88" s="63"/>
      <c r="E88" s="63"/>
      <c r="F88" s="63"/>
      <c r="G88" s="63"/>
      <c r="H88" s="63"/>
      <c r="I88" s="64"/>
      <c r="J88" s="62"/>
      <c r="K88" s="65"/>
      <c r="L88" s="63"/>
      <c r="M88" s="65"/>
      <c r="N88" s="64"/>
      <c r="O88" s="62"/>
      <c r="P88" s="64"/>
      <c r="Q88" s="62"/>
      <c r="R88" s="79"/>
    </row>
    <row r="89" spans="1:18" ht="15.75" thickBot="1">
      <c r="A89" s="89"/>
      <c r="B89" s="90" t="s">
        <v>337</v>
      </c>
      <c r="C89" s="62"/>
      <c r="D89" s="63"/>
      <c r="E89" s="63"/>
      <c r="F89" s="63"/>
      <c r="G89" s="63"/>
      <c r="H89" s="63"/>
      <c r="I89" s="64"/>
      <c r="J89" s="62"/>
      <c r="K89" s="65"/>
      <c r="L89" s="63"/>
      <c r="M89" s="65"/>
      <c r="N89" s="64"/>
      <c r="O89" s="62"/>
      <c r="P89" s="64"/>
      <c r="Q89" s="62"/>
      <c r="R89" s="96"/>
    </row>
    <row r="90" spans="1:18" ht="15.75" thickBot="1">
      <c r="A90" s="103" t="s">
        <v>343</v>
      </c>
      <c r="B90" s="103" t="s">
        <v>338</v>
      </c>
      <c r="C90" s="97">
        <f>SUM(C68:C89)</f>
        <v>0</v>
      </c>
      <c r="D90" s="97">
        <f t="shared" ref="D90:Q90" si="9">SUM(D68:D89)</f>
        <v>0</v>
      </c>
      <c r="E90" s="97">
        <f t="shared" si="9"/>
        <v>0</v>
      </c>
      <c r="F90" s="97">
        <f t="shared" si="9"/>
        <v>94702</v>
      </c>
      <c r="G90" s="97">
        <f t="shared" si="9"/>
        <v>0</v>
      </c>
      <c r="H90" s="97">
        <f t="shared" si="9"/>
        <v>0</v>
      </c>
      <c r="I90" s="97">
        <f t="shared" si="9"/>
        <v>94702</v>
      </c>
      <c r="J90" s="97">
        <f t="shared" si="9"/>
        <v>0</v>
      </c>
      <c r="K90" s="97">
        <f t="shared" si="9"/>
        <v>0</v>
      </c>
      <c r="L90" s="97">
        <f t="shared" si="9"/>
        <v>0</v>
      </c>
      <c r="M90" s="97">
        <f t="shared" si="9"/>
        <v>0</v>
      </c>
      <c r="N90" s="97">
        <f t="shared" si="9"/>
        <v>0</v>
      </c>
      <c r="O90" s="97">
        <f t="shared" si="9"/>
        <v>0</v>
      </c>
      <c r="P90" s="97">
        <f t="shared" si="9"/>
        <v>0</v>
      </c>
      <c r="Q90" s="97">
        <f t="shared" si="9"/>
        <v>94702</v>
      </c>
      <c r="R90" s="98">
        <f>SUM(R68:R89)</f>
        <v>100</v>
      </c>
    </row>
    <row r="94" spans="1:18">
      <c r="A94" s="33" t="s">
        <v>300</v>
      </c>
      <c r="B94" s="33"/>
      <c r="C94" s="53"/>
      <c r="D94" s="53"/>
      <c r="E94" s="53"/>
      <c r="F94" s="53"/>
      <c r="G94" s="53"/>
      <c r="H94" s="54"/>
      <c r="I94" s="54"/>
      <c r="J94" s="54"/>
      <c r="K94" s="54"/>
      <c r="L94" s="54"/>
      <c r="M94" s="54"/>
      <c r="N94" s="54"/>
      <c r="O94" s="54"/>
      <c r="P94" s="54"/>
      <c r="Q94" s="54"/>
      <c r="R94" s="54"/>
    </row>
    <row r="95" spans="1:18">
      <c r="A95" s="33" t="s">
        <v>301</v>
      </c>
      <c r="B95" s="35"/>
      <c r="C95" s="53"/>
      <c r="D95" s="53"/>
      <c r="E95" s="53"/>
      <c r="F95" s="53"/>
      <c r="G95" s="53"/>
      <c r="H95" s="54"/>
      <c r="I95" s="54"/>
      <c r="J95" s="54"/>
      <c r="K95" s="54"/>
      <c r="L95" s="54"/>
      <c r="M95" s="54"/>
      <c r="N95" s="54"/>
      <c r="O95" s="54"/>
      <c r="P95" s="54"/>
      <c r="Q95" s="54"/>
      <c r="R95" s="54"/>
    </row>
    <row r="96" spans="1:18" ht="15.75" thickBot="1">
      <c r="A96" s="108" t="s">
        <v>344</v>
      </c>
      <c r="B96" s="105"/>
      <c r="C96" s="105"/>
      <c r="D96" s="35"/>
      <c r="E96" s="35"/>
      <c r="F96" s="35"/>
      <c r="G96" s="35"/>
      <c r="H96" s="35"/>
      <c r="I96" s="35"/>
      <c r="J96" s="35"/>
      <c r="K96" s="35"/>
      <c r="L96" s="35"/>
      <c r="M96" s="35"/>
      <c r="N96" s="35"/>
      <c r="O96" s="35"/>
      <c r="P96" s="35"/>
      <c r="Q96" s="35"/>
      <c r="R96" s="35"/>
    </row>
    <row r="97" spans="1:18" ht="15.75" thickBot="1">
      <c r="A97" s="1279" t="s">
        <v>303</v>
      </c>
      <c r="B97" s="1279" t="s">
        <v>304</v>
      </c>
      <c r="C97" s="1277" t="s">
        <v>284</v>
      </c>
      <c r="D97" s="1281"/>
      <c r="E97" s="1281"/>
      <c r="F97" s="1281"/>
      <c r="G97" s="1281"/>
      <c r="H97" s="1281"/>
      <c r="I97" s="1278"/>
      <c r="J97" s="1277" t="s">
        <v>291</v>
      </c>
      <c r="K97" s="1281"/>
      <c r="L97" s="1281"/>
      <c r="M97" s="1281"/>
      <c r="N97" s="1278"/>
      <c r="O97" s="1277" t="s">
        <v>296</v>
      </c>
      <c r="P97" s="1278"/>
      <c r="Q97" s="1277" t="s">
        <v>0</v>
      </c>
      <c r="R97" s="1278"/>
    </row>
    <row r="98" spans="1:18" ht="79.150000000000006" customHeight="1" thickBot="1">
      <c r="A98" s="1280"/>
      <c r="B98" s="1280"/>
      <c r="C98" s="55" t="s">
        <v>285</v>
      </c>
      <c r="D98" s="56" t="s">
        <v>286</v>
      </c>
      <c r="E98" s="56" t="s">
        <v>287</v>
      </c>
      <c r="F98" s="56" t="s">
        <v>288</v>
      </c>
      <c r="G98" s="56" t="s">
        <v>305</v>
      </c>
      <c r="H98" s="56" t="s">
        <v>306</v>
      </c>
      <c r="I98" s="57" t="s">
        <v>307</v>
      </c>
      <c r="J98" s="55" t="s">
        <v>308</v>
      </c>
      <c r="K98" s="56" t="s">
        <v>309</v>
      </c>
      <c r="L98" s="56" t="s">
        <v>294</v>
      </c>
      <c r="M98" s="56" t="s">
        <v>295</v>
      </c>
      <c r="N98" s="57" t="s">
        <v>310</v>
      </c>
      <c r="O98" s="55" t="s">
        <v>297</v>
      </c>
      <c r="P98" s="57" t="s">
        <v>311</v>
      </c>
      <c r="Q98" s="58" t="s">
        <v>312</v>
      </c>
      <c r="R98" s="59" t="s">
        <v>313</v>
      </c>
    </row>
    <row r="99" spans="1:18">
      <c r="A99" s="60" t="s">
        <v>314</v>
      </c>
      <c r="B99" s="61" t="s">
        <v>315</v>
      </c>
      <c r="C99" s="62"/>
      <c r="D99" s="63"/>
      <c r="E99" s="63"/>
      <c r="F99" s="63">
        <v>22450021</v>
      </c>
      <c r="G99" s="63"/>
      <c r="H99" s="63"/>
      <c r="I99" s="64">
        <f t="shared" ref="I99:I107" si="10">SUM(C99:H99)</f>
        <v>22450021</v>
      </c>
      <c r="J99" s="62"/>
      <c r="K99" s="65">
        <v>5190163</v>
      </c>
      <c r="L99" s="63">
        <v>426986844</v>
      </c>
      <c r="M99" s="65"/>
      <c r="N99" s="64">
        <f>SUM(J99:M99)</f>
        <v>432177007</v>
      </c>
      <c r="O99" s="62">
        <v>1226421</v>
      </c>
      <c r="P99" s="64">
        <f>O99</f>
        <v>1226421</v>
      </c>
      <c r="Q99" s="62">
        <f>+I99+N99+P99</f>
        <v>455853449</v>
      </c>
      <c r="R99" s="66">
        <f>(Q99/Q121)*100</f>
        <v>91.268936063687889</v>
      </c>
    </row>
    <row r="100" spans="1:18">
      <c r="A100" s="67"/>
      <c r="B100" s="67" t="s">
        <v>316</v>
      </c>
      <c r="C100" s="68"/>
      <c r="D100" s="69"/>
      <c r="E100" s="69"/>
      <c r="F100" s="69">
        <v>2500000</v>
      </c>
      <c r="G100" s="69"/>
      <c r="H100" s="69"/>
      <c r="I100" s="70">
        <f t="shared" si="10"/>
        <v>2500000</v>
      </c>
      <c r="J100" s="68"/>
      <c r="K100" s="71"/>
      <c r="L100" s="71"/>
      <c r="M100" s="71"/>
      <c r="N100" s="70"/>
      <c r="O100" s="68"/>
      <c r="P100" s="70"/>
      <c r="Q100" s="68">
        <f t="shared" ref="Q100:Q120" si="11">+I100+N99:N100+P100</f>
        <v>2500000</v>
      </c>
      <c r="R100" s="66">
        <f>(Q100/Q121)*100</f>
        <v>0.50053880399448225</v>
      </c>
    </row>
    <row r="101" spans="1:18">
      <c r="A101" s="67"/>
      <c r="B101" s="67" t="s">
        <v>317</v>
      </c>
      <c r="C101" s="72"/>
      <c r="D101" s="73"/>
      <c r="E101" s="73"/>
      <c r="F101" s="73">
        <v>2500000</v>
      </c>
      <c r="G101" s="73"/>
      <c r="H101" s="73"/>
      <c r="I101" s="70">
        <f t="shared" si="10"/>
        <v>2500000</v>
      </c>
      <c r="J101" s="72"/>
      <c r="K101" s="74"/>
      <c r="L101" s="74"/>
      <c r="M101" s="74"/>
      <c r="N101" s="75"/>
      <c r="O101" s="72"/>
      <c r="P101" s="76"/>
      <c r="Q101" s="68">
        <f t="shared" si="11"/>
        <v>2500000</v>
      </c>
      <c r="R101" s="66">
        <f>(Q101/Q121)*100</f>
        <v>0.50053880399448225</v>
      </c>
    </row>
    <row r="102" spans="1:18" ht="56.25">
      <c r="A102" s="67"/>
      <c r="B102" s="77" t="s">
        <v>318</v>
      </c>
      <c r="C102" s="72"/>
      <c r="D102" s="74"/>
      <c r="E102" s="73"/>
      <c r="F102" s="73"/>
      <c r="G102" s="73"/>
      <c r="H102" s="73"/>
      <c r="I102" s="70">
        <f t="shared" si="10"/>
        <v>0</v>
      </c>
      <c r="J102" s="72"/>
      <c r="K102" s="74"/>
      <c r="L102" s="73">
        <v>938575</v>
      </c>
      <c r="M102" s="74"/>
      <c r="N102" s="106">
        <f>SUM(J102:M102)</f>
        <v>938575</v>
      </c>
      <c r="O102" s="72">
        <v>36320026</v>
      </c>
      <c r="P102" s="107">
        <f>SUM(O102)</f>
        <v>36320026</v>
      </c>
      <c r="Q102" s="68">
        <f t="shared" si="11"/>
        <v>37258601</v>
      </c>
      <c r="R102" s="78">
        <f>(Q102/Q121)*100</f>
        <v>7.4597502332190482</v>
      </c>
    </row>
    <row r="103" spans="1:18">
      <c r="A103" s="67"/>
      <c r="B103" s="67" t="s">
        <v>319</v>
      </c>
      <c r="C103" s="68"/>
      <c r="D103" s="69"/>
      <c r="E103" s="69"/>
      <c r="F103" s="69"/>
      <c r="G103" s="69"/>
      <c r="H103" s="69"/>
      <c r="I103" s="70">
        <f t="shared" si="10"/>
        <v>0</v>
      </c>
      <c r="J103" s="68"/>
      <c r="K103" s="71"/>
      <c r="L103" s="71"/>
      <c r="M103" s="71"/>
      <c r="N103" s="70"/>
      <c r="O103" s="68"/>
      <c r="P103" s="70"/>
      <c r="Q103" s="68">
        <f t="shared" si="11"/>
        <v>0</v>
      </c>
      <c r="R103" s="79">
        <f>(Q103/Q121)*100</f>
        <v>0</v>
      </c>
    </row>
    <row r="104" spans="1:18">
      <c r="A104" s="67"/>
      <c r="B104" s="67" t="s">
        <v>320</v>
      </c>
      <c r="C104" s="80"/>
      <c r="D104" s="69"/>
      <c r="E104" s="69"/>
      <c r="F104" s="69">
        <v>700000</v>
      </c>
      <c r="G104" s="69"/>
      <c r="H104" s="69"/>
      <c r="I104" s="70">
        <f t="shared" si="10"/>
        <v>700000</v>
      </c>
      <c r="J104" s="80"/>
      <c r="K104" s="69"/>
      <c r="L104" s="69"/>
      <c r="M104" s="69"/>
      <c r="N104" s="81"/>
      <c r="O104" s="80"/>
      <c r="P104" s="81"/>
      <c r="Q104" s="68">
        <f t="shared" si="11"/>
        <v>700000</v>
      </c>
      <c r="R104" s="82">
        <f>(Q104/Q121)*100</f>
        <v>0.14015086511845504</v>
      </c>
    </row>
    <row r="105" spans="1:18">
      <c r="A105" s="67"/>
      <c r="B105" s="67" t="s">
        <v>321</v>
      </c>
      <c r="C105" s="80"/>
      <c r="D105" s="69"/>
      <c r="E105" s="69"/>
      <c r="F105" s="69">
        <v>95480</v>
      </c>
      <c r="G105" s="69"/>
      <c r="H105" s="69"/>
      <c r="I105" s="70">
        <f t="shared" si="10"/>
        <v>95480</v>
      </c>
      <c r="J105" s="80"/>
      <c r="K105" s="69"/>
      <c r="L105" s="69"/>
      <c r="M105" s="69"/>
      <c r="N105" s="81"/>
      <c r="O105" s="80"/>
      <c r="P105" s="81"/>
      <c r="Q105" s="68">
        <f t="shared" si="11"/>
        <v>95480</v>
      </c>
      <c r="R105" s="82">
        <f>(Q105/Q121)*100</f>
        <v>1.9116578002157266E-2</v>
      </c>
    </row>
    <row r="106" spans="1:18">
      <c r="A106" s="83"/>
      <c r="B106" s="83" t="s">
        <v>322</v>
      </c>
      <c r="C106" s="84"/>
      <c r="D106" s="85"/>
      <c r="E106" s="85"/>
      <c r="F106" s="85">
        <v>41495</v>
      </c>
      <c r="G106" s="85"/>
      <c r="H106" s="85"/>
      <c r="I106" s="86">
        <f t="shared" si="10"/>
        <v>41495</v>
      </c>
      <c r="J106" s="84"/>
      <c r="K106" s="85"/>
      <c r="L106" s="85"/>
      <c r="M106" s="85"/>
      <c r="N106" s="87"/>
      <c r="O106" s="84"/>
      <c r="P106" s="87"/>
      <c r="Q106" s="68">
        <f t="shared" si="11"/>
        <v>41495</v>
      </c>
      <c r="R106" s="88">
        <f>(Q106/Q121)*100</f>
        <v>8.3079430687004168E-3</v>
      </c>
    </row>
    <row r="107" spans="1:18">
      <c r="A107" s="83"/>
      <c r="B107" s="83" t="s">
        <v>323</v>
      </c>
      <c r="C107" s="84"/>
      <c r="D107" s="85"/>
      <c r="E107" s="85"/>
      <c r="F107" s="85"/>
      <c r="G107" s="85"/>
      <c r="H107" s="85"/>
      <c r="I107" s="86">
        <f t="shared" si="10"/>
        <v>0</v>
      </c>
      <c r="J107" s="84"/>
      <c r="K107" s="85"/>
      <c r="L107" s="85"/>
      <c r="M107" s="85"/>
      <c r="N107" s="87"/>
      <c r="O107" s="84"/>
      <c r="P107" s="87"/>
      <c r="Q107" s="68">
        <f t="shared" si="11"/>
        <v>0</v>
      </c>
      <c r="R107" s="88">
        <f>(Q107/Q121)*100</f>
        <v>0</v>
      </c>
    </row>
    <row r="108" spans="1:18">
      <c r="A108" s="83"/>
      <c r="B108" s="83" t="s">
        <v>324</v>
      </c>
      <c r="C108" s="84"/>
      <c r="D108" s="85"/>
      <c r="E108" s="85"/>
      <c r="F108" s="85">
        <v>67611</v>
      </c>
      <c r="G108" s="85"/>
      <c r="H108" s="85"/>
      <c r="I108" s="86">
        <f t="shared" ref="I108:I120" si="12">SUM(C108:H108)</f>
        <v>67611</v>
      </c>
      <c r="J108" s="84"/>
      <c r="K108" s="85"/>
      <c r="L108" s="85"/>
      <c r="M108" s="85"/>
      <c r="N108" s="87"/>
      <c r="O108" s="84"/>
      <c r="P108" s="87"/>
      <c r="Q108" s="68">
        <f t="shared" si="11"/>
        <v>67611</v>
      </c>
      <c r="R108" s="88">
        <f>(Q108/Q121)*100</f>
        <v>1.3536771630748377E-2</v>
      </c>
    </row>
    <row r="109" spans="1:18">
      <c r="A109" s="83"/>
      <c r="B109" s="83" t="s">
        <v>325</v>
      </c>
      <c r="C109" s="84"/>
      <c r="D109" s="85"/>
      <c r="E109" s="85"/>
      <c r="F109" s="85">
        <v>53046</v>
      </c>
      <c r="G109" s="85"/>
      <c r="H109" s="85"/>
      <c r="I109" s="86">
        <f t="shared" si="12"/>
        <v>53046</v>
      </c>
      <c r="J109" s="84"/>
      <c r="K109" s="85"/>
      <c r="L109" s="85"/>
      <c r="M109" s="85"/>
      <c r="N109" s="87"/>
      <c r="O109" s="84"/>
      <c r="P109" s="87"/>
      <c r="Q109" s="68">
        <f t="shared" si="11"/>
        <v>53046</v>
      </c>
      <c r="R109" s="88">
        <f>(Q109/Q121)*100</f>
        <v>1.0620632558676523E-2</v>
      </c>
    </row>
    <row r="110" spans="1:18">
      <c r="A110" s="83"/>
      <c r="B110" s="83" t="s">
        <v>326</v>
      </c>
      <c r="C110" s="84"/>
      <c r="D110" s="85"/>
      <c r="E110" s="85"/>
      <c r="F110" s="85">
        <v>41674</v>
      </c>
      <c r="G110" s="85"/>
      <c r="H110" s="85"/>
      <c r="I110" s="86">
        <f t="shared" si="12"/>
        <v>41674</v>
      </c>
      <c r="J110" s="84"/>
      <c r="K110" s="85"/>
      <c r="L110" s="85"/>
      <c r="M110" s="85"/>
      <c r="N110" s="87"/>
      <c r="O110" s="84"/>
      <c r="P110" s="87"/>
      <c r="Q110" s="68">
        <f t="shared" si="11"/>
        <v>41674</v>
      </c>
      <c r="R110" s="88">
        <f>(Q110/Q121)*100</f>
        <v>8.343781647066421E-3</v>
      </c>
    </row>
    <row r="111" spans="1:18">
      <c r="A111" s="83"/>
      <c r="B111" s="83" t="s">
        <v>327</v>
      </c>
      <c r="C111" s="84"/>
      <c r="D111" s="85"/>
      <c r="E111" s="85"/>
      <c r="F111" s="85">
        <v>76831</v>
      </c>
      <c r="G111" s="85"/>
      <c r="H111" s="85"/>
      <c r="I111" s="86">
        <f t="shared" si="12"/>
        <v>76831</v>
      </c>
      <c r="J111" s="84"/>
      <c r="K111" s="85"/>
      <c r="L111" s="85"/>
      <c r="M111" s="85"/>
      <c r="N111" s="87"/>
      <c r="O111" s="84"/>
      <c r="P111" s="87"/>
      <c r="Q111" s="68">
        <f t="shared" si="11"/>
        <v>76831</v>
      </c>
      <c r="R111" s="88">
        <f>(Q111/Q121)*100</f>
        <v>1.5382758739880027E-2</v>
      </c>
    </row>
    <row r="112" spans="1:18">
      <c r="A112" s="83"/>
      <c r="B112" s="83" t="s">
        <v>328</v>
      </c>
      <c r="C112" s="84"/>
      <c r="D112" s="85"/>
      <c r="E112" s="85"/>
      <c r="F112" s="85"/>
      <c r="G112" s="85"/>
      <c r="H112" s="85"/>
      <c r="I112" s="86">
        <f t="shared" si="12"/>
        <v>0</v>
      </c>
      <c r="J112" s="84"/>
      <c r="K112" s="85"/>
      <c r="L112" s="85"/>
      <c r="M112" s="85"/>
      <c r="N112" s="87"/>
      <c r="O112" s="84"/>
      <c r="P112" s="87"/>
      <c r="Q112" s="68">
        <f t="shared" si="11"/>
        <v>0</v>
      </c>
      <c r="R112" s="88">
        <f>(Q112/Q121)*100</f>
        <v>0</v>
      </c>
    </row>
    <row r="113" spans="1:18">
      <c r="A113" s="83"/>
      <c r="B113" s="83" t="s">
        <v>329</v>
      </c>
      <c r="C113" s="84"/>
      <c r="D113" s="85"/>
      <c r="E113" s="85"/>
      <c r="F113" s="85">
        <v>220689</v>
      </c>
      <c r="G113" s="85"/>
      <c r="H113" s="85"/>
      <c r="I113" s="86">
        <f t="shared" si="12"/>
        <v>220689</v>
      </c>
      <c r="J113" s="84"/>
      <c r="K113" s="85"/>
      <c r="L113" s="85"/>
      <c r="M113" s="85"/>
      <c r="N113" s="87"/>
      <c r="O113" s="84"/>
      <c r="P113" s="87"/>
      <c r="Q113" s="68">
        <f t="shared" si="11"/>
        <v>220689</v>
      </c>
      <c r="R113" s="88">
        <f>(Q113/Q121)*100</f>
        <v>4.4185363245895316E-2</v>
      </c>
    </row>
    <row r="114" spans="1:18">
      <c r="A114" s="83"/>
      <c r="B114" s="83" t="s">
        <v>330</v>
      </c>
      <c r="C114" s="84"/>
      <c r="D114" s="85"/>
      <c r="E114" s="85"/>
      <c r="F114" s="85"/>
      <c r="G114" s="85"/>
      <c r="H114" s="85"/>
      <c r="I114" s="86">
        <f t="shared" si="12"/>
        <v>0</v>
      </c>
      <c r="J114" s="84"/>
      <c r="K114" s="85"/>
      <c r="L114" s="85"/>
      <c r="M114" s="85"/>
      <c r="N114" s="87"/>
      <c r="O114" s="84"/>
      <c r="P114" s="87"/>
      <c r="Q114" s="68">
        <f t="shared" si="11"/>
        <v>0</v>
      </c>
      <c r="R114" s="88">
        <f>(Q114/Q121)*100</f>
        <v>0</v>
      </c>
    </row>
    <row r="115" spans="1:18">
      <c r="A115" s="83"/>
      <c r="B115" s="83" t="s">
        <v>331</v>
      </c>
      <c r="C115" s="84"/>
      <c r="D115" s="85"/>
      <c r="E115" s="85"/>
      <c r="F115" s="85"/>
      <c r="G115" s="85"/>
      <c r="H115" s="85"/>
      <c r="I115" s="86">
        <f t="shared" si="12"/>
        <v>0</v>
      </c>
      <c r="J115" s="84"/>
      <c r="K115" s="85"/>
      <c r="L115" s="85"/>
      <c r="M115" s="85"/>
      <c r="N115" s="87"/>
      <c r="O115" s="84"/>
      <c r="P115" s="87"/>
      <c r="Q115" s="68">
        <f t="shared" si="11"/>
        <v>0</v>
      </c>
      <c r="R115" s="88">
        <f>(Q115/Q121)*100</f>
        <v>0</v>
      </c>
    </row>
    <row r="116" spans="1:18">
      <c r="A116" s="83"/>
      <c r="B116" s="83" t="s">
        <v>332</v>
      </c>
      <c r="C116" s="84"/>
      <c r="D116" s="85"/>
      <c r="E116" s="85"/>
      <c r="F116" s="85"/>
      <c r="G116" s="85"/>
      <c r="H116" s="85"/>
      <c r="I116" s="86">
        <f t="shared" si="12"/>
        <v>0</v>
      </c>
      <c r="J116" s="84"/>
      <c r="K116" s="85"/>
      <c r="L116" s="85"/>
      <c r="M116" s="85"/>
      <c r="N116" s="87"/>
      <c r="O116" s="84"/>
      <c r="P116" s="87"/>
      <c r="Q116" s="68">
        <f t="shared" si="11"/>
        <v>0</v>
      </c>
      <c r="R116" s="88">
        <f>(Q116/Q121)*100</f>
        <v>0</v>
      </c>
    </row>
    <row r="117" spans="1:18">
      <c r="A117" s="83"/>
      <c r="B117" s="83" t="s">
        <v>341</v>
      </c>
      <c r="C117" s="84"/>
      <c r="D117" s="85"/>
      <c r="E117" s="85"/>
      <c r="F117" s="85"/>
      <c r="G117" s="85"/>
      <c r="H117" s="85"/>
      <c r="I117" s="86">
        <f t="shared" si="12"/>
        <v>0</v>
      </c>
      <c r="J117" s="84"/>
      <c r="K117" s="85"/>
      <c r="L117" s="85"/>
      <c r="M117" s="85"/>
      <c r="N117" s="87"/>
      <c r="O117" s="84"/>
      <c r="P117" s="87"/>
      <c r="Q117" s="68">
        <f t="shared" si="11"/>
        <v>0</v>
      </c>
      <c r="R117" s="88">
        <f>(Q117/Q121)*100</f>
        <v>0</v>
      </c>
    </row>
    <row r="118" spans="1:18">
      <c r="A118" s="83"/>
      <c r="B118" s="83" t="s">
        <v>334</v>
      </c>
      <c r="C118" s="84"/>
      <c r="D118" s="85"/>
      <c r="E118" s="85"/>
      <c r="F118" s="85"/>
      <c r="G118" s="85"/>
      <c r="H118" s="85"/>
      <c r="I118" s="86">
        <f t="shared" si="12"/>
        <v>0</v>
      </c>
      <c r="J118" s="84"/>
      <c r="K118" s="85"/>
      <c r="L118" s="85"/>
      <c r="M118" s="85"/>
      <c r="N118" s="87"/>
      <c r="O118" s="84"/>
      <c r="P118" s="87"/>
      <c r="Q118" s="68">
        <f t="shared" si="11"/>
        <v>0</v>
      </c>
      <c r="R118" s="88">
        <f>(Q118/Q121)*100</f>
        <v>0</v>
      </c>
    </row>
    <row r="119" spans="1:18">
      <c r="A119" s="83" t="s">
        <v>335</v>
      </c>
      <c r="B119" s="67" t="s">
        <v>336</v>
      </c>
      <c r="C119" s="80"/>
      <c r="D119" s="69"/>
      <c r="E119" s="69"/>
      <c r="F119" s="69">
        <v>52900</v>
      </c>
      <c r="G119" s="69"/>
      <c r="H119" s="69"/>
      <c r="I119" s="86">
        <f t="shared" si="12"/>
        <v>52900</v>
      </c>
      <c r="J119" s="68"/>
      <c r="K119" s="71"/>
      <c r="L119" s="71"/>
      <c r="M119" s="71"/>
      <c r="N119" s="70"/>
      <c r="O119" s="68"/>
      <c r="P119" s="70"/>
      <c r="Q119" s="68">
        <f t="shared" si="11"/>
        <v>52900</v>
      </c>
      <c r="R119" s="79">
        <f>(Q119/Q121)*100</f>
        <v>1.0591401092523245E-2</v>
      </c>
    </row>
    <row r="120" spans="1:18" ht="15.75" thickBot="1">
      <c r="A120" s="89"/>
      <c r="B120" s="90" t="s">
        <v>337</v>
      </c>
      <c r="C120" s="91"/>
      <c r="D120" s="92"/>
      <c r="E120" s="92"/>
      <c r="F120" s="92"/>
      <c r="G120" s="92"/>
      <c r="H120" s="92"/>
      <c r="I120" s="86">
        <f t="shared" si="12"/>
        <v>0</v>
      </c>
      <c r="J120" s="93"/>
      <c r="K120" s="94"/>
      <c r="L120" s="94"/>
      <c r="M120" s="94"/>
      <c r="N120" s="95"/>
      <c r="O120" s="93"/>
      <c r="P120" s="95"/>
      <c r="Q120" s="68">
        <f t="shared" si="11"/>
        <v>0</v>
      </c>
      <c r="R120" s="96">
        <f>(Q120/Q121)*100</f>
        <v>0</v>
      </c>
    </row>
    <row r="121" spans="1:18" ht="15.75" thickBot="1">
      <c r="A121" s="1275" t="s">
        <v>338</v>
      </c>
      <c r="B121" s="1276"/>
      <c r="C121" s="97">
        <f>SUM(C99:C120)</f>
        <v>0</v>
      </c>
      <c r="D121" s="97">
        <f t="shared" ref="D121:Q121" si="13">SUM(D99:D120)</f>
        <v>0</v>
      </c>
      <c r="E121" s="97">
        <f t="shared" si="13"/>
        <v>0</v>
      </c>
      <c r="F121" s="97">
        <f t="shared" si="13"/>
        <v>28799747</v>
      </c>
      <c r="G121" s="97">
        <f t="shared" si="13"/>
        <v>0</v>
      </c>
      <c r="H121" s="97">
        <f t="shared" si="13"/>
        <v>0</v>
      </c>
      <c r="I121" s="97">
        <f t="shared" si="13"/>
        <v>28799747</v>
      </c>
      <c r="J121" s="97">
        <f t="shared" si="13"/>
        <v>0</v>
      </c>
      <c r="K121" s="97">
        <f t="shared" si="13"/>
        <v>5190163</v>
      </c>
      <c r="L121" s="97">
        <f t="shared" si="13"/>
        <v>427925419</v>
      </c>
      <c r="M121" s="97">
        <f t="shared" si="13"/>
        <v>0</v>
      </c>
      <c r="N121" s="97">
        <f t="shared" si="13"/>
        <v>433115582</v>
      </c>
      <c r="O121" s="97">
        <f t="shared" si="13"/>
        <v>37546447</v>
      </c>
      <c r="P121" s="97">
        <f t="shared" si="13"/>
        <v>37546447</v>
      </c>
      <c r="Q121" s="97">
        <f t="shared" si="13"/>
        <v>499461776</v>
      </c>
      <c r="R121" s="98">
        <f>SUM(R99:R120)</f>
        <v>100.00000000000003</v>
      </c>
    </row>
    <row r="122" spans="1:18">
      <c r="A122" s="99"/>
      <c r="B122" s="99"/>
      <c r="C122" s="100"/>
      <c r="D122" s="100"/>
      <c r="E122" s="101"/>
      <c r="F122" s="101"/>
      <c r="G122" s="101"/>
      <c r="H122" s="101"/>
      <c r="I122" s="101"/>
      <c r="J122" s="101"/>
      <c r="K122" s="101"/>
      <c r="L122" s="101"/>
      <c r="M122" s="101"/>
      <c r="N122" s="101"/>
      <c r="O122" s="101"/>
      <c r="P122" s="101"/>
      <c r="Q122" s="101"/>
      <c r="R122" s="101"/>
    </row>
  </sheetData>
  <mergeCells count="29">
    <mergeCell ref="A3:B3"/>
    <mergeCell ref="A4:A5"/>
    <mergeCell ref="B4:B5"/>
    <mergeCell ref="C4:I4"/>
    <mergeCell ref="J4:N4"/>
    <mergeCell ref="Q4:R4"/>
    <mergeCell ref="A28:B28"/>
    <mergeCell ref="A33:B33"/>
    <mergeCell ref="A34:A35"/>
    <mergeCell ref="B34:B35"/>
    <mergeCell ref="C34:I34"/>
    <mergeCell ref="J34:N34"/>
    <mergeCell ref="O34:P34"/>
    <mergeCell ref="Q34:R34"/>
    <mergeCell ref="O4:P4"/>
    <mergeCell ref="A58:B58"/>
    <mergeCell ref="A66:A67"/>
    <mergeCell ref="B66:B67"/>
    <mergeCell ref="C66:I66"/>
    <mergeCell ref="J66:N66"/>
    <mergeCell ref="A121:B121"/>
    <mergeCell ref="Q66:R66"/>
    <mergeCell ref="A97:A98"/>
    <mergeCell ref="B97:B98"/>
    <mergeCell ref="C97:I97"/>
    <mergeCell ref="J97:N97"/>
    <mergeCell ref="O97:P97"/>
    <mergeCell ref="Q97:R97"/>
    <mergeCell ref="O66:P6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8"/>
  <sheetViews>
    <sheetView topLeftCell="A16" workbookViewId="0">
      <selection activeCell="F41" sqref="F41"/>
    </sheetView>
  </sheetViews>
  <sheetFormatPr baseColWidth="10" defaultRowHeight="15"/>
  <cols>
    <col min="1" max="1" width="9" customWidth="1"/>
    <col min="2" max="2" width="62" customWidth="1"/>
  </cols>
  <sheetData>
    <row r="1" spans="1:5">
      <c r="A1" s="1284" t="s">
        <v>345</v>
      </c>
      <c r="B1" s="1284"/>
      <c r="C1" s="34"/>
      <c r="D1" s="34"/>
      <c r="E1" s="34"/>
    </row>
    <row r="2" spans="1:5">
      <c r="A2" s="1285" t="s">
        <v>301</v>
      </c>
      <c r="B2" s="1285"/>
      <c r="C2" s="34"/>
      <c r="D2" s="34"/>
      <c r="E2" s="34"/>
    </row>
    <row r="3" spans="1:5" ht="31.9" customHeight="1">
      <c r="A3" s="1286" t="s">
        <v>346</v>
      </c>
      <c r="B3" s="1287"/>
      <c r="C3" s="37">
        <v>2019</v>
      </c>
      <c r="D3" s="37">
        <v>2020</v>
      </c>
      <c r="E3" s="37">
        <v>2021</v>
      </c>
    </row>
    <row r="4" spans="1:5">
      <c r="A4" s="109" t="s">
        <v>347</v>
      </c>
      <c r="B4" s="110" t="s">
        <v>348</v>
      </c>
      <c r="C4" s="111">
        <v>47417446</v>
      </c>
      <c r="D4" s="112">
        <v>40565835</v>
      </c>
      <c r="E4" s="111">
        <v>59220856</v>
      </c>
    </row>
    <row r="5" spans="1:5">
      <c r="A5" s="113" t="s">
        <v>349</v>
      </c>
      <c r="B5" s="114" t="s">
        <v>350</v>
      </c>
      <c r="C5" s="111">
        <v>34745635</v>
      </c>
      <c r="D5" s="111">
        <v>36588609</v>
      </c>
      <c r="E5" s="111">
        <v>40091984</v>
      </c>
    </row>
    <row r="6" spans="1:5">
      <c r="A6" s="113" t="s">
        <v>351</v>
      </c>
      <c r="B6" s="114" t="s">
        <v>352</v>
      </c>
      <c r="C6" s="111">
        <v>12462885</v>
      </c>
      <c r="D6" s="111">
        <v>16842908</v>
      </c>
      <c r="E6" s="111">
        <v>17122100</v>
      </c>
    </row>
    <row r="7" spans="1:5">
      <c r="A7" s="113" t="s">
        <v>353</v>
      </c>
      <c r="B7" s="114" t="s">
        <v>354</v>
      </c>
      <c r="C7" s="111">
        <v>20039587</v>
      </c>
      <c r="D7" s="111">
        <v>30456699</v>
      </c>
      <c r="E7" s="111">
        <v>28116709</v>
      </c>
    </row>
    <row r="8" spans="1:5">
      <c r="A8" s="113" t="s">
        <v>355</v>
      </c>
      <c r="B8" s="114" t="s">
        <v>356</v>
      </c>
      <c r="C8" s="111">
        <v>11977726</v>
      </c>
      <c r="D8" s="111">
        <v>14101138</v>
      </c>
      <c r="E8" s="111">
        <v>14530734</v>
      </c>
    </row>
    <row r="9" spans="1:5">
      <c r="A9" s="113" t="s">
        <v>357</v>
      </c>
      <c r="B9" s="114" t="s">
        <v>358</v>
      </c>
      <c r="C9" s="111">
        <v>3493090</v>
      </c>
      <c r="D9" s="111">
        <v>3080652</v>
      </c>
      <c r="E9" s="111">
        <v>3042555</v>
      </c>
    </row>
    <row r="10" spans="1:5">
      <c r="A10" s="113" t="s">
        <v>359</v>
      </c>
      <c r="B10" s="114" t="s">
        <v>360</v>
      </c>
      <c r="C10" s="111">
        <v>1471041</v>
      </c>
      <c r="D10" s="111">
        <v>20000</v>
      </c>
      <c r="E10" s="115">
        <v>0</v>
      </c>
    </row>
    <row r="11" spans="1:5">
      <c r="A11" s="113" t="s">
        <v>361</v>
      </c>
      <c r="B11" s="114" t="s">
        <v>362</v>
      </c>
      <c r="C11" s="111">
        <v>392931</v>
      </c>
      <c r="D11" s="111">
        <v>1053273</v>
      </c>
      <c r="E11" s="115">
        <v>0</v>
      </c>
    </row>
    <row r="12" spans="1:5" ht="37.15" customHeight="1">
      <c r="A12" s="113" t="s">
        <v>363</v>
      </c>
      <c r="B12" s="116" t="s">
        <v>364</v>
      </c>
      <c r="C12" s="111">
        <v>360174</v>
      </c>
      <c r="D12" s="111">
        <v>100000</v>
      </c>
      <c r="E12" s="111">
        <v>75000</v>
      </c>
    </row>
    <row r="13" spans="1:5">
      <c r="A13" s="113" t="s">
        <v>365</v>
      </c>
      <c r="B13" s="114" t="s">
        <v>366</v>
      </c>
      <c r="C13" s="111">
        <v>5462633</v>
      </c>
      <c r="D13" s="111">
        <v>8627782</v>
      </c>
      <c r="E13" s="111">
        <v>8603590</v>
      </c>
    </row>
    <row r="14" spans="1:5">
      <c r="A14" s="117" t="s">
        <v>367</v>
      </c>
      <c r="B14" s="114" t="s">
        <v>368</v>
      </c>
      <c r="C14" s="111">
        <v>1260479</v>
      </c>
      <c r="D14" s="118">
        <v>0</v>
      </c>
      <c r="E14" s="119">
        <v>0</v>
      </c>
    </row>
    <row r="15" spans="1:5">
      <c r="A15" s="117" t="s">
        <v>369</v>
      </c>
      <c r="B15" s="114" t="s">
        <v>370</v>
      </c>
      <c r="C15" s="119">
        <v>0</v>
      </c>
      <c r="D15" s="120">
        <v>0</v>
      </c>
      <c r="E15" s="119">
        <v>0</v>
      </c>
    </row>
    <row r="16" spans="1:5">
      <c r="A16" s="113" t="s">
        <v>371</v>
      </c>
      <c r="B16" s="114" t="s">
        <v>372</v>
      </c>
      <c r="C16" s="118">
        <v>0</v>
      </c>
      <c r="D16" s="118">
        <v>0</v>
      </c>
      <c r="E16" s="119">
        <v>0</v>
      </c>
    </row>
    <row r="17" spans="1:5">
      <c r="A17" s="113" t="s">
        <v>373</v>
      </c>
      <c r="B17" s="114" t="s">
        <v>374</v>
      </c>
      <c r="C17" s="111">
        <v>658806</v>
      </c>
      <c r="D17" s="111">
        <v>928575</v>
      </c>
      <c r="E17" s="111">
        <v>938575</v>
      </c>
    </row>
    <row r="18" spans="1:5">
      <c r="A18" s="113" t="s">
        <v>375</v>
      </c>
      <c r="B18" s="114" t="s">
        <v>376</v>
      </c>
      <c r="C18" s="111">
        <v>1504754</v>
      </c>
      <c r="D18" s="111">
        <v>854353</v>
      </c>
      <c r="E18" s="111">
        <v>824353</v>
      </c>
    </row>
    <row r="19" spans="1:5">
      <c r="A19" s="113" t="s">
        <v>377</v>
      </c>
      <c r="B19" s="114" t="s">
        <v>378</v>
      </c>
      <c r="C19" s="111">
        <v>756170834</v>
      </c>
      <c r="D19" s="111">
        <v>795988087</v>
      </c>
      <c r="E19" s="111">
        <v>695513408</v>
      </c>
    </row>
    <row r="20" spans="1:5" ht="27.6" customHeight="1">
      <c r="A20" s="113" t="s">
        <v>379</v>
      </c>
      <c r="B20" s="121" t="s">
        <v>380</v>
      </c>
      <c r="C20" s="111">
        <v>10815249</v>
      </c>
      <c r="D20" s="115">
        <v>0</v>
      </c>
      <c r="E20" s="115">
        <v>0</v>
      </c>
    </row>
    <row r="21" spans="1:5" ht="22.9" customHeight="1">
      <c r="A21" s="122" t="s">
        <v>381</v>
      </c>
      <c r="B21" s="116" t="s">
        <v>382</v>
      </c>
      <c r="C21" s="111">
        <v>13700000</v>
      </c>
      <c r="D21" s="111">
        <v>3317784</v>
      </c>
      <c r="E21" s="115">
        <v>0</v>
      </c>
    </row>
    <row r="22" spans="1:5">
      <c r="A22" s="113" t="s">
        <v>383</v>
      </c>
      <c r="B22" s="114" t="s">
        <v>384</v>
      </c>
      <c r="C22" s="111">
        <v>900000</v>
      </c>
      <c r="D22" s="111">
        <v>378000</v>
      </c>
      <c r="E22" s="111">
        <v>140273</v>
      </c>
    </row>
    <row r="23" spans="1:5">
      <c r="A23" s="113" t="s">
        <v>385</v>
      </c>
      <c r="B23" s="114" t="s">
        <v>386</v>
      </c>
      <c r="C23" s="111">
        <v>8420293</v>
      </c>
      <c r="D23" s="111">
        <v>9240323</v>
      </c>
      <c r="E23" s="111">
        <v>11854699</v>
      </c>
    </row>
    <row r="24" spans="1:5" ht="21.6" customHeight="1">
      <c r="A24" s="122" t="s">
        <v>387</v>
      </c>
      <c r="B24" s="116" t="s">
        <v>388</v>
      </c>
      <c r="C24" s="111">
        <v>4539982</v>
      </c>
      <c r="D24" s="111">
        <v>4842171</v>
      </c>
      <c r="E24" s="111">
        <v>4846179</v>
      </c>
    </row>
    <row r="25" spans="1:5" ht="24" customHeight="1">
      <c r="A25" s="113" t="s">
        <v>389</v>
      </c>
      <c r="B25" s="116" t="s">
        <v>390</v>
      </c>
      <c r="C25" s="111">
        <v>7296628</v>
      </c>
      <c r="D25" s="111">
        <v>7355700</v>
      </c>
      <c r="E25" s="111">
        <v>17217156</v>
      </c>
    </row>
    <row r="26" spans="1:5">
      <c r="A26" s="113" t="s">
        <v>391</v>
      </c>
      <c r="B26" s="114" t="s">
        <v>392</v>
      </c>
      <c r="C26" s="115">
        <v>0</v>
      </c>
      <c r="D26" s="111">
        <v>33996</v>
      </c>
      <c r="E26" s="111">
        <v>17496</v>
      </c>
    </row>
    <row r="27" spans="1:5">
      <c r="A27" s="113" t="s">
        <v>393</v>
      </c>
      <c r="B27" s="114" t="s">
        <v>394</v>
      </c>
      <c r="C27" s="111">
        <v>4400936</v>
      </c>
      <c r="D27" s="111">
        <v>4174627</v>
      </c>
      <c r="E27" s="111">
        <v>14448954</v>
      </c>
    </row>
    <row r="28" spans="1:5">
      <c r="A28" s="113" t="s">
        <v>395</v>
      </c>
      <c r="B28" s="114" t="s">
        <v>396</v>
      </c>
      <c r="C28" s="115">
        <v>0</v>
      </c>
      <c r="D28" s="115">
        <v>0</v>
      </c>
      <c r="E28" s="115">
        <v>0</v>
      </c>
    </row>
    <row r="29" spans="1:5" ht="27" customHeight="1">
      <c r="A29" s="113" t="s">
        <v>397</v>
      </c>
      <c r="B29" s="121" t="s">
        <v>398</v>
      </c>
      <c r="C29" s="111">
        <v>447737</v>
      </c>
      <c r="D29" s="111">
        <v>253388</v>
      </c>
      <c r="E29" s="111">
        <v>243658</v>
      </c>
    </row>
    <row r="30" spans="1:5" ht="24.6" customHeight="1">
      <c r="A30" s="113" t="s">
        <v>399</v>
      </c>
      <c r="B30" s="116" t="s">
        <v>400</v>
      </c>
      <c r="C30" s="111">
        <v>100000</v>
      </c>
      <c r="D30" s="111">
        <v>6095000</v>
      </c>
      <c r="E30" s="111">
        <v>10571210</v>
      </c>
    </row>
    <row r="31" spans="1:5">
      <c r="A31" s="113" t="s">
        <v>401</v>
      </c>
      <c r="B31" s="114" t="s">
        <v>402</v>
      </c>
      <c r="C31" s="111">
        <v>1985860</v>
      </c>
      <c r="D31" s="111">
        <v>6811428</v>
      </c>
      <c r="E31" s="111">
        <v>6622383</v>
      </c>
    </row>
    <row r="32" spans="1:5">
      <c r="A32" s="113" t="s">
        <v>403</v>
      </c>
      <c r="B32" s="114" t="s">
        <v>404</v>
      </c>
      <c r="C32" s="111">
        <v>50303820</v>
      </c>
      <c r="D32" s="111">
        <v>34142791</v>
      </c>
      <c r="E32" s="111">
        <v>59062717</v>
      </c>
    </row>
    <row r="33" spans="1:5" ht="25.15" customHeight="1">
      <c r="A33" s="113" t="s">
        <v>405</v>
      </c>
      <c r="B33" s="116" t="s">
        <v>406</v>
      </c>
      <c r="C33" s="115">
        <v>0</v>
      </c>
      <c r="D33" s="115">
        <v>0</v>
      </c>
      <c r="E33" s="115">
        <v>0</v>
      </c>
    </row>
    <row r="34" spans="1:5">
      <c r="A34" s="113" t="s">
        <v>407</v>
      </c>
      <c r="B34" s="114" t="s">
        <v>408</v>
      </c>
      <c r="C34" s="111">
        <v>7988519</v>
      </c>
      <c r="D34" s="111">
        <v>141199</v>
      </c>
      <c r="E34" s="111">
        <v>1119714</v>
      </c>
    </row>
    <row r="35" spans="1:5" ht="22.15" customHeight="1">
      <c r="A35" s="113" t="s">
        <v>409</v>
      </c>
      <c r="B35" s="116" t="s">
        <v>410</v>
      </c>
      <c r="C35" s="115">
        <v>0</v>
      </c>
      <c r="D35" s="111">
        <v>2459755</v>
      </c>
      <c r="E35" s="111">
        <v>724942</v>
      </c>
    </row>
    <row r="36" spans="1:5">
      <c r="A36" s="123">
        <v>1002</v>
      </c>
      <c r="B36" s="124" t="s">
        <v>411</v>
      </c>
      <c r="C36" s="125">
        <v>0</v>
      </c>
      <c r="D36" s="125">
        <v>0</v>
      </c>
      <c r="E36" s="111">
        <v>207358</v>
      </c>
    </row>
    <row r="37" spans="1:5">
      <c r="A37" s="1288" t="s">
        <v>271</v>
      </c>
      <c r="B37" s="1289"/>
      <c r="C37" s="126">
        <f>SUM(C3:C36)</f>
        <v>1008319064</v>
      </c>
      <c r="D37" s="126">
        <f>SUM(D4:D36)</f>
        <v>1028454073</v>
      </c>
      <c r="E37" s="126">
        <f>SUM(E4:E36)</f>
        <v>995156603</v>
      </c>
    </row>
    <row r="38" spans="1:5">
      <c r="A38" s="127"/>
      <c r="B38" s="127"/>
      <c r="C38" s="127"/>
      <c r="D38" s="127"/>
      <c r="E38" s="127"/>
    </row>
  </sheetData>
  <mergeCells count="4">
    <mergeCell ref="A1:B1"/>
    <mergeCell ref="A2:B2"/>
    <mergeCell ref="A3:B3"/>
    <mergeCell ref="A37:B3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2"/>
  <sheetViews>
    <sheetView topLeftCell="A34" workbookViewId="0">
      <selection activeCell="M58" sqref="M58"/>
    </sheetView>
  </sheetViews>
  <sheetFormatPr baseColWidth="10" defaultRowHeight="15"/>
  <cols>
    <col min="1" max="1" width="30.7109375" customWidth="1"/>
    <col min="2" max="3" width="9.7109375" bestFit="1" customWidth="1"/>
    <col min="4" max="5" width="8.7109375" customWidth="1"/>
    <col min="6" max="6" width="9.5703125" customWidth="1"/>
    <col min="7" max="7" width="9.7109375" bestFit="1" customWidth="1"/>
    <col min="8" max="8" width="9.28515625" bestFit="1" customWidth="1"/>
    <col min="9" max="14" width="8.7109375" customWidth="1"/>
  </cols>
  <sheetData>
    <row r="1" spans="1:14">
      <c r="A1" s="128" t="s">
        <v>412</v>
      </c>
      <c r="B1" s="128"/>
      <c r="C1" s="128"/>
      <c r="D1" s="128"/>
      <c r="E1" s="128"/>
      <c r="F1" s="128"/>
      <c r="G1" s="128"/>
      <c r="H1" s="128"/>
      <c r="I1" s="128"/>
      <c r="J1" s="128"/>
      <c r="K1" s="128"/>
      <c r="L1" s="128"/>
      <c r="M1" s="128"/>
      <c r="N1" s="128"/>
    </row>
    <row r="2" spans="1:14" ht="15.75" thickBot="1">
      <c r="A2" s="35" t="s">
        <v>413</v>
      </c>
      <c r="B2" s="35"/>
      <c r="C2" s="35"/>
      <c r="D2" s="35"/>
      <c r="E2" s="35"/>
      <c r="F2" s="35"/>
      <c r="G2" s="35"/>
      <c r="H2" s="35"/>
      <c r="I2" s="35"/>
      <c r="J2" s="35"/>
      <c r="K2" s="35"/>
      <c r="L2" s="35"/>
      <c r="M2" s="35"/>
      <c r="N2" s="35"/>
    </row>
    <row r="3" spans="1:14" ht="15.75" thickBot="1">
      <c r="A3" s="1293" t="s">
        <v>414</v>
      </c>
      <c r="B3" s="1294" t="s">
        <v>449</v>
      </c>
      <c r="C3" s="1281"/>
      <c r="D3" s="1281"/>
      <c r="E3" s="1281"/>
      <c r="F3" s="1290" t="s">
        <v>452</v>
      </c>
      <c r="G3" s="1291"/>
      <c r="H3" s="1292"/>
      <c r="I3" s="1290" t="s">
        <v>453</v>
      </c>
      <c r="J3" s="1291"/>
      <c r="K3" s="1291"/>
      <c r="L3" s="1291"/>
      <c r="M3" s="1291"/>
      <c r="N3" s="1292"/>
    </row>
    <row r="4" spans="1:14" ht="44.45" customHeight="1" thickBot="1">
      <c r="A4" s="1280"/>
      <c r="B4" s="139">
        <v>2019</v>
      </c>
      <c r="C4" s="146">
        <v>2020</v>
      </c>
      <c r="D4" s="146" t="s">
        <v>450</v>
      </c>
      <c r="E4" s="156" t="s">
        <v>451</v>
      </c>
      <c r="F4" s="139">
        <v>2019</v>
      </c>
      <c r="G4" s="146">
        <v>2020</v>
      </c>
      <c r="H4" s="146" t="s">
        <v>450</v>
      </c>
      <c r="I4" s="139">
        <v>2019</v>
      </c>
      <c r="J4" s="146" t="s">
        <v>273</v>
      </c>
      <c r="K4" s="146" t="s">
        <v>450</v>
      </c>
      <c r="L4" s="172" t="s">
        <v>454</v>
      </c>
      <c r="M4" s="172" t="s">
        <v>451</v>
      </c>
      <c r="N4" s="156" t="s">
        <v>455</v>
      </c>
    </row>
    <row r="5" spans="1:14">
      <c r="A5" s="129"/>
      <c r="B5" s="140"/>
      <c r="C5" s="147"/>
      <c r="D5" s="147"/>
      <c r="E5" s="157"/>
      <c r="F5" s="140"/>
      <c r="G5" s="147"/>
      <c r="H5" s="166"/>
      <c r="I5" s="140"/>
      <c r="J5" s="147"/>
      <c r="K5" s="166"/>
      <c r="L5" s="157"/>
      <c r="M5" s="157"/>
      <c r="N5" s="166"/>
    </row>
    <row r="6" spans="1:14" ht="23.25">
      <c r="A6" s="130" t="s">
        <v>415</v>
      </c>
      <c r="B6" s="141"/>
      <c r="C6" s="148"/>
      <c r="D6" s="148"/>
      <c r="E6" s="158"/>
      <c r="F6" s="141"/>
      <c r="G6" s="148"/>
      <c r="H6" s="167"/>
      <c r="I6" s="141"/>
      <c r="J6" s="148"/>
      <c r="K6" s="167"/>
      <c r="L6" s="158"/>
      <c r="M6" s="158"/>
      <c r="N6" s="167"/>
    </row>
    <row r="7" spans="1:14">
      <c r="A7" s="131" t="s">
        <v>416</v>
      </c>
      <c r="B7" s="142"/>
      <c r="C7" s="149"/>
      <c r="D7" s="149"/>
      <c r="E7" s="159"/>
      <c r="F7" s="142"/>
      <c r="G7" s="149"/>
      <c r="H7" s="168"/>
      <c r="I7" s="142"/>
      <c r="J7" s="149"/>
      <c r="K7" s="168"/>
      <c r="L7" s="159"/>
      <c r="M7" s="159"/>
      <c r="N7" s="168"/>
    </row>
    <row r="8" spans="1:14">
      <c r="A8" s="132"/>
      <c r="B8" s="142"/>
      <c r="C8" s="149"/>
      <c r="D8" s="149"/>
      <c r="E8" s="159"/>
      <c r="F8" s="142"/>
      <c r="G8" s="149"/>
      <c r="H8" s="168"/>
      <c r="I8" s="142"/>
      <c r="J8" s="149"/>
      <c r="K8" s="168"/>
      <c r="L8" s="159"/>
      <c r="M8" s="159"/>
      <c r="N8" s="168"/>
    </row>
    <row r="9" spans="1:14">
      <c r="A9" s="130" t="s">
        <v>417</v>
      </c>
      <c r="B9" s="142"/>
      <c r="C9" s="149"/>
      <c r="D9" s="149"/>
      <c r="E9" s="159"/>
      <c r="F9" s="142"/>
      <c r="G9" s="149"/>
      <c r="H9" s="168"/>
      <c r="I9" s="142"/>
      <c r="J9" s="149"/>
      <c r="K9" s="168"/>
      <c r="L9" s="159"/>
      <c r="M9" s="159"/>
      <c r="N9" s="168"/>
    </row>
    <row r="10" spans="1:14">
      <c r="A10" s="133" t="s">
        <v>418</v>
      </c>
      <c r="B10" s="142"/>
      <c r="C10" s="149"/>
      <c r="D10" s="149"/>
      <c r="E10" s="159"/>
      <c r="F10" s="142"/>
      <c r="G10" s="149"/>
      <c r="H10" s="168"/>
      <c r="I10" s="142"/>
      <c r="J10" s="149"/>
      <c r="K10" s="168"/>
      <c r="L10" s="159"/>
      <c r="M10" s="159"/>
      <c r="N10" s="168"/>
    </row>
    <row r="11" spans="1:14">
      <c r="A11" s="133" t="s">
        <v>419</v>
      </c>
      <c r="B11" s="142"/>
      <c r="C11" s="149"/>
      <c r="D11" s="149"/>
      <c r="E11" s="159"/>
      <c r="F11" s="142"/>
      <c r="G11" s="149"/>
      <c r="H11" s="168"/>
      <c r="I11" s="142"/>
      <c r="J11" s="149"/>
      <c r="K11" s="168"/>
      <c r="L11" s="159"/>
      <c r="M11" s="159"/>
      <c r="N11" s="168"/>
    </row>
    <row r="12" spans="1:14">
      <c r="A12" s="133" t="s">
        <v>420</v>
      </c>
      <c r="B12" s="142"/>
      <c r="C12" s="149"/>
      <c r="D12" s="149"/>
      <c r="E12" s="159"/>
      <c r="F12" s="142"/>
      <c r="G12" s="149"/>
      <c r="H12" s="168"/>
      <c r="I12" s="142"/>
      <c r="J12" s="149"/>
      <c r="K12" s="168"/>
      <c r="L12" s="159"/>
      <c r="M12" s="159"/>
      <c r="N12" s="168"/>
    </row>
    <row r="13" spans="1:14">
      <c r="A13" s="133" t="s">
        <v>421</v>
      </c>
      <c r="B13" s="142"/>
      <c r="C13" s="149"/>
      <c r="D13" s="149"/>
      <c r="E13" s="159"/>
      <c r="F13" s="142"/>
      <c r="G13" s="149"/>
      <c r="H13" s="168"/>
      <c r="I13" s="142"/>
      <c r="J13" s="149"/>
      <c r="K13" s="168"/>
      <c r="L13" s="159"/>
      <c r="M13" s="159"/>
      <c r="N13" s="168"/>
    </row>
    <row r="14" spans="1:14">
      <c r="A14" s="133"/>
      <c r="B14" s="141"/>
      <c r="C14" s="148"/>
      <c r="D14" s="148"/>
      <c r="E14" s="158"/>
      <c r="F14" s="141"/>
      <c r="G14" s="148"/>
      <c r="H14" s="167"/>
      <c r="I14" s="141"/>
      <c r="J14" s="148"/>
      <c r="K14" s="167"/>
      <c r="L14" s="158"/>
      <c r="M14" s="158"/>
      <c r="N14" s="167"/>
    </row>
    <row r="15" spans="1:14">
      <c r="A15" s="130" t="s">
        <v>422</v>
      </c>
      <c r="B15" s="142"/>
      <c r="C15" s="149"/>
      <c r="D15" s="149"/>
      <c r="E15" s="159"/>
      <c r="F15" s="142"/>
      <c r="G15" s="149"/>
      <c r="H15" s="168"/>
      <c r="I15" s="142"/>
      <c r="J15" s="149"/>
      <c r="K15" s="168"/>
      <c r="L15" s="159"/>
      <c r="M15" s="159"/>
      <c r="N15" s="168"/>
    </row>
    <row r="16" spans="1:14">
      <c r="A16" s="133" t="s">
        <v>423</v>
      </c>
      <c r="B16" s="142"/>
      <c r="C16" s="149"/>
      <c r="D16" s="149"/>
      <c r="E16" s="159"/>
      <c r="F16" s="142"/>
      <c r="G16" s="149"/>
      <c r="H16" s="168"/>
      <c r="I16" s="142"/>
      <c r="J16" s="149"/>
      <c r="K16" s="168"/>
      <c r="L16" s="159"/>
      <c r="M16" s="159"/>
      <c r="N16" s="168"/>
    </row>
    <row r="17" spans="1:14">
      <c r="A17" s="133" t="s">
        <v>424</v>
      </c>
      <c r="B17" s="142"/>
      <c r="C17" s="149"/>
      <c r="D17" s="149"/>
      <c r="E17" s="159"/>
      <c r="F17" s="142"/>
      <c r="G17" s="149"/>
      <c r="H17" s="168"/>
      <c r="I17" s="142"/>
      <c r="J17" s="149"/>
      <c r="K17" s="168"/>
      <c r="L17" s="159"/>
      <c r="M17" s="159"/>
      <c r="N17" s="168"/>
    </row>
    <row r="18" spans="1:14">
      <c r="A18" s="133" t="s">
        <v>425</v>
      </c>
      <c r="B18" s="142"/>
      <c r="C18" s="149"/>
      <c r="D18" s="149"/>
      <c r="E18" s="159"/>
      <c r="F18" s="142"/>
      <c r="G18" s="149"/>
      <c r="H18" s="168"/>
      <c r="I18" s="142"/>
      <c r="J18" s="149"/>
      <c r="K18" s="168"/>
      <c r="L18" s="159"/>
      <c r="M18" s="159"/>
      <c r="N18" s="168"/>
    </row>
    <row r="19" spans="1:14">
      <c r="A19" s="133" t="s">
        <v>426</v>
      </c>
      <c r="B19" s="142"/>
      <c r="C19" s="149"/>
      <c r="D19" s="149"/>
      <c r="E19" s="159"/>
      <c r="F19" s="142"/>
      <c r="G19" s="149"/>
      <c r="H19" s="168"/>
      <c r="I19" s="142"/>
      <c r="J19" s="149"/>
      <c r="K19" s="168"/>
      <c r="L19" s="159"/>
      <c r="M19" s="159"/>
      <c r="N19" s="168"/>
    </row>
    <row r="20" spans="1:14" ht="23.25">
      <c r="A20" s="133" t="s">
        <v>427</v>
      </c>
      <c r="B20" s="142"/>
      <c r="C20" s="149"/>
      <c r="D20" s="149"/>
      <c r="E20" s="159"/>
      <c r="F20" s="142"/>
      <c r="G20" s="149"/>
      <c r="H20" s="168"/>
      <c r="I20" s="142"/>
      <c r="J20" s="149"/>
      <c r="K20" s="168"/>
      <c r="L20" s="159"/>
      <c r="M20" s="159"/>
      <c r="N20" s="168"/>
    </row>
    <row r="21" spans="1:14">
      <c r="A21" s="133"/>
      <c r="B21" s="142"/>
      <c r="C21" s="149"/>
      <c r="D21" s="149"/>
      <c r="E21" s="159"/>
      <c r="F21" s="142"/>
      <c r="G21" s="149"/>
      <c r="H21" s="168"/>
      <c r="I21" s="142"/>
      <c r="J21" s="149"/>
      <c r="K21" s="168"/>
      <c r="L21" s="159"/>
      <c r="M21" s="159"/>
      <c r="N21" s="168"/>
    </row>
    <row r="22" spans="1:14">
      <c r="A22" s="134" t="s">
        <v>428</v>
      </c>
      <c r="B22" s="142"/>
      <c r="C22" s="149"/>
      <c r="D22" s="149"/>
      <c r="E22" s="159"/>
      <c r="F22" s="142"/>
      <c r="G22" s="149"/>
      <c r="H22" s="168"/>
      <c r="I22" s="142"/>
      <c r="J22" s="149"/>
      <c r="K22" s="168"/>
      <c r="L22" s="159"/>
      <c r="M22" s="159"/>
      <c r="N22" s="168"/>
    </row>
    <row r="23" spans="1:14">
      <c r="A23" s="133" t="s">
        <v>429</v>
      </c>
      <c r="B23" s="142">
        <f>B24</f>
        <v>80640895</v>
      </c>
      <c r="C23" s="142">
        <f>C24</f>
        <v>84535256</v>
      </c>
      <c r="D23" s="149">
        <f>B23-C23</f>
        <v>-3894361</v>
      </c>
      <c r="E23" s="159"/>
      <c r="F23" s="142">
        <f>F24</f>
        <v>123101542</v>
      </c>
      <c r="G23" s="142">
        <f>G24</f>
        <v>93619013</v>
      </c>
      <c r="H23" s="168">
        <f>+F23-G23</f>
        <v>29482529</v>
      </c>
      <c r="I23" s="142"/>
      <c r="J23" s="149"/>
      <c r="K23" s="168"/>
      <c r="L23" s="159"/>
      <c r="M23" s="159"/>
      <c r="N23" s="168"/>
    </row>
    <row r="24" spans="1:14">
      <c r="A24" s="133" t="s">
        <v>430</v>
      </c>
      <c r="B24" s="127">
        <v>80640895</v>
      </c>
      <c r="C24" s="127">
        <v>84535256</v>
      </c>
      <c r="D24" s="149">
        <f t="shared" ref="D24:D32" si="0">B24-C24</f>
        <v>-3894361</v>
      </c>
      <c r="E24" s="159"/>
      <c r="F24" s="127">
        <v>123101542</v>
      </c>
      <c r="G24" s="142">
        <v>93619013</v>
      </c>
      <c r="H24" s="168">
        <f>+F24-G24</f>
        <v>29482529</v>
      </c>
      <c r="I24" s="142"/>
      <c r="J24" s="149"/>
      <c r="K24" s="168"/>
      <c r="L24" s="159"/>
      <c r="M24" s="159"/>
      <c r="N24" s="168"/>
    </row>
    <row r="25" spans="1:14">
      <c r="A25" s="133" t="s">
        <v>431</v>
      </c>
      <c r="B25" s="142"/>
      <c r="C25" s="149"/>
      <c r="D25" s="149"/>
      <c r="E25" s="159"/>
      <c r="F25" s="142"/>
      <c r="G25" s="149"/>
      <c r="H25" s="168"/>
      <c r="I25" s="142"/>
      <c r="J25" s="149"/>
      <c r="K25" s="168"/>
      <c r="L25" s="159"/>
      <c r="M25" s="159"/>
      <c r="N25" s="168"/>
    </row>
    <row r="26" spans="1:14">
      <c r="A26" s="133"/>
      <c r="B26" s="142"/>
      <c r="C26" s="149"/>
      <c r="D26" s="149"/>
      <c r="E26" s="159"/>
      <c r="F26" s="142"/>
      <c r="G26" s="149"/>
      <c r="H26" s="168"/>
      <c r="I26" s="142"/>
      <c r="J26" s="149"/>
      <c r="K26" s="168"/>
      <c r="L26" s="159"/>
      <c r="M26" s="159"/>
      <c r="N26" s="168"/>
    </row>
    <row r="27" spans="1:14">
      <c r="A27" s="134" t="s">
        <v>432</v>
      </c>
      <c r="B27" s="142"/>
      <c r="C27" s="149"/>
      <c r="D27" s="149"/>
      <c r="E27" s="159"/>
      <c r="F27" s="142"/>
      <c r="G27" s="149"/>
      <c r="H27" s="168"/>
      <c r="I27" s="142"/>
      <c r="J27" s="149"/>
      <c r="K27" s="168"/>
      <c r="L27" s="159"/>
      <c r="M27" s="159"/>
      <c r="N27" s="168"/>
    </row>
    <row r="28" spans="1:14">
      <c r="A28" s="133" t="s">
        <v>433</v>
      </c>
      <c r="B28" s="142">
        <f>B29</f>
        <v>112011092</v>
      </c>
      <c r="C28" s="142">
        <f>C29</f>
        <v>121999957</v>
      </c>
      <c r="D28" s="149">
        <f t="shared" si="0"/>
        <v>-9988865</v>
      </c>
      <c r="E28" s="159"/>
      <c r="F28" s="142">
        <f>F29</f>
        <v>120151950</v>
      </c>
      <c r="G28" s="142">
        <f>G29</f>
        <v>137106466</v>
      </c>
      <c r="H28" s="168">
        <f>+F28-G28</f>
        <v>-16954516</v>
      </c>
      <c r="I28" s="142"/>
      <c r="J28" s="149"/>
      <c r="K28" s="168"/>
      <c r="L28" s="159"/>
      <c r="M28" s="159"/>
      <c r="N28" s="168"/>
    </row>
    <row r="29" spans="1:14">
      <c r="A29" s="133" t="s">
        <v>430</v>
      </c>
      <c r="B29" s="142">
        <v>112011092</v>
      </c>
      <c r="C29" s="149">
        <v>121999957</v>
      </c>
      <c r="D29" s="149">
        <f t="shared" si="0"/>
        <v>-9988865</v>
      </c>
      <c r="E29" s="159"/>
      <c r="F29" s="142">
        <v>120151950</v>
      </c>
      <c r="G29" s="149">
        <v>137106466</v>
      </c>
      <c r="H29" s="168">
        <f>+F29-G29</f>
        <v>-16954516</v>
      </c>
      <c r="I29" s="142"/>
      <c r="J29" s="149"/>
      <c r="K29" s="168"/>
      <c r="L29" s="159"/>
      <c r="M29" s="159"/>
      <c r="N29" s="168"/>
    </row>
    <row r="30" spans="1:14">
      <c r="A30" s="133"/>
      <c r="B30" s="142"/>
      <c r="C30" s="149"/>
      <c r="D30" s="149"/>
      <c r="E30" s="159"/>
      <c r="F30" s="142"/>
      <c r="G30" s="149"/>
      <c r="H30" s="168"/>
      <c r="I30" s="142"/>
      <c r="J30" s="149"/>
      <c r="K30" s="168"/>
      <c r="L30" s="159"/>
      <c r="M30" s="159"/>
      <c r="N30" s="168"/>
    </row>
    <row r="31" spans="1:14">
      <c r="A31" s="134" t="s">
        <v>434</v>
      </c>
      <c r="B31" s="142">
        <f>B32</f>
        <v>101803023</v>
      </c>
      <c r="C31" s="149">
        <f>C32</f>
        <v>108738426</v>
      </c>
      <c r="D31" s="149">
        <f t="shared" si="0"/>
        <v>-6935403</v>
      </c>
      <c r="E31" s="159"/>
      <c r="F31" s="142">
        <f>F32</f>
        <v>106385336</v>
      </c>
      <c r="G31" s="149">
        <f>G32</f>
        <v>124383915</v>
      </c>
      <c r="H31" s="168">
        <f>+F31-G31</f>
        <v>-17998579</v>
      </c>
      <c r="I31" s="142"/>
      <c r="J31" s="149"/>
      <c r="K31" s="168"/>
      <c r="L31" s="159"/>
      <c r="M31" s="159"/>
      <c r="N31" s="168"/>
    </row>
    <row r="32" spans="1:14">
      <c r="A32" s="133" t="s">
        <v>435</v>
      </c>
      <c r="B32" s="142">
        <v>101803023</v>
      </c>
      <c r="C32" s="149">
        <v>108738426</v>
      </c>
      <c r="D32" s="149">
        <f t="shared" si="0"/>
        <v>-6935403</v>
      </c>
      <c r="E32" s="159"/>
      <c r="F32" s="142">
        <v>106385336</v>
      </c>
      <c r="G32" s="149">
        <v>124383915</v>
      </c>
      <c r="H32" s="168">
        <f>+F32-G32</f>
        <v>-17998579</v>
      </c>
      <c r="I32" s="142"/>
      <c r="J32" s="149"/>
      <c r="K32" s="168"/>
      <c r="L32" s="159"/>
      <c r="M32" s="159"/>
      <c r="N32" s="168"/>
    </row>
    <row r="33" spans="1:14">
      <c r="A33" s="133" t="s">
        <v>431</v>
      </c>
      <c r="B33" s="142"/>
      <c r="C33" s="149"/>
      <c r="D33" s="149"/>
      <c r="E33" s="159"/>
      <c r="F33" s="142"/>
      <c r="G33" s="149"/>
      <c r="H33" s="168"/>
      <c r="I33" s="142"/>
      <c r="J33" s="149"/>
      <c r="K33" s="168"/>
      <c r="L33" s="159"/>
      <c r="M33" s="159"/>
      <c r="N33" s="168"/>
    </row>
    <row r="34" spans="1:14">
      <c r="A34" s="133" t="s">
        <v>436</v>
      </c>
      <c r="B34" s="142"/>
      <c r="C34" s="149"/>
      <c r="D34" s="149"/>
      <c r="E34" s="159"/>
      <c r="F34" s="142"/>
      <c r="G34" s="149"/>
      <c r="H34" s="168"/>
      <c r="I34" s="142"/>
      <c r="J34" s="149"/>
      <c r="K34" s="168"/>
      <c r="L34" s="159"/>
      <c r="M34" s="159"/>
      <c r="N34" s="168"/>
    </row>
    <row r="35" spans="1:14">
      <c r="A35" s="133" t="s">
        <v>437</v>
      </c>
      <c r="B35" s="142"/>
      <c r="C35" s="149"/>
      <c r="D35" s="149"/>
      <c r="E35" s="159"/>
      <c r="F35" s="142"/>
      <c r="G35" s="149"/>
      <c r="H35" s="168"/>
      <c r="I35" s="142"/>
      <c r="J35" s="149"/>
      <c r="K35" s="168"/>
      <c r="L35" s="159"/>
      <c r="M35" s="159"/>
      <c r="N35" s="168"/>
    </row>
    <row r="36" spans="1:14">
      <c r="A36" s="133"/>
      <c r="B36" s="142"/>
      <c r="C36" s="149"/>
      <c r="D36" s="149"/>
      <c r="E36" s="159"/>
      <c r="F36" s="142"/>
      <c r="G36" s="149"/>
      <c r="H36" s="168"/>
      <c r="I36" s="142"/>
      <c r="J36" s="149"/>
      <c r="K36" s="168"/>
      <c r="L36" s="159"/>
      <c r="M36" s="159"/>
      <c r="N36" s="168"/>
    </row>
    <row r="37" spans="1:14">
      <c r="A37" s="134" t="s">
        <v>438</v>
      </c>
      <c r="B37" s="142"/>
      <c r="C37" s="149"/>
      <c r="D37" s="149"/>
      <c r="E37" s="159"/>
      <c r="F37" s="142"/>
      <c r="G37" s="149"/>
      <c r="H37" s="168"/>
      <c r="I37" s="142"/>
      <c r="J37" s="149"/>
      <c r="K37" s="168"/>
      <c r="L37" s="159"/>
      <c r="M37" s="159"/>
      <c r="N37" s="168"/>
    </row>
    <row r="38" spans="1:14">
      <c r="A38" s="133" t="s">
        <v>439</v>
      </c>
      <c r="B38" s="142"/>
      <c r="C38" s="149"/>
      <c r="D38" s="149"/>
      <c r="E38" s="159"/>
      <c r="F38" s="142"/>
      <c r="G38" s="149"/>
      <c r="H38" s="168"/>
      <c r="I38" s="142"/>
      <c r="J38" s="149"/>
      <c r="K38" s="168"/>
      <c r="L38" s="159"/>
      <c r="M38" s="159"/>
      <c r="N38" s="168"/>
    </row>
    <row r="39" spans="1:14">
      <c r="A39" s="133" t="s">
        <v>440</v>
      </c>
      <c r="B39" s="142"/>
      <c r="C39" s="149"/>
      <c r="D39" s="149"/>
      <c r="E39" s="159"/>
      <c r="F39" s="142"/>
      <c r="G39" s="149"/>
      <c r="H39" s="168"/>
      <c r="I39" s="142"/>
      <c r="J39" s="149"/>
      <c r="K39" s="168"/>
      <c r="L39" s="159"/>
      <c r="M39" s="159"/>
      <c r="N39" s="168"/>
    </row>
    <row r="40" spans="1:14" ht="23.25">
      <c r="A40" s="133" t="s">
        <v>441</v>
      </c>
      <c r="B40" s="142"/>
      <c r="C40" s="149"/>
      <c r="D40" s="149"/>
      <c r="E40" s="159"/>
      <c r="F40" s="142"/>
      <c r="G40" s="149"/>
      <c r="H40" s="168"/>
      <c r="I40" s="142"/>
      <c r="J40" s="149"/>
      <c r="K40" s="168"/>
      <c r="L40" s="159"/>
      <c r="M40" s="159"/>
      <c r="N40" s="168"/>
    </row>
    <row r="41" spans="1:14" ht="23.25">
      <c r="A41" s="133" t="s">
        <v>442</v>
      </c>
      <c r="B41" s="142"/>
      <c r="C41" s="149"/>
      <c r="D41" s="149"/>
      <c r="E41" s="159"/>
      <c r="F41" s="142"/>
      <c r="G41" s="149"/>
      <c r="H41" s="168"/>
      <c r="I41" s="142"/>
      <c r="J41" s="149"/>
      <c r="K41" s="168"/>
      <c r="L41" s="159"/>
      <c r="M41" s="159"/>
      <c r="N41" s="168"/>
    </row>
    <row r="42" spans="1:14">
      <c r="A42" s="133"/>
      <c r="B42" s="142"/>
      <c r="C42" s="149"/>
      <c r="D42" s="149"/>
      <c r="E42" s="159"/>
      <c r="F42" s="142"/>
      <c r="G42" s="149"/>
      <c r="H42" s="168"/>
      <c r="I42" s="142"/>
      <c r="J42" s="149"/>
      <c r="K42" s="168"/>
      <c r="L42" s="159"/>
      <c r="M42" s="159"/>
      <c r="N42" s="168"/>
    </row>
    <row r="43" spans="1:14">
      <c r="A43" s="134" t="s">
        <v>443</v>
      </c>
      <c r="B43" s="142"/>
      <c r="C43" s="149"/>
      <c r="D43" s="149"/>
      <c r="E43" s="159"/>
      <c r="F43" s="142"/>
      <c r="G43" s="149"/>
      <c r="H43" s="168"/>
      <c r="I43" s="142"/>
      <c r="J43" s="149"/>
      <c r="K43" s="168"/>
      <c r="L43" s="159"/>
      <c r="M43" s="159"/>
      <c r="N43" s="168"/>
    </row>
    <row r="44" spans="1:14">
      <c r="A44" s="133" t="s">
        <v>444</v>
      </c>
      <c r="B44" s="142"/>
      <c r="C44" s="149"/>
      <c r="D44" s="149"/>
      <c r="E44" s="159"/>
      <c r="F44" s="142"/>
      <c r="G44" s="149"/>
      <c r="H44" s="168"/>
      <c r="I44" s="142"/>
      <c r="J44" s="149"/>
      <c r="K44" s="168"/>
      <c r="L44" s="159"/>
      <c r="M44" s="159"/>
      <c r="N44" s="168"/>
    </row>
    <row r="45" spans="1:14" ht="23.25">
      <c r="A45" s="133" t="s">
        <v>445</v>
      </c>
      <c r="B45" s="142"/>
      <c r="C45" s="149"/>
      <c r="D45" s="149"/>
      <c r="E45" s="159"/>
      <c r="F45" s="142"/>
      <c r="G45" s="149"/>
      <c r="H45" s="168"/>
      <c r="I45" s="142"/>
      <c r="J45" s="149"/>
      <c r="K45" s="168"/>
      <c r="L45" s="159"/>
      <c r="M45" s="159"/>
      <c r="N45" s="168"/>
    </row>
    <row r="46" spans="1:14" ht="15.75" thickBot="1">
      <c r="A46" s="135"/>
      <c r="B46" s="142"/>
      <c r="C46" s="149"/>
      <c r="D46" s="149"/>
      <c r="E46" s="159"/>
      <c r="F46" s="142"/>
      <c r="G46" s="149"/>
      <c r="H46" s="168"/>
      <c r="I46" s="142"/>
      <c r="J46" s="149"/>
      <c r="K46" s="168"/>
      <c r="L46" s="159"/>
      <c r="M46" s="159"/>
      <c r="N46" s="168"/>
    </row>
    <row r="47" spans="1:14">
      <c r="A47" s="136"/>
      <c r="B47" s="143"/>
      <c r="C47" s="150"/>
      <c r="D47" s="153"/>
      <c r="E47" s="160"/>
      <c r="F47" s="143"/>
      <c r="G47" s="163"/>
      <c r="H47" s="160"/>
      <c r="I47" s="143"/>
      <c r="J47" s="150"/>
      <c r="K47" s="169"/>
      <c r="L47" s="163"/>
      <c r="M47" s="163"/>
      <c r="N47" s="160"/>
    </row>
    <row r="48" spans="1:14" ht="15.75" thickBot="1">
      <c r="A48" s="137" t="s">
        <v>0</v>
      </c>
      <c r="B48" s="144"/>
      <c r="C48" s="151"/>
      <c r="D48" s="154"/>
      <c r="E48" s="161"/>
      <c r="F48" s="144"/>
      <c r="G48" s="164"/>
      <c r="H48" s="161"/>
      <c r="I48" s="144"/>
      <c r="J48" s="151"/>
      <c r="K48" s="170"/>
      <c r="L48" s="164"/>
      <c r="M48" s="164"/>
      <c r="N48" s="161"/>
    </row>
    <row r="49" spans="1:14" ht="16.5" thickTop="1" thickBot="1">
      <c r="A49" s="138" t="s">
        <v>446</v>
      </c>
      <c r="B49" s="145"/>
      <c r="C49" s="152"/>
      <c r="D49" s="155"/>
      <c r="E49" s="162"/>
      <c r="F49" s="145"/>
      <c r="G49" s="165"/>
      <c r="H49" s="162"/>
      <c r="I49" s="145"/>
      <c r="J49" s="152"/>
      <c r="K49" s="171"/>
      <c r="L49" s="165"/>
      <c r="M49" s="165"/>
      <c r="N49" s="162"/>
    </row>
    <row r="50" spans="1:14">
      <c r="A50" s="54" t="s">
        <v>447</v>
      </c>
      <c r="B50" s="54"/>
      <c r="C50" s="54"/>
      <c r="D50" s="54"/>
      <c r="E50" s="54"/>
      <c r="F50" s="54"/>
      <c r="G50" s="54"/>
      <c r="H50" s="54"/>
      <c r="I50" s="54"/>
      <c r="J50" s="54"/>
      <c r="K50" s="54"/>
      <c r="L50" s="54"/>
      <c r="M50" s="54"/>
      <c r="N50" s="54"/>
    </row>
    <row r="51" spans="1:14">
      <c r="A51" s="54" t="s">
        <v>448</v>
      </c>
      <c r="B51" s="54"/>
      <c r="C51" s="54"/>
      <c r="D51" s="54"/>
      <c r="E51" s="54"/>
      <c r="F51" s="54"/>
      <c r="G51" s="54"/>
      <c r="H51" s="54"/>
      <c r="I51" s="54"/>
      <c r="J51" s="54"/>
      <c r="K51" s="54"/>
      <c r="L51" s="54"/>
      <c r="M51" s="54"/>
      <c r="N51" s="54"/>
    </row>
    <row r="52" spans="1:14">
      <c r="A52" s="102"/>
      <c r="B52" s="102"/>
      <c r="C52" s="102"/>
      <c r="D52" s="102"/>
      <c r="E52" s="102"/>
      <c r="F52" s="102"/>
      <c r="G52" s="102"/>
      <c r="H52" s="102"/>
      <c r="I52" s="102"/>
      <c r="J52" s="102"/>
      <c r="K52" s="102"/>
      <c r="L52" s="102"/>
      <c r="M52" s="102"/>
      <c r="N52" s="102"/>
    </row>
  </sheetData>
  <mergeCells count="4">
    <mergeCell ref="F3:H3"/>
    <mergeCell ref="I3:N3"/>
    <mergeCell ref="A3:A4"/>
    <mergeCell ref="B3:E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5"/>
  <sheetViews>
    <sheetView workbookViewId="0">
      <selection activeCell="Q13" sqref="Q13"/>
    </sheetView>
  </sheetViews>
  <sheetFormatPr baseColWidth="10" defaultRowHeight="15"/>
  <cols>
    <col min="1" max="1" width="16.7109375" customWidth="1"/>
  </cols>
  <sheetData>
    <row r="1" spans="1:14">
      <c r="A1" s="128" t="s">
        <v>412</v>
      </c>
      <c r="B1" s="128"/>
      <c r="C1" s="128"/>
      <c r="D1" s="128"/>
      <c r="E1" s="128"/>
      <c r="F1" s="128"/>
      <c r="G1" s="128"/>
      <c r="H1" s="128"/>
      <c r="I1" s="128"/>
      <c r="J1" s="128"/>
      <c r="K1" s="128"/>
      <c r="L1" s="128"/>
      <c r="M1" s="128"/>
      <c r="N1" s="128"/>
    </row>
    <row r="2" spans="1:14">
      <c r="A2" s="35" t="s">
        <v>456</v>
      </c>
      <c r="B2" s="128"/>
      <c r="C2" s="128"/>
      <c r="D2" s="128"/>
      <c r="E2" s="128"/>
      <c r="F2" s="128"/>
      <c r="G2" s="128"/>
      <c r="H2" s="128"/>
      <c r="I2" s="128"/>
      <c r="J2" s="128"/>
      <c r="K2" s="128"/>
      <c r="L2" s="128"/>
      <c r="M2" s="128"/>
      <c r="N2" s="128"/>
    </row>
    <row r="3" spans="1:14">
      <c r="A3" s="35" t="s">
        <v>457</v>
      </c>
      <c r="B3" s="35"/>
      <c r="C3" s="35"/>
      <c r="D3" s="35"/>
      <c r="E3" s="35"/>
      <c r="F3" s="35"/>
      <c r="G3" s="35"/>
      <c r="H3" s="35"/>
      <c r="I3" s="35"/>
      <c r="J3" s="35"/>
      <c r="K3" s="35"/>
      <c r="L3" s="35"/>
      <c r="M3" s="35"/>
      <c r="N3" s="35"/>
    </row>
    <row r="4" spans="1:14">
      <c r="A4" s="1295" t="s">
        <v>414</v>
      </c>
      <c r="B4" s="1297" t="s">
        <v>449</v>
      </c>
      <c r="C4" s="1296"/>
      <c r="D4" s="1296"/>
      <c r="E4" s="1296"/>
      <c r="F4" s="1297" t="s">
        <v>452</v>
      </c>
      <c r="G4" s="1296"/>
      <c r="H4" s="1296"/>
      <c r="I4" s="1297" t="s">
        <v>453</v>
      </c>
      <c r="J4" s="1296"/>
      <c r="K4" s="1296"/>
      <c r="L4" s="1296"/>
      <c r="M4" s="1296"/>
      <c r="N4" s="1296"/>
    </row>
    <row r="5" spans="1:14" ht="45.6" customHeight="1">
      <c r="A5" s="1296"/>
      <c r="B5" s="179">
        <v>2019</v>
      </c>
      <c r="C5" s="179">
        <v>2020</v>
      </c>
      <c r="D5" s="179" t="s">
        <v>450</v>
      </c>
      <c r="E5" s="179" t="s">
        <v>451</v>
      </c>
      <c r="F5" s="179">
        <v>2019</v>
      </c>
      <c r="G5" s="179">
        <v>2020</v>
      </c>
      <c r="H5" s="179" t="s">
        <v>450</v>
      </c>
      <c r="I5" s="179">
        <v>2019</v>
      </c>
      <c r="J5" s="179" t="s">
        <v>273</v>
      </c>
      <c r="K5" s="179" t="s">
        <v>450</v>
      </c>
      <c r="L5" s="179" t="s">
        <v>454</v>
      </c>
      <c r="M5" s="179" t="s">
        <v>451</v>
      </c>
      <c r="N5" s="179" t="s">
        <v>455</v>
      </c>
    </row>
    <row r="6" spans="1:14">
      <c r="A6" s="181"/>
      <c r="B6" s="182"/>
      <c r="C6" s="182"/>
      <c r="D6" s="182"/>
      <c r="E6" s="182"/>
      <c r="F6" s="182"/>
      <c r="G6" s="182"/>
      <c r="H6" s="182"/>
      <c r="I6" s="182"/>
      <c r="J6" s="182"/>
      <c r="K6" s="182"/>
      <c r="L6" s="182"/>
      <c r="M6" s="182"/>
      <c r="N6" s="182"/>
    </row>
    <row r="7" spans="1:14" ht="34.5">
      <c r="A7" s="183" t="s">
        <v>415</v>
      </c>
      <c r="B7" s="184"/>
      <c r="C7" s="184"/>
      <c r="D7" s="184"/>
      <c r="E7" s="184"/>
      <c r="F7" s="184"/>
      <c r="G7" s="184"/>
      <c r="H7" s="184"/>
      <c r="I7" s="184"/>
      <c r="J7" s="184"/>
      <c r="K7" s="184"/>
      <c r="L7" s="184"/>
      <c r="M7" s="184"/>
      <c r="N7" s="184"/>
    </row>
    <row r="8" spans="1:14">
      <c r="A8" s="185" t="s">
        <v>416</v>
      </c>
      <c r="B8" s="186"/>
      <c r="C8" s="186"/>
      <c r="D8" s="186"/>
      <c r="E8" s="186"/>
      <c r="F8" s="186"/>
      <c r="G8" s="186"/>
      <c r="H8" s="186"/>
      <c r="I8" s="186"/>
      <c r="J8" s="186"/>
      <c r="K8" s="186"/>
      <c r="L8" s="186"/>
      <c r="M8" s="186"/>
      <c r="N8" s="186"/>
    </row>
    <row r="9" spans="1:14">
      <c r="A9" s="187"/>
      <c r="B9" s="186"/>
      <c r="C9" s="186"/>
      <c r="D9" s="186"/>
      <c r="E9" s="186"/>
      <c r="F9" s="186"/>
      <c r="G9" s="186"/>
      <c r="H9" s="186"/>
      <c r="I9" s="186"/>
      <c r="J9" s="186"/>
      <c r="K9" s="186"/>
      <c r="L9" s="186"/>
      <c r="M9" s="186"/>
      <c r="N9" s="186"/>
    </row>
    <row r="10" spans="1:14">
      <c r="A10" s="183" t="s">
        <v>417</v>
      </c>
      <c r="B10" s="186"/>
      <c r="C10" s="186"/>
      <c r="D10" s="186"/>
      <c r="E10" s="186"/>
      <c r="F10" s="186"/>
      <c r="G10" s="186"/>
      <c r="H10" s="186"/>
      <c r="I10" s="186"/>
      <c r="J10" s="186"/>
      <c r="K10" s="186"/>
      <c r="L10" s="186"/>
      <c r="M10" s="186"/>
      <c r="N10" s="186"/>
    </row>
    <row r="11" spans="1:14">
      <c r="A11" s="188" t="s">
        <v>418</v>
      </c>
      <c r="B11" s="186">
        <v>803439</v>
      </c>
      <c r="C11" s="186">
        <v>803439</v>
      </c>
      <c r="D11" s="186">
        <f>SUM(C11-B11)</f>
        <v>0</v>
      </c>
      <c r="E11" s="186">
        <v>925791</v>
      </c>
      <c r="F11" s="186">
        <v>803439</v>
      </c>
      <c r="G11" s="186">
        <v>818439</v>
      </c>
      <c r="H11" s="186">
        <f>SUM(G11-F11)</f>
        <v>15000</v>
      </c>
      <c r="I11" s="186">
        <v>102546</v>
      </c>
      <c r="J11" s="186">
        <v>38371</v>
      </c>
      <c r="K11" s="186">
        <f>SUM(I11-J11)</f>
        <v>64175</v>
      </c>
      <c r="L11" s="186"/>
      <c r="M11" s="186">
        <v>78752</v>
      </c>
      <c r="N11" s="186">
        <f>SUM(J11-M11)</f>
        <v>-40381</v>
      </c>
    </row>
    <row r="12" spans="1:14">
      <c r="A12" s="188" t="s">
        <v>419</v>
      </c>
      <c r="B12" s="186">
        <v>4993553</v>
      </c>
      <c r="C12" s="186">
        <v>5617997</v>
      </c>
      <c r="D12" s="186">
        <f>SUM(C12-B12)</f>
        <v>624444</v>
      </c>
      <c r="E12" s="186">
        <v>6089173</v>
      </c>
      <c r="F12" s="186">
        <v>6222727</v>
      </c>
      <c r="G12" s="186">
        <v>5289213</v>
      </c>
      <c r="H12" s="186">
        <f>SUM(G12-F12)</f>
        <v>-933514</v>
      </c>
      <c r="I12" s="186">
        <v>17038</v>
      </c>
      <c r="J12" s="186">
        <v>6405</v>
      </c>
      <c r="K12" s="186">
        <f>SUM(I12-J12)</f>
        <v>10633</v>
      </c>
      <c r="L12" s="186"/>
      <c r="M12" s="186">
        <v>71010</v>
      </c>
      <c r="N12" s="186">
        <f>SUM(J12-M12)</f>
        <v>-64605</v>
      </c>
    </row>
    <row r="13" spans="1:14">
      <c r="A13" s="188" t="s">
        <v>420</v>
      </c>
      <c r="B13" s="186"/>
      <c r="C13" s="186"/>
      <c r="D13" s="186"/>
      <c r="E13" s="186"/>
      <c r="F13" s="186"/>
      <c r="G13" s="186"/>
      <c r="H13" s="186"/>
      <c r="I13" s="186"/>
      <c r="J13" s="186"/>
      <c r="K13" s="186"/>
      <c r="L13" s="186"/>
      <c r="M13" s="186"/>
      <c r="N13" s="186"/>
    </row>
    <row r="14" spans="1:14">
      <c r="A14" s="188" t="s">
        <v>421</v>
      </c>
      <c r="B14" s="186"/>
      <c r="C14" s="186"/>
      <c r="D14" s="186"/>
      <c r="E14" s="186"/>
      <c r="F14" s="186"/>
      <c r="G14" s="186"/>
      <c r="H14" s="186"/>
      <c r="I14" s="186"/>
      <c r="J14" s="186"/>
      <c r="K14" s="186"/>
      <c r="L14" s="186"/>
      <c r="M14" s="186"/>
      <c r="N14" s="186"/>
    </row>
    <row r="15" spans="1:14">
      <c r="A15" s="188"/>
      <c r="B15" s="184"/>
      <c r="C15" s="184"/>
      <c r="D15" s="184"/>
      <c r="E15" s="184"/>
      <c r="F15" s="184"/>
      <c r="G15" s="184"/>
      <c r="H15" s="184"/>
      <c r="I15" s="184"/>
      <c r="J15" s="184"/>
      <c r="K15" s="184"/>
      <c r="L15" s="184"/>
      <c r="M15" s="184"/>
      <c r="N15" s="184"/>
    </row>
    <row r="16" spans="1:14">
      <c r="A16" s="183" t="s">
        <v>422</v>
      </c>
      <c r="B16" s="186"/>
      <c r="C16" s="186"/>
      <c r="D16" s="186"/>
      <c r="E16" s="186"/>
      <c r="F16" s="186"/>
      <c r="G16" s="186"/>
      <c r="H16" s="186"/>
      <c r="I16" s="186"/>
      <c r="J16" s="186"/>
      <c r="K16" s="186"/>
      <c r="L16" s="186"/>
      <c r="M16" s="186"/>
      <c r="N16" s="186"/>
    </row>
    <row r="17" spans="1:14">
      <c r="A17" s="188" t="s">
        <v>423</v>
      </c>
      <c r="B17" s="186">
        <v>1062266</v>
      </c>
      <c r="C17" s="186">
        <v>1274565</v>
      </c>
      <c r="D17" s="186">
        <f>SUM(C17-B17)</f>
        <v>212299</v>
      </c>
      <c r="E17" s="186">
        <v>1219213</v>
      </c>
      <c r="F17" s="186">
        <v>1262266</v>
      </c>
      <c r="G17" s="186">
        <v>1204662</v>
      </c>
      <c r="H17" s="186">
        <f>SUM(G17-F17)</f>
        <v>-57604</v>
      </c>
      <c r="I17" s="186">
        <v>13545</v>
      </c>
      <c r="J17" s="186">
        <v>2718</v>
      </c>
      <c r="K17" s="186">
        <f>SUM(I17-J17)</f>
        <v>10827</v>
      </c>
      <c r="L17" s="186"/>
      <c r="M17" s="186">
        <v>10700</v>
      </c>
      <c r="N17" s="186">
        <f>SUM(J17-M17)</f>
        <v>-7982</v>
      </c>
    </row>
    <row r="18" spans="1:14">
      <c r="A18" s="188" t="s">
        <v>424</v>
      </c>
      <c r="B18" s="186"/>
      <c r="C18" s="186"/>
      <c r="D18" s="186"/>
      <c r="E18" s="186"/>
      <c r="F18" s="186"/>
      <c r="G18" s="186"/>
      <c r="H18" s="186"/>
      <c r="I18" s="186"/>
      <c r="J18" s="186"/>
      <c r="K18" s="186"/>
      <c r="L18" s="186"/>
      <c r="M18" s="186"/>
      <c r="N18" s="186"/>
    </row>
    <row r="19" spans="1:14">
      <c r="A19" s="188" t="s">
        <v>425</v>
      </c>
      <c r="B19" s="186"/>
      <c r="C19" s="186"/>
      <c r="D19" s="186"/>
      <c r="E19" s="186"/>
      <c r="F19" s="186"/>
      <c r="G19" s="186"/>
      <c r="H19" s="186"/>
      <c r="I19" s="186"/>
      <c r="J19" s="186"/>
      <c r="K19" s="186"/>
      <c r="L19" s="186"/>
      <c r="M19" s="186"/>
      <c r="N19" s="186"/>
    </row>
    <row r="20" spans="1:14">
      <c r="A20" s="188" t="s">
        <v>426</v>
      </c>
      <c r="B20" s="186"/>
      <c r="C20" s="186"/>
      <c r="D20" s="186"/>
      <c r="E20" s="186"/>
      <c r="F20" s="186"/>
      <c r="G20" s="186"/>
      <c r="H20" s="186"/>
      <c r="I20" s="186"/>
      <c r="J20" s="186"/>
      <c r="K20" s="186"/>
      <c r="L20" s="186"/>
      <c r="M20" s="186"/>
      <c r="N20" s="186"/>
    </row>
    <row r="21" spans="1:14" ht="45.75">
      <c r="A21" s="188" t="s">
        <v>427</v>
      </c>
      <c r="B21" s="186"/>
      <c r="C21" s="186"/>
      <c r="D21" s="186"/>
      <c r="E21" s="186"/>
      <c r="F21" s="186"/>
      <c r="G21" s="186"/>
      <c r="H21" s="186"/>
      <c r="I21" s="186"/>
      <c r="J21" s="186"/>
      <c r="K21" s="186"/>
      <c r="L21" s="186"/>
      <c r="M21" s="186"/>
      <c r="N21" s="186"/>
    </row>
    <row r="22" spans="1:14">
      <c r="A22" s="188"/>
      <c r="B22" s="186"/>
      <c r="C22" s="186"/>
      <c r="D22" s="186"/>
      <c r="E22" s="186"/>
      <c r="F22" s="186"/>
      <c r="G22" s="186"/>
      <c r="H22" s="186"/>
      <c r="I22" s="186"/>
      <c r="J22" s="186"/>
      <c r="K22" s="186"/>
      <c r="L22" s="186"/>
      <c r="M22" s="186"/>
      <c r="N22" s="186"/>
    </row>
    <row r="23" spans="1:14">
      <c r="A23" s="189" t="s">
        <v>428</v>
      </c>
      <c r="B23" s="186"/>
      <c r="C23" s="186"/>
      <c r="D23" s="186"/>
      <c r="E23" s="186"/>
      <c r="F23" s="186"/>
      <c r="G23" s="186"/>
      <c r="H23" s="186"/>
      <c r="I23" s="186"/>
      <c r="J23" s="186"/>
      <c r="K23" s="186"/>
      <c r="L23" s="186"/>
      <c r="M23" s="186"/>
      <c r="N23" s="186"/>
    </row>
    <row r="24" spans="1:14">
      <c r="A24" s="188" t="s">
        <v>429</v>
      </c>
      <c r="B24" s="186"/>
      <c r="C24" s="186"/>
      <c r="D24" s="186"/>
      <c r="E24" s="186"/>
      <c r="F24" s="186"/>
      <c r="G24" s="186"/>
      <c r="H24" s="186"/>
      <c r="I24" s="186"/>
      <c r="J24" s="186"/>
      <c r="K24" s="186"/>
      <c r="L24" s="186"/>
      <c r="M24" s="186"/>
      <c r="N24" s="186"/>
    </row>
    <row r="25" spans="1:14">
      <c r="A25" s="188" t="s">
        <v>430</v>
      </c>
      <c r="B25" s="186"/>
      <c r="C25" s="186"/>
      <c r="D25" s="186"/>
      <c r="E25" s="186"/>
      <c r="F25" s="186"/>
      <c r="G25" s="186"/>
      <c r="H25" s="186"/>
      <c r="I25" s="186"/>
      <c r="J25" s="186"/>
      <c r="K25" s="186"/>
      <c r="L25" s="186"/>
      <c r="M25" s="186"/>
      <c r="N25" s="186"/>
    </row>
    <row r="26" spans="1:14">
      <c r="A26" s="188" t="s">
        <v>431</v>
      </c>
      <c r="B26" s="186"/>
      <c r="C26" s="186"/>
      <c r="D26" s="186"/>
      <c r="E26" s="186"/>
      <c r="F26" s="186"/>
      <c r="G26" s="186"/>
      <c r="H26" s="186"/>
      <c r="I26" s="186"/>
      <c r="J26" s="186"/>
      <c r="K26" s="186"/>
      <c r="L26" s="186"/>
      <c r="M26" s="186"/>
      <c r="N26" s="186"/>
    </row>
    <row r="27" spans="1:14">
      <c r="A27" s="188"/>
      <c r="B27" s="186"/>
      <c r="C27" s="186"/>
      <c r="D27" s="186"/>
      <c r="E27" s="186"/>
      <c r="F27" s="186"/>
      <c r="G27" s="186"/>
      <c r="H27" s="186"/>
      <c r="I27" s="186"/>
      <c r="J27" s="186"/>
      <c r="K27" s="186"/>
      <c r="L27" s="186"/>
      <c r="M27" s="186"/>
      <c r="N27" s="186"/>
    </row>
    <row r="28" spans="1:14">
      <c r="A28" s="189" t="s">
        <v>432</v>
      </c>
      <c r="B28" s="186"/>
      <c r="C28" s="186"/>
      <c r="D28" s="186"/>
      <c r="E28" s="186"/>
      <c r="F28" s="186"/>
      <c r="G28" s="186"/>
      <c r="H28" s="186"/>
      <c r="I28" s="186"/>
      <c r="J28" s="186"/>
      <c r="K28" s="186"/>
      <c r="L28" s="186"/>
      <c r="M28" s="186"/>
      <c r="N28" s="186"/>
    </row>
    <row r="29" spans="1:14">
      <c r="A29" s="188" t="s">
        <v>433</v>
      </c>
      <c r="B29" s="186"/>
      <c r="C29" s="186"/>
      <c r="D29" s="186"/>
      <c r="E29" s="186"/>
      <c r="F29" s="186"/>
      <c r="G29" s="186"/>
      <c r="H29" s="186"/>
      <c r="I29" s="186"/>
      <c r="J29" s="186"/>
      <c r="K29" s="186"/>
      <c r="L29" s="186"/>
      <c r="M29" s="186"/>
      <c r="N29" s="186"/>
    </row>
    <row r="30" spans="1:14">
      <c r="A30" s="188" t="s">
        <v>430</v>
      </c>
      <c r="B30" s="186"/>
      <c r="C30" s="186"/>
      <c r="D30" s="186"/>
      <c r="E30" s="186"/>
      <c r="F30" s="186"/>
      <c r="G30" s="186"/>
      <c r="H30" s="186"/>
      <c r="I30" s="186"/>
      <c r="J30" s="186"/>
      <c r="K30" s="186"/>
      <c r="L30" s="186"/>
      <c r="M30" s="186"/>
      <c r="N30" s="186"/>
    </row>
    <row r="31" spans="1:14">
      <c r="A31" s="188"/>
      <c r="B31" s="186"/>
      <c r="C31" s="186"/>
      <c r="D31" s="186"/>
      <c r="E31" s="186"/>
      <c r="F31" s="186"/>
      <c r="G31" s="186"/>
      <c r="H31" s="186"/>
      <c r="I31" s="186"/>
      <c r="J31" s="186"/>
      <c r="K31" s="186"/>
      <c r="L31" s="186"/>
      <c r="M31" s="186"/>
      <c r="N31" s="186"/>
    </row>
    <row r="32" spans="1:14">
      <c r="A32" s="189" t="s">
        <v>434</v>
      </c>
      <c r="B32" s="186"/>
      <c r="C32" s="186"/>
      <c r="D32" s="186"/>
      <c r="E32" s="186"/>
      <c r="F32" s="186"/>
      <c r="G32" s="186"/>
      <c r="H32" s="186"/>
      <c r="I32" s="186"/>
      <c r="J32" s="186"/>
      <c r="K32" s="186"/>
      <c r="L32" s="186"/>
      <c r="M32" s="186"/>
      <c r="N32" s="186"/>
    </row>
    <row r="33" spans="1:14">
      <c r="A33" s="188" t="s">
        <v>435</v>
      </c>
      <c r="B33" s="186"/>
      <c r="C33" s="186"/>
      <c r="D33" s="186"/>
      <c r="E33" s="186"/>
      <c r="F33" s="186"/>
      <c r="G33" s="186"/>
      <c r="H33" s="186"/>
      <c r="I33" s="186"/>
      <c r="J33" s="186"/>
      <c r="K33" s="186"/>
      <c r="L33" s="186"/>
      <c r="M33" s="186"/>
      <c r="N33" s="186"/>
    </row>
    <row r="34" spans="1:14">
      <c r="A34" s="188" t="s">
        <v>431</v>
      </c>
      <c r="B34" s="186"/>
      <c r="C34" s="186"/>
      <c r="D34" s="186"/>
      <c r="E34" s="186"/>
      <c r="F34" s="186"/>
      <c r="G34" s="186"/>
      <c r="H34" s="186"/>
      <c r="I34" s="186"/>
      <c r="J34" s="186"/>
      <c r="K34" s="186"/>
      <c r="L34" s="186"/>
      <c r="M34" s="186"/>
      <c r="N34" s="186"/>
    </row>
    <row r="35" spans="1:14">
      <c r="A35" s="188" t="s">
        <v>436</v>
      </c>
      <c r="B35" s="186"/>
      <c r="C35" s="186"/>
      <c r="D35" s="186"/>
      <c r="E35" s="186"/>
      <c r="F35" s="186"/>
      <c r="G35" s="186"/>
      <c r="H35" s="186"/>
      <c r="I35" s="186"/>
      <c r="J35" s="186"/>
      <c r="K35" s="186"/>
      <c r="L35" s="186"/>
      <c r="M35" s="186"/>
      <c r="N35" s="186"/>
    </row>
    <row r="36" spans="1:14">
      <c r="A36" s="188" t="s">
        <v>437</v>
      </c>
      <c r="B36" s="186"/>
      <c r="C36" s="186"/>
      <c r="D36" s="186"/>
      <c r="E36" s="186"/>
      <c r="F36" s="186"/>
      <c r="G36" s="186"/>
      <c r="H36" s="186"/>
      <c r="I36" s="186"/>
      <c r="J36" s="186"/>
      <c r="K36" s="186"/>
      <c r="L36" s="186"/>
      <c r="M36" s="186"/>
      <c r="N36" s="186"/>
    </row>
    <row r="37" spans="1:14">
      <c r="A37" s="188"/>
      <c r="B37" s="186"/>
      <c r="C37" s="186"/>
      <c r="D37" s="186"/>
      <c r="E37" s="186"/>
      <c r="F37" s="186"/>
      <c r="G37" s="186"/>
      <c r="H37" s="186"/>
      <c r="I37" s="186"/>
      <c r="J37" s="186"/>
      <c r="K37" s="186"/>
      <c r="L37" s="186"/>
      <c r="M37" s="186"/>
      <c r="N37" s="186"/>
    </row>
    <row r="38" spans="1:14">
      <c r="A38" s="189" t="s">
        <v>438</v>
      </c>
      <c r="B38" s="186"/>
      <c r="C38" s="186"/>
      <c r="D38" s="186"/>
      <c r="E38" s="186"/>
      <c r="F38" s="186"/>
      <c r="G38" s="186"/>
      <c r="H38" s="186"/>
      <c r="I38" s="186"/>
      <c r="J38" s="186"/>
      <c r="K38" s="186"/>
      <c r="L38" s="186"/>
      <c r="M38" s="186"/>
      <c r="N38" s="186"/>
    </row>
    <row r="39" spans="1:14">
      <c r="A39" s="188" t="s">
        <v>439</v>
      </c>
      <c r="B39" s="186"/>
      <c r="C39" s="186"/>
      <c r="D39" s="186"/>
      <c r="E39" s="186"/>
      <c r="F39" s="186"/>
      <c r="G39" s="186"/>
      <c r="H39" s="186"/>
      <c r="I39" s="186"/>
      <c r="J39" s="186"/>
      <c r="K39" s="186"/>
      <c r="L39" s="186"/>
      <c r="M39" s="186"/>
      <c r="N39" s="186"/>
    </row>
    <row r="40" spans="1:14">
      <c r="A40" s="188" t="s">
        <v>440</v>
      </c>
      <c r="B40" s="186"/>
      <c r="C40" s="186"/>
      <c r="D40" s="186"/>
      <c r="E40" s="186"/>
      <c r="F40" s="186"/>
      <c r="G40" s="186"/>
      <c r="H40" s="186"/>
      <c r="I40" s="186"/>
      <c r="J40" s="186"/>
      <c r="K40" s="186"/>
      <c r="L40" s="186"/>
      <c r="M40" s="186"/>
      <c r="N40" s="186"/>
    </row>
    <row r="41" spans="1:14" ht="34.5">
      <c r="A41" s="188" t="s">
        <v>441</v>
      </c>
      <c r="B41" s="186"/>
      <c r="C41" s="186"/>
      <c r="D41" s="186"/>
      <c r="E41" s="186"/>
      <c r="F41" s="186"/>
      <c r="G41" s="186"/>
      <c r="H41" s="186"/>
      <c r="I41" s="186"/>
      <c r="J41" s="186"/>
      <c r="K41" s="186"/>
      <c r="L41" s="186"/>
      <c r="M41" s="186"/>
      <c r="N41" s="186"/>
    </row>
    <row r="42" spans="1:14" ht="34.5">
      <c r="A42" s="188" t="s">
        <v>442</v>
      </c>
      <c r="B42" s="186"/>
      <c r="C42" s="186"/>
      <c r="D42" s="186"/>
      <c r="E42" s="186"/>
      <c r="F42" s="186"/>
      <c r="G42" s="186"/>
      <c r="H42" s="186"/>
      <c r="I42" s="186"/>
      <c r="J42" s="186"/>
      <c r="K42" s="186"/>
      <c r="L42" s="186"/>
      <c r="M42" s="186"/>
      <c r="N42" s="186"/>
    </row>
    <row r="43" spans="1:14">
      <c r="A43" s="188"/>
      <c r="B43" s="186"/>
      <c r="C43" s="186"/>
      <c r="D43" s="186"/>
      <c r="E43" s="186"/>
      <c r="F43" s="186"/>
      <c r="G43" s="186"/>
      <c r="H43" s="186"/>
      <c r="I43" s="186"/>
      <c r="J43" s="186"/>
      <c r="K43" s="186"/>
      <c r="L43" s="186"/>
      <c r="M43" s="186"/>
      <c r="N43" s="186"/>
    </row>
    <row r="44" spans="1:14">
      <c r="A44" s="189" t="s">
        <v>443</v>
      </c>
      <c r="B44" s="186"/>
      <c r="C44" s="186"/>
      <c r="D44" s="186"/>
      <c r="E44" s="186"/>
      <c r="F44" s="186"/>
      <c r="G44" s="186"/>
      <c r="H44" s="186"/>
      <c r="I44" s="186"/>
      <c r="J44" s="186"/>
      <c r="K44" s="186"/>
      <c r="L44" s="186"/>
      <c r="M44" s="186"/>
      <c r="N44" s="186"/>
    </row>
    <row r="45" spans="1:14">
      <c r="A45" s="188" t="s">
        <v>444</v>
      </c>
      <c r="B45" s="186"/>
      <c r="C45" s="186"/>
      <c r="D45" s="186"/>
      <c r="E45" s="186"/>
      <c r="F45" s="186"/>
      <c r="G45" s="186"/>
      <c r="H45" s="186"/>
      <c r="I45" s="186"/>
      <c r="J45" s="186"/>
      <c r="K45" s="186"/>
      <c r="L45" s="186"/>
      <c r="M45" s="186"/>
      <c r="N45" s="186"/>
    </row>
    <row r="46" spans="1:14" ht="34.5">
      <c r="A46" s="188" t="s">
        <v>445</v>
      </c>
      <c r="B46" s="186"/>
      <c r="C46" s="186"/>
      <c r="D46" s="186"/>
      <c r="E46" s="186"/>
      <c r="F46" s="186"/>
      <c r="G46" s="186"/>
      <c r="H46" s="186"/>
      <c r="I46" s="186"/>
      <c r="J46" s="186"/>
      <c r="K46" s="186"/>
      <c r="L46" s="186"/>
      <c r="M46" s="186"/>
      <c r="N46" s="186"/>
    </row>
    <row r="47" spans="1:14">
      <c r="A47" s="185"/>
      <c r="B47" s="186"/>
      <c r="C47" s="186"/>
      <c r="D47" s="186"/>
      <c r="E47" s="186"/>
      <c r="F47" s="186"/>
      <c r="G47" s="186"/>
      <c r="H47" s="186"/>
      <c r="I47" s="186"/>
      <c r="J47" s="186"/>
      <c r="K47" s="186"/>
      <c r="L47" s="186"/>
      <c r="M47" s="186"/>
      <c r="N47" s="186"/>
    </row>
    <row r="48" spans="1:14">
      <c r="A48" s="185"/>
      <c r="B48" s="186"/>
      <c r="C48" s="186"/>
      <c r="D48" s="186"/>
      <c r="E48" s="186"/>
      <c r="F48" s="186"/>
      <c r="G48" s="186"/>
      <c r="H48" s="186"/>
      <c r="I48" s="186"/>
      <c r="J48" s="186"/>
      <c r="K48" s="186"/>
      <c r="L48" s="186"/>
      <c r="M48" s="186"/>
      <c r="N48" s="186"/>
    </row>
    <row r="49" spans="1:14">
      <c r="A49" s="181" t="s">
        <v>0</v>
      </c>
      <c r="B49" s="184"/>
      <c r="C49" s="184"/>
      <c r="D49" s="184"/>
      <c r="E49" s="184"/>
      <c r="F49" s="184"/>
      <c r="G49" s="184"/>
      <c r="H49" s="184"/>
      <c r="I49" s="184"/>
      <c r="J49" s="184"/>
      <c r="K49" s="184"/>
      <c r="L49" s="184"/>
      <c r="M49" s="184"/>
      <c r="N49" s="184"/>
    </row>
    <row r="50" spans="1:14">
      <c r="A50" s="181" t="s">
        <v>446</v>
      </c>
      <c r="B50" s="184"/>
      <c r="C50" s="184"/>
      <c r="D50" s="184"/>
      <c r="E50" s="184"/>
      <c r="F50" s="184"/>
      <c r="G50" s="184"/>
      <c r="H50" s="184"/>
      <c r="I50" s="184"/>
      <c r="J50" s="184"/>
      <c r="K50" s="184"/>
      <c r="L50" s="184"/>
      <c r="M50" s="184"/>
      <c r="N50" s="184"/>
    </row>
    <row r="51" spans="1:14">
      <c r="A51" s="54" t="s">
        <v>447</v>
      </c>
      <c r="B51" s="54"/>
      <c r="C51" s="54"/>
      <c r="D51" s="54"/>
      <c r="E51" s="54"/>
      <c r="F51" s="54"/>
      <c r="G51" s="54"/>
      <c r="H51" s="54"/>
      <c r="I51" s="54"/>
      <c r="J51" s="54"/>
      <c r="K51" s="54"/>
      <c r="L51" s="54"/>
      <c r="M51" s="54"/>
      <c r="N51" s="54"/>
    </row>
    <row r="52" spans="1:14">
      <c r="A52" s="54" t="s">
        <v>448</v>
      </c>
      <c r="B52" s="54"/>
      <c r="C52" s="54"/>
      <c r="D52" s="54"/>
      <c r="E52" s="54"/>
      <c r="F52" s="54"/>
      <c r="G52" s="54"/>
      <c r="H52" s="54"/>
      <c r="I52" s="54"/>
      <c r="J52" s="54"/>
      <c r="K52" s="54"/>
      <c r="L52" s="54"/>
      <c r="M52" s="54"/>
      <c r="N52" s="54"/>
    </row>
    <row r="53" spans="1:14">
      <c r="A53" s="102"/>
      <c r="B53" s="102"/>
      <c r="C53" s="102"/>
      <c r="D53" s="102"/>
      <c r="E53" s="102"/>
      <c r="F53" s="102"/>
      <c r="G53" s="102"/>
      <c r="H53" s="102"/>
      <c r="I53" s="102"/>
      <c r="J53" s="102"/>
      <c r="K53" s="102"/>
      <c r="L53" s="102"/>
      <c r="M53" s="102"/>
      <c r="N53" s="102"/>
    </row>
    <row r="54" spans="1:14">
      <c r="A54" s="102"/>
      <c r="B54" s="102"/>
      <c r="C54" s="102"/>
      <c r="D54" s="102"/>
      <c r="E54" s="102"/>
      <c r="F54" s="102"/>
      <c r="G54" s="102"/>
      <c r="H54" s="102"/>
      <c r="I54" s="102"/>
      <c r="J54" s="102"/>
      <c r="K54" s="102"/>
      <c r="L54" s="102"/>
      <c r="M54" s="102"/>
      <c r="N54" s="102"/>
    </row>
    <row r="55" spans="1:14">
      <c r="A55" s="102"/>
      <c r="B55" s="102"/>
      <c r="C55" s="102"/>
      <c r="D55" s="102"/>
      <c r="E55" s="102"/>
      <c r="F55" s="102"/>
      <c r="G55" s="102"/>
      <c r="H55" s="102"/>
      <c r="I55" s="102"/>
      <c r="J55" s="102"/>
      <c r="K55" s="102"/>
      <c r="L55" s="102"/>
      <c r="M55" s="102"/>
      <c r="N55" s="102"/>
    </row>
  </sheetData>
  <mergeCells count="4">
    <mergeCell ref="A4:A5"/>
    <mergeCell ref="B4:E4"/>
    <mergeCell ref="F4:H4"/>
    <mergeCell ref="I4:N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2"/>
  <sheetViews>
    <sheetView workbookViewId="0">
      <selection activeCell="A6" sqref="A6"/>
    </sheetView>
  </sheetViews>
  <sheetFormatPr baseColWidth="10" defaultRowHeight="15"/>
  <cols>
    <col min="1" max="1" width="19.7109375" customWidth="1"/>
    <col min="7" max="7" width="8.28515625" customWidth="1"/>
    <col min="9" max="9" width="7.28515625" customWidth="1"/>
    <col min="10" max="10" width="8.7109375" customWidth="1"/>
    <col min="13" max="13" width="9.28515625" customWidth="1"/>
    <col min="14" max="14" width="9.42578125" customWidth="1"/>
  </cols>
  <sheetData>
    <row r="1" spans="1:14">
      <c r="A1" s="128" t="s">
        <v>412</v>
      </c>
      <c r="B1" s="128"/>
      <c r="C1" s="128"/>
      <c r="D1" s="128"/>
      <c r="E1" s="128"/>
      <c r="F1" s="128"/>
      <c r="G1" s="128"/>
      <c r="H1" s="128"/>
      <c r="I1" s="128"/>
      <c r="J1" s="128"/>
      <c r="K1" s="128"/>
      <c r="L1" s="128"/>
      <c r="M1" s="128"/>
      <c r="N1" s="128"/>
    </row>
    <row r="2" spans="1:14">
      <c r="A2" s="35" t="s">
        <v>456</v>
      </c>
      <c r="B2" s="128"/>
      <c r="C2" s="128"/>
      <c r="D2" s="128"/>
      <c r="E2" s="128"/>
      <c r="F2" s="128"/>
      <c r="G2" s="128"/>
      <c r="H2" s="128"/>
      <c r="I2" s="128"/>
      <c r="J2" s="128"/>
      <c r="K2" s="128"/>
      <c r="L2" s="128"/>
      <c r="M2" s="128"/>
      <c r="N2" s="128"/>
    </row>
    <row r="3" spans="1:14">
      <c r="A3" s="35" t="s">
        <v>458</v>
      </c>
      <c r="B3" s="35"/>
      <c r="C3" s="35"/>
      <c r="D3" s="35"/>
      <c r="E3" s="35"/>
      <c r="F3" s="35"/>
      <c r="G3" s="35"/>
      <c r="H3" s="35"/>
      <c r="I3" s="35"/>
      <c r="J3" s="35"/>
      <c r="K3" s="35"/>
      <c r="L3" s="35"/>
      <c r="M3" s="35"/>
      <c r="N3" s="35"/>
    </row>
    <row r="4" spans="1:14">
      <c r="A4" s="1298" t="s">
        <v>414</v>
      </c>
      <c r="B4" s="1300" t="s">
        <v>449</v>
      </c>
      <c r="C4" s="1301"/>
      <c r="D4" s="1301"/>
      <c r="E4" s="1302"/>
      <c r="F4" s="1303" t="s">
        <v>452</v>
      </c>
      <c r="G4" s="1299"/>
      <c r="H4" s="1299"/>
      <c r="I4" s="1303" t="s">
        <v>453</v>
      </c>
      <c r="J4" s="1299"/>
      <c r="K4" s="1299"/>
      <c r="L4" s="1299"/>
      <c r="M4" s="1299"/>
      <c r="N4" s="1299"/>
    </row>
    <row r="5" spans="1:14" ht="41.45" customHeight="1">
      <c r="A5" s="1299"/>
      <c r="B5" s="180">
        <v>2019</v>
      </c>
      <c r="C5" s="180">
        <v>2020</v>
      </c>
      <c r="D5" s="180" t="s">
        <v>450</v>
      </c>
      <c r="E5" s="180" t="s">
        <v>451</v>
      </c>
      <c r="F5" s="180">
        <v>2019</v>
      </c>
      <c r="G5" s="180">
        <v>2020</v>
      </c>
      <c r="H5" s="180" t="s">
        <v>450</v>
      </c>
      <c r="I5" s="180">
        <v>2019</v>
      </c>
      <c r="J5" s="180" t="s">
        <v>273</v>
      </c>
      <c r="K5" s="180" t="s">
        <v>450</v>
      </c>
      <c r="L5" s="180" t="s">
        <v>454</v>
      </c>
      <c r="M5" s="180" t="s">
        <v>451</v>
      </c>
      <c r="N5" s="180" t="s">
        <v>455</v>
      </c>
    </row>
    <row r="6" spans="1:14" ht="33" customHeight="1">
      <c r="A6" s="183" t="s">
        <v>415</v>
      </c>
      <c r="B6" s="184"/>
      <c r="C6" s="184"/>
      <c r="D6" s="184"/>
      <c r="E6" s="184"/>
      <c r="F6" s="184"/>
      <c r="G6" s="184"/>
      <c r="H6" s="184"/>
      <c r="I6" s="184"/>
      <c r="J6" s="184"/>
      <c r="K6" s="184"/>
      <c r="L6" s="184"/>
      <c r="M6" s="184"/>
      <c r="N6" s="184"/>
    </row>
    <row r="7" spans="1:14">
      <c r="A7" s="185" t="s">
        <v>416</v>
      </c>
      <c r="B7" s="186"/>
      <c r="C7" s="186"/>
      <c r="D7" s="186"/>
      <c r="E7" s="186"/>
      <c r="F7" s="186"/>
      <c r="G7" s="186"/>
      <c r="H7" s="186"/>
      <c r="I7" s="186"/>
      <c r="J7" s="186"/>
      <c r="K7" s="186"/>
      <c r="L7" s="186"/>
      <c r="M7" s="186"/>
      <c r="N7" s="186"/>
    </row>
    <row r="8" spans="1:14">
      <c r="A8" s="187"/>
      <c r="B8" s="186"/>
      <c r="C8" s="186"/>
      <c r="D8" s="186"/>
      <c r="E8" s="186"/>
      <c r="F8" s="186"/>
      <c r="G8" s="186"/>
      <c r="H8" s="186"/>
      <c r="I8" s="186"/>
      <c r="J8" s="186"/>
      <c r="K8" s="186"/>
      <c r="L8" s="186"/>
      <c r="M8" s="186"/>
      <c r="N8" s="186"/>
    </row>
    <row r="9" spans="1:14">
      <c r="A9" s="183" t="s">
        <v>417</v>
      </c>
      <c r="B9" s="186"/>
      <c r="C9" s="186"/>
      <c r="D9" s="186"/>
      <c r="E9" s="186"/>
      <c r="F9" s="186"/>
      <c r="G9" s="186"/>
      <c r="H9" s="186"/>
      <c r="I9" s="186"/>
      <c r="J9" s="186"/>
      <c r="K9" s="186"/>
      <c r="L9" s="186"/>
      <c r="M9" s="186"/>
      <c r="N9" s="186"/>
    </row>
    <row r="10" spans="1:14">
      <c r="A10" s="188" t="s">
        <v>418</v>
      </c>
      <c r="B10" s="186"/>
      <c r="C10" s="186"/>
      <c r="D10" s="186"/>
      <c r="E10" s="186"/>
      <c r="F10" s="186"/>
      <c r="G10" s="186"/>
      <c r="H10" s="186"/>
      <c r="I10" s="186"/>
      <c r="J10" s="186"/>
      <c r="K10" s="186"/>
      <c r="L10" s="186"/>
      <c r="M10" s="186"/>
      <c r="N10" s="186"/>
    </row>
    <row r="11" spans="1:14">
      <c r="A11" s="188" t="s">
        <v>419</v>
      </c>
      <c r="B11" s="186">
        <v>2299078</v>
      </c>
      <c r="C11" s="186">
        <v>2136726</v>
      </c>
      <c r="D11" s="186">
        <f>B11-C11</f>
        <v>162352</v>
      </c>
      <c r="E11" s="186">
        <v>2168886</v>
      </c>
      <c r="F11" s="186">
        <v>2499183</v>
      </c>
      <c r="G11" s="186">
        <v>2259421</v>
      </c>
      <c r="H11" s="186">
        <f>F11-G11</f>
        <v>239762</v>
      </c>
      <c r="I11" s="186">
        <v>1341</v>
      </c>
      <c r="J11" s="186">
        <v>720</v>
      </c>
      <c r="K11" s="186">
        <f>I11-J11</f>
        <v>621</v>
      </c>
      <c r="L11" s="186">
        <v>1394</v>
      </c>
      <c r="M11" s="186">
        <v>1400</v>
      </c>
      <c r="N11" s="186">
        <f>L11-M11</f>
        <v>-6</v>
      </c>
    </row>
    <row r="12" spans="1:14">
      <c r="A12" s="188" t="s">
        <v>420</v>
      </c>
      <c r="B12" s="186"/>
      <c r="C12" s="186"/>
      <c r="D12" s="186"/>
      <c r="E12" s="186"/>
      <c r="F12" s="186"/>
      <c r="G12" s="186"/>
      <c r="H12" s="186"/>
      <c r="I12" s="186"/>
      <c r="J12" s="186"/>
      <c r="K12" s="186"/>
      <c r="L12" s="186"/>
      <c r="M12" s="186"/>
      <c r="N12" s="186"/>
    </row>
    <row r="13" spans="1:14">
      <c r="A13" s="188" t="s">
        <v>421</v>
      </c>
      <c r="B13" s="186"/>
      <c r="C13" s="186"/>
      <c r="D13" s="186"/>
      <c r="E13" s="186"/>
      <c r="F13" s="186"/>
      <c r="G13" s="186"/>
      <c r="H13" s="186"/>
      <c r="I13" s="186"/>
      <c r="J13" s="186"/>
      <c r="K13" s="186"/>
      <c r="L13" s="186"/>
      <c r="M13" s="186"/>
      <c r="N13" s="186"/>
    </row>
    <row r="14" spans="1:14">
      <c r="A14" s="188"/>
      <c r="B14" s="186"/>
      <c r="C14" s="186"/>
      <c r="D14" s="184"/>
      <c r="E14" s="184"/>
      <c r="F14" s="186"/>
      <c r="G14" s="186"/>
      <c r="H14" s="184"/>
      <c r="I14" s="184"/>
      <c r="J14" s="184"/>
      <c r="K14" s="184"/>
      <c r="L14" s="184"/>
      <c r="M14" s="184"/>
      <c r="N14" s="184"/>
    </row>
    <row r="15" spans="1:14">
      <c r="A15" s="183" t="s">
        <v>422</v>
      </c>
      <c r="B15" s="186"/>
      <c r="C15" s="186"/>
      <c r="D15" s="186"/>
      <c r="E15" s="186"/>
      <c r="F15" s="186"/>
      <c r="G15" s="186"/>
      <c r="H15" s="186"/>
      <c r="I15" s="186"/>
      <c r="J15" s="186"/>
      <c r="K15" s="186"/>
      <c r="L15" s="186"/>
      <c r="M15" s="186"/>
      <c r="N15" s="186"/>
    </row>
    <row r="16" spans="1:14">
      <c r="A16" s="188" t="s">
        <v>423</v>
      </c>
      <c r="B16" s="186">
        <v>1183036</v>
      </c>
      <c r="C16" s="186">
        <v>2146602</v>
      </c>
      <c r="D16" s="186">
        <f>B16-C16</f>
        <v>-963566</v>
      </c>
      <c r="E16" s="186">
        <v>2188072</v>
      </c>
      <c r="F16" s="186">
        <v>1816394</v>
      </c>
      <c r="G16" s="186">
        <v>2299079</v>
      </c>
      <c r="H16" s="186">
        <f>F16-G16</f>
        <v>-482685</v>
      </c>
      <c r="I16" s="186">
        <v>60</v>
      </c>
      <c r="J16" s="186"/>
      <c r="K16" s="186">
        <f>I16-J16</f>
        <v>60</v>
      </c>
      <c r="L16" s="186">
        <v>131</v>
      </c>
      <c r="M16" s="186">
        <v>150</v>
      </c>
      <c r="N16" s="186">
        <f>L16-M16</f>
        <v>-19</v>
      </c>
    </row>
    <row r="17" spans="1:14">
      <c r="A17" s="188" t="s">
        <v>424</v>
      </c>
      <c r="B17" s="186"/>
      <c r="C17" s="186"/>
      <c r="D17" s="186"/>
      <c r="E17" s="186"/>
      <c r="F17" s="186"/>
      <c r="G17" s="186"/>
      <c r="H17" s="186"/>
      <c r="I17" s="186"/>
      <c r="J17" s="186"/>
      <c r="K17" s="186"/>
      <c r="L17" s="186"/>
      <c r="M17" s="186"/>
      <c r="N17" s="186"/>
    </row>
    <row r="18" spans="1:14">
      <c r="A18" s="188" t="s">
        <v>425</v>
      </c>
      <c r="B18" s="186"/>
      <c r="C18" s="186"/>
      <c r="D18" s="186"/>
      <c r="E18" s="186"/>
      <c r="F18" s="186"/>
      <c r="G18" s="186"/>
      <c r="H18" s="186"/>
      <c r="I18" s="186"/>
      <c r="J18" s="186"/>
      <c r="K18" s="186"/>
      <c r="L18" s="186"/>
      <c r="M18" s="186"/>
      <c r="N18" s="186"/>
    </row>
    <row r="19" spans="1:14">
      <c r="A19" s="188" t="s">
        <v>426</v>
      </c>
      <c r="B19" s="186"/>
      <c r="C19" s="186"/>
      <c r="D19" s="186"/>
      <c r="E19" s="186"/>
      <c r="F19" s="186"/>
      <c r="G19" s="186"/>
      <c r="H19" s="186"/>
      <c r="I19" s="186"/>
      <c r="J19" s="186"/>
      <c r="K19" s="186"/>
      <c r="L19" s="186"/>
      <c r="M19" s="186"/>
      <c r="N19" s="186"/>
    </row>
    <row r="20" spans="1:14" ht="34.5">
      <c r="A20" s="188" t="s">
        <v>427</v>
      </c>
      <c r="B20" s="186"/>
      <c r="C20" s="186"/>
      <c r="D20" s="186"/>
      <c r="E20" s="186"/>
      <c r="F20" s="186"/>
      <c r="G20" s="186"/>
      <c r="H20" s="186"/>
      <c r="I20" s="186"/>
      <c r="J20" s="186"/>
      <c r="K20" s="186"/>
      <c r="L20" s="186"/>
      <c r="M20" s="186"/>
      <c r="N20" s="186"/>
    </row>
    <row r="21" spans="1:14">
      <c r="A21" s="188"/>
      <c r="B21" s="186"/>
      <c r="C21" s="186"/>
      <c r="D21" s="186"/>
      <c r="E21" s="186"/>
      <c r="F21" s="186"/>
      <c r="G21" s="186"/>
      <c r="H21" s="186"/>
      <c r="I21" s="186"/>
      <c r="J21" s="186"/>
      <c r="K21" s="186"/>
      <c r="L21" s="186"/>
      <c r="M21" s="186"/>
      <c r="N21" s="186"/>
    </row>
    <row r="22" spans="1:14">
      <c r="A22" s="189" t="s">
        <v>428</v>
      </c>
      <c r="B22" s="186"/>
      <c r="C22" s="186"/>
      <c r="D22" s="186"/>
      <c r="E22" s="186"/>
      <c r="F22" s="186"/>
      <c r="G22" s="186"/>
      <c r="H22" s="186"/>
      <c r="I22" s="186"/>
      <c r="J22" s="186"/>
      <c r="K22" s="186"/>
      <c r="L22" s="186"/>
      <c r="M22" s="186"/>
      <c r="N22" s="186"/>
    </row>
    <row r="23" spans="1:14">
      <c r="A23" s="188" t="s">
        <v>429</v>
      </c>
      <c r="B23" s="186"/>
      <c r="C23" s="186"/>
      <c r="D23" s="186"/>
      <c r="E23" s="186"/>
      <c r="F23" s="186"/>
      <c r="G23" s="186"/>
      <c r="H23" s="186"/>
      <c r="I23" s="186"/>
      <c r="J23" s="186"/>
      <c r="K23" s="186"/>
      <c r="L23" s="186"/>
      <c r="M23" s="186"/>
      <c r="N23" s="186"/>
    </row>
    <row r="24" spans="1:14">
      <c r="A24" s="188" t="s">
        <v>430</v>
      </c>
      <c r="B24" s="186"/>
      <c r="C24" s="186"/>
      <c r="D24" s="186"/>
      <c r="E24" s="186"/>
      <c r="F24" s="186"/>
      <c r="G24" s="186"/>
      <c r="H24" s="186"/>
      <c r="I24" s="186"/>
      <c r="J24" s="186"/>
      <c r="K24" s="186"/>
      <c r="L24" s="186"/>
      <c r="M24" s="186"/>
      <c r="N24" s="186"/>
    </row>
    <row r="25" spans="1:14">
      <c r="A25" s="188" t="s">
        <v>431</v>
      </c>
      <c r="B25" s="186"/>
      <c r="C25" s="186"/>
      <c r="D25" s="186"/>
      <c r="E25" s="186"/>
      <c r="F25" s="186"/>
      <c r="G25" s="186"/>
      <c r="H25" s="186"/>
      <c r="I25" s="186"/>
      <c r="J25" s="186"/>
      <c r="K25" s="186"/>
      <c r="L25" s="186"/>
      <c r="M25" s="186"/>
      <c r="N25" s="186"/>
    </row>
    <row r="26" spans="1:14">
      <c r="A26" s="188"/>
      <c r="B26" s="186"/>
      <c r="C26" s="186"/>
      <c r="D26" s="186"/>
      <c r="E26" s="186"/>
      <c r="F26" s="186"/>
      <c r="G26" s="186"/>
      <c r="H26" s="186"/>
      <c r="I26" s="186"/>
      <c r="J26" s="186"/>
      <c r="K26" s="186"/>
      <c r="L26" s="186"/>
      <c r="M26" s="186"/>
      <c r="N26" s="186"/>
    </row>
    <row r="27" spans="1:14">
      <c r="A27" s="189" t="s">
        <v>432</v>
      </c>
      <c r="B27" s="186"/>
      <c r="C27" s="186"/>
      <c r="D27" s="186"/>
      <c r="E27" s="186"/>
      <c r="F27" s="186"/>
      <c r="G27" s="186"/>
      <c r="H27" s="186"/>
      <c r="I27" s="186"/>
      <c r="J27" s="186"/>
      <c r="K27" s="186"/>
      <c r="L27" s="186"/>
      <c r="M27" s="186"/>
      <c r="N27" s="186"/>
    </row>
    <row r="28" spans="1:14">
      <c r="A28" s="188" t="s">
        <v>433</v>
      </c>
      <c r="B28" s="186"/>
      <c r="C28" s="186"/>
      <c r="D28" s="186"/>
      <c r="E28" s="186"/>
      <c r="F28" s="186"/>
      <c r="G28" s="186"/>
      <c r="H28" s="186"/>
      <c r="I28" s="186"/>
      <c r="J28" s="186"/>
      <c r="K28" s="186"/>
      <c r="L28" s="186"/>
      <c r="M28" s="186"/>
      <c r="N28" s="186"/>
    </row>
    <row r="29" spans="1:14">
      <c r="A29" s="188" t="s">
        <v>430</v>
      </c>
      <c r="B29" s="186"/>
      <c r="C29" s="186"/>
      <c r="D29" s="186"/>
      <c r="E29" s="186"/>
      <c r="F29" s="186"/>
      <c r="G29" s="186"/>
      <c r="H29" s="186"/>
      <c r="I29" s="186"/>
      <c r="J29" s="186"/>
      <c r="K29" s="186"/>
      <c r="L29" s="186"/>
      <c r="M29" s="186"/>
      <c r="N29" s="186"/>
    </row>
    <row r="30" spans="1:14">
      <c r="A30" s="188"/>
      <c r="B30" s="186"/>
      <c r="C30" s="186"/>
      <c r="D30" s="186"/>
      <c r="E30" s="186"/>
      <c r="F30" s="186"/>
      <c r="G30" s="186"/>
      <c r="H30" s="186"/>
      <c r="I30" s="186"/>
      <c r="J30" s="186"/>
      <c r="K30" s="186"/>
      <c r="L30" s="186"/>
      <c r="M30" s="186"/>
      <c r="N30" s="186"/>
    </row>
    <row r="31" spans="1:14">
      <c r="A31" s="189" t="s">
        <v>434</v>
      </c>
      <c r="B31" s="186"/>
      <c r="C31" s="186"/>
      <c r="D31" s="186"/>
      <c r="E31" s="186"/>
      <c r="F31" s="186"/>
      <c r="G31" s="186"/>
      <c r="H31" s="186"/>
      <c r="I31" s="186"/>
      <c r="J31" s="186"/>
      <c r="K31" s="186"/>
      <c r="L31" s="186"/>
      <c r="M31" s="186"/>
      <c r="N31" s="186"/>
    </row>
    <row r="32" spans="1:14">
      <c r="A32" s="188" t="s">
        <v>435</v>
      </c>
      <c r="B32" s="186"/>
      <c r="C32" s="186"/>
      <c r="D32" s="186"/>
      <c r="E32" s="186"/>
      <c r="F32" s="186"/>
      <c r="G32" s="186"/>
      <c r="H32" s="186"/>
      <c r="I32" s="186"/>
      <c r="J32" s="186"/>
      <c r="K32" s="186"/>
      <c r="L32" s="186"/>
      <c r="M32" s="186"/>
      <c r="N32" s="186"/>
    </row>
    <row r="33" spans="1:14">
      <c r="A33" s="188" t="s">
        <v>431</v>
      </c>
      <c r="B33" s="186"/>
      <c r="C33" s="186"/>
      <c r="D33" s="186"/>
      <c r="E33" s="186"/>
      <c r="F33" s="186"/>
      <c r="G33" s="186"/>
      <c r="H33" s="186"/>
      <c r="I33" s="186"/>
      <c r="J33" s="186"/>
      <c r="K33" s="186"/>
      <c r="L33" s="186"/>
      <c r="M33" s="186"/>
      <c r="N33" s="186"/>
    </row>
    <row r="34" spans="1:14">
      <c r="A34" s="188" t="s">
        <v>436</v>
      </c>
      <c r="B34" s="186"/>
      <c r="C34" s="186"/>
      <c r="D34" s="186"/>
      <c r="E34" s="186"/>
      <c r="F34" s="186"/>
      <c r="G34" s="186"/>
      <c r="H34" s="186"/>
      <c r="I34" s="186"/>
      <c r="J34" s="186"/>
      <c r="K34" s="186"/>
      <c r="L34" s="186"/>
      <c r="M34" s="186"/>
      <c r="N34" s="186"/>
    </row>
    <row r="35" spans="1:14">
      <c r="A35" s="188" t="s">
        <v>437</v>
      </c>
      <c r="B35" s="186"/>
      <c r="C35" s="186"/>
      <c r="D35" s="186"/>
      <c r="E35" s="186"/>
      <c r="F35" s="186"/>
      <c r="G35" s="186"/>
      <c r="H35" s="186"/>
      <c r="I35" s="186"/>
      <c r="J35" s="186"/>
      <c r="K35" s="186"/>
      <c r="L35" s="186"/>
      <c r="M35" s="186"/>
      <c r="N35" s="186"/>
    </row>
    <row r="36" spans="1:14">
      <c r="A36" s="188"/>
      <c r="B36" s="186"/>
      <c r="C36" s="186"/>
      <c r="D36" s="186"/>
      <c r="E36" s="186"/>
      <c r="F36" s="186"/>
      <c r="G36" s="186"/>
      <c r="H36" s="186"/>
      <c r="I36" s="186"/>
      <c r="J36" s="186"/>
      <c r="K36" s="186"/>
      <c r="L36" s="186"/>
      <c r="M36" s="186"/>
      <c r="N36" s="186"/>
    </row>
    <row r="37" spans="1:14">
      <c r="A37" s="189" t="s">
        <v>438</v>
      </c>
      <c r="B37" s="186"/>
      <c r="C37" s="186"/>
      <c r="D37" s="186"/>
      <c r="E37" s="186"/>
      <c r="F37" s="186"/>
      <c r="G37" s="186"/>
      <c r="H37" s="186"/>
      <c r="I37" s="186"/>
      <c r="J37" s="186"/>
      <c r="K37" s="186"/>
      <c r="L37" s="186"/>
      <c r="M37" s="186"/>
      <c r="N37" s="186"/>
    </row>
    <row r="38" spans="1:14">
      <c r="A38" s="188" t="s">
        <v>439</v>
      </c>
      <c r="B38" s="186"/>
      <c r="C38" s="186"/>
      <c r="D38" s="186"/>
      <c r="E38" s="186"/>
      <c r="F38" s="186"/>
      <c r="G38" s="186"/>
      <c r="H38" s="186"/>
      <c r="I38" s="186"/>
      <c r="J38" s="186"/>
      <c r="K38" s="186"/>
      <c r="L38" s="186"/>
      <c r="M38" s="186"/>
      <c r="N38" s="186"/>
    </row>
    <row r="39" spans="1:14">
      <c r="A39" s="188" t="s">
        <v>440</v>
      </c>
      <c r="B39" s="186"/>
      <c r="C39" s="186"/>
      <c r="D39" s="186"/>
      <c r="E39" s="186"/>
      <c r="F39" s="186"/>
      <c r="G39" s="186"/>
      <c r="H39" s="186"/>
      <c r="I39" s="186"/>
      <c r="J39" s="186"/>
      <c r="K39" s="186"/>
      <c r="L39" s="186"/>
      <c r="M39" s="186"/>
      <c r="N39" s="186"/>
    </row>
    <row r="40" spans="1:14" ht="23.25">
      <c r="A40" s="188" t="s">
        <v>441</v>
      </c>
      <c r="B40" s="186"/>
      <c r="C40" s="186"/>
      <c r="D40" s="186"/>
      <c r="E40" s="186"/>
      <c r="F40" s="186"/>
      <c r="G40" s="186"/>
      <c r="H40" s="186"/>
      <c r="I40" s="186"/>
      <c r="J40" s="186"/>
      <c r="K40" s="186"/>
      <c r="L40" s="186"/>
      <c r="M40" s="186"/>
      <c r="N40" s="186"/>
    </row>
    <row r="41" spans="1:14" ht="23.25">
      <c r="A41" s="188" t="s">
        <v>442</v>
      </c>
      <c r="B41" s="186"/>
      <c r="C41" s="186"/>
      <c r="D41" s="186"/>
      <c r="E41" s="186"/>
      <c r="F41" s="186"/>
      <c r="G41" s="186"/>
      <c r="H41" s="186"/>
      <c r="I41" s="186"/>
      <c r="J41" s="186"/>
      <c r="K41" s="186"/>
      <c r="L41" s="186"/>
      <c r="M41" s="186"/>
      <c r="N41" s="186"/>
    </row>
    <row r="42" spans="1:14">
      <c r="A42" s="188"/>
      <c r="B42" s="186"/>
      <c r="C42" s="186"/>
      <c r="D42" s="186"/>
      <c r="E42" s="186"/>
      <c r="F42" s="186"/>
      <c r="G42" s="186"/>
      <c r="H42" s="186"/>
      <c r="I42" s="186"/>
      <c r="J42" s="186"/>
      <c r="K42" s="186"/>
      <c r="L42" s="186"/>
      <c r="M42" s="186"/>
      <c r="N42" s="186"/>
    </row>
    <row r="43" spans="1:14">
      <c r="A43" s="189" t="s">
        <v>443</v>
      </c>
      <c r="B43" s="186"/>
      <c r="C43" s="186"/>
      <c r="D43" s="186"/>
      <c r="E43" s="186"/>
      <c r="F43" s="186"/>
      <c r="G43" s="186"/>
      <c r="H43" s="186"/>
      <c r="I43" s="186"/>
      <c r="J43" s="186"/>
      <c r="K43" s="186"/>
      <c r="L43" s="186"/>
      <c r="M43" s="186"/>
      <c r="N43" s="186"/>
    </row>
    <row r="44" spans="1:14">
      <c r="A44" s="188" t="s">
        <v>444</v>
      </c>
      <c r="B44" s="186"/>
      <c r="C44" s="186"/>
      <c r="D44" s="186"/>
      <c r="E44" s="186"/>
      <c r="F44" s="186"/>
      <c r="G44" s="186"/>
      <c r="H44" s="186"/>
      <c r="I44" s="186"/>
      <c r="J44" s="186"/>
      <c r="K44" s="186"/>
      <c r="L44" s="186"/>
      <c r="M44" s="186"/>
      <c r="N44" s="186"/>
    </row>
    <row r="45" spans="1:14" ht="34.5">
      <c r="A45" s="188" t="s">
        <v>445</v>
      </c>
      <c r="B45" s="186"/>
      <c r="C45" s="186"/>
      <c r="D45" s="186"/>
      <c r="E45" s="186"/>
      <c r="F45" s="186"/>
      <c r="G45" s="186"/>
      <c r="H45" s="186"/>
      <c r="I45" s="186"/>
      <c r="J45" s="186"/>
      <c r="K45" s="186"/>
      <c r="L45" s="186"/>
      <c r="M45" s="186"/>
      <c r="N45" s="186"/>
    </row>
    <row r="46" spans="1:14">
      <c r="A46" s="185"/>
      <c r="B46" s="186"/>
      <c r="C46" s="186"/>
      <c r="D46" s="186"/>
      <c r="E46" s="186"/>
      <c r="F46" s="186"/>
      <c r="G46" s="186"/>
      <c r="H46" s="186"/>
      <c r="I46" s="186"/>
      <c r="J46" s="186"/>
      <c r="K46" s="186"/>
      <c r="L46" s="186"/>
      <c r="M46" s="186"/>
      <c r="N46" s="186"/>
    </row>
    <row r="47" spans="1:14">
      <c r="A47" s="185"/>
      <c r="B47" s="186"/>
      <c r="C47" s="186"/>
      <c r="D47" s="186"/>
      <c r="E47" s="186"/>
      <c r="F47" s="186"/>
      <c r="G47" s="186"/>
      <c r="H47" s="186"/>
      <c r="I47" s="186"/>
      <c r="J47" s="186"/>
      <c r="K47" s="186"/>
      <c r="L47" s="186"/>
      <c r="M47" s="186"/>
      <c r="N47" s="186"/>
    </row>
    <row r="48" spans="1:14">
      <c r="A48" s="181" t="s">
        <v>0</v>
      </c>
      <c r="B48" s="184"/>
      <c r="C48" s="184"/>
      <c r="D48" s="184"/>
      <c r="E48" s="184"/>
      <c r="F48" s="184"/>
      <c r="G48" s="184"/>
      <c r="H48" s="184"/>
      <c r="I48" s="184"/>
      <c r="J48" s="184"/>
      <c r="K48" s="184"/>
      <c r="L48" s="184"/>
      <c r="M48" s="184"/>
      <c r="N48" s="184"/>
    </row>
    <row r="49" spans="1:14">
      <c r="A49" s="181" t="s">
        <v>446</v>
      </c>
      <c r="B49" s="184"/>
      <c r="C49" s="184"/>
      <c r="D49" s="184"/>
      <c r="E49" s="184"/>
      <c r="F49" s="184"/>
      <c r="G49" s="184"/>
      <c r="H49" s="184"/>
      <c r="I49" s="184"/>
      <c r="J49" s="184"/>
      <c r="K49" s="184"/>
      <c r="L49" s="184"/>
      <c r="M49" s="184"/>
      <c r="N49" s="184"/>
    </row>
    <row r="50" spans="1:14">
      <c r="A50" s="54" t="s">
        <v>447</v>
      </c>
      <c r="B50" s="54"/>
      <c r="C50" s="54"/>
      <c r="D50" s="54"/>
      <c r="E50" s="54"/>
      <c r="F50" s="54"/>
      <c r="G50" s="54"/>
      <c r="H50" s="54"/>
      <c r="I50" s="54"/>
      <c r="J50" s="54"/>
      <c r="K50" s="54"/>
      <c r="L50" s="54"/>
      <c r="M50" s="54"/>
      <c r="N50" s="54"/>
    </row>
    <row r="51" spans="1:14">
      <c r="A51" s="54" t="s">
        <v>448</v>
      </c>
      <c r="B51" s="54"/>
      <c r="C51" s="54"/>
      <c r="D51" s="54"/>
      <c r="E51" s="54"/>
      <c r="F51" s="54"/>
      <c r="G51" s="54"/>
      <c r="H51" s="54"/>
      <c r="I51" s="54"/>
      <c r="J51" s="54"/>
      <c r="K51" s="54"/>
      <c r="L51" s="54"/>
      <c r="M51" s="54"/>
      <c r="N51" s="54"/>
    </row>
    <row r="52" spans="1:14">
      <c r="A52" s="102"/>
      <c r="B52" s="102"/>
      <c r="C52" s="102"/>
      <c r="D52" s="102"/>
      <c r="E52" s="102"/>
      <c r="F52" s="102"/>
      <c r="G52" s="102"/>
      <c r="H52" s="102"/>
      <c r="I52" s="102"/>
      <c r="J52" s="102"/>
      <c r="K52" s="102"/>
      <c r="L52" s="102"/>
      <c r="M52" s="102"/>
      <c r="N52" s="102"/>
    </row>
  </sheetData>
  <mergeCells count="4">
    <mergeCell ref="A4:A5"/>
    <mergeCell ref="B4:E4"/>
    <mergeCell ref="F4:H4"/>
    <mergeCell ref="I4:N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Ejec. Inversiones </vt:lpstr>
      <vt:lpstr>Formato 1</vt:lpstr>
      <vt:lpstr>Formato 2</vt:lpstr>
      <vt:lpstr>Formato 3</vt:lpstr>
      <vt:lpstr>Formato 4</vt:lpstr>
      <vt:lpstr>Formato 5</vt:lpstr>
      <vt:lpstr>Formato 6 Educacion Loreto</vt:lpstr>
      <vt:lpstr>Form. 6 Hosp. Apoyo Iquitos</vt:lpstr>
      <vt:lpstr>Form. 6 Hosp. Santa Gema </vt:lpstr>
      <vt:lpstr>Form. 6 Salud Ucayali</vt:lpstr>
      <vt:lpstr>Form. 6 salud Loreto</vt:lpstr>
      <vt:lpstr>Formato 7</vt:lpstr>
      <vt:lpstr>Formato 8</vt:lpstr>
      <vt:lpstr>Form. 9 </vt:lpstr>
      <vt:lpstr>formato 10 </vt:lpstr>
      <vt:lpstr>Formato 11</vt:lpstr>
      <vt:lpstr>Formato 12</vt:lpstr>
      <vt:lpstr>Formato 13</vt:lpstr>
      <vt:lpstr>Formato 14</vt:lpstr>
      <vt:lpstr>Formato 15</vt:lpstr>
      <vt:lpstr>Formato 16</vt:lpstr>
      <vt:lpstr>Formato 17</vt:lpstr>
      <vt:lpstr>Hoja18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REYNA</dc:creator>
  <cp:lastModifiedBy>pined</cp:lastModifiedBy>
  <cp:lastPrinted>2020-10-02T17:15:47Z</cp:lastPrinted>
  <dcterms:created xsi:type="dcterms:W3CDTF">2020-07-02T22:47:07Z</dcterms:created>
  <dcterms:modified xsi:type="dcterms:W3CDTF">2020-10-23T04:08:36Z</dcterms:modified>
</cp:coreProperties>
</file>