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showInkAnnotation="0" codeName="ThisWorkbook"/>
  <mc:AlternateContent xmlns:mc="http://schemas.openxmlformats.org/markup-compatibility/2006">
    <mc:Choice Requires="x15">
      <x15ac:absPath xmlns:x15ac="http://schemas.microsoft.com/office/spreadsheetml/2010/11/ac" url="C:\Users\pined\Documents\HUMBERTO ACUÑA\LEY DE PRESUPUESTO DEL AÑO 2021\Formatos y Directivas de las entidades\GORES\Huánuco\"/>
    </mc:Choice>
  </mc:AlternateContent>
  <xr:revisionPtr revIDLastSave="0" documentId="8_{E4C17D38-4683-48E8-8396-2C2EE6F11F4F}" xr6:coauthVersionLast="45" xr6:coauthVersionMax="45" xr10:uidLastSave="{00000000-0000-0000-0000-000000000000}"/>
  <bookViews>
    <workbookView xWindow="-120" yWindow="-120" windowWidth="20730" windowHeight="11160" tabRatio="825" xr2:uid="{00000000-000D-0000-FFFF-FFFF00000000}"/>
  </bookViews>
  <sheets>
    <sheet name="Índice" sheetId="55" r:id="rId1"/>
    <sheet name="F-01" sheetId="62" r:id="rId2"/>
    <sheet name="F-02" sheetId="73" r:id="rId3"/>
    <sheet name="F-03" sheetId="70" r:id="rId4"/>
    <sheet name="F-04" sheetId="30" r:id="rId5"/>
    <sheet name="F-05" sheetId="76" r:id="rId6"/>
    <sheet name="F-06" sheetId="57" r:id="rId7"/>
    <sheet name="F-07" sheetId="9" r:id="rId8"/>
    <sheet name="F-08" sheetId="21" r:id="rId9"/>
    <sheet name="F-09" sheetId="60" r:id="rId10"/>
    <sheet name="F-10" sheetId="32" r:id="rId11"/>
    <sheet name="F-11" sheetId="45" r:id="rId12"/>
    <sheet name="F-12" sheetId="33" r:id="rId13"/>
    <sheet name="F-13" sheetId="50" r:id="rId14"/>
    <sheet name="F-14" sheetId="51" r:id="rId15"/>
    <sheet name="F-15" sheetId="39" r:id="rId16"/>
    <sheet name="F-16" sheetId="79" r:id="rId17"/>
    <sheet name="F-18" sheetId="64" r:id="rId18"/>
    <sheet name="Hoja2" sheetId="80" r:id="rId19"/>
    <sheet name="Hoja1" sheetId="78" state="hidden" r:id="rId20"/>
  </sheets>
  <definedNames>
    <definedName name="_xlnm.Print_Area" localSheetId="1">'F-01'!$A$1:$N$18</definedName>
    <definedName name="_xlnm.Print_Area" localSheetId="6">'F-06'!$A$1:$N$50</definedName>
    <definedName name="_xlnm.Print_Area" localSheetId="7">'F-07'!$A$1:$Q$25</definedName>
    <definedName name="_xlnm.Print_Area" localSheetId="8">'F-08'!$A$1:$R$109</definedName>
    <definedName name="_xlnm.Print_Area" localSheetId="9">'F-09'!$A$1:$X$34</definedName>
    <definedName name="_xlnm.Print_Area" localSheetId="10">'F-10'!$A$1:$I$24</definedName>
    <definedName name="_xlnm.Print_Area" localSheetId="11">'F-11'!$A$1:$AI$55</definedName>
    <definedName name="_xlnm.Print_Area" localSheetId="12">'F-12'!$A$1:$J$30</definedName>
    <definedName name="_xlnm.Print_Area" localSheetId="13">'F-13'!$A$1:$P$47</definedName>
    <definedName name="_xlnm.Print_Area" localSheetId="14">'F-14'!$A$1:$J$15</definedName>
    <definedName name="_xlnm.Print_Area" localSheetId="15">'F-15'!$A$1:$H$33</definedName>
    <definedName name="_xlnm.Print_Area" localSheetId="16">'F-16'!$A$1:$H$107</definedName>
    <definedName name="_xlnm.Print_Area" localSheetId="17">'F-18'!$A$1:$L$49</definedName>
    <definedName name="_xlnm.Print_Area" localSheetId="0">Índice!$A$1:$E$35</definedName>
    <definedName name="dd" localSheetId="2">#REF!</definedName>
    <definedName name="dd" localSheetId="3">#REF!</definedName>
    <definedName name="dd" localSheetId="5">#REF!</definedName>
    <definedName name="dd">#REF!</definedName>
    <definedName name="DIRECREC" localSheetId="1">#REF!</definedName>
    <definedName name="DIRECREC" localSheetId="2">#REF!</definedName>
    <definedName name="DIRECREC" localSheetId="3">#REF!</definedName>
    <definedName name="DIRECREC" localSheetId="5">#REF!</definedName>
    <definedName name="DIRECREC" localSheetId="6">#REF!</definedName>
    <definedName name="DIRECREC" localSheetId="9">#REF!</definedName>
    <definedName name="DIRECREC" localSheetId="17">#REF!</definedName>
    <definedName name="DIRECREC">#REF!</definedName>
    <definedName name="DONAC" localSheetId="1">#REF!</definedName>
    <definedName name="DONAC" localSheetId="2">#REF!</definedName>
    <definedName name="DONAC" localSheetId="3">#REF!</definedName>
    <definedName name="DONAC" localSheetId="5">#REF!</definedName>
    <definedName name="DONAC" localSheetId="6">#REF!</definedName>
    <definedName name="DONAC" localSheetId="9">#REF!</definedName>
    <definedName name="DONAC" localSheetId="17">#REF!</definedName>
    <definedName name="DONAC">#REF!</definedName>
    <definedName name="EE" localSheetId="2">#REF!</definedName>
    <definedName name="EE" localSheetId="3">#REF!</definedName>
    <definedName name="EE" localSheetId="5">#REF!</definedName>
    <definedName name="EE">#REF!</definedName>
    <definedName name="RECORD" localSheetId="1">#REF!</definedName>
    <definedName name="RECORD" localSheetId="2">#REF!</definedName>
    <definedName name="RECORD" localSheetId="3">#REF!</definedName>
    <definedName name="RECORD" localSheetId="5">#REF!</definedName>
    <definedName name="RECORD" localSheetId="6">#REF!</definedName>
    <definedName name="RECORD" localSheetId="9">#REF!</definedName>
    <definedName name="RECORD" localSheetId="17">#REF!</definedName>
    <definedName name="RECORD">#REF!</definedName>
    <definedName name="RECPUB" localSheetId="1">#REF!</definedName>
    <definedName name="RECPUB" localSheetId="2">#REF!</definedName>
    <definedName name="RECPUB" localSheetId="3">#REF!</definedName>
    <definedName name="RECPUB" localSheetId="5">#REF!</definedName>
    <definedName name="RECPUB" localSheetId="6">#REF!</definedName>
    <definedName name="RECPUB" localSheetId="9">#REF!</definedName>
    <definedName name="RECPUB" localSheetId="17">#REF!</definedName>
    <definedName name="RECPUB">#REF!</definedName>
    <definedName name="_xlnm.Print_Titles" localSheetId="1">'F-01'!$3:$4</definedName>
    <definedName name="_xlnm.Print_Titles" localSheetId="13">'F-13'!$5:$5</definedName>
    <definedName name="_xlnm.Print_Titles" localSheetId="15">'F-15'!$4:$5</definedName>
    <definedName name="_xlnm.Print_Titles" localSheetId="16">'F-16'!$4:$5</definedName>
    <definedName name="_xlnm.Print_Titles" localSheetId="0">Índice!$1:$1</definedName>
    <definedName name="XPRINT" localSheetId="1">#REF!</definedName>
    <definedName name="XPRINT" localSheetId="2">#REF!</definedName>
    <definedName name="XPRINT" localSheetId="3">#REF!</definedName>
    <definedName name="XPRINT" localSheetId="5">#REF!</definedName>
    <definedName name="XPRINT" localSheetId="6">#REF!</definedName>
    <definedName name="XPRINT" localSheetId="9">#REF!</definedName>
    <definedName name="XPRINT" localSheetId="17">#REF!</definedName>
    <definedName name="XPRINT">#REF!</definedName>
    <definedName name="XPRINT2" localSheetId="1">#REF!</definedName>
    <definedName name="XPRINT2" localSheetId="2">#REF!</definedName>
    <definedName name="XPRINT2" localSheetId="3">#REF!</definedName>
    <definedName name="XPRINT2" localSheetId="5">#REF!</definedName>
    <definedName name="XPRINT2" localSheetId="6">#REF!</definedName>
    <definedName name="XPRINT2" localSheetId="9">#REF!</definedName>
    <definedName name="XPRINT2" localSheetId="17">#REF!</definedName>
    <definedName name="XPRINT2">#REF!</definedName>
    <definedName name="XPRINT3" localSheetId="1">#REF!</definedName>
    <definedName name="XPRINT3" localSheetId="2">#REF!</definedName>
    <definedName name="XPRINT3" localSheetId="3">#REF!</definedName>
    <definedName name="XPRINT3" localSheetId="5">#REF!</definedName>
    <definedName name="XPRINT3" localSheetId="6">#REF!</definedName>
    <definedName name="XPRINT3" localSheetId="9">#REF!</definedName>
    <definedName name="XPRINT3" localSheetId="17">#REF!</definedName>
    <definedName name="XPRINT3">#REF!</definedName>
    <definedName name="XPRINT4" localSheetId="1">#REF!</definedName>
    <definedName name="XPRINT4" localSheetId="2">#REF!</definedName>
    <definedName name="XPRINT4" localSheetId="3">#REF!</definedName>
    <definedName name="XPRINT4" localSheetId="5">#REF!</definedName>
    <definedName name="XPRINT4" localSheetId="6">#REF!</definedName>
    <definedName name="XPRINT4" localSheetId="9">#REF!</definedName>
    <definedName name="XPRINT4" localSheetId="17">#REF!</definedName>
    <definedName name="XPRINT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2" i="32" l="1"/>
  <c r="F22" i="32"/>
  <c r="E22" i="32"/>
  <c r="D22" i="32"/>
  <c r="C22" i="32"/>
  <c r="B22" i="32"/>
  <c r="H21" i="32"/>
  <c r="H20" i="32"/>
  <c r="H19" i="32"/>
  <c r="H18" i="32"/>
  <c r="H17" i="32"/>
  <c r="H16" i="32"/>
  <c r="H15" i="32"/>
  <c r="H14" i="32"/>
  <c r="H13" i="32"/>
  <c r="H12" i="32"/>
  <c r="H11" i="32"/>
  <c r="H10" i="32"/>
  <c r="H9" i="32"/>
  <c r="H8" i="32"/>
  <c r="H7" i="32"/>
  <c r="I6" i="32"/>
  <c r="I22" i="32" s="1"/>
  <c r="H6" i="32"/>
  <c r="H22" i="32" l="1"/>
  <c r="G7" i="33"/>
  <c r="H7" i="33"/>
  <c r="I7" i="33"/>
  <c r="J7" i="33"/>
  <c r="G8" i="33"/>
  <c r="H8" i="33"/>
  <c r="I8" i="33"/>
  <c r="J8" i="33"/>
  <c r="G9" i="33"/>
  <c r="H9" i="33"/>
  <c r="I9" i="33"/>
  <c r="J9" i="33"/>
  <c r="G10" i="33"/>
  <c r="H10" i="33"/>
  <c r="I10" i="33"/>
  <c r="J10" i="33"/>
  <c r="G11" i="33"/>
  <c r="H11" i="33"/>
  <c r="I11" i="33"/>
  <c r="J11" i="33"/>
  <c r="G12" i="33"/>
  <c r="H12" i="33"/>
  <c r="I12" i="33"/>
  <c r="J12" i="33"/>
  <c r="G13" i="33"/>
  <c r="H13" i="33"/>
  <c r="I13" i="33"/>
  <c r="J13" i="33"/>
  <c r="G14" i="33"/>
  <c r="H14" i="33"/>
  <c r="I14" i="33"/>
  <c r="J14" i="33"/>
  <c r="G15" i="33"/>
  <c r="H15" i="33"/>
  <c r="I15" i="33"/>
  <c r="J15" i="33"/>
  <c r="G16" i="33"/>
  <c r="H16" i="33"/>
  <c r="I16" i="33"/>
  <c r="J16" i="33"/>
  <c r="G17" i="33"/>
  <c r="H17" i="33"/>
  <c r="I17" i="33"/>
  <c r="J17" i="33"/>
  <c r="G18" i="33"/>
  <c r="H18" i="33"/>
  <c r="I18" i="33"/>
  <c r="J18" i="33"/>
  <c r="G19" i="33"/>
  <c r="H19" i="33"/>
  <c r="I19" i="33"/>
  <c r="J19" i="33"/>
  <c r="G20" i="33"/>
  <c r="H20" i="33"/>
  <c r="I20" i="33"/>
  <c r="J20" i="33"/>
  <c r="G21" i="33"/>
  <c r="H21" i="33"/>
  <c r="I21" i="33"/>
  <c r="J21" i="33"/>
  <c r="G22" i="33"/>
  <c r="H22" i="33"/>
  <c r="I22" i="33"/>
  <c r="J22" i="33"/>
  <c r="G23" i="33"/>
  <c r="H23" i="33"/>
  <c r="I23" i="33"/>
  <c r="J23" i="33"/>
  <c r="G24" i="33"/>
  <c r="H24" i="33"/>
  <c r="I24" i="33"/>
  <c r="J24" i="33"/>
  <c r="G25" i="33"/>
  <c r="I25" i="33"/>
  <c r="J6" i="33"/>
  <c r="I6" i="33"/>
  <c r="H6" i="33"/>
  <c r="G6" i="33"/>
  <c r="B47" i="50"/>
  <c r="N46" i="50"/>
  <c r="B46" i="50"/>
  <c r="N45" i="50"/>
  <c r="B45" i="50"/>
  <c r="B44" i="50"/>
  <c r="B43" i="50"/>
  <c r="B42" i="50"/>
  <c r="B41" i="50"/>
  <c r="B40" i="50"/>
  <c r="K39" i="50"/>
  <c r="B39" i="50"/>
  <c r="B38" i="50"/>
  <c r="N37" i="50"/>
  <c r="B37" i="50"/>
  <c r="N36" i="50"/>
  <c r="B36" i="50"/>
  <c r="N35" i="50"/>
  <c r="B35" i="50"/>
  <c r="B34" i="50"/>
  <c r="B33" i="50"/>
  <c r="B32" i="50"/>
  <c r="N31" i="50"/>
  <c r="B31" i="50"/>
  <c r="B30" i="50"/>
  <c r="N29" i="50"/>
  <c r="B29" i="50"/>
  <c r="B28" i="50"/>
  <c r="N27" i="50"/>
  <c r="B27" i="50"/>
  <c r="N26" i="50"/>
  <c r="B26" i="50"/>
  <c r="N25" i="50"/>
  <c r="B25" i="50"/>
  <c r="B24" i="50"/>
  <c r="N23" i="50"/>
  <c r="B23" i="50"/>
  <c r="N22" i="50"/>
  <c r="B22" i="50"/>
  <c r="B21" i="50"/>
  <c r="N20" i="50"/>
  <c r="B20" i="50"/>
  <c r="B19" i="50"/>
  <c r="B18" i="50"/>
  <c r="B17" i="50"/>
  <c r="B16" i="50"/>
  <c r="B15" i="50"/>
  <c r="N14" i="50"/>
  <c r="B14" i="50"/>
  <c r="N13" i="50"/>
  <c r="B13" i="50"/>
  <c r="N12" i="50"/>
  <c r="B12" i="50"/>
  <c r="N11" i="50"/>
  <c r="B11" i="50"/>
  <c r="K10" i="50"/>
  <c r="B10" i="50"/>
  <c r="B9" i="50"/>
  <c r="N8" i="50"/>
  <c r="B8" i="50"/>
  <c r="B7" i="50"/>
  <c r="M6" i="50"/>
  <c r="N6" i="50" s="1"/>
  <c r="B6" i="50"/>
  <c r="M47" i="64" l="1"/>
  <c r="N47" i="64" s="1"/>
  <c r="M46" i="64"/>
  <c r="N46" i="64" s="1"/>
  <c r="M45" i="64"/>
  <c r="N45" i="64" s="1"/>
  <c r="M44" i="64"/>
  <c r="N44" i="64" s="1"/>
  <c r="M43" i="64"/>
  <c r="N43" i="64" s="1"/>
  <c r="M42" i="64"/>
  <c r="N42" i="64" s="1"/>
  <c r="M41" i="64"/>
  <c r="N41" i="64" s="1"/>
  <c r="M40" i="64"/>
  <c r="N40" i="64" s="1"/>
  <c r="M39" i="64"/>
  <c r="N39" i="64" s="1"/>
  <c r="M38" i="64"/>
  <c r="N38" i="64" s="1"/>
  <c r="M37" i="64"/>
  <c r="N37" i="64" s="1"/>
  <c r="M36" i="64"/>
  <c r="N36" i="64" s="1"/>
  <c r="M35" i="64"/>
  <c r="N35" i="64" s="1"/>
  <c r="M34" i="64"/>
  <c r="N34" i="64" s="1"/>
  <c r="M33" i="64"/>
  <c r="N33" i="64" s="1"/>
  <c r="N32" i="64"/>
  <c r="M32" i="64"/>
  <c r="M31" i="64"/>
  <c r="N31" i="64" s="1"/>
  <c r="M30" i="64"/>
  <c r="N30" i="64" s="1"/>
  <c r="M29" i="64"/>
  <c r="N29" i="64" s="1"/>
  <c r="M28" i="64"/>
  <c r="N28" i="64" s="1"/>
  <c r="M27" i="64"/>
  <c r="N27" i="64" s="1"/>
  <c r="M26" i="64"/>
  <c r="N26" i="64" s="1"/>
  <c r="M25" i="64"/>
  <c r="N25" i="64" s="1"/>
  <c r="N24" i="64"/>
  <c r="M24" i="64"/>
  <c r="M23" i="64"/>
  <c r="N23" i="64" s="1"/>
  <c r="M22" i="64"/>
  <c r="N22" i="64" s="1"/>
  <c r="M21" i="64"/>
  <c r="N21" i="64" s="1"/>
  <c r="M20" i="64"/>
  <c r="N20" i="64" s="1"/>
  <c r="M19" i="64"/>
  <c r="N19" i="64" s="1"/>
  <c r="M18" i="64"/>
  <c r="N18" i="64" s="1"/>
  <c r="N17" i="64"/>
  <c r="M17" i="64"/>
  <c r="M16" i="64"/>
  <c r="N16" i="64" s="1"/>
  <c r="N15" i="64"/>
  <c r="M15" i="64"/>
  <c r="M14" i="64"/>
  <c r="N14" i="64" s="1"/>
  <c r="M13" i="64"/>
  <c r="N13" i="64" s="1"/>
  <c r="M12" i="64"/>
  <c r="N12" i="64" s="1"/>
  <c r="M11" i="64"/>
  <c r="N11" i="64" s="1"/>
  <c r="M10" i="64"/>
  <c r="N10" i="64" s="1"/>
  <c r="N9" i="64"/>
  <c r="M9" i="64"/>
  <c r="M8" i="64"/>
  <c r="N8" i="64" s="1"/>
  <c r="N7" i="64"/>
  <c r="M7" i="64"/>
  <c r="M6" i="64"/>
  <c r="N6" i="64" s="1"/>
  <c r="F30" i="39"/>
  <c r="E30" i="39"/>
  <c r="D30" i="39"/>
  <c r="M36" i="45" l="1"/>
  <c r="L36" i="45"/>
  <c r="J36" i="45"/>
  <c r="I36" i="45"/>
  <c r="H36" i="45"/>
  <c r="G36" i="45"/>
  <c r="F36" i="45"/>
  <c r="E36" i="45"/>
  <c r="D36" i="45"/>
  <c r="C36" i="45"/>
  <c r="N35" i="45"/>
  <c r="K35" i="45"/>
  <c r="O35" i="45" s="1"/>
  <c r="P35" i="45" s="1"/>
  <c r="N34" i="45"/>
  <c r="K34" i="45"/>
  <c r="N33" i="45"/>
  <c r="K33" i="45"/>
  <c r="O33" i="45" s="1"/>
  <c r="P33" i="45" s="1"/>
  <c r="N32" i="45"/>
  <c r="K32" i="45"/>
  <c r="N31" i="45"/>
  <c r="K31" i="45"/>
  <c r="O31" i="45" s="1"/>
  <c r="P31" i="45" s="1"/>
  <c r="N30" i="45"/>
  <c r="K30" i="45"/>
  <c r="O30" i="45" s="1"/>
  <c r="P30" i="45" s="1"/>
  <c r="N29" i="45"/>
  <c r="K29" i="45"/>
  <c r="O29" i="45" s="1"/>
  <c r="P29" i="45" s="1"/>
  <c r="N28" i="45"/>
  <c r="K28" i="45"/>
  <c r="O28" i="45" s="1"/>
  <c r="P28" i="45" s="1"/>
  <c r="N27" i="45"/>
  <c r="K27" i="45"/>
  <c r="O27" i="45" s="1"/>
  <c r="P27" i="45" s="1"/>
  <c r="N26" i="45"/>
  <c r="K26" i="45"/>
  <c r="O26" i="45" s="1"/>
  <c r="P26" i="45" s="1"/>
  <c r="O25" i="45"/>
  <c r="P25" i="45" s="1"/>
  <c r="N25" i="45"/>
  <c r="K25" i="45"/>
  <c r="N24" i="45"/>
  <c r="K24" i="45"/>
  <c r="O24" i="45" s="1"/>
  <c r="P24" i="45" s="1"/>
  <c r="N23" i="45"/>
  <c r="K23" i="45"/>
  <c r="O23" i="45" s="1"/>
  <c r="P23" i="45" s="1"/>
  <c r="N22" i="45"/>
  <c r="K22" i="45"/>
  <c r="O21" i="45"/>
  <c r="P21" i="45" s="1"/>
  <c r="N21" i="45"/>
  <c r="K21" i="45"/>
  <c r="N20" i="45"/>
  <c r="K20" i="45"/>
  <c r="O20" i="45" s="1"/>
  <c r="P20" i="45" s="1"/>
  <c r="O19" i="45"/>
  <c r="P19" i="45" s="1"/>
  <c r="N19" i="45"/>
  <c r="K19" i="45"/>
  <c r="N18" i="45"/>
  <c r="K18" i="45"/>
  <c r="N17" i="45"/>
  <c r="K17" i="45"/>
  <c r="O17" i="45" s="1"/>
  <c r="P17" i="45" s="1"/>
  <c r="N16" i="45"/>
  <c r="K16" i="45"/>
  <c r="N15" i="45"/>
  <c r="K15" i="45"/>
  <c r="O15" i="45" s="1"/>
  <c r="P15" i="45" s="1"/>
  <c r="N14" i="45"/>
  <c r="K14" i="45"/>
  <c r="O14" i="45" s="1"/>
  <c r="P14" i="45" s="1"/>
  <c r="N13" i="45"/>
  <c r="K13" i="45"/>
  <c r="O13" i="45" s="1"/>
  <c r="P13" i="45" s="1"/>
  <c r="N12" i="45"/>
  <c r="K12" i="45"/>
  <c r="O12" i="45" s="1"/>
  <c r="P12" i="45" s="1"/>
  <c r="N11" i="45"/>
  <c r="K11" i="45"/>
  <c r="O11" i="45" s="1"/>
  <c r="P11" i="45" s="1"/>
  <c r="N10" i="45"/>
  <c r="K10" i="45"/>
  <c r="O10" i="45" s="1"/>
  <c r="P10" i="45" s="1"/>
  <c r="N9" i="45"/>
  <c r="K9" i="45"/>
  <c r="N8" i="45"/>
  <c r="K8" i="45"/>
  <c r="B36" i="45"/>
  <c r="AB36" i="45"/>
  <c r="AA36" i="45"/>
  <c r="Y36" i="45"/>
  <c r="X36" i="45"/>
  <c r="W36" i="45"/>
  <c r="V36" i="45"/>
  <c r="U36" i="45"/>
  <c r="T36" i="45"/>
  <c r="S36" i="45"/>
  <c r="R36" i="45"/>
  <c r="Q36" i="45"/>
  <c r="AC35" i="45"/>
  <c r="Z35" i="45"/>
  <c r="AC34" i="45"/>
  <c r="Z34" i="45"/>
  <c r="AC33" i="45"/>
  <c r="Z33" i="45"/>
  <c r="AC32" i="45"/>
  <c r="Z32" i="45"/>
  <c r="AD32" i="45" s="1"/>
  <c r="AE32" i="45" s="1"/>
  <c r="AC31" i="45"/>
  <c r="Z31" i="45"/>
  <c r="AC30" i="45"/>
  <c r="Z30" i="45"/>
  <c r="AC29" i="45"/>
  <c r="Z29" i="45"/>
  <c r="AC28" i="45"/>
  <c r="Z28" i="45"/>
  <c r="AD28" i="45" s="1"/>
  <c r="AE28" i="45" s="1"/>
  <c r="AC27" i="45"/>
  <c r="Z27" i="45"/>
  <c r="AC26" i="45"/>
  <c r="Z26" i="45"/>
  <c r="AC25" i="45"/>
  <c r="Z25" i="45"/>
  <c r="AC24" i="45"/>
  <c r="Z24" i="45"/>
  <c r="AD24" i="45" s="1"/>
  <c r="AE24" i="45" s="1"/>
  <c r="AC23" i="45"/>
  <c r="Z23" i="45"/>
  <c r="AC22" i="45"/>
  <c r="Z22" i="45"/>
  <c r="AC21" i="45"/>
  <c r="Z21" i="45"/>
  <c r="AC20" i="45"/>
  <c r="Z20" i="45"/>
  <c r="AD20" i="45" s="1"/>
  <c r="AE20" i="45" s="1"/>
  <c r="AC19" i="45"/>
  <c r="Z19" i="45"/>
  <c r="AC18" i="45"/>
  <c r="Z18" i="45"/>
  <c r="AC17" i="45"/>
  <c r="Z17" i="45"/>
  <c r="AC16" i="45"/>
  <c r="Z16" i="45"/>
  <c r="AD16" i="45" s="1"/>
  <c r="AE16" i="45" s="1"/>
  <c r="AC15" i="45"/>
  <c r="Z15" i="45"/>
  <c r="AC14" i="45"/>
  <c r="Z14" i="45"/>
  <c r="AC13" i="45"/>
  <c r="Z13" i="45"/>
  <c r="AC12" i="45"/>
  <c r="Z12" i="45"/>
  <c r="AD12" i="45" s="1"/>
  <c r="AE12" i="45" s="1"/>
  <c r="AC11" i="45"/>
  <c r="Z11" i="45"/>
  <c r="AC10" i="45"/>
  <c r="Z10" i="45"/>
  <c r="AC9" i="45"/>
  <c r="Z9" i="45"/>
  <c r="AC8" i="45"/>
  <c r="Z8" i="45"/>
  <c r="AD8" i="45" s="1"/>
  <c r="AD10" i="45" l="1"/>
  <c r="AE10" i="45" s="1"/>
  <c r="AD14" i="45"/>
  <c r="AE14" i="45" s="1"/>
  <c r="AD18" i="45"/>
  <c r="AE18" i="45" s="1"/>
  <c r="AD22" i="45"/>
  <c r="AE22" i="45" s="1"/>
  <c r="AD26" i="45"/>
  <c r="AE26" i="45" s="1"/>
  <c r="AD30" i="45"/>
  <c r="AE30" i="45" s="1"/>
  <c r="AD34" i="45"/>
  <c r="AE34" i="45" s="1"/>
  <c r="O8" i="45"/>
  <c r="P8" i="45" s="1"/>
  <c r="P36" i="45" s="1"/>
  <c r="O18" i="45"/>
  <c r="P18" i="45" s="1"/>
  <c r="O34" i="45"/>
  <c r="P34" i="45" s="1"/>
  <c r="N36" i="45"/>
  <c r="AD11" i="45"/>
  <c r="AE11" i="45" s="1"/>
  <c r="AD15" i="45"/>
  <c r="AE15" i="45" s="1"/>
  <c r="AD19" i="45"/>
  <c r="AE19" i="45" s="1"/>
  <c r="AD23" i="45"/>
  <c r="AE23" i="45" s="1"/>
  <c r="AD27" i="45"/>
  <c r="AE27" i="45" s="1"/>
  <c r="AD31" i="45"/>
  <c r="AE31" i="45" s="1"/>
  <c r="AD35" i="45"/>
  <c r="AE35" i="45" s="1"/>
  <c r="O9" i="45"/>
  <c r="P9" i="45" s="1"/>
  <c r="O22" i="45"/>
  <c r="P22" i="45" s="1"/>
  <c r="O16" i="45"/>
  <c r="P16" i="45" s="1"/>
  <c r="O32" i="45"/>
  <c r="P32" i="45" s="1"/>
  <c r="K36" i="45"/>
  <c r="AC36" i="45"/>
  <c r="AD9" i="45"/>
  <c r="AE9" i="45" s="1"/>
  <c r="AD13" i="45"/>
  <c r="AE13" i="45" s="1"/>
  <c r="AD17" i="45"/>
  <c r="AE17" i="45" s="1"/>
  <c r="AD21" i="45"/>
  <c r="AE21" i="45" s="1"/>
  <c r="AD25" i="45"/>
  <c r="AE25" i="45" s="1"/>
  <c r="AD29" i="45"/>
  <c r="AE29" i="45" s="1"/>
  <c r="AD33" i="45"/>
  <c r="AE33" i="45" s="1"/>
  <c r="AE8" i="45"/>
  <c r="Z36" i="45"/>
  <c r="O36" i="45" l="1"/>
  <c r="AE36" i="45"/>
  <c r="AD36" i="45"/>
  <c r="X59" i="60" l="1"/>
  <c r="L59" i="60"/>
  <c r="X58" i="60"/>
  <c r="X57" i="60" s="1"/>
  <c r="L58" i="60"/>
  <c r="L57" i="60" s="1"/>
  <c r="Y57" i="60"/>
  <c r="W57" i="60"/>
  <c r="V57" i="60"/>
  <c r="V60" i="60" s="1"/>
  <c r="M57" i="60"/>
  <c r="K57" i="60"/>
  <c r="J57" i="60"/>
  <c r="J60" i="60" s="1"/>
  <c r="X56" i="60"/>
  <c r="L56" i="60"/>
  <c r="X55" i="60"/>
  <c r="X53" i="60" s="1"/>
  <c r="L55" i="60"/>
  <c r="X54" i="60"/>
  <c r="L54" i="60"/>
  <c r="Y53" i="60"/>
  <c r="P53" i="60"/>
  <c r="P60" i="60" s="1"/>
  <c r="M53" i="60"/>
  <c r="D53" i="60"/>
  <c r="D60" i="60" s="1"/>
  <c r="X52" i="60"/>
  <c r="L52" i="60"/>
  <c r="X51" i="60"/>
  <c r="L51" i="60"/>
  <c r="Y50" i="60"/>
  <c r="W50" i="60"/>
  <c r="M50" i="60"/>
  <c r="K50" i="60"/>
  <c r="X49" i="60"/>
  <c r="L49" i="60"/>
  <c r="X48" i="60"/>
  <c r="L48" i="60"/>
  <c r="X47" i="60"/>
  <c r="L47" i="60"/>
  <c r="X46" i="60"/>
  <c r="L46" i="60"/>
  <c r="X45" i="60"/>
  <c r="X44" i="60" s="1"/>
  <c r="L45" i="60"/>
  <c r="Y44" i="60"/>
  <c r="W44" i="60"/>
  <c r="M44" i="60"/>
  <c r="K44" i="60"/>
  <c r="X43" i="60"/>
  <c r="L43" i="60"/>
  <c r="X42" i="60"/>
  <c r="L42" i="60"/>
  <c r="X41" i="60"/>
  <c r="L41" i="60"/>
  <c r="X40" i="60"/>
  <c r="L40" i="60"/>
  <c r="X39" i="60"/>
  <c r="L39" i="60"/>
  <c r="L38" i="60" s="1"/>
  <c r="Y38" i="60"/>
  <c r="W38" i="60"/>
  <c r="W60" i="60" s="1"/>
  <c r="M38" i="60"/>
  <c r="K38" i="60"/>
  <c r="Y37" i="60"/>
  <c r="X37" i="60"/>
  <c r="M37" i="60"/>
  <c r="L37" i="60"/>
  <c r="X36" i="60"/>
  <c r="L36" i="60"/>
  <c r="Y35" i="60"/>
  <c r="X35" i="60"/>
  <c r="M35" i="60"/>
  <c r="L35" i="60"/>
  <c r="Y34" i="60"/>
  <c r="X34" i="60"/>
  <c r="M34" i="60"/>
  <c r="M31" i="60" s="1"/>
  <c r="L34" i="60"/>
  <c r="Y33" i="60"/>
  <c r="X33" i="60"/>
  <c r="M33" i="60"/>
  <c r="L33" i="60"/>
  <c r="X32" i="60"/>
  <c r="L32" i="60"/>
  <c r="L31" i="60" s="1"/>
  <c r="Y31" i="60"/>
  <c r="U31" i="60"/>
  <c r="N31" i="60"/>
  <c r="I31" i="60"/>
  <c r="B31" i="60"/>
  <c r="Y30" i="60"/>
  <c r="X30" i="60"/>
  <c r="M30" i="60"/>
  <c r="L30" i="60"/>
  <c r="Y29" i="60"/>
  <c r="X29" i="60"/>
  <c r="M29" i="60"/>
  <c r="L29" i="60"/>
  <c r="Y28" i="60"/>
  <c r="X28" i="60"/>
  <c r="M28" i="60"/>
  <c r="L28" i="60"/>
  <c r="Y27" i="60"/>
  <c r="X27" i="60"/>
  <c r="M27" i="60"/>
  <c r="L27" i="60"/>
  <c r="Y26" i="60"/>
  <c r="X26" i="60"/>
  <c r="M26" i="60"/>
  <c r="M24" i="60" s="1"/>
  <c r="L26" i="60"/>
  <c r="L24" i="60" s="1"/>
  <c r="Y25" i="60"/>
  <c r="Y24" i="60" s="1"/>
  <c r="X25" i="60"/>
  <c r="M25" i="60"/>
  <c r="L25" i="60"/>
  <c r="U24" i="60"/>
  <c r="N24" i="60"/>
  <c r="I24" i="60"/>
  <c r="B24" i="60"/>
  <c r="Y23" i="60"/>
  <c r="X23" i="60"/>
  <c r="M23" i="60"/>
  <c r="L23" i="60"/>
  <c r="Y22" i="60"/>
  <c r="X22" i="60"/>
  <c r="M22" i="60"/>
  <c r="L22" i="60"/>
  <c r="Y21" i="60"/>
  <c r="X21" i="60"/>
  <c r="M21" i="60"/>
  <c r="L21" i="60"/>
  <c r="X20" i="60"/>
  <c r="L20" i="60"/>
  <c r="X19" i="60"/>
  <c r="X17" i="60" s="1"/>
  <c r="L19" i="60"/>
  <c r="X18" i="60"/>
  <c r="L18" i="60"/>
  <c r="U17" i="60"/>
  <c r="N17" i="60"/>
  <c r="M17" i="60"/>
  <c r="I17" i="60"/>
  <c r="B17" i="60"/>
  <c r="X16" i="60"/>
  <c r="L16" i="60"/>
  <c r="X15" i="60"/>
  <c r="L15" i="60"/>
  <c r="X14" i="60"/>
  <c r="L14" i="60"/>
  <c r="X13" i="60"/>
  <c r="L13" i="60"/>
  <c r="X12" i="60"/>
  <c r="L12" i="60"/>
  <c r="X11" i="60"/>
  <c r="L11" i="60"/>
  <c r="X10" i="60"/>
  <c r="L10" i="60"/>
  <c r="X9" i="60"/>
  <c r="X8" i="60" s="1"/>
  <c r="L9" i="60"/>
  <c r="Y8" i="60"/>
  <c r="N8" i="60"/>
  <c r="M8" i="60"/>
  <c r="B8" i="60"/>
  <c r="L44" i="60" l="1"/>
  <c r="M60" i="60"/>
  <c r="X38" i="60"/>
  <c r="L17" i="60"/>
  <c r="L60" i="60" s="1"/>
  <c r="Y17" i="60"/>
  <c r="Y60" i="60" s="1"/>
  <c r="I60" i="60"/>
  <c r="U60" i="60"/>
  <c r="L8" i="60"/>
  <c r="B60" i="60"/>
  <c r="X24" i="60"/>
  <c r="X31" i="60"/>
  <c r="X60" i="60" s="1"/>
  <c r="K60" i="60"/>
  <c r="L50" i="60"/>
  <c r="L53" i="60"/>
  <c r="N60" i="60"/>
  <c r="X50" i="60"/>
  <c r="H36" i="57" l="1"/>
  <c r="D36" i="57"/>
  <c r="H29" i="57"/>
  <c r="D29" i="57"/>
  <c r="H24" i="57"/>
  <c r="D24" i="57"/>
  <c r="M16" i="57"/>
  <c r="N16" i="57" s="1"/>
  <c r="K16" i="57"/>
  <c r="H16" i="57"/>
  <c r="D16" i="57"/>
  <c r="N13" i="57"/>
  <c r="K13" i="57"/>
  <c r="N12" i="57"/>
  <c r="H11" i="57"/>
  <c r="D11" i="57"/>
  <c r="H10" i="57"/>
  <c r="D10" i="57"/>
  <c r="D108" i="21" l="1"/>
  <c r="E100" i="21"/>
  <c r="F96" i="21"/>
  <c r="D96" i="21"/>
  <c r="L92" i="21"/>
  <c r="F92" i="21"/>
  <c r="E92" i="21"/>
  <c r="D92" i="21"/>
  <c r="N84" i="21"/>
  <c r="L84" i="21"/>
  <c r="H84" i="21"/>
  <c r="F84" i="21"/>
  <c r="E84" i="21"/>
  <c r="D84" i="21"/>
  <c r="I80" i="21"/>
  <c r="F80" i="21"/>
  <c r="D80" i="21"/>
  <c r="L76" i="21"/>
  <c r="F76" i="21"/>
  <c r="L72" i="21"/>
  <c r="F68" i="21"/>
  <c r="L64" i="21"/>
  <c r="F64" i="21"/>
  <c r="E64" i="21"/>
  <c r="D64" i="21"/>
  <c r="F60" i="21"/>
  <c r="D60" i="21"/>
  <c r="F56" i="21"/>
  <c r="L52" i="21"/>
  <c r="F52" i="21"/>
  <c r="D52" i="21"/>
  <c r="F48" i="21"/>
  <c r="D48" i="21"/>
  <c r="L44" i="21"/>
  <c r="F44" i="21"/>
  <c r="E44" i="21"/>
  <c r="D44" i="21"/>
  <c r="F40" i="21"/>
  <c r="D40" i="21"/>
  <c r="F36" i="21"/>
  <c r="D36" i="21"/>
  <c r="F32" i="21"/>
  <c r="D32" i="21"/>
  <c r="L24" i="21"/>
  <c r="F24" i="21"/>
  <c r="E24" i="21"/>
  <c r="D24" i="21"/>
  <c r="F16" i="21"/>
  <c r="H16" i="21"/>
  <c r="L16" i="21"/>
  <c r="D16" i="21"/>
  <c r="Q97" i="21"/>
  <c r="Q95" i="21"/>
  <c r="Q87" i="21"/>
  <c r="Q85" i="21"/>
  <c r="Q79" i="21"/>
  <c r="Q74" i="21"/>
  <c r="Q67" i="21"/>
  <c r="Q68" i="21" s="1"/>
  <c r="Q65" i="21"/>
  <c r="Q63" i="21"/>
  <c r="Q57" i="21"/>
  <c r="Q54" i="21"/>
  <c r="Q53" i="21"/>
  <c r="Q42" i="21"/>
  <c r="Q31" i="21"/>
  <c r="Q21" i="21"/>
  <c r="N91" i="21"/>
  <c r="N92" i="21" s="1"/>
  <c r="N90" i="21"/>
  <c r="N89" i="21"/>
  <c r="N87" i="21"/>
  <c r="N86" i="21"/>
  <c r="Q86" i="21" s="1"/>
  <c r="N85" i="21"/>
  <c r="N83" i="21"/>
  <c r="Q83" i="21" s="1"/>
  <c r="N82" i="21"/>
  <c r="Q82" i="21" s="1"/>
  <c r="N81" i="21"/>
  <c r="Q81" i="21" s="1"/>
  <c r="N75" i="21"/>
  <c r="N76" i="21" s="1"/>
  <c r="N74" i="21"/>
  <c r="N73" i="21"/>
  <c r="Q73" i="21" s="1"/>
  <c r="N71" i="21"/>
  <c r="N72" i="21" s="1"/>
  <c r="N70" i="21"/>
  <c r="Q70" i="21" s="1"/>
  <c r="N69" i="21"/>
  <c r="Q69" i="21" s="1"/>
  <c r="N63" i="21"/>
  <c r="N64" i="21" s="1"/>
  <c r="N62" i="21"/>
  <c r="Q62" i="21" s="1"/>
  <c r="N61" i="21"/>
  <c r="Q61" i="21" s="1"/>
  <c r="N51" i="21"/>
  <c r="Q51" i="21" s="1"/>
  <c r="Q52" i="21" s="1"/>
  <c r="N50" i="21"/>
  <c r="N49" i="21"/>
  <c r="Q49" i="21" s="1"/>
  <c r="N47" i="21"/>
  <c r="Q47" i="21" s="1"/>
  <c r="Q48" i="21" s="1"/>
  <c r="N46" i="21"/>
  <c r="Q46" i="21" s="1"/>
  <c r="N45" i="21"/>
  <c r="Q45" i="21" s="1"/>
  <c r="N43" i="21"/>
  <c r="N44" i="21" s="1"/>
  <c r="N42" i="21"/>
  <c r="N41" i="21"/>
  <c r="Q41" i="21" s="1"/>
  <c r="N39" i="21"/>
  <c r="N38" i="21"/>
  <c r="Q38" i="21" s="1"/>
  <c r="N37" i="21"/>
  <c r="Q37" i="21" s="1"/>
  <c r="N35" i="21"/>
  <c r="Q35" i="21" s="1"/>
  <c r="N34" i="21"/>
  <c r="Q34" i="21" s="1"/>
  <c r="N33" i="21"/>
  <c r="Q33" i="21" s="1"/>
  <c r="N23" i="21"/>
  <c r="N24" i="21" s="1"/>
  <c r="N22" i="21"/>
  <c r="N21" i="21"/>
  <c r="N14" i="21"/>
  <c r="Q14" i="21" s="1"/>
  <c r="N15" i="21"/>
  <c r="N16" i="21" s="1"/>
  <c r="N13" i="21"/>
  <c r="Q13" i="21" s="1"/>
  <c r="I99" i="21"/>
  <c r="I100" i="21" s="1"/>
  <c r="I98" i="21"/>
  <c r="Q98" i="21" s="1"/>
  <c r="I97" i="21"/>
  <c r="I95" i="21"/>
  <c r="I96" i="21" s="1"/>
  <c r="I94" i="21"/>
  <c r="Q94" i="21" s="1"/>
  <c r="I93" i="21"/>
  <c r="Q93" i="21" s="1"/>
  <c r="I91" i="21"/>
  <c r="I92" i="21" s="1"/>
  <c r="I90" i="21"/>
  <c r="Q90" i="21" s="1"/>
  <c r="I89" i="21"/>
  <c r="Q89" i="21" s="1"/>
  <c r="I83" i="21"/>
  <c r="I84" i="21" s="1"/>
  <c r="I82" i="21"/>
  <c r="I81" i="21"/>
  <c r="I79" i="21"/>
  <c r="I78" i="21"/>
  <c r="Q78" i="21" s="1"/>
  <c r="I77" i="21"/>
  <c r="Q77" i="21" s="1"/>
  <c r="I75" i="21"/>
  <c r="I76" i="21" s="1"/>
  <c r="I74" i="21"/>
  <c r="I73" i="21"/>
  <c r="I67" i="21"/>
  <c r="I68" i="21" s="1"/>
  <c r="I66" i="21"/>
  <c r="Q66" i="21" s="1"/>
  <c r="I65" i="21"/>
  <c r="I63" i="21"/>
  <c r="I64" i="21" s="1"/>
  <c r="I62" i="21"/>
  <c r="I61" i="21"/>
  <c r="I59" i="21"/>
  <c r="Q59" i="21" s="1"/>
  <c r="Q60" i="21" s="1"/>
  <c r="I58" i="21"/>
  <c r="Q58" i="21" s="1"/>
  <c r="I57" i="21"/>
  <c r="I55" i="21"/>
  <c r="I56" i="21" s="1"/>
  <c r="I54" i="21"/>
  <c r="I53" i="21"/>
  <c r="I51" i="21"/>
  <c r="I52" i="21" s="1"/>
  <c r="I50" i="21"/>
  <c r="Q50" i="21" s="1"/>
  <c r="I49" i="21"/>
  <c r="I47" i="21"/>
  <c r="I48" i="21" s="1"/>
  <c r="I46" i="21"/>
  <c r="I45" i="21"/>
  <c r="I43" i="21"/>
  <c r="I44" i="21" s="1"/>
  <c r="I42" i="21"/>
  <c r="I41" i="21"/>
  <c r="I39" i="21"/>
  <c r="Q39" i="21" s="1"/>
  <c r="I38" i="21"/>
  <c r="I37" i="21"/>
  <c r="I35" i="21"/>
  <c r="I36" i="21" s="1"/>
  <c r="I34" i="21"/>
  <c r="I33" i="21"/>
  <c r="I31" i="21"/>
  <c r="I32" i="21" s="1"/>
  <c r="I30" i="21"/>
  <c r="Q30" i="21" s="1"/>
  <c r="I29" i="21"/>
  <c r="Q29" i="21" s="1"/>
  <c r="I23" i="21"/>
  <c r="I24" i="21" s="1"/>
  <c r="I22" i="21"/>
  <c r="Q22" i="21" s="1"/>
  <c r="I21" i="21"/>
  <c r="I14" i="21"/>
  <c r="I15" i="21"/>
  <c r="I13" i="21"/>
  <c r="J105" i="21"/>
  <c r="K105" i="21"/>
  <c r="L105" i="21"/>
  <c r="M105" i="21"/>
  <c r="O105" i="21"/>
  <c r="P105" i="21"/>
  <c r="J106" i="21"/>
  <c r="K106" i="21"/>
  <c r="L106" i="21"/>
  <c r="M106" i="21"/>
  <c r="O106" i="21"/>
  <c r="P106" i="21"/>
  <c r="J107" i="21"/>
  <c r="K107" i="21"/>
  <c r="L107" i="21"/>
  <c r="L108" i="21" s="1"/>
  <c r="M107" i="21"/>
  <c r="O107" i="21"/>
  <c r="P107" i="21"/>
  <c r="D106" i="21"/>
  <c r="E106" i="21"/>
  <c r="F106" i="21"/>
  <c r="G106" i="21"/>
  <c r="H106" i="21"/>
  <c r="D107" i="21"/>
  <c r="E107" i="21"/>
  <c r="E108" i="21" s="1"/>
  <c r="F107" i="21"/>
  <c r="F108" i="21" s="1"/>
  <c r="G107" i="21"/>
  <c r="H107" i="21"/>
  <c r="H108" i="21" s="1"/>
  <c r="E105" i="21"/>
  <c r="F105" i="21"/>
  <c r="G105" i="21"/>
  <c r="H105" i="21"/>
  <c r="D105" i="21"/>
  <c r="Q80" i="21" l="1"/>
  <c r="Q96" i="21"/>
  <c r="R73" i="21"/>
  <c r="R66" i="21"/>
  <c r="R41" i="21"/>
  <c r="Q64" i="21"/>
  <c r="R77" i="21"/>
  <c r="R22" i="21"/>
  <c r="R65" i="21"/>
  <c r="R37" i="21"/>
  <c r="R29" i="21"/>
  <c r="Q40" i="21"/>
  <c r="R50" i="21"/>
  <c r="Q36" i="21"/>
  <c r="Q84" i="21"/>
  <c r="Q32" i="21"/>
  <c r="R74" i="21"/>
  <c r="Q43" i="21"/>
  <c r="Q44" i="21" s="1"/>
  <c r="Q75" i="21"/>
  <c r="Q76" i="21" s="1"/>
  <c r="Q55" i="21"/>
  <c r="Q56" i="21" s="1"/>
  <c r="I40" i="21"/>
  <c r="I60" i="21"/>
  <c r="Q99" i="21"/>
  <c r="Q100" i="21" s="1"/>
  <c r="N52" i="21"/>
  <c r="I16" i="21"/>
  <c r="Q23" i="21"/>
  <c r="Q24" i="21" s="1"/>
  <c r="Q91" i="21"/>
  <c r="Q92" i="21" s="1"/>
  <c r="Q71" i="21"/>
  <c r="Q72" i="21" s="1"/>
  <c r="Q15" i="21"/>
  <c r="Q105" i="21"/>
  <c r="R57" i="21" s="1"/>
  <c r="Q107" i="21"/>
  <c r="Q108" i="21" s="1"/>
  <c r="Q106" i="21"/>
  <c r="R70" i="21" s="1"/>
  <c r="N105" i="21"/>
  <c r="N107" i="21"/>
  <c r="N106" i="21"/>
  <c r="I105" i="21"/>
  <c r="I107" i="21"/>
  <c r="I108" i="21" s="1"/>
  <c r="I106" i="21"/>
  <c r="H6" i="9"/>
  <c r="M17" i="9"/>
  <c r="M6" i="9"/>
  <c r="C24" i="9"/>
  <c r="D24" i="9"/>
  <c r="F24" i="9"/>
  <c r="G24" i="9"/>
  <c r="I24" i="9"/>
  <c r="J24" i="9"/>
  <c r="L24" i="9"/>
  <c r="N24" i="9"/>
  <c r="O24" i="9"/>
  <c r="B24" i="9"/>
  <c r="M13" i="9"/>
  <c r="P13" i="9" s="1"/>
  <c r="M8" i="9"/>
  <c r="P8" i="9" s="1"/>
  <c r="M10" i="9"/>
  <c r="P10" i="9" s="1"/>
  <c r="H17" i="9"/>
  <c r="H10" i="9"/>
  <c r="H13" i="9"/>
  <c r="H8" i="9"/>
  <c r="K15" i="9"/>
  <c r="M15" i="9" s="1"/>
  <c r="E15" i="9"/>
  <c r="H15" i="9" s="1"/>
  <c r="H24" i="9" s="1"/>
  <c r="D125" i="76"/>
  <c r="C125" i="76"/>
  <c r="D84" i="76"/>
  <c r="D43" i="76"/>
  <c r="B84" i="76"/>
  <c r="C84" i="76"/>
  <c r="C43" i="76"/>
  <c r="B125" i="76"/>
  <c r="B43" i="76"/>
  <c r="I72" i="30"/>
  <c r="I70" i="30"/>
  <c r="I69" i="30"/>
  <c r="I68" i="30"/>
  <c r="I67" i="30"/>
  <c r="I66" i="30"/>
  <c r="I65" i="30"/>
  <c r="Q65" i="30" s="1"/>
  <c r="I64" i="30"/>
  <c r="I63" i="30"/>
  <c r="I62" i="30"/>
  <c r="I61" i="30"/>
  <c r="I59" i="30"/>
  <c r="I58" i="30"/>
  <c r="Q58" i="30" s="1"/>
  <c r="I56" i="30"/>
  <c r="I55" i="30"/>
  <c r="I54" i="30"/>
  <c r="Q54" i="30" s="1"/>
  <c r="I53" i="30"/>
  <c r="I52" i="30"/>
  <c r="I51" i="30"/>
  <c r="I50" i="30"/>
  <c r="I49" i="30"/>
  <c r="I48" i="30"/>
  <c r="I47" i="30"/>
  <c r="I46" i="30"/>
  <c r="Q46" i="30" s="1"/>
  <c r="I45" i="30"/>
  <c r="I44" i="30"/>
  <c r="I43" i="30"/>
  <c r="I42" i="30"/>
  <c r="I41" i="30"/>
  <c r="I40" i="30"/>
  <c r="I39" i="30"/>
  <c r="I38" i="30"/>
  <c r="Q38" i="30" s="1"/>
  <c r="I37" i="30"/>
  <c r="I36" i="30"/>
  <c r="I35" i="30"/>
  <c r="I34" i="30"/>
  <c r="I33" i="30"/>
  <c r="I31" i="30" s="1"/>
  <c r="I32" i="30"/>
  <c r="N72" i="30"/>
  <c r="N71" i="30" s="1"/>
  <c r="N70" i="30"/>
  <c r="Q70" i="30" s="1"/>
  <c r="N69" i="30"/>
  <c r="N68" i="30"/>
  <c r="Q68" i="30" s="1"/>
  <c r="N67" i="30"/>
  <c r="N66" i="30"/>
  <c r="N65" i="30"/>
  <c r="N64" i="30"/>
  <c r="N63" i="30"/>
  <c r="N62" i="30"/>
  <c r="N61" i="30"/>
  <c r="N59" i="30"/>
  <c r="N58" i="30"/>
  <c r="N56" i="30"/>
  <c r="N55" i="30"/>
  <c r="Q55" i="30" s="1"/>
  <c r="N54" i="30"/>
  <c r="N53" i="30"/>
  <c r="N52" i="30"/>
  <c r="Q52" i="30" s="1"/>
  <c r="N51" i="30"/>
  <c r="N50" i="30"/>
  <c r="N49" i="30"/>
  <c r="N48" i="30"/>
  <c r="N47" i="30"/>
  <c r="Q47" i="30" s="1"/>
  <c r="N46" i="30"/>
  <c r="N45" i="30"/>
  <c r="N44" i="30"/>
  <c r="Q44" i="30" s="1"/>
  <c r="N43" i="30"/>
  <c r="N42" i="30"/>
  <c r="N41" i="30"/>
  <c r="N40" i="30"/>
  <c r="N39" i="30"/>
  <c r="Q39" i="30" s="1"/>
  <c r="N38" i="30"/>
  <c r="N37" i="30"/>
  <c r="N36" i="30"/>
  <c r="N35" i="30"/>
  <c r="N34" i="30"/>
  <c r="N33" i="30"/>
  <c r="N32" i="30"/>
  <c r="Q32" i="30" s="1"/>
  <c r="Q69" i="30"/>
  <c r="Q66" i="30"/>
  <c r="Q62" i="30"/>
  <c r="Q61" i="30"/>
  <c r="Q56" i="30"/>
  <c r="Q51" i="30"/>
  <c r="Q50" i="30"/>
  <c r="Q48" i="30"/>
  <c r="Q43" i="30"/>
  <c r="Q40" i="30"/>
  <c r="Q36" i="30"/>
  <c r="Q35" i="30"/>
  <c r="Q34" i="30"/>
  <c r="M73" i="30"/>
  <c r="G71" i="30"/>
  <c r="G73" i="30" s="1"/>
  <c r="H71" i="30"/>
  <c r="H73" i="30" s="1"/>
  <c r="I71" i="30"/>
  <c r="J71" i="30"/>
  <c r="K71" i="30"/>
  <c r="K73" i="30" s="1"/>
  <c r="L71" i="30"/>
  <c r="M71" i="30"/>
  <c r="O71" i="30"/>
  <c r="O73" i="30" s="1"/>
  <c r="P71" i="30"/>
  <c r="P73" i="30" s="1"/>
  <c r="C71" i="30"/>
  <c r="C73" i="30" s="1"/>
  <c r="D71" i="30"/>
  <c r="D73" i="30" s="1"/>
  <c r="E71" i="30"/>
  <c r="F71" i="30"/>
  <c r="G60" i="30"/>
  <c r="H60" i="30"/>
  <c r="J60" i="30"/>
  <c r="J73" i="30" s="1"/>
  <c r="K60" i="30"/>
  <c r="L60" i="30"/>
  <c r="M60" i="30"/>
  <c r="O60" i="30"/>
  <c r="P60" i="30"/>
  <c r="C60" i="30"/>
  <c r="D60" i="30"/>
  <c r="E60" i="30"/>
  <c r="E73" i="30" s="1"/>
  <c r="F60" i="30"/>
  <c r="C57" i="30"/>
  <c r="D57" i="30"/>
  <c r="E57" i="30"/>
  <c r="F57" i="30"/>
  <c r="F73" i="30" s="1"/>
  <c r="G57" i="30"/>
  <c r="H57" i="30"/>
  <c r="J57" i="30"/>
  <c r="K57" i="30"/>
  <c r="M57" i="30"/>
  <c r="N57" i="30"/>
  <c r="O57" i="30"/>
  <c r="P57" i="30"/>
  <c r="L57" i="30"/>
  <c r="L73" i="30" s="1"/>
  <c r="P31" i="30"/>
  <c r="O31" i="30"/>
  <c r="M31" i="30"/>
  <c r="L31" i="30"/>
  <c r="K31" i="30"/>
  <c r="J31" i="30"/>
  <c r="H31" i="30"/>
  <c r="G31" i="30"/>
  <c r="F31" i="30"/>
  <c r="E31" i="30"/>
  <c r="D31" i="30"/>
  <c r="E5" i="30"/>
  <c r="F5" i="30"/>
  <c r="G5" i="30"/>
  <c r="H5" i="30"/>
  <c r="J5" i="30"/>
  <c r="K5" i="30"/>
  <c r="L5" i="30"/>
  <c r="M5" i="30"/>
  <c r="O5" i="30"/>
  <c r="P5" i="30"/>
  <c r="D5" i="30"/>
  <c r="N6" i="30"/>
  <c r="Q6" i="30" s="1"/>
  <c r="I6" i="30"/>
  <c r="N8" i="30"/>
  <c r="N9" i="30"/>
  <c r="N10" i="30"/>
  <c r="N11" i="30"/>
  <c r="N12" i="30"/>
  <c r="N13" i="30"/>
  <c r="N14" i="30"/>
  <c r="Q14" i="30" s="1"/>
  <c r="N15" i="30"/>
  <c r="N16" i="30"/>
  <c r="N17" i="30"/>
  <c r="N18" i="30"/>
  <c r="N19" i="30"/>
  <c r="N20" i="30"/>
  <c r="N21" i="30"/>
  <c r="N22" i="30"/>
  <c r="Q22" i="30" s="1"/>
  <c r="N23" i="30"/>
  <c r="N24" i="30"/>
  <c r="N25" i="30"/>
  <c r="N26" i="30"/>
  <c r="N27" i="30"/>
  <c r="N28" i="30"/>
  <c r="N29" i="30"/>
  <c r="N30" i="30"/>
  <c r="Q30" i="30" s="1"/>
  <c r="N7" i="30"/>
  <c r="I7" i="30"/>
  <c r="I8" i="30"/>
  <c r="I9" i="30"/>
  <c r="I10" i="30"/>
  <c r="I11" i="30"/>
  <c r="I12" i="30"/>
  <c r="I13" i="30"/>
  <c r="I14" i="30"/>
  <c r="I15" i="30"/>
  <c r="I16" i="30"/>
  <c r="I17" i="30"/>
  <c r="I18" i="30"/>
  <c r="I19" i="30"/>
  <c r="I20" i="30"/>
  <c r="I21" i="30"/>
  <c r="I22" i="30"/>
  <c r="I23" i="30"/>
  <c r="I24" i="30"/>
  <c r="I25" i="30"/>
  <c r="I26" i="30"/>
  <c r="I27" i="30"/>
  <c r="I28" i="30"/>
  <c r="I29" i="30"/>
  <c r="I30" i="30"/>
  <c r="P15" i="9" l="1"/>
  <c r="R90" i="21"/>
  <c r="R14" i="21"/>
  <c r="R58" i="21"/>
  <c r="R30" i="21"/>
  <c r="Q64" i="30"/>
  <c r="E24" i="9"/>
  <c r="R45" i="21"/>
  <c r="R93" i="21"/>
  <c r="R54" i="21"/>
  <c r="R53" i="21"/>
  <c r="M24" i="9"/>
  <c r="R49" i="21"/>
  <c r="Q42" i="30"/>
  <c r="I57" i="30"/>
  <c r="R69" i="21"/>
  <c r="R21" i="21"/>
  <c r="R81" i="21"/>
  <c r="R97" i="21"/>
  <c r="R94" i="21"/>
  <c r="R78" i="21"/>
  <c r="I5" i="30"/>
  <c r="Q26" i="30"/>
  <c r="Q18" i="30"/>
  <c r="Q10" i="30"/>
  <c r="I60" i="30"/>
  <c r="I73" i="30" s="1"/>
  <c r="K24" i="9"/>
  <c r="R46" i="21"/>
  <c r="R82" i="21"/>
  <c r="R62" i="21"/>
  <c r="R85" i="21"/>
  <c r="P17" i="9"/>
  <c r="N108" i="21"/>
  <c r="R34" i="21"/>
  <c r="R33" i="21"/>
  <c r="R61" i="21"/>
  <c r="R86" i="21"/>
  <c r="R42" i="21"/>
  <c r="R13" i="21"/>
  <c r="R89" i="21"/>
  <c r="R98" i="21"/>
  <c r="R38" i="21"/>
  <c r="R87" i="21"/>
  <c r="R55" i="21"/>
  <c r="R31" i="21"/>
  <c r="R79" i="21"/>
  <c r="R75" i="21"/>
  <c r="R43" i="21"/>
  <c r="R63" i="21"/>
  <c r="R83" i="21"/>
  <c r="R51" i="21"/>
  <c r="R71" i="21"/>
  <c r="R39" i="21"/>
  <c r="R47" i="21"/>
  <c r="R91" i="21"/>
  <c r="R59" i="21"/>
  <c r="R23" i="21"/>
  <c r="R99" i="21"/>
  <c r="R107" i="21" s="1"/>
  <c r="R67" i="21"/>
  <c r="R35" i="21"/>
  <c r="R95" i="21"/>
  <c r="R15" i="21"/>
  <c r="Q16" i="21"/>
  <c r="P6" i="9"/>
  <c r="P24" i="9" s="1"/>
  <c r="Q6" i="9" s="1"/>
  <c r="Q63" i="30"/>
  <c r="Q67" i="30"/>
  <c r="Q57" i="30"/>
  <c r="Q59" i="30"/>
  <c r="Q33" i="30"/>
  <c r="Q37" i="30"/>
  <c r="Q41" i="30"/>
  <c r="Q45" i="30"/>
  <c r="Q49" i="30"/>
  <c r="Q53" i="30"/>
  <c r="Q72" i="30"/>
  <c r="N60" i="30"/>
  <c r="N31" i="30"/>
  <c r="N73" i="30" s="1"/>
  <c r="Q29" i="30"/>
  <c r="Q25" i="30"/>
  <c r="Q21" i="30"/>
  <c r="Q17" i="30"/>
  <c r="Q13" i="30"/>
  <c r="Q9" i="30"/>
  <c r="N5" i="30"/>
  <c r="Q28" i="30"/>
  <c r="Q24" i="30"/>
  <c r="Q20" i="30"/>
  <c r="Q16" i="30"/>
  <c r="Q12" i="30"/>
  <c r="Q8" i="30"/>
  <c r="Q7" i="30"/>
  <c r="Q27" i="30"/>
  <c r="Q23" i="30"/>
  <c r="Q19" i="30"/>
  <c r="Q15" i="30"/>
  <c r="Q11" i="30"/>
  <c r="Q60" i="30" l="1"/>
  <c r="R106" i="21"/>
  <c r="Q31" i="30"/>
  <c r="Q71" i="30"/>
  <c r="Q73" i="30" s="1"/>
  <c r="R105" i="21"/>
  <c r="Q15" i="9"/>
  <c r="Q13" i="9"/>
  <c r="Q10" i="9"/>
  <c r="Q17" i="9"/>
  <c r="Q8" i="9"/>
  <c r="Q5" i="30"/>
  <c r="D203" i="70"/>
  <c r="D198" i="70"/>
  <c r="D191" i="70"/>
  <c r="D186" i="70"/>
  <c r="D181" i="70"/>
  <c r="D174" i="70"/>
  <c r="D50" i="70"/>
  <c r="D45" i="70"/>
  <c r="D38" i="70"/>
  <c r="D33" i="70"/>
  <c r="D28" i="70"/>
  <c r="D21" i="70"/>
  <c r="B28" i="70"/>
  <c r="B21" i="70"/>
  <c r="D254" i="70"/>
  <c r="C254" i="70"/>
  <c r="B254" i="70"/>
  <c r="D249" i="70"/>
  <c r="C249" i="70"/>
  <c r="B249" i="70"/>
  <c r="D242" i="70"/>
  <c r="C242" i="70"/>
  <c r="B242" i="70"/>
  <c r="D237" i="70"/>
  <c r="C237" i="70"/>
  <c r="B237" i="70"/>
  <c r="D232" i="70"/>
  <c r="C232" i="70"/>
  <c r="B232" i="70"/>
  <c r="D225" i="70"/>
  <c r="C225" i="70"/>
  <c r="B225" i="70"/>
  <c r="D220" i="70"/>
  <c r="C220" i="70"/>
  <c r="B220" i="70"/>
  <c r="D215" i="70"/>
  <c r="C215" i="70"/>
  <c r="B215" i="70"/>
  <c r="D208" i="70"/>
  <c r="C208" i="70"/>
  <c r="B208" i="70"/>
  <c r="D152" i="70"/>
  <c r="C152" i="70"/>
  <c r="B152" i="70"/>
  <c r="D147" i="70"/>
  <c r="C147" i="70"/>
  <c r="B147" i="70"/>
  <c r="D140" i="70"/>
  <c r="C140" i="70"/>
  <c r="B140" i="70"/>
  <c r="D135" i="70"/>
  <c r="C135" i="70"/>
  <c r="B135" i="70"/>
  <c r="D130" i="70"/>
  <c r="C130" i="70"/>
  <c r="B130" i="70"/>
  <c r="D123" i="70"/>
  <c r="C123" i="70"/>
  <c r="B123" i="70"/>
  <c r="D118" i="70"/>
  <c r="C118" i="70"/>
  <c r="B118" i="70"/>
  <c r="D113" i="70"/>
  <c r="C113" i="70"/>
  <c r="B113" i="70"/>
  <c r="D106" i="70"/>
  <c r="C106" i="70"/>
  <c r="B106" i="70"/>
  <c r="C203" i="70"/>
  <c r="B203" i="70"/>
  <c r="C198" i="70"/>
  <c r="B198" i="70"/>
  <c r="C191" i="70"/>
  <c r="B191" i="70"/>
  <c r="C186" i="70"/>
  <c r="B186" i="70"/>
  <c r="C181" i="70"/>
  <c r="B181" i="70"/>
  <c r="C174" i="70"/>
  <c r="B174" i="70"/>
  <c r="D169" i="70"/>
  <c r="C169" i="70"/>
  <c r="B169" i="70"/>
  <c r="D164" i="70"/>
  <c r="C164" i="70"/>
  <c r="B164" i="70"/>
  <c r="D157" i="70"/>
  <c r="C157" i="70"/>
  <c r="B157" i="70"/>
  <c r="D101" i="70"/>
  <c r="C101" i="70"/>
  <c r="B101" i="70"/>
  <c r="D96" i="70"/>
  <c r="C96" i="70"/>
  <c r="B96" i="70"/>
  <c r="D89" i="70"/>
  <c r="C89" i="70"/>
  <c r="B89" i="70"/>
  <c r="D84" i="70"/>
  <c r="C84" i="70"/>
  <c r="B84" i="70"/>
  <c r="D79" i="70"/>
  <c r="C79" i="70"/>
  <c r="B79" i="70"/>
  <c r="D72" i="70"/>
  <c r="C72" i="70"/>
  <c r="B72" i="70"/>
  <c r="D67" i="70"/>
  <c r="C67" i="70"/>
  <c r="B67" i="70"/>
  <c r="D62" i="70"/>
  <c r="C62" i="70"/>
  <c r="B62" i="70"/>
  <c r="D55" i="70"/>
  <c r="C55" i="70"/>
  <c r="B55" i="70"/>
  <c r="C50" i="70"/>
  <c r="B50" i="70"/>
  <c r="C45" i="70"/>
  <c r="B45" i="70"/>
  <c r="C38" i="70"/>
  <c r="B38" i="70"/>
  <c r="C33" i="70"/>
  <c r="B33" i="70"/>
  <c r="C28" i="70"/>
  <c r="C21" i="70"/>
  <c r="C16" i="70"/>
  <c r="D16" i="70"/>
  <c r="B16" i="70"/>
  <c r="C11" i="70"/>
  <c r="D11" i="70"/>
  <c r="B11" i="70"/>
  <c r="C4" i="70"/>
  <c r="D4" i="70"/>
  <c r="B4" i="70"/>
  <c r="C19" i="73"/>
  <c r="B7" i="73"/>
  <c r="C7" i="73"/>
  <c r="B13" i="73"/>
  <c r="C13" i="73"/>
  <c r="B19" i="73"/>
  <c r="D19" i="73"/>
  <c r="D13" i="73"/>
  <c r="D7" i="73"/>
  <c r="R5" i="30" l="1"/>
  <c r="R50" i="30"/>
  <c r="R46" i="30"/>
  <c r="R70" i="30"/>
  <c r="R38" i="30"/>
  <c r="R51" i="30"/>
  <c r="R54" i="30"/>
  <c r="R22" i="30"/>
  <c r="R43" i="30"/>
  <c r="R68" i="30"/>
  <c r="R30" i="30"/>
  <c r="R36" i="30"/>
  <c r="R69" i="30"/>
  <c r="R32" i="30"/>
  <c r="R14" i="30"/>
  <c r="R40" i="30"/>
  <c r="R39" i="30"/>
  <c r="R44" i="30"/>
  <c r="R34" i="30"/>
  <c r="R6" i="30"/>
  <c r="R66" i="30"/>
  <c r="R47" i="30"/>
  <c r="R35" i="30"/>
  <c r="R56" i="30"/>
  <c r="R62" i="30"/>
  <c r="R55" i="30"/>
  <c r="R61" i="30"/>
  <c r="R65" i="30"/>
  <c r="R48" i="30"/>
  <c r="R58" i="30"/>
  <c r="R57" i="30" s="1"/>
  <c r="R52" i="30"/>
  <c r="R20" i="30"/>
  <c r="R18" i="30"/>
  <c r="R21" i="30"/>
  <c r="R59" i="30"/>
  <c r="R13" i="30"/>
  <c r="R25" i="30"/>
  <c r="R29" i="30"/>
  <c r="R33" i="30"/>
  <c r="R15" i="30"/>
  <c r="R16" i="30"/>
  <c r="R45" i="30"/>
  <c r="R26" i="30"/>
  <c r="R42" i="30"/>
  <c r="R41" i="30"/>
  <c r="R12" i="30"/>
  <c r="R23" i="30"/>
  <c r="R49" i="30"/>
  <c r="R64" i="30"/>
  <c r="R7" i="30"/>
  <c r="R17" i="30"/>
  <c r="R63" i="30"/>
  <c r="R24" i="30"/>
  <c r="R11" i="30"/>
  <c r="R8" i="30"/>
  <c r="R53" i="30"/>
  <c r="R19" i="30"/>
  <c r="R10" i="30"/>
  <c r="R37" i="30"/>
  <c r="R28" i="30"/>
  <c r="R67" i="30"/>
  <c r="R27" i="30"/>
  <c r="R9" i="30"/>
  <c r="R72" i="30"/>
  <c r="R71" i="30" s="1"/>
  <c r="Q24" i="9"/>
  <c r="R31" i="30"/>
  <c r="D188" i="70"/>
  <c r="D52" i="70"/>
  <c r="D35" i="70"/>
  <c r="D205" i="70"/>
  <c r="D18" i="70"/>
  <c r="B103" i="70"/>
  <c r="C188" i="70"/>
  <c r="C35" i="70"/>
  <c r="C18" i="70"/>
  <c r="C222" i="70"/>
  <c r="C137" i="70"/>
  <c r="B154" i="70"/>
  <c r="D103" i="70"/>
  <c r="C171" i="70"/>
  <c r="C120" i="70"/>
  <c r="B137" i="70"/>
  <c r="D137" i="70"/>
  <c r="C154" i="70"/>
  <c r="C69" i="70"/>
  <c r="B86" i="70"/>
  <c r="D86" i="70"/>
  <c r="B171" i="70"/>
  <c r="C205" i="70"/>
  <c r="B18" i="70"/>
  <c r="C86" i="70"/>
  <c r="B188" i="70"/>
  <c r="D154" i="70"/>
  <c r="B222" i="70"/>
  <c r="C256" i="70"/>
  <c r="C103" i="70"/>
  <c r="D171" i="70"/>
  <c r="B205" i="70"/>
  <c r="B239" i="70"/>
  <c r="B52" i="70"/>
  <c r="D69" i="70"/>
  <c r="B120" i="70"/>
  <c r="D222" i="70"/>
  <c r="C239" i="70"/>
  <c r="B256" i="70"/>
  <c r="B69" i="70"/>
  <c r="D239" i="70"/>
  <c r="D120" i="70"/>
  <c r="D256" i="70"/>
  <c r="C52" i="70"/>
  <c r="B35" i="70"/>
  <c r="R60" i="30" l="1"/>
  <c r="R73" i="3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pcuba</author>
  </authors>
  <commentList>
    <comment ref="D3" authorId="0" shapeId="0" xr:uid="{00000000-0006-0000-0100-000001000000}">
      <text>
        <r>
          <rPr>
            <sz val="8"/>
            <color indexed="81"/>
            <rFont val="Tahoma"/>
            <family val="2"/>
          </rPr>
          <t xml:space="preserve">
Nombre del Indicador</t>
        </r>
      </text>
    </comment>
  </commentList>
</comments>
</file>

<file path=xl/sharedStrings.xml><?xml version="1.0" encoding="utf-8"?>
<sst xmlns="http://schemas.openxmlformats.org/spreadsheetml/2006/main" count="2094" uniqueCount="963">
  <si>
    <t>TOTAL</t>
  </si>
  <si>
    <t>RECURSOS PUBLICOS</t>
  </si>
  <si>
    <t>MONTO</t>
  </si>
  <si>
    <t>F-8</t>
  </si>
  <si>
    <t>PROFESIONALES</t>
  </si>
  <si>
    <t>TECNICOS</t>
  </si>
  <si>
    <t>AUXILIARES</t>
  </si>
  <si>
    <t>DIRECTIVOS/FUNCIONARIOS</t>
  </si>
  <si>
    <t xml:space="preserve"> REMUNERATIVA</t>
  </si>
  <si>
    <t>CATEGORIA</t>
  </si>
  <si>
    <t>PEA</t>
  </si>
  <si>
    <t>F-1</t>
  </si>
  <si>
    <t>SPA</t>
  </si>
  <si>
    <t>SPE</t>
  </si>
  <si>
    <t>STA</t>
  </si>
  <si>
    <t>STE</t>
  </si>
  <si>
    <t>SAA</t>
  </si>
  <si>
    <t>SAE</t>
  </si>
  <si>
    <t>S/.</t>
  </si>
  <si>
    <t>Est. %</t>
  </si>
  <si>
    <t>EST. %</t>
  </si>
  <si>
    <t>GASTOS CORRIENTES */</t>
  </si>
  <si>
    <t>TOTAL (A)</t>
  </si>
  <si>
    <t>OTROS</t>
  </si>
  <si>
    <t>COSTO ANUAL</t>
  </si>
  <si>
    <t>OBLIGACIONES DEL EMPLEADOR (CARGAS SOCIALES)</t>
  </si>
  <si>
    <t>GASTOS VARIABLES Y OCASIONALES</t>
  </si>
  <si>
    <t>TRANSFERENCIAS CAFAE</t>
  </si>
  <si>
    <t>RUBROS</t>
  </si>
  <si>
    <t>NUEVOS SOLES</t>
  </si>
  <si>
    <t>CONSULTORIAS</t>
  </si>
  <si>
    <t xml:space="preserve">TOTAL </t>
  </si>
  <si>
    <t>1. RECURSOS ORDINARIOS</t>
  </si>
  <si>
    <t>2. RECURSOS DIRECTAM. RECAUD.</t>
  </si>
  <si>
    <t>3.- RECURSOS OPERACIONES</t>
  </si>
  <si>
    <t>4. DONACIONES Y TRANSFERENCIAS</t>
  </si>
  <si>
    <t>5. RECURSOS DETERMINADOS</t>
  </si>
  <si>
    <t xml:space="preserve">    - CONTRIBUCIONES A FONDOS</t>
  </si>
  <si>
    <t xml:space="preserve">    - FONDO DE COMPENCIÓN MUNICIPAL</t>
  </si>
  <si>
    <t xml:space="preserve">    - IMPUESTOS MUNICIPALES</t>
  </si>
  <si>
    <t xml:space="preserve">    - CANON  Y  SOBRECANON, REGALIAS</t>
  </si>
  <si>
    <t xml:space="preserve">       Y PARTICIPACIONES</t>
  </si>
  <si>
    <t>TOTAL    (*)</t>
  </si>
  <si>
    <t>OTROS (ESPECIFICAR) (**)</t>
  </si>
  <si>
    <t>(PIA) = Presupuesto Institucional de Apertura</t>
  </si>
  <si>
    <t>TIPO DE ESTUDIO Y/O INFORME (*)</t>
  </si>
  <si>
    <t>(*) EL PRODUCTO QUE SE ADQUIERE</t>
  </si>
  <si>
    <t>NIVELES REMUNERATIVOS</t>
  </si>
  <si>
    <t>(1)</t>
  </si>
  <si>
    <t>(2)</t>
  </si>
  <si>
    <t>(3)</t>
  </si>
  <si>
    <t>(4)</t>
  </si>
  <si>
    <t>(5)</t>
  </si>
  <si>
    <t>(6)</t>
  </si>
  <si>
    <t>CARRERA ADMINISTRATIVA</t>
  </si>
  <si>
    <t>LEY DEL PROFESORADO</t>
  </si>
  <si>
    <t>CARRERA MEDICA Y PROFESIONALES  DE LA SALUD</t>
  </si>
  <si>
    <t>SERUMISTAS</t>
  </si>
  <si>
    <t>NOTAS</t>
  </si>
  <si>
    <t xml:space="preserve">(1) PEA: </t>
  </si>
  <si>
    <t xml:space="preserve">(2) REMUNERACION: </t>
  </si>
  <si>
    <t xml:space="preserve">SE CONSIGNARA LA REMUNERACION MENSUAL PROMEDIO DE UN SERVIDOR EN CADA NIVEL DE LA CARRERA PUBLICA SEGUN CORRESPONDA </t>
  </si>
  <si>
    <t xml:space="preserve">(3) CAFAE: </t>
  </si>
  <si>
    <t xml:space="preserve">SE CONSIGNARA EL  INCENTIVO LABORAL  MENSUAL PROMEDIO QUE POR DISPOSICION EXPRESA SE LE OTORGUE A UN SERVIDOR EN CADA NIVEL SEGUN CORRESPONDA </t>
  </si>
  <si>
    <t xml:space="preserve">(4) AETA: </t>
  </si>
  <si>
    <t xml:space="preserve">SOLO APLICABLE AL SECTOR SALUD. SE CONSIGNARA LA ASIGNACION EXTRAORDINARIA POR TRABAJO ASISTENCIAL  MENSUAL PROMEDIO DE UN SERVIDOR EN CADA NIVEL </t>
  </si>
  <si>
    <t xml:space="preserve">SEGUN CORRESPONDA </t>
  </si>
  <si>
    <t xml:space="preserve">(5) OTROS BENEFICIOS - ASIGNACION MENSUAL </t>
  </si>
  <si>
    <t xml:space="preserve">RUBROS ANTERIORES . EN HOJA INDEPENDIENTES SE DETALLARA CADA CONCEPTO Y MONTO, ASI COMO LA DISPOSICION EXPRESA QUE LOS AUTORICE Y LA PERIODICIDAD CON QUE </t>
  </si>
  <si>
    <t xml:space="preserve">SE OTORGA . DEBERA DETALLAR POR CADA CONCEPTO ASI COMO LA DISPOSICION EXPRESA QUE LOS AUTORICE Y LA PERIODICIDAD CON QUE SE OTORGA (MENSUAL, BIMENSUAL, </t>
  </si>
  <si>
    <t>TRIMESTRAL , CUATRIMENSUAL)</t>
  </si>
  <si>
    <t>(7)</t>
  </si>
  <si>
    <t>ADQUISICIONES/CONTRATACIONES/OBRAS</t>
  </si>
  <si>
    <t>FECHA PROG. CONV.</t>
  </si>
  <si>
    <t xml:space="preserve">    - OTROS (ESPECIFICAR)</t>
  </si>
  <si>
    <t>TOTAL SECTOR</t>
  </si>
  <si>
    <t>PROYECTO</t>
  </si>
  <si>
    <t>CODIGO SNIP</t>
  </si>
  <si>
    <t>TIPO DE PROCESO DE SELECCIÓN</t>
  </si>
  <si>
    <t>ADQUISICIÓN</t>
  </si>
  <si>
    <t>OBSERVACIONES</t>
  </si>
  <si>
    <t>ESTADO DEL PROCESO</t>
  </si>
  <si>
    <t>PART. %</t>
  </si>
  <si>
    <t xml:space="preserve">       OFICIALES DE CREDITO</t>
  </si>
  <si>
    <t>SERVICIO DE DEUDA</t>
  </si>
  <si>
    <t>(**) PNUD, BONOS, etc.</t>
  </si>
  <si>
    <t xml:space="preserve"> </t>
  </si>
  <si>
    <t>CAS</t>
  </si>
  <si>
    <t>…</t>
  </si>
  <si>
    <t>PLIEGO</t>
  </si>
  <si>
    <t>UNIDAD EJECUTORA</t>
  </si>
  <si>
    <t>SUB TOTAL GASTOS CORRIENTES</t>
  </si>
  <si>
    <t>SUB TOTAL GASTOS DE CAPITAL</t>
  </si>
  <si>
    <t>SUB TOTAL SERVICIO DE DEUDA</t>
  </si>
  <si>
    <t>GASTOS DE CAPITAL</t>
  </si>
  <si>
    <t>1: Reserva de Contingencia</t>
  </si>
  <si>
    <t>2: Personal y Obligaciones Sociales</t>
  </si>
  <si>
    <t>3: Pensiones y Prestaciones Sociales</t>
  </si>
  <si>
    <t>4: Bienes y Servicios</t>
  </si>
  <si>
    <t>5: Donaciones y Transferencias</t>
  </si>
  <si>
    <t>6: Otros Gastos</t>
  </si>
  <si>
    <t>7: Donaciones y Transferencias</t>
  </si>
  <si>
    <t>8: Otros Gastos</t>
  </si>
  <si>
    <t>9: Adquisiciones de Activos No Financieros</t>
  </si>
  <si>
    <t>10: Adquisiciones de Activos Financieros</t>
  </si>
  <si>
    <t>11: Servicio de la Deuda</t>
  </si>
  <si>
    <t>GASTOS CORRIENTES</t>
  </si>
  <si>
    <t>TRIMESTRAL , CUATRIMENSUAL  O SIN PERIODICIDAD)</t>
  </si>
  <si>
    <t>(8)</t>
  </si>
  <si>
    <t>SUB TOTAL OTROS BENEFICIOS ... (no, mensuales, monto anual)</t>
  </si>
  <si>
    <t>ESPECIALIDAD (**)</t>
  </si>
  <si>
    <t>(**) LA ESPECIALIDAD TOMANDO ENCUENTA HACIENDO REFERENCIA UNA O MAS DE LAS 25 FUNCIONES DEL CLASIFICADOR FUNCIONAL PROGRAMATICO</t>
  </si>
  <si>
    <t>FUNCIONES</t>
  </si>
  <si>
    <t>PPTO (PIA)</t>
  </si>
  <si>
    <t>1 Legislativa</t>
  </si>
  <si>
    <t>2 Relaciones Exteriores</t>
  </si>
  <si>
    <t>3 Planeam. Gestión y Reserva</t>
  </si>
  <si>
    <t>Decreto Legislativo 728 (Regimen Privado)</t>
  </si>
  <si>
    <t>Fuente de Información</t>
  </si>
  <si>
    <t>7: Donaciones y Transferencias (de capital)</t>
  </si>
  <si>
    <t>5: Donaciones y Transferencias (corrientes)</t>
  </si>
  <si>
    <t>6: Otros Gastos (corrientes)</t>
  </si>
  <si>
    <t>8: Otros Gastos (de capital)</t>
  </si>
  <si>
    <t>TOTAL GASTOS UNIDAD EJECUTORA / ENTIDAD PÚBLICA</t>
  </si>
  <si>
    <t>COSTO TOTAL EN PLANILLAS (*)</t>
  </si>
  <si>
    <t>PEA / Beneficiarios</t>
  </si>
  <si>
    <t>REMUNERACION MENSUAL (cada persona)</t>
  </si>
  <si>
    <t>CAFAE MENSUL (cada persona)</t>
  </si>
  <si>
    <t>AETA MENSUAL (cada persona)</t>
  </si>
  <si>
    <t>OTROS INGRESOS MENSUAL (cada persona)</t>
  </si>
  <si>
    <t>SUB TOTAL INGRESOS MENSUALES (cada persona)</t>
  </si>
  <si>
    <t>AGUINALDOS, GRAFICACIONES Y ESCOLARIDAD (anual cada persona)</t>
  </si>
  <si>
    <r>
      <rPr>
        <b/>
        <sz val="9"/>
        <rFont val="Arial"/>
        <family val="2"/>
      </rPr>
      <t xml:space="preserve">LAS COLUMNAS COMO SEAN NECESARIAS, </t>
    </r>
    <r>
      <rPr>
        <sz val="9"/>
        <rFont val="Arial"/>
        <family val="2"/>
      </rPr>
      <t xml:space="preserve">SE CONSIGNARA LOS OTROS BENEFICIOS - ASIGNACIONES MENSUALES PERIODICOS  DE UN SERVIDOR EN CADA NIVEL SEGÚN CORRESPONDA NO CONSIGNADO EN LOS </t>
    </r>
  </si>
  <si>
    <r>
      <rPr>
        <b/>
        <sz val="9"/>
        <rFont val="Arial"/>
        <family val="2"/>
      </rPr>
      <t xml:space="preserve">LAS COLUMNAS COMO SEAN NECESARIAS, </t>
    </r>
    <r>
      <rPr>
        <sz val="9"/>
        <rFont val="Arial"/>
        <family val="2"/>
      </rPr>
      <t xml:space="preserve">SE CONSIGNARA LOS OTROS BENEFICIOS - ASIGNACIONES PERIODICOS O NO PERIODICAS DE UN SERVIDOR EN CADA NIVEL SEGÚN CORRESPONDA NO CONSIGNADO EN LOS </t>
    </r>
  </si>
  <si>
    <t>(9)</t>
  </si>
  <si>
    <t>TOTAL INGRESO ANUAL PEA</t>
  </si>
  <si>
    <t>TOTAL INGRESOS ANUAL POR PERSONA</t>
  </si>
  <si>
    <t>MONTO ANUAL</t>
  </si>
  <si>
    <t>(10)</t>
  </si>
  <si>
    <t>DIFERENCIA INGRESO ANUAL PEA</t>
  </si>
  <si>
    <t xml:space="preserve">DIFERENCIA INGRESO ANUAL POR PERSONAL </t>
  </si>
  <si>
    <t>SE CONSIGNARA EL NUMERO TOTAL DE PERSONAL ACTIVO ( NOMBRADO Y CONTRATADO) SEGÚN EL PRESUPUESTO ANILITOCO DE PERSONAL (PAP) APROBADO</t>
  </si>
  <si>
    <t>(**) Recursos Públicos / Recursos Ordinarios / Recursos Directamente Recaudados / Donaciones  y  Transferencias / Operaciones Oficiales de Crédito/ Recursos Determinados</t>
  </si>
  <si>
    <t>FECHA DE SUSCRIPCION DEL CONTRATO</t>
  </si>
  <si>
    <t>FECHA DE ENTREGA</t>
  </si>
  <si>
    <t>FECHA DE CONFORMIDAD DE OBRA</t>
  </si>
  <si>
    <t>VESTUARIO</t>
  </si>
  <si>
    <t>BONOS POR FUNCION JURIDICCIONAL Y FISCAL</t>
  </si>
  <si>
    <t>ESCOLARIDAD, AGUINALDO Y GRATIFICACIONES</t>
  </si>
  <si>
    <t>BONIFICACIÓN EXTRAORDINARIA (INACEPTACIÓN DE GRATIFICACIONES)</t>
  </si>
  <si>
    <t>DIETAS</t>
  </si>
  <si>
    <t>RETRIBUCIONES EN BIENES</t>
  </si>
  <si>
    <t>MOVILIDAD PARA TRASLADO DE TRABAJADORES</t>
  </si>
  <si>
    <t>PRODUCTIVIDAD</t>
  </si>
  <si>
    <t>SEGUROS (ESPECIFICAR)</t>
  </si>
  <si>
    <t>GASTOS POR ESTACIONAMIENTO DE VEHICULOS</t>
  </si>
  <si>
    <t>DIETA DE DIRECTORIO</t>
  </si>
  <si>
    <t>OTROS INGRESOS NO MENSUALES 
(anual cada personal)</t>
  </si>
  <si>
    <t>INCENTIVOS O PRODUCTIVIDAD (cada persona)</t>
  </si>
  <si>
    <t>MOVILIDAD</t>
  </si>
  <si>
    <t>RACIONAMIENTO</t>
  </si>
  <si>
    <t>BONOS</t>
  </si>
  <si>
    <t>(10) SUB TOTAL</t>
  </si>
  <si>
    <t>SUMATORIA DE LAS COLUMNAS (2), (3), (4), (5), (6), (7), (8), (9)</t>
  </si>
  <si>
    <t>(11) AGUINALDOS, GRAFICACIONES Y ESCOLARIDAD</t>
  </si>
  <si>
    <t>(12) OTROS BENEFICIOS - ASIGNACION ANUAL</t>
  </si>
  <si>
    <t>(11)</t>
  </si>
  <si>
    <t>(12)</t>
  </si>
  <si>
    <t xml:space="preserve">MULTIMPLACIÓN DE LA COLUMNA (10) POR 12 (MESES) Y AL RESULTADO SE SUMA LA COLUMNA (13) </t>
  </si>
  <si>
    <t>(13)</t>
  </si>
  <si>
    <t>(14)</t>
  </si>
  <si>
    <t>(15)</t>
  </si>
  <si>
    <t>(14) TOTAL INGRESOS ANUAL POR PERSONA</t>
  </si>
  <si>
    <t>(15) TOTAL ANUAL PEA</t>
  </si>
  <si>
    <t>(13) SUB TOTAL OTROS BENEFICIOS</t>
  </si>
  <si>
    <t>SUMATORIA DE LAS COLUMNAS (11) Y (12)</t>
  </si>
  <si>
    <t>MULTIPLICACIÓN DEL A COMUNTA (1) POR LA COLUMNA (14)</t>
  </si>
  <si>
    <t>CONTRATISTA (RUC y Denominacion)</t>
  </si>
  <si>
    <t>MODALIDAD</t>
  </si>
  <si>
    <t>NUMERO DEL PROCESO</t>
  </si>
  <si>
    <t>PROGRAMAS SOCIALES</t>
  </si>
  <si>
    <t>JUNTOS</t>
  </si>
  <si>
    <t>SAMU</t>
  </si>
  <si>
    <t>SMN</t>
  </si>
  <si>
    <t>Mortalidad Materna</t>
  </si>
  <si>
    <t>Mortalidad Neonatal</t>
  </si>
  <si>
    <t>II.  GESTACIÓN</t>
  </si>
  <si>
    <t>PAN</t>
  </si>
  <si>
    <t>CUNA MAS</t>
  </si>
  <si>
    <t>Desnutrición Cronica</t>
  </si>
  <si>
    <t>Mortalidad Infantil</t>
  </si>
  <si>
    <t>Desarrollo cognitivo, lenguaje, socioemocional y motor</t>
  </si>
  <si>
    <t>PELA</t>
  </si>
  <si>
    <t>Logros de aprendizaje</t>
  </si>
  <si>
    <t>Cobertura escolar</t>
  </si>
  <si>
    <t>PELA Primaria</t>
  </si>
  <si>
    <t>PELA Secundaria</t>
  </si>
  <si>
    <t>Logros de aprindizaje</t>
  </si>
  <si>
    <t>Deserción escolar</t>
  </si>
  <si>
    <t>Jovenes a la obra</t>
  </si>
  <si>
    <t>Beca 18</t>
  </si>
  <si>
    <t>Acceso a la educación superior de calidad</t>
  </si>
  <si>
    <t>Educacion pertienente para el mercado laboral</t>
  </si>
  <si>
    <t>Pensión 65</t>
  </si>
  <si>
    <t>Asegurar las condiciones básicas para la subsistencia</t>
  </si>
  <si>
    <t>III.  De 0 a 2 AÑOS</t>
  </si>
  <si>
    <t>IV. DE 3 A 5 AÑOS</t>
  </si>
  <si>
    <t>V. DE 6 A 12 AÑOS</t>
  </si>
  <si>
    <t>VI. DE 13 A 17 AÑOS</t>
  </si>
  <si>
    <t>VII. DE 17 A 24 AÑOS</t>
  </si>
  <si>
    <t>VIII. DE 65 A MAS</t>
  </si>
  <si>
    <t>I.  DE GESTANTES A NIÑOS DE HASTA 14 AÑOS</t>
  </si>
  <si>
    <t>BENEFICIARIOS</t>
  </si>
  <si>
    <t>PRESUPUESTO PIA</t>
  </si>
  <si>
    <t>PRESUPUESTO PIM</t>
  </si>
  <si>
    <t>MONTO PRESUPUESTADO (*)</t>
  </si>
  <si>
    <t>0: Reserva de Contingencia</t>
  </si>
  <si>
    <t>1: Personal y Obligaciones Sociales</t>
  </si>
  <si>
    <t>2: Pensiones y Prestaciones Sociales</t>
  </si>
  <si>
    <t>3: Bienes y Servicios</t>
  </si>
  <si>
    <t>4: Donaciones y Transferencias</t>
  </si>
  <si>
    <t>5: Otros Gastos</t>
  </si>
  <si>
    <t>6: Adquisiciones de Activos No Financieros</t>
  </si>
  <si>
    <t>7: Adquisiciones de Activos Financieros</t>
  </si>
  <si>
    <t>8: Servicio de la Deuda</t>
  </si>
  <si>
    <t>4 Defensa y Seg. Nacional</t>
  </si>
  <si>
    <t>5 Orden Púb. y Seguridad</t>
  </si>
  <si>
    <t>6 Justicia</t>
  </si>
  <si>
    <t>7 Trabajo</t>
  </si>
  <si>
    <t>8 Comercio</t>
  </si>
  <si>
    <t>9 Turismo</t>
  </si>
  <si>
    <t>10 Agropecuaria</t>
  </si>
  <si>
    <t>11 Pesca</t>
  </si>
  <si>
    <t>12 Energía</t>
  </si>
  <si>
    <t>13 Mineria</t>
  </si>
  <si>
    <t>14 Industria</t>
  </si>
  <si>
    <t>15 Transporte</t>
  </si>
  <si>
    <t>16 Comunicaciones</t>
  </si>
  <si>
    <t>17 Ambiente</t>
  </si>
  <si>
    <t>18 aneamiento</t>
  </si>
  <si>
    <t>19 Vivienda y Des. Urbano</t>
  </si>
  <si>
    <t>20 Salud</t>
  </si>
  <si>
    <t>21 Cultura y Deporte</t>
  </si>
  <si>
    <t>22 Educación</t>
  </si>
  <si>
    <t>23 Protección Social</t>
  </si>
  <si>
    <t>24 Previsión Social</t>
  </si>
  <si>
    <t>25 Deuda Pública</t>
  </si>
  <si>
    <t>VIAJES</t>
  </si>
  <si>
    <t>SUMINISTROS PARA MANTENIMIENTO Y REPARACION</t>
  </si>
  <si>
    <t>SERVICIOS BASICOS, COMUNICACIONES, PUBLICIDAD Y DIFUSION</t>
  </si>
  <si>
    <t>SERVICIOS DE LIMPIEZA, SEGURIDAD Y VIGILANCIA</t>
  </si>
  <si>
    <t>ALQUILERES DE MUEBLES E INMUEBLES</t>
  </si>
  <si>
    <t>REPUESTOS Y ACCESORIOS</t>
  </si>
  <si>
    <t>SERVICIOS ADMINISTRATIVOS, FINANCIEROS Y DE SEGUROS</t>
  </si>
  <si>
    <t>ENSERES</t>
  </si>
  <si>
    <t>SERVICIOS PROFESIONALES Y TECNICOS</t>
  </si>
  <si>
    <t>CONTRATO ADMINISTRATIVO DE SERVICIOS</t>
  </si>
  <si>
    <t>SUMINISTROS MEDICOS</t>
  </si>
  <si>
    <t>MATERIALES Y UTILES DE ENSEÑANZA</t>
  </si>
  <si>
    <t>COMPRA DE OTROS BIENES</t>
  </si>
  <si>
    <t>CAFAE MENSUAL (cada persona)</t>
  </si>
  <si>
    <t>Linea Base</t>
  </si>
  <si>
    <t>Meta 2021</t>
  </si>
  <si>
    <t>Responsable</t>
  </si>
  <si>
    <t>Resultado</t>
  </si>
  <si>
    <t>Proyectado</t>
  </si>
  <si>
    <t>Meta</t>
  </si>
  <si>
    <t>UNIDADES EJECUTORAS O ENTIDADES PÚBLICAS ADSCRITAS AL SECTOR</t>
  </si>
  <si>
    <t>RESERVA DE CONTINGENCIA</t>
  </si>
  <si>
    <t>PERSONAL Y OBLIGAC. SOC.</t>
  </si>
  <si>
    <t>PENSIONES Y PREST. SOC.</t>
  </si>
  <si>
    <t>BIENES Y SERVICIOS</t>
  </si>
  <si>
    <t>DONACIONES TRANSFER.</t>
  </si>
  <si>
    <t>OTROS GASTOS</t>
  </si>
  <si>
    <t>SUB TOTAL GASTO CTE</t>
  </si>
  <si>
    <t>DONACIONES Y TRANSFER,</t>
  </si>
  <si>
    <t>ADQUIS. ACT. NO FINANC.</t>
  </si>
  <si>
    <t>ADQUIS. ACT. FINANC.</t>
  </si>
  <si>
    <t>SUB TOTAL GASTOS CAP.</t>
  </si>
  <si>
    <t xml:space="preserve">SERVICIO DE DEUDA </t>
  </si>
  <si>
    <t>SUB TOTAL SER. DEUDA</t>
  </si>
  <si>
    <t>Ley 30057 
(Ley del Servicio Civil)</t>
  </si>
  <si>
    <t>PLIEGOS DEL SECTOR O GOBIERNO REGIONAL</t>
  </si>
  <si>
    <t>PLIEGO O ENTIDAD DEL SECTOR</t>
  </si>
  <si>
    <t>Nombre del Indicador</t>
  </si>
  <si>
    <t>Objetivo Estrategico Institucional
(Código y Enunciado)</t>
  </si>
  <si>
    <t>Objetivo Estrategico Sectorial
(Código)</t>
  </si>
  <si>
    <t>Decreto Legislativo 1057 (Contrato Administrativo de Servicios</t>
  </si>
  <si>
    <t>Decreto Legislativo 1024 (Gerentes Públicos) (**)</t>
  </si>
  <si>
    <t>Ley 25650 (Fondo de Apoyo Generencial) (**)</t>
  </si>
  <si>
    <t>Ley 29806 (Personal Altamente Calificado) (**)</t>
  </si>
  <si>
    <t>Otros Servidores (especificar) (**) (***)</t>
  </si>
  <si>
    <t xml:space="preserve">Total </t>
  </si>
  <si>
    <t>S/ Anual (****)</t>
  </si>
  <si>
    <t>Practicantes (***)</t>
  </si>
  <si>
    <t>ARRENDATARIO</t>
  </si>
  <si>
    <t>ARRENDADOR</t>
  </si>
  <si>
    <t>DNI O PARTIDA REGISTRAL</t>
  </si>
  <si>
    <t>Apellidos y Nombres o Denominación</t>
  </si>
  <si>
    <t>INMUEBLE</t>
  </si>
  <si>
    <t>CONTRATO</t>
  </si>
  <si>
    <t>VIGENCIA DEL CONTRATO</t>
  </si>
  <si>
    <t>MONTO MENSUAL</t>
  </si>
  <si>
    <t>BIEN PROPIO DE TERCEROS O AJENO</t>
  </si>
  <si>
    <t>PARTIDA REGISTRAL DE INCRIPCION DE PROPIEDAD</t>
  </si>
  <si>
    <t>METROS CUADRADOS</t>
  </si>
  <si>
    <t>COCHERAS</t>
  </si>
  <si>
    <t xml:space="preserve">FORMA DE PAGO (MENSUAL O ANUAL) Y FECHA DE PAGO </t>
  </si>
  <si>
    <t>PIA TOTAL S/</t>
  </si>
  <si>
    <t>PIM TOTAL S/</t>
  </si>
  <si>
    <t>EJECUCIÓN TOTAL S/</t>
  </si>
  <si>
    <t>1: Acciones Centrales (AC)</t>
  </si>
  <si>
    <t>2: Asignaciones Presupuestarias que No Resultan en Productos (APNP)</t>
  </si>
  <si>
    <t>3: Programas Presupuestales</t>
  </si>
  <si>
    <t>PIA
POR CATEGORIA PRESUPUESTAL</t>
  </si>
  <si>
    <t>PIM
POR CATEGORIA PRESUPUESTAL</t>
  </si>
  <si>
    <t>EJECUCIÓN
POR CATEGORIA PRESUPUESTAL</t>
  </si>
  <si>
    <t>PIA
POR PROGRAMA PRESUPUESTAL</t>
  </si>
  <si>
    <t>PIM
POR PROGRAMA PRESUPUESTAL</t>
  </si>
  <si>
    <t>EJECUCIÓN
POR PROGRAMA PRESUPUESTAL</t>
  </si>
  <si>
    <t>FORMATO 01: INDICADORES DE GESTIÓN SEGÚN OBJETIVOS ESTRATÉGICOS INSTITUCIONALES AL 2021</t>
  </si>
  <si>
    <r>
      <t xml:space="preserve">PLIEGO: </t>
    </r>
    <r>
      <rPr>
        <sz val="10"/>
        <rFont val="Arial"/>
        <family val="2"/>
      </rPr>
      <t>Todos los pliegos del sector y cada pliego del sector</t>
    </r>
  </si>
  <si>
    <t>Decreto Legislativo 276 (Regimen Público)</t>
  </si>
  <si>
    <t>VARIACION 2019-2020</t>
  </si>
  <si>
    <t>2019 (PIA)</t>
  </si>
  <si>
    <t>(*) DEBE COINCIDIR CON LOS MONTOS ASIGNADOS EN LA GENERICA 1. PERSONAL Y OBLIGACIONES SOCIALES CONSIDERADAS EN EL PRESUPUESTO</t>
  </si>
  <si>
    <r>
      <t xml:space="preserve">PLIEGO: </t>
    </r>
    <r>
      <rPr>
        <sz val="9"/>
        <rFont val="Arial"/>
        <family val="2"/>
      </rPr>
      <t>Todos los pliego del sector y cada pliego del sector</t>
    </r>
  </si>
  <si>
    <t>INGRESOS PERSONAL PRESUPUESTO 2019</t>
  </si>
  <si>
    <t>TOTAL INGRESO ANUAL PEA (Proyección al 31 de diciembre de  2019)</t>
  </si>
  <si>
    <t>TOTAL INGRESO ANUAL PEA (Proyección al 31 de diciembre de 2020)</t>
  </si>
  <si>
    <t>PPTO 2019 
(PIA)</t>
  </si>
  <si>
    <t>Diferencia PIA (2019-2020)</t>
  </si>
  <si>
    <t>Variación % (2019-2020)</t>
  </si>
  <si>
    <t>(*) DEBE COINCIDIR CON LOS MONTOS ASIGNADOS EN LA GENERICA 3. BIENES Y SERVICIOS CONSIDERADAS EN EL PRESUPUESTO 2018 - 2019 - 2020</t>
  </si>
  <si>
    <t>EJECUCIÓN S/</t>
  </si>
  <si>
    <t>PERSONA JURIDICA (RUC)</t>
  </si>
  <si>
    <t>PERSONA NATURAL (DNI)</t>
  </si>
  <si>
    <t>MONEDA</t>
  </si>
  <si>
    <t>FECHA DE APERTURA</t>
  </si>
  <si>
    <t>CUENTA</t>
  </si>
  <si>
    <t>BANCO / INSTITUCIÓN FINANCIERA</t>
  </si>
  <si>
    <t>CUENTAS BANCARIAS</t>
  </si>
  <si>
    <t>ESPECIFICACIONES RECURSOS PUBLICOS</t>
  </si>
  <si>
    <t>SALDO 2018 (*)</t>
  </si>
  <si>
    <t>SALDO 2019 (**)</t>
  </si>
  <si>
    <t>EJECUCIÓN 2018</t>
  </si>
  <si>
    <t>EJECUCIÓN 2019 (*)</t>
  </si>
  <si>
    <t>ÍNDICE DE FORMATOS</t>
  </si>
  <si>
    <t>INDICADORES DE GESTIÓN SEGÚN OBJETIVOS ESTRATÉGICOS INSTITUCIONALES AL 2021</t>
  </si>
  <si>
    <t>FORMATO Nº 1:</t>
  </si>
  <si>
    <t>FORMATO Nº 2:</t>
  </si>
  <si>
    <t>FORMATO Nº 3:</t>
  </si>
  <si>
    <t>FORMATO Nº 4:</t>
  </si>
  <si>
    <t>FORMATO Nº 5:</t>
  </si>
  <si>
    <t>FORMATO Nº 6:</t>
  </si>
  <si>
    <t>FORMATO Nº 7:</t>
  </si>
  <si>
    <t>FORMATO Nº 8:</t>
  </si>
  <si>
    <t>FORMATO Nº 9:</t>
  </si>
  <si>
    <t>FORMATO Nº 10:</t>
  </si>
  <si>
    <t>FORMATO Nº 11:</t>
  </si>
  <si>
    <t>FORMATO Nº 12:</t>
  </si>
  <si>
    <t>FORMATO Nº 13:</t>
  </si>
  <si>
    <t>FORMATO Nº 14:</t>
  </si>
  <si>
    <t>FORMATO Nº 15:</t>
  </si>
  <si>
    <t>FORMATO Nº 16:</t>
  </si>
  <si>
    <t>FORMATO Nº 17:</t>
  </si>
  <si>
    <t>FORMATO Nº 18:</t>
  </si>
  <si>
    <t>INDICADORES INSTITUCIONALES</t>
  </si>
  <si>
    <t>DISTRIBUCIÓN DEL GASTO</t>
  </si>
  <si>
    <t>GASTOS DE PERSONAL</t>
  </si>
  <si>
    <t>GASTOS EN BIENES Y SERVICIOS</t>
  </si>
  <si>
    <t>FORMATO 02: DISTRIBUCIÓN DEL PRESUPUESTO POR CATEGORÍA PRESUPUESTAL 2019, 2020 Y PROYECTO 2021</t>
  </si>
  <si>
    <t>2020 (*)</t>
  </si>
  <si>
    <t>2021 (**)</t>
  </si>
  <si>
    <t>(*) Proyección al 31/12/2020</t>
  </si>
  <si>
    <t>(**) Proyecto 2021</t>
  </si>
  <si>
    <t>FORMATO 03: DISTRIBUCIÓN DEL PRESUPUESTO POR FUENTE DE FINANCIAMIENTO 2019, 2020 Y PROYECTO 2021</t>
  </si>
  <si>
    <t>FORMATO 04: DISTRIBUCIÓN DEL GASTO POR UNIDADES EJECUTORAS / ENTIDAD PÚBLICA Y FUENTES DE FINANCIAMIENTO - PROYECTO 2021</t>
  </si>
  <si>
    <t>FORMATO 05: DISTRIBUCIÓN DEL PRESUPUESTO POR PROGRAMA PRESUPUESTAL 2019, 2020 Y 2021</t>
  </si>
  <si>
    <t>FORMATO 06: PROGRAMAS SOCIALES PRIORIZADOS SEGÚN EL CICLO DE VIDA POR FUENTE DE FINANCIAMIENTO 2019, 2020 Y PROYECTO 2021</t>
  </si>
  <si>
    <t>DIferencia 
(2019-2020</t>
  </si>
  <si>
    <t>Proyecto 2021</t>
  </si>
  <si>
    <t>Estimado 2020 (**)</t>
  </si>
  <si>
    <t>DIferencia 
(2020-2021)</t>
  </si>
  <si>
    <t>(*) Al 30 de junio de 2020</t>
  </si>
  <si>
    <t>(**) Estimado al 31 de diciembre de 2020</t>
  </si>
  <si>
    <t>FORMATO 07: RESUMEN POR GRUPO GENÉRICO Y FUENTES DE FINANCIAMIENTO PROYECTO 2021</t>
  </si>
  <si>
    <t>GASTO CORRIENTE 2021</t>
  </si>
  <si>
    <t>GASTO CAPITAL 2021</t>
  </si>
  <si>
    <t>SERVICIO DE DEUDA 2021</t>
  </si>
  <si>
    <t>FORMATO 08: RESUMEN DE PRESUPUESTO POR FUNCIONES PIA 2019, 2020 Y PROYECTO 2021</t>
  </si>
  <si>
    <t>Var. % (2020-2021)</t>
  </si>
  <si>
    <t>2020 (JUNIO)</t>
  </si>
  <si>
    <t>PROYECCIÓN 2021 (JUNIO)</t>
  </si>
  <si>
    <t>FORMATO 09: COMPARATIVO DEL NÚMERO DE PLAZAS EN EL PRESUPUESTO  2020 Y PROYECTO 2021</t>
  </si>
  <si>
    <t>2020 (PIA)</t>
  </si>
  <si>
    <t>2021  (PROYECTO)</t>
  </si>
  <si>
    <t>FORMATO 12: ASIGNACIÓN DE BIENES Y SERVICIOS - COMPARATIVO PRESUPUESTO 2019, 2020 Y PROYECTO 2021</t>
  </si>
  <si>
    <t>PPTO 2019 (PIM)</t>
  </si>
  <si>
    <t>PPTO 2020 
(PIA)</t>
  </si>
  <si>
    <t>PPTO 2020
(PIM 30 JUNIO)</t>
  </si>
  <si>
    <t>PPTO 2021 (PROYECTO)</t>
  </si>
  <si>
    <t>Variación % (2020-2021)</t>
  </si>
  <si>
    <t>Diferencia PIA (2020-2021)</t>
  </si>
  <si>
    <t>FORMATO 13: CONTRATOS DE OBRAS SUSCRITOS EN LOS AÑOS 2019 Y 2020</t>
  </si>
  <si>
    <t>FORMATO 14: PRINCIPALES ADQUISICIONES DE BIENES Y SERVICIOS - PRESUPUESTO 2019, 2020 Y PROYECTO 2021</t>
  </si>
  <si>
    <t>FORMATO 15: DETALLE DE CONSULTORIAS PERSONAS JURÍDICAS Y NATURALES - PRESUPUESTO 2019 Y 2020</t>
  </si>
  <si>
    <t>FORMATO 16: TESORERIA - RESUMEN POR GRUPO GENERICO Y FUENTES DE FINANCIAMIENTO 2019 Y 2020</t>
  </si>
  <si>
    <t>FORMATO 18: ALQUILER DE INMUEBLES EN LOS AÑOS FISCALES 2019 Y 2020</t>
  </si>
  <si>
    <t>(*) = Al 30 de junio de 2020</t>
  </si>
  <si>
    <t>FORMATO 11: INGRESOS MENSUALES POR PERIODO DEL PERSONAL ACTIVO -  COMPARATIVO PRESUPUESTO 2019, 2020 Y PROYECTO 2021</t>
  </si>
  <si>
    <t>INGRESOS PERSONAL PRESUPUESTO 2020</t>
  </si>
  <si>
    <t>PROYECTO 2021</t>
  </si>
  <si>
    <t>DIFERENCIA 
(2019 -2020)</t>
  </si>
  <si>
    <t>DISTRIBUCIÓN DEL PRESUPUESTO POR CATEGORÍA PRESUPUESTAL 2019, 2020 Y PROYECTO 2021</t>
  </si>
  <si>
    <t>DISTRIBUCIÓN DEL PRESUPUESTO POR FUENTE DE FINANCIAMIENTO 2019, 2020 Y PROYECTO 2021</t>
  </si>
  <si>
    <t>DISTRIBUCIÓN DEL GASTO POR UNIDADES EJECUTORAS / ENTIDAD PÚBLICA Y FUENTES DE FINANCIAMIENTO - PROYECTO 2021</t>
  </si>
  <si>
    <t>DISTRIBUCIÓN DEL PRESUPUESTO POR PROGRAMA PRESUPUESTAL 2019, 2020 Y 2021</t>
  </si>
  <si>
    <t>PROGRAMAS SOCIALES PRIORIZADOS SEGÚN EL CICLO DE VIDA POR FUENTE DE FINANCIAMIENTO 2019, 2020 Y PROYECTO 2021</t>
  </si>
  <si>
    <t>RESUMEN POR GRUPO GENÉRICO Y FUENTES DE FINANCIAMIENTO PROYECTO 2021</t>
  </si>
  <si>
    <t>RESUMEN DE PRESUPUESTO POR FUNCIONES PIA 2019, 2020 Y PROYECTO 2021</t>
  </si>
  <si>
    <t>COMPARATIVO DEL NÚMERO DE PLAZAS EN EL PRESUPUESTO 2019, 2020 Y PROYECTO 2021</t>
  </si>
  <si>
    <t>INFORMACIÓN DE REMUNERACIONES Y NÚMERO DE PLAZAS - PRESUPUESTO 2019, 2020 Y PROYECTO 2021</t>
  </si>
  <si>
    <t>INGRESOS MENSUALES POR PERIODO DEL PERSONAL ACTIVO -  COMPARATIVO PRESUPUESTO 2019, 2020 Y PROYECTO 2021</t>
  </si>
  <si>
    <t>ASIGNACIÓN DE BIENES Y SERVICIOS - COMPARATIVO PRESUPUESTO 2019, 2020 Y PROYECTO 2021</t>
  </si>
  <si>
    <t>CONTRATOS DE OBRAS SUSCRITOS EN LOS AÑOS 2019 Y 2020</t>
  </si>
  <si>
    <t>PRINCIPALES ADQUISICIONES DE BIENES Y SERVICIOS - PRESUPUESTO 2019, 2020 Y PROYECTO 2021</t>
  </si>
  <si>
    <t>DETALLE DE CONSULTORIAS PERSONAS JURÍDICAS Y NATURALES - PRESUPUESTO 2019, 2020 Y PROYECTO 2021</t>
  </si>
  <si>
    <t>TESORERIA - RESUMEN POR GRUPO GENERICO Y FUENTES DE FINANCIAMIENTO 2019 Y 2020</t>
  </si>
  <si>
    <t>NOMBRES E INGRESOS MENSUALES DEL PERSONAL CONTRATADO FUERA DEL PAP EN LOS AÑOS FISCALES 2019 Y 2020</t>
  </si>
  <si>
    <t>ALQUILER DE INMUEBLES EN LOS AÑOS FISCALES 2019 Y 2020</t>
  </si>
  <si>
    <t>PIA 
POR FUENTE DE FINANCIAMIENTO: RECURSOS ORDINARIOS</t>
  </si>
  <si>
    <t>PIM 
POR FUENTE DE FINANCIAMIENTO: RECURSOS ORDINARIOS</t>
  </si>
  <si>
    <t>EJECUCIÓN 
POR FUENTE DE FINANCIAMIENTO: RECURSOS ORDINARIOS</t>
  </si>
  <si>
    <t>PIA 
POR FUENTE DE FINANCIAMIENTO: RECURSOS DIRECTAMENTE RECAUDADOS</t>
  </si>
  <si>
    <t>PIM
POR FUENTE DE FINANCIAMIENTO: RECURSOS DIRECTAMENTE RECAUDADOS</t>
  </si>
  <si>
    <t>EJECUCIÓN
POR FUENTE DE FINANCIAMIENTO: RECURSOS DIRECTAMENTE RECAUDADOS</t>
  </si>
  <si>
    <t>PIA 
POR FUENTE DE FINANCIAMIENTO: DONACIONES Y TRANSFERENCIAS</t>
  </si>
  <si>
    <t>PIM 
POR FUENTE DE FINANCIAMIENTO: DONACIONES Y TRANSFERENCIAS</t>
  </si>
  <si>
    <t>EJECUCIÓN 
POR FUENTE DE FINANCIAMIENTO: DONACIONES Y TRANSFERENCIAS</t>
  </si>
  <si>
    <t>PIA 
POR FUENTE DE FINANCIAMIENTO: RECURSOS DETERMINADOS</t>
  </si>
  <si>
    <t>PIM 
POR FUENTE DE FINANCIAMIENTO: RECURSOS DETERMINADOS</t>
  </si>
  <si>
    <t>EJECUCIÓN 
POR FUENTE DE FINANCIAMIENTO: RECURSOS DETERMINADOS</t>
  </si>
  <si>
    <t>PIA 
POR FUENTE DE FINANCIAMIENTO: RECURSOS POR OPERACIONES OFICIALES DE CRÉDITO</t>
  </si>
  <si>
    <t>EJECUCIÓN
POR FUENTE DE FINANCIAMIENTO: : RECURSOS DETERMINADOS</t>
  </si>
  <si>
    <t>001. SEDE HUANUCO</t>
  </si>
  <si>
    <t>100. AGRICULTURA HUANUCO</t>
  </si>
  <si>
    <t>200. TRANSPORTES HUANUCO</t>
  </si>
  <si>
    <t>300. EDUCACION HUANUCO</t>
  </si>
  <si>
    <t>301. EDUCACION MARAÑON</t>
  </si>
  <si>
    <t>302. EDUCACION LEONCIO PRADO</t>
  </si>
  <si>
    <t>303. EDUCACION DOS DE MAYO</t>
  </si>
  <si>
    <t>304. EDUCACION UGEL PACHITEA</t>
  </si>
  <si>
    <t>305. EDUCACION UGEL HUAMALIES</t>
  </si>
  <si>
    <t>306. EDUCACION UGEL PUERTO INCA</t>
  </si>
  <si>
    <t>307. EDUCACION UGEL HUACAYBAMBA</t>
  </si>
  <si>
    <t>308. EDUCACION UGEL AMBO</t>
  </si>
  <si>
    <t>309. EDUCACION UGEL LAURICOCHA</t>
  </si>
  <si>
    <t>310. EDUCACION UGEL YAROWILCA</t>
  </si>
  <si>
    <t>311. EDUCACION UGEL HUANUCO</t>
  </si>
  <si>
    <t>400. SALUD HUANUCO</t>
  </si>
  <si>
    <t>401. SALUD TINGO MARIA</t>
  </si>
  <si>
    <t>402. HOSPITAL HERMILIO VALDIZAN</t>
  </si>
  <si>
    <t>403. SALUD LEONCIO PRADO</t>
  </si>
  <si>
    <t>404. RED DE SALUD HUANUCO</t>
  </si>
  <si>
    <t>405. SALUD HUAMALÍES</t>
  </si>
  <si>
    <t>406. SALUD DOS DE MAYO</t>
  </si>
  <si>
    <t>407. RED DE SALUD PUERTO INCA</t>
  </si>
  <si>
    <t>408. RED DE SALUD AMBO</t>
  </si>
  <si>
    <t>409. RED DE SALUD PACHITEA - PANAO</t>
  </si>
  <si>
    <t>RECURSOS ORDINARIOS+A5:O5A5:R5</t>
  </si>
  <si>
    <t>RECURSOS DIRECTAMENTE RECAUDADOS</t>
  </si>
  <si>
    <t>RECURSOS POR OPERACIONES OFICIALES DE CREDITO</t>
  </si>
  <si>
    <t xml:space="preserve"> DONACIONES Y TRANSFERENCIAS</t>
  </si>
  <si>
    <t>RECURSOS DETERMINADOS</t>
  </si>
  <si>
    <t>0001: PROGRAMA ARTICULADO NUTRICIONAL</t>
  </si>
  <si>
    <t>0002: SALUD MATERNO NEONATAL</t>
  </si>
  <si>
    <t>0016: TBC-VIH/SIDA</t>
  </si>
  <si>
    <t>0017: ENFERMEDADES METAXENICAS Y ZOONOSIS</t>
  </si>
  <si>
    <t>0018: ENFERMEDADES NO TRANSMISIBLES</t>
  </si>
  <si>
    <t>0024: PREVENCION Y CONTROL DEL CANCER</t>
  </si>
  <si>
    <t>0030: REDUCCION DE DELITOS Y FALTAS QUE AFECTAN LA SEGURIDAD CIUDADANA</t>
  </si>
  <si>
    <t>0042: APROVECHAMIENTO DE LOS RECURSOS HIDRICOS PARA USO AGRARIO</t>
  </si>
  <si>
    <t>0046: ACCESO Y USO DE LA ELECTRIFICACION RURAL</t>
  </si>
  <si>
    <t>0047: ACCESO Y USO ADECUADO DE LOS SERVICIOS PUBLICOS DE TELECOMUNICACIONES E INFORMACION ASOCIADOS</t>
  </si>
  <si>
    <t>0051: PREVENCION Y TRATAMIENTO DEL CONSUMO DE DROGAS</t>
  </si>
  <si>
    <t>0057: CONSERVACION DE LA DIVERSIDAD BIOLOGICA Y APROVECHAMIENTO SOSTENIBLE DE LOS RECURSOS NATURALES EN AREA NATURAL PROTEGIDA</t>
  </si>
  <si>
    <t>0068: REDUCCION DE VULNERABILIDAD Y ATENCION DE EMERGENCIAS POR DESASTRES</t>
  </si>
  <si>
    <t>0073: PROGRAMA PARA LA GENERACION DEL EMPLEO SOCIAL INCLUSIVO - TRABAJA PERU</t>
  </si>
  <si>
    <t>0080: LUCHA CONTRA LA VIOLENCIA FAMILIAR</t>
  </si>
  <si>
    <t>0082: PROGRAMA NACIONAL DE SANEAMIENTO URBANO</t>
  </si>
  <si>
    <t>0083: PROGRAMA NACIONAL DE SANEAMIENTO RURAL</t>
  </si>
  <si>
    <t>0090: LOGROS DE APRENDIZAJE DE ESTUDIANTES DE LA EDUCACION BASICA REGULAR</t>
  </si>
  <si>
    <t>0094: ORDENAMIENTO Y DESARROLLO DE LA ACUICULTURA</t>
  </si>
  <si>
    <t>0095: FORTALECIMIENTO DE LA PESCA ARTESANAL</t>
  </si>
  <si>
    <t>0101: INCREMENTO DE LA PRACTICA DE ACTIVIDADES FISICAS, DEPORTIVAS Y RECREATIVAS EN LA POBLACION PERUANA</t>
  </si>
  <si>
    <t>0103: FORTALECIMIENTO DE LAS CONDICIONES LABORALES</t>
  </si>
  <si>
    <t>0104: REDUCCION DE LA MORTALIDAD POR EMERGENCIAS Y URGENCIAS MEDICAS</t>
  </si>
  <si>
    <t>0106: INCLUSION DE NIÑOS, NIÑAS Y JOVENES CON DISCAPACIDAD EN LA EDUCACION BASICA Y TECNICO PRODUCTIVA</t>
  </si>
  <si>
    <t>0107: MEJORA DE LA FORMACION EN CARRERAS DOCENTES EN INSTITUTOS DE EDUCACION SUPERIOR NO UNIVERSITARIA</t>
  </si>
  <si>
    <t>0116: MEJORAMIENTO DE LA EMPLEABILIDAD E INSERCION LABORAL-PROEMPLEO</t>
  </si>
  <si>
    <t>0121: MEJORA DE LA ARTICULACION DE PEQUEÑOS PRODUCTORES AL MERCADO</t>
  </si>
  <si>
    <t>0126: FORMALIZACION MINERA DE LA PEQUEÑA MINERIA Y MINERIA ARTESANAL</t>
  </si>
  <si>
    <t>0127: MEJORA DE LA COMPETITIVIDAD DE LOS DESTINOS TURISTICOS</t>
  </si>
  <si>
    <t>0129: PREVENCION Y MANEJO DE CONDICIONES SECUNDARIAS DE SALUD EN PERSONAS CON DISCAPACIDAD</t>
  </si>
  <si>
    <t>0130: COMPETITIVIDAD Y APROVECHAMIENTO SOSTENIBLE DE LOS RECURSOS FORESTALES Y DE LA FAUNA SILVESTRE</t>
  </si>
  <si>
    <t>0131: CONTROL Y PREVENCION EN SALUD MENTAL</t>
  </si>
  <si>
    <t>0138: REDUCCION DEL COSTO, TIEMPO E INSEGURIDAD EN EL SISTEMA DE TRANSPORTE</t>
  </si>
  <si>
    <t>0144: CONSERVACION Y USO SOSTENIBLE DE ECOSISTEMAS PARA LA PROVISION DE SERVICIOS ECOSISTEMICOS</t>
  </si>
  <si>
    <t>0147: FORTALECIMIENTO DE LA EDUCACION SUPERIOR TECNOLOGICA</t>
  </si>
  <si>
    <t>0150: INCREMENTO EN EL ACCESO DE LA POBLACION A LOS SERVICIOS EDUCATIVOS PUBLICOS DE LA EDUCACION BASICA</t>
  </si>
  <si>
    <t>0072; PROGRAMA DE DESARROLLO ALTERNATIVO INTEGRAL Y SOSTENIBLE - PIRDAIS</t>
  </si>
  <si>
    <t>0091 INCREMENTO EN EL ACCESO DE LA POBLACION DE 3 A 16 AÑOS A LOS SERVICIOS EDUCATIVOS PUBLICOS DE LA EDUCACION BASICA REGULAR</t>
  </si>
  <si>
    <t>0148 REDUCCION DEL TIEMPO, INSEGURIDAD Y COSTO AMBIENTAL EN EL TRANSPORTE URBANO</t>
  </si>
  <si>
    <t>1002. PRODUCTOS ESPECIFICOS PARA REDUCCION DE LA VIOLENCIA CONTRA LA MUJER</t>
  </si>
  <si>
    <t>OEI. 01</t>
  </si>
  <si>
    <t xml:space="preserve">OEI.01Promover condiciones adecuadas e igualitarias para el desarrollo social de la población de la región Huánuco </t>
  </si>
  <si>
    <t>Porcentaje de personas vulnerables insertadas en una familia</t>
  </si>
  <si>
    <t>43.7 %
(2018)</t>
  </si>
  <si>
    <t>Gerencia Regional de Desarrollo Social - Sub Gerencia de Desarrollo Social</t>
  </si>
  <si>
    <t>AEI 01.01 Asistencia integral oportuna a niños, adolescentes, jóvenes, adultos mayores y personas con discapacidad en condición de vulnerabilidad.</t>
  </si>
  <si>
    <t>Porcentaje de niños, adolescentes y adulto mayor en condición de abandono físico y moral de la Región Huánuco</t>
  </si>
  <si>
    <t>92.6 %
(2018)</t>
  </si>
  <si>
    <t>Gerencia Regional de Desarrollo Social, Dirección de la Aldea Infantil San Juan Bosco, Albergues</t>
  </si>
  <si>
    <t>OEI. 02</t>
  </si>
  <si>
    <t>OEI. 02 Garantizar la atención de Salud Integral y de Calidad a la población de la Región Huánuco</t>
  </si>
  <si>
    <t>Porcentaje de usuarios externos que refieren estar satisfechos con la prestación de salud según nivel y categoría</t>
  </si>
  <si>
    <t>60%
(2018)</t>
  </si>
  <si>
    <t>Gerencia Regional de Desarrollo Social - DIRESA - Coordinación de Gestión de Calidad de Salud de Redes de Salud y Hospitales, DSS - Gestión de Calidad de Salud</t>
  </si>
  <si>
    <t>AEI. 02.01 Atención integral de niños menores de 5 años</t>
  </si>
  <si>
    <t>Porcentaje de Niños y Niñas de 6 A 35 Meses con Suplemento de Hierro</t>
  </si>
  <si>
    <t>60.19 %
(2017)</t>
  </si>
  <si>
    <t>DIRESA Huánuco - Dirección Ejecutiva de Salud de las Personas, Dirección de Atención Integral de Salud - Programa Presupuestal Articulado Nutricional</t>
  </si>
  <si>
    <t>Porcentaje de Niños y Niñas menores de 1 año con control de Crecimiento y Desarrollo Completo.</t>
  </si>
  <si>
    <t>66.61 %
(2017)</t>
  </si>
  <si>
    <t>OEI. 03</t>
  </si>
  <si>
    <t>OEI. 03 Mejorar la Calidad de los servicios de educación en los diferentes niveles y modalidades de la Región Huánuco</t>
  </si>
  <si>
    <t xml:space="preserve">Porcentaje de estudiantes con desempeño satisfactorio en el área curricular de comprensión lectora. </t>
  </si>
  <si>
    <t>C=21.1%
(2018)</t>
  </si>
  <si>
    <t>C=36%</t>
  </si>
  <si>
    <t>Dirección Regional de Educación - Unidad de Gestión Educativa Local (UGEL)</t>
  </si>
  <si>
    <t>C=26%</t>
  </si>
  <si>
    <t>C=31%</t>
  </si>
  <si>
    <t xml:space="preserve">Porcentaje de estudiantes con desempeño satisfactorio en el área curricular de matemática. </t>
  </si>
  <si>
    <t>M=19.20%
(2018)</t>
  </si>
  <si>
    <t>M=34%</t>
  </si>
  <si>
    <t>M=24%</t>
  </si>
  <si>
    <t>M=29%</t>
  </si>
  <si>
    <t>OEI. 04</t>
  </si>
  <si>
    <t>OEI. 04 Mejorar las condiciones de habitabilidad básica en la población.</t>
  </si>
  <si>
    <t>Porcentaje de Gobiernos Locales que realizan una gestión adecuada en Vivienda Urbanismo y Saneamiento.</t>
  </si>
  <si>
    <t>0%
(2016)</t>
  </si>
  <si>
    <t>Dirección Regional de Vivienda, Construcción y Saneamiento</t>
  </si>
  <si>
    <t>AEI. 04.01 Asistencia técnica especializada en gestión de servicios de agua y saneamiento a los Gobiernos Locales del ámbito rural</t>
  </si>
  <si>
    <t>Porcentaje de gobiernos locales capacitados</t>
  </si>
  <si>
    <t>0%
(2017)</t>
  </si>
  <si>
    <t xml:space="preserve">Porcentaje de ATMS y operadores comunales capacitados en gestión de los servicios de saneamiento </t>
  </si>
  <si>
    <t>OEI. 05</t>
  </si>
  <si>
    <t>OEI. 05 Fortalecer la gestión institucional del Gobierno Regional Huánuco</t>
  </si>
  <si>
    <t>Porcentaje de cumplimiento anual del Plan Estratégico Institucional - PEI</t>
  </si>
  <si>
    <t>63.6%
(2017)</t>
  </si>
  <si>
    <t>Gerencia Regional de Planeamiento, Presupuesto y Acondicionamiento Territorial - Sub Gerencia de Planeamiento Estratégico y Estadística</t>
  </si>
  <si>
    <t>AEI. 05. 04 Procesos administrativos eficientes para la mejor toma de decisiones del Gobierno Regional Huánuco</t>
  </si>
  <si>
    <t>Porcentaje de expedientes técnicos aprobados en el año</t>
  </si>
  <si>
    <t>35%
(2017)</t>
  </si>
  <si>
    <t>Gerencia Regional de Infraestructura - Sub Gerencia de Estudios</t>
  </si>
  <si>
    <t>Porcentaje de obras concluidas en el periodo programado</t>
  </si>
  <si>
    <t>25%
(2017)</t>
  </si>
  <si>
    <t>Gerencia Regional de Infraestructura - Sub Gerencia de Obras y Supervisión</t>
  </si>
  <si>
    <t>Porcentaje de obras liquidadas en el periodo programado</t>
  </si>
  <si>
    <t>Gerencia Regional de Infraestructura - Sub Gerencia de Liquidación</t>
  </si>
  <si>
    <t>OEI. 06</t>
  </si>
  <si>
    <t>OEI. 06 Mejorar el desarrollo técnico - productivo y empresarial de los agentes económicos organizados</t>
  </si>
  <si>
    <t>Variación Porcentual del Valor Bruto de la Producción Agropecuaria de la Región</t>
  </si>
  <si>
    <t>5%
(2017)</t>
  </si>
  <si>
    <t>Gerencia Regional de Desarrollo Económico - Dirección Regional de Agricultura - Oficina de Estadística Agraria e Informática</t>
  </si>
  <si>
    <t>AEI. 06.01 Asistencia Técnica oportuna para la diversificación productiva de los Pequeños Productores Organizados en Cadenas Productivas priorizadas con acceso a Mercados Regional y Nacional</t>
  </si>
  <si>
    <t>Porcentaje de Pequeños Productores Organizados en Cadenas Productivas Priorizadas con Acceso a Mercados Regional y Nacional</t>
  </si>
  <si>
    <t>2%
(2017)</t>
  </si>
  <si>
    <t>Dirección Regional de Agricultura - Agencias Agrarias, Dirección de Extensión Agraria y Dirección de Competitividad Agraria</t>
  </si>
  <si>
    <t>OEI. 07</t>
  </si>
  <si>
    <t>OEI. 07 Mejorar la conectividad y logística territorial de la Región Huánuco</t>
  </si>
  <si>
    <t>Porcentaje de red vial departamental en buen estado</t>
  </si>
  <si>
    <t>31.62%
(2016)</t>
  </si>
  <si>
    <t>Dirección Regional de Transportes y Comunicaciones - Dirección de caminos</t>
  </si>
  <si>
    <t>AEI. 07.01 Mantenimiento y/o atención de emergencias viales, dentro de las redes viales departamentales</t>
  </si>
  <si>
    <t>Porcentaje de kilómetros de la red vial departamental con mantenimiento</t>
  </si>
  <si>
    <t>55.36%
(2016)</t>
  </si>
  <si>
    <t>Porcentaje de atenciones de emergencias viales dentro de la red vial departamental</t>
  </si>
  <si>
    <t>14
(2017)</t>
  </si>
  <si>
    <t>OEI. 08</t>
  </si>
  <si>
    <t xml:space="preserve">OEI. 08 Mejorar el aprovechamiento y conservación sostenible del ambiente en la Región Huánuco </t>
  </si>
  <si>
    <t xml:space="preserve">Porcentaje de áreas prioritarias protegidas bajo alguna modalidad de conservación </t>
  </si>
  <si>
    <t>30.6% 174,918.72 ha 
(2018)</t>
  </si>
  <si>
    <t>Gerencia Regional de Recursos Naturales y Gestión Ambiental - Sub Gerencia de Recursos Naturales</t>
  </si>
  <si>
    <t>AEI 08. 01  Ecosistemas degradados recuperados mediante intervención pública en beneficio de la población.</t>
  </si>
  <si>
    <t>Porcentaje de Hectáreas de ecosistemas degradados recuperados</t>
  </si>
  <si>
    <t>1.78%
14,672 ha
(2018)</t>
  </si>
  <si>
    <t>Gerencia Regional de Recursos Naturales y Gestión Ambiental - Sub Gerencia de Recursos Naturales y Sub Gerencia de Gestión Ambiental</t>
  </si>
  <si>
    <t>OEI. 09</t>
  </si>
  <si>
    <t>Protección a la población de Huánuco y sus medios de vida frente a peligros de origen natural y antrópicos</t>
  </si>
  <si>
    <t>Porcentaje de Gobierno Locales Fortalecidos para la gestión del riesgo de desastres y adaptación al cambio climático</t>
  </si>
  <si>
    <t>1.22%
(2016)</t>
  </si>
  <si>
    <t>Oficina Regional de Defensa Nacional, Defensa Civil y Seguridad Ciudadana - Centro de Operaciones de Emergencia Regional</t>
  </si>
  <si>
    <t>AEI 09. 01. Población capacitada adecuadamente con prácticas seguras para la resiliencia</t>
  </si>
  <si>
    <t>Porcentaje de personas expuestas a peligros con capacidad para responder ante emergencias de desastres</t>
  </si>
  <si>
    <t>100%
(2017)</t>
  </si>
  <si>
    <t>PPTO 2019 (AL 31/12)</t>
  </si>
  <si>
    <t>PPTO 2020 (AL 30/06)</t>
  </si>
  <si>
    <t>PPTO 2020 (PROYECCI{ON 31/12)</t>
  </si>
  <si>
    <t>RECURSOS ORDINARIOS</t>
  </si>
  <si>
    <t>200 TRANSPORTE</t>
  </si>
  <si>
    <t>BANCO DE LA NACION</t>
  </si>
  <si>
    <t>00481024102</t>
  </si>
  <si>
    <t>SOLES</t>
  </si>
  <si>
    <t>300 REGION HUANUCO-EDUCACION</t>
  </si>
  <si>
    <t>04-481-024072</t>
  </si>
  <si>
    <t>301 EDUCACION MARAÑON</t>
  </si>
  <si>
    <t>0341- 018900</t>
  </si>
  <si>
    <t>305 EDUCACION HUAMALIES</t>
  </si>
  <si>
    <t>00486000538</t>
  </si>
  <si>
    <t>306 EDUACION PUERTO INCA</t>
  </si>
  <si>
    <t>BANCO DE NACION</t>
  </si>
  <si>
    <t>00-517-000493</t>
  </si>
  <si>
    <t>307 EDUCACION EUGEL HUACAYBAMBA</t>
  </si>
  <si>
    <t>481-062772</t>
  </si>
  <si>
    <t>311 EDUCACION EUGEL HUANUCO</t>
  </si>
  <si>
    <t>00-481-071828</t>
  </si>
  <si>
    <t>400 SALUD HUANUCO</t>
  </si>
  <si>
    <t>0481-024080</t>
  </si>
  <si>
    <t>2006</t>
  </si>
  <si>
    <t>401 SALUD TINGO MARIA</t>
  </si>
  <si>
    <t>00-490-014144</t>
  </si>
  <si>
    <t>402 HOSPITAL HERMILIO VALDIZAN</t>
  </si>
  <si>
    <t xml:space="preserve">BANCO DE LA NACION </t>
  </si>
  <si>
    <t>481-020832</t>
  </si>
  <si>
    <t>403 SALUD LEONCIO PRADO</t>
  </si>
  <si>
    <t>00490-014152</t>
  </si>
  <si>
    <t>404 RED DE SALUD HUANUCO</t>
  </si>
  <si>
    <t>481031265</t>
  </si>
  <si>
    <t>405 SALUD HUAMALIES</t>
  </si>
  <si>
    <t>00-481-063183</t>
  </si>
  <si>
    <t>406 SALUD DOS DE MAYO</t>
  </si>
  <si>
    <t xml:space="preserve">00-481-063205        </t>
  </si>
  <si>
    <t>407 RED DE SALUD PUERTO INCA</t>
  </si>
  <si>
    <t xml:space="preserve">BANCO DE LA NACION      </t>
  </si>
  <si>
    <t xml:space="preserve">00-517-001104 </t>
  </si>
  <si>
    <t>409 RED DE SALUD PACHITEA</t>
  </si>
  <si>
    <t xml:space="preserve">0488-000888                   </t>
  </si>
  <si>
    <t>RECURSOS DIRECTAMENTE RECAUDADO</t>
  </si>
  <si>
    <t xml:space="preserve">00481015944 </t>
  </si>
  <si>
    <t>04-481-015952</t>
  </si>
  <si>
    <t>0803-000379</t>
  </si>
  <si>
    <t>00486000511</t>
  </si>
  <si>
    <t>306 EDUCACION PUERTO INCA</t>
  </si>
  <si>
    <t>00-517-000485</t>
  </si>
  <si>
    <t>481-062764</t>
  </si>
  <si>
    <t>00-481-071933</t>
  </si>
  <si>
    <t>BANCO D ELA NACION</t>
  </si>
  <si>
    <t>00490-012230</t>
  </si>
  <si>
    <t>0481031273</t>
  </si>
  <si>
    <t>00-481-063191</t>
  </si>
  <si>
    <t>408 RED DE SALUD AMBO</t>
  </si>
  <si>
    <t xml:space="preserve">02-0483 -000871  </t>
  </si>
  <si>
    <t>RECURSOS DIRECTAMENTE RECAUDADOS (CUT)</t>
  </si>
  <si>
    <t xml:space="preserve">00-490-014144       </t>
  </si>
  <si>
    <t>03-0483 - 000863</t>
  </si>
  <si>
    <t>RECURSOS DIRECTAMENTE RECAUDADOS (SERVICIOS)</t>
  </si>
  <si>
    <t>00-490-011781</t>
  </si>
  <si>
    <t>RECURSOS DIRECTAMENTE RECAUDADOS (MEDICINAS)</t>
  </si>
  <si>
    <t>0481-016134</t>
  </si>
  <si>
    <t>00-490-012567</t>
  </si>
  <si>
    <t>RECURSOS DIRECTAMENTE RECAUDADOS (TASAS)</t>
  </si>
  <si>
    <t>RECURSOS POR OPERACIONES DE CREDITO</t>
  </si>
  <si>
    <t>06-0483 -000863</t>
  </si>
  <si>
    <t>OFICIALES DE CREDITO EXTERNO</t>
  </si>
  <si>
    <t>DONACIONES Y TRANSFERENCIA</t>
  </si>
  <si>
    <t>0481031826</t>
  </si>
  <si>
    <t>00-481-063531</t>
  </si>
  <si>
    <t>04-0483 -000863</t>
  </si>
  <si>
    <t>DONACIONES Y TRANSFERENCIA-SIS</t>
  </si>
  <si>
    <t>0481-018315</t>
  </si>
  <si>
    <t>05-0483 -000863</t>
  </si>
  <si>
    <t>CANON Y SOBRECANON, REGALIAS Y PARTICIPACIONES</t>
  </si>
  <si>
    <t>0341-018900</t>
  </si>
  <si>
    <t>311 EDUCACION UGEL HUANUCO</t>
  </si>
  <si>
    <t>SUB CUENTA-RDO.INTERV.ANTE LA OCURRENCIA DE DESASTRES NATURALES</t>
  </si>
  <si>
    <t>RECURSOS DIRECTAMENTE RECAUDADO CUT</t>
  </si>
  <si>
    <t>EJECUCION CARTAS FIANZA POR GARANTIA</t>
  </si>
  <si>
    <t>00-481-103207</t>
  </si>
  <si>
    <t>RETENCION</t>
  </si>
  <si>
    <t>00-481-119596</t>
  </si>
  <si>
    <t>ADQUISICION DE CEMENTO PORTLAND TIPO I (42.5 KG) PARA LA OBRA MEJORAMIENTO DEL SERVICIO DE TRANSITABILIDAD DEL CAMINO VECINAL TRAMOS: PUERTO LA MORADA - LA MORADA - EL TRIUNFO - ALTO AZUL Y CRUCE LA MORADA - SANTA ROSA DE BADEN - AGUASHI MOLOPE DEL DISTRITO DE LA MORADA - PROVINCIA DE MARAÑON - DEPARTAMENTO DE HUANUCO"</t>
  </si>
  <si>
    <t>SUBASTA INVERSA ELECTRONICA</t>
  </si>
  <si>
    <t>PROMOCIONES E INVERSIONES ARCO S.A.C - PROMOCIONES E INVERSIONES ARCO S.A.C</t>
  </si>
  <si>
    <t>CONSENTIDO</t>
  </si>
  <si>
    <t>ADQUISICION DE CEMENTO PORTLAND TIPO I (42.5 KG) PARA LA OBRA: "CREACION DE PAVIMENTO EMPEDRADO JIRON SANTO TORIBIO DEL DISTRITO DE PUNCHAO - PROVINCIA DE HUAMALIES - DEPARTAMENTO DE HUANUCO</t>
  </si>
  <si>
    <t xml:space="preserve">contratación de servicio de CONSTRUCCION DE UNA PLANTA DE PROCESAMIENTO DE PULPA DE GRANADILLA DEL PLAN DE NEGOCIO: INSTALACIÓN DE UNA PLANTA PROCESADORA AGROINDUSTRIAL Y COMERCIALIZACIÓN DE LA PULPA DE GRANADILLA DE LA ASOCIACIÓN DE PRODUCTORES AGROECOLOGICOS DEL CENTRO POBLADO DE HUARICHACA, EN EL DISTRITO DE MOLINO, PROVINCIA DE PACHITEA, REGIÓN HUÁNUCO” </t>
  </si>
  <si>
    <t>ADJUDICACION SIMPLIFICADA</t>
  </si>
  <si>
    <t>CONVOCADO LA 2DA</t>
  </si>
  <si>
    <t>CONTRATACIÓN DE SERVICIO DE CONSTRUCCION DE UN CENTRO DE ACOPIO DE PLATANO PARA EL PLAN DE NEGOCIO “MEJORAMIENTO DE LA PRODUCCION Y COMERCIALIZACION DE PLATANO DE LA ASOCIACION DE PRODUCTORES AGROPECUARIOS E INDUSTRIAL Y AMBIENTAL MARONA, DISTRITO LUYANDO, PROVINCIA DE LEONCIO PRADO, REGION HUANUCO”</t>
  </si>
  <si>
    <t>EVALUACION</t>
  </si>
  <si>
    <t>CONTRATACIÓN DE SERVICIO DE CONSTRUCCION DE UN CENTRO DE ACOPIO PARA GRANADILLA PARA EL PLAN DE NEGOCIO “INSTALACION DE UN CENTRO DE ACOPIO PARA LA COMERCIALIZACION DE GRANADILLA, SITUADO EN EL CENTRO POBLADO DE MONTEHUASI DEL DISTRITO DE UMARI, PROVINCIA DE PACHITEA - HUANUCO”</t>
  </si>
  <si>
    <t>EVALUACION 07/10</t>
  </si>
  <si>
    <t>CONTRATACION DE SERVICIO DE CONSTRUCCION DE UNA PLANTA PARA BENEFICIADO DE CUYES DEL PLAN DE NEGOCIO: "PROCESAMIENTO Y COMERCIALIZACION DE LA CARNE DE CUY EMPACADO AL VACIO DE LA COOPERATIVA AGROINDUSTRIAL YACUS, DISTRITO DE YACUS, PROVINCIA DE HUANUCO - HUANUCO</t>
  </si>
  <si>
    <t>CONTRATACION DE SERVICIO DE PLANTACIONES INJERTADOS DE DURAZNO DE VARIEDAD HUAYCO ROJO EN EL PLAN DE NEGOCIO "MEJORAMIENTO EN LA PRODUCCION Y COMERCIALIZACION DE LA CADENA PRODUCTIVA DE DURAZNO, EN LA LOCALIDAD DE RAHUA - DISTRITO DE APARICIO POMARES, PROVINCIA DE YAROWILCA - REGION DE HUANUCO"</t>
  </si>
  <si>
    <t>BUENA PRO</t>
  </si>
  <si>
    <t>CONTRATACION DE SERVICIO DE INSTALACION Y MANEJO DE CULTIVO EN CAMPO DEFINITIVO DE PLANTONES DE DURAZNO A TODO COSTO EN EL PLAN DE NEGOCIO "MEJORAMIENTO EN LA PRODUCCION Y COMERCIALIZACION DE DURAZNO VARIEDAD HUAYCO ROJO, EN EL CENTRO POBLADO DE CHINCHOPAMPA DEL DISTRITO DE CHAGLLA, PROVINCIA DE PACHITEA - REGION HUANUCO"</t>
  </si>
  <si>
    <t>DESIERTO</t>
  </si>
  <si>
    <t>CONTRATACION DEL SERVICIO DE ALQUILER DE CAMION VOLQUETE 6M3 PARA LA OBRA: "CREACION DEL SERVICIO DE TRANSITABILIDAD URBANA DEL DEPARTAMENTO DE HUANUCO"</t>
  </si>
  <si>
    <t>AVILA FIGUEROA LIGIA DALVA</t>
  </si>
  <si>
    <t>MERINO COTRINA AMANCIO JOSE</t>
  </si>
  <si>
    <t>ALVARADO VILLANUEVA FAUSTO FERNANDO</t>
  </si>
  <si>
    <t>AYLLON ROBLES VILMA FELICISIMA</t>
  </si>
  <si>
    <t>TELLO BARRUETA LUIS FELIPE</t>
  </si>
  <si>
    <t>MONTES DE ORDONES VIOLETA</t>
  </si>
  <si>
    <t>BAZAN OJETA ELOY OTO</t>
  </si>
  <si>
    <t>ALVARADO REMIGIO ARNALDO</t>
  </si>
  <si>
    <t>AGUIRRE CERVANTES FAUTO</t>
  </si>
  <si>
    <t>TORRES AGUIRRE JORGE LUIS</t>
  </si>
  <si>
    <t>FERNANDEZ MALPARTIDA KAREN</t>
  </si>
  <si>
    <t>ALBORNOZ MITSUTA DE ROSAS SILVIA MARGOT</t>
  </si>
  <si>
    <t>ROSAS HUAMAN DIGNO ENRIQUE</t>
  </si>
  <si>
    <t>CHANG ESPINOZA GLADIS MARGARITA</t>
  </si>
  <si>
    <t>HUAMAN HOYOS LUDIT</t>
  </si>
  <si>
    <t>CAJAS DE ARELLANO SOFIA</t>
  </si>
  <si>
    <t>ISIDRO SALAZAR ANGELICA GABRIELA</t>
  </si>
  <si>
    <t>FIGUEROA KUKURELO HERMAN RICHARD</t>
  </si>
  <si>
    <t>CAMARA DE COMERCIO INDUSTRIA HCO</t>
  </si>
  <si>
    <t xml:space="preserve">SANDOVAL COELLO SIDNEY </t>
  </si>
  <si>
    <t>JARA CARBAJAL IDELFONSO</t>
  </si>
  <si>
    <t>INVERSIONES TURISTICAS RUGGERI SAC</t>
  </si>
  <si>
    <t>LOPEZ MELENDEZ DORIS MARGA</t>
  </si>
  <si>
    <t>MERINO USSEGLIO JOSE LUIS</t>
  </si>
  <si>
    <t>TUFINO VILLANES MIGUEL ANGEL</t>
  </si>
  <si>
    <t>ROSALES ALCANTARA GLADIS ELENA</t>
  </si>
  <si>
    <t>ASOCIACION MINISTERIO DIACONAL PAZ Y ESPERANZA</t>
  </si>
  <si>
    <t>ROJAS HUAMAN DIGO ENRRIQUE</t>
  </si>
  <si>
    <t>BAZAN OJEDA ELOY OTTO</t>
  </si>
  <si>
    <t>FERNANDES MALPARTIDA KAREN</t>
  </si>
  <si>
    <t>SANDOVAL COELLO SIDNEY</t>
  </si>
  <si>
    <t>CAMARA DE COMERCIO INSDUSTRIAS HCO</t>
  </si>
  <si>
    <t>VERDE BASILIO CARLOS NIGER</t>
  </si>
  <si>
    <t>F-7</t>
  </si>
  <si>
    <t>F-6</t>
  </si>
  <si>
    <t>F-5</t>
  </si>
  <si>
    <t>F-4</t>
  </si>
  <si>
    <t>F-3</t>
  </si>
  <si>
    <t>F-2</t>
  </si>
  <si>
    <t>SPB</t>
  </si>
  <si>
    <t>SPC</t>
  </si>
  <si>
    <t>SPD</t>
  </si>
  <si>
    <t>SPF</t>
  </si>
  <si>
    <t>STB</t>
  </si>
  <si>
    <t>STC</t>
  </si>
  <si>
    <t>STD</t>
  </si>
  <si>
    <t>STF</t>
  </si>
  <si>
    <t>SAB</t>
  </si>
  <si>
    <t>SAC</t>
  </si>
  <si>
    <t>SAD</t>
  </si>
  <si>
    <t>SDF</t>
  </si>
  <si>
    <t>CARRERAS ESPECIALES</t>
  </si>
  <si>
    <t>Profesionales de la Salud</t>
  </si>
  <si>
    <t>Reforma Magisterial</t>
  </si>
  <si>
    <t>Profesor Contratado</t>
  </si>
  <si>
    <t>Auxiliar de Educación</t>
  </si>
  <si>
    <t>Docente de Instituto de Educación Superior</t>
  </si>
  <si>
    <t>OTROS ACTIVOS</t>
  </si>
  <si>
    <t>Destacados</t>
  </si>
  <si>
    <t>Serums</t>
  </si>
  <si>
    <t>Prof. por hora</t>
  </si>
  <si>
    <t>Consejero Regional</t>
  </si>
  <si>
    <t>Eventual</t>
  </si>
  <si>
    <t>PENSIONISTAS</t>
  </si>
  <si>
    <t>Pensionistas</t>
  </si>
  <si>
    <t>Sobrevivientes</t>
  </si>
  <si>
    <t>PpR</t>
  </si>
  <si>
    <t>UGEL</t>
  </si>
  <si>
    <t>Practicantes</t>
  </si>
  <si>
    <t>Promotoas</t>
  </si>
  <si>
    <t>Personal Asistencial</t>
  </si>
  <si>
    <t>Funcionarios y Directivos</t>
  </si>
  <si>
    <t>Profesionales</t>
  </si>
  <si>
    <t>Tecnicos</t>
  </si>
  <si>
    <t>Auxiliares</t>
  </si>
  <si>
    <t>Porfesor Contratado</t>
  </si>
  <si>
    <t>Prof. por Hora</t>
  </si>
  <si>
    <t>Asistencial - Profesionales</t>
  </si>
  <si>
    <t>Asistencial - Técnicos</t>
  </si>
  <si>
    <t>Asistencial - Auxilaires</t>
  </si>
  <si>
    <t>Serum</t>
  </si>
  <si>
    <t xml:space="preserve">     CAS</t>
  </si>
  <si>
    <t>Cas</t>
  </si>
  <si>
    <t xml:space="preserve">    OTROS</t>
  </si>
  <si>
    <t>Practicante</t>
  </si>
  <si>
    <t>Promotoras</t>
  </si>
  <si>
    <t>CONTRATO DE SERVICIO  DE CONSULTORIA N° 036-2019-GRH/GGR-CONSORCIO  VIAS HUANUCO-CUI DEL PROYECTO N°2402646</t>
  </si>
  <si>
    <t>ELABORACION DE EXPEDIENTES TECNICOS</t>
  </si>
  <si>
    <t>EXPEDIENTE TECNICO</t>
  </si>
  <si>
    <t>CONTRATO DE SERVICIO  DE CONSULTORIA N° 009-2019-GRH/GGR-EMILIO FELIX VELASQUEZ VASQUEZ -CUI DEL PROYECTO N°2396199</t>
  </si>
  <si>
    <t>-</t>
  </si>
  <si>
    <t>CONTRATO DE SERVICIO  DE CONSULTORIA N° 044-2019-GRH/GR-CONSORCIO OASIS CONSULT -CUI DEL PROYECTO N°2381145</t>
  </si>
  <si>
    <t>CONTRATO DE SERVICIO  DE CONSULTORIA N° 047-2019-GRH/GR-FELIX VELASQUEZ Y VASQUEZ  -CUI DEL PROYECTO N°2154746</t>
  </si>
  <si>
    <t>CONTRATO DE SERVICIO  DE CONSULTORIA N° 037-2019-GRH/GR-GUSTAVO ALBERTO DIAZ HERNANDEZ   -CUI DEL PROYECTO N°2250533</t>
  </si>
  <si>
    <t>CONTRATO DE SERVICIO  DE CONSULTORIA N° 010-2019-GRH/GGR-EMILIO FELIX VELASQUEZ VASQUEZ  -CUI DEL PROYECTO N°2396309</t>
  </si>
  <si>
    <t>CONTRATO DE SERVICIO  DE CONSULTORIA N° 025-2020-GRH/GGR-RMC-INGENIEROS-CUI DEL PROYECTO N°2402679</t>
  </si>
  <si>
    <t>CONTRATO DE SERVICIO  DE CONSULTORIA N° 007-2020-GRH/GGR-EMILIO FELIX VELASQUEZ VASQUEZ-CUI DEL PROYECTO N°2402679</t>
  </si>
  <si>
    <t>CONTRATO N°006-2020- GRH/GGR-WILDER EFRAIN BONILLA SOSA-  CUI DEL PROYECTO N° 2250055</t>
  </si>
  <si>
    <t xml:space="preserve">
10101785101</t>
  </si>
  <si>
    <t>ELABORACIÓN DEL EXPEDIENTE TECNICO</t>
  </si>
  <si>
    <t>CONTRATO N°55-2019-GRH/GRR-1 CUI DEL PROYECTO N° 2396202</t>
  </si>
  <si>
    <t>CONTRATO N°10-2020-GRH/GRR -CUI DEL PROYECTO 2375987</t>
  </si>
  <si>
    <t xml:space="preserve"> CONTRATO N° 065-2019-GRH/GGR _ EMILIO FELIX VELASQUEZ VAZQUEZ (R.L.)-CUI DEL PROYECTO N°2436108</t>
  </si>
  <si>
    <t>CONTRATO N° 014-2020-GRH/GGR_ JEAN PIER CHOTA FLORES (R.L)-CUI DEL PROYECTO N° 2302577</t>
  </si>
  <si>
    <t>CONTRATO N° 036-2019-GRH/GR_ CLINCE INOCENTE AMBROSIO (R.L) CUI DEL PROYECTO N° 2252973</t>
  </si>
  <si>
    <t>CONTRATO N° 027-2019-GRH/GR_EMILIO FELIX VELÁSQUEZ VASQUEZ -CUI DEL PROYECTO N° 2333725</t>
  </si>
  <si>
    <t>CONTRATO N°58-2019-GRH/GR CUI DEL PROYECTO N° 2396286</t>
  </si>
  <si>
    <t xml:space="preserve"> CONSORCIO SALUD CHAVINILLO (CESAR AUGUSTO PEREZ RAMIREZ)</t>
  </si>
  <si>
    <t>FORMULACION DEL ESTUDIO DE PRE INVERSION"MEJORAMIENTO DE LOS SERVICIOS DE SALUD DEL CENTRO DE SALUD ESTRATÉGICO DE CHAVINILLO, DISTRITO DE CHAVINILLO, PROVINCIA DE YAROWILCA - REGIÓN HUÁNUCO"</t>
  </si>
  <si>
    <t>NO REQUIERE</t>
  </si>
  <si>
    <t>DAMMS CONSULTORES Y EJECUTORES E.I.R.L</t>
  </si>
  <si>
    <t>EVALUACION DEL ESTUDIO DE PRE INVERSION"MEJORAMIENTO DE LOS SERVICIOS DE SALUD DEL CENTRO DE SALUD ESTRATÉGICO DE CHAVINILLO, DISTRITO DE CHAVINILLO, PROVINCIA DE YAROWILCA - REGIÓN HUÁNUCO"</t>
  </si>
  <si>
    <t>ROXANA CONDORI MAMANI</t>
  </si>
  <si>
    <t>FORMULACION DEL ESTUDIO DE PRE INVERSION"MEJORAMIENTO DE LOS SERVICIOS DE SALUD DEL CENTRO DE SALUD ESTRATEGICO DE CODO DE POZUZO, DISTRITO DE CODO DE POZUZO, PROVINCIA DE PUERTO INCA - REGION HUANUCO"</t>
  </si>
  <si>
    <t>EVALUACION DEL ESTUDIO DE PRE INVERSION"MEJORAMIENTO DE LOS SERVICIOS DE SALUD DEL CENTRO DE SALUD ESTRATEGICO DE CODO DE POZUZO, DISTRITO DE CODO DE POZUZO, PROVINCIA DE PUERTO INCA - REGION HUANUCO"</t>
  </si>
  <si>
    <t>CONSORCIO ACOMAYO (EDWIN CRUZ CRUZ)</t>
  </si>
  <si>
    <t>FORMULACION DEL ESTUDIO DE PRE INVERSION"MEJORAMIENTO DE LOS SERVICIOS DE SALUD DEL CENTRO DE SALUD ESTRATEGICO DE ACOMAYO, DISTRITO DE CHINCHAO, PROVINCIA DE HUANUCO - REGION HUANUCO"</t>
  </si>
  <si>
    <t>EVALUACION DEL ESTUDIO DE PRE INVERSION"MEJORAMIENTO DE LOS SERVICIOS DE SALUD DEL CENTRO DE SALUD ESTRATEGICO DE ACOMAYO, DISTRITO DE CHINCHAO, PROVINCIA DE HUANUCO - REGION HUANUCO"</t>
  </si>
  <si>
    <t xml:space="preserve">CONSORCIO IRRIGACION LAURICOCHA </t>
  </si>
  <si>
    <t>FORMULACION DEL ESTUDIO DE PRE INVERSION"MEJORAMIENTO DEL SERVICIO DE AGUA PARA RIEGO DE LANCANA ALTO Y RACHACANCHA -SECCHA DE LOS DISTRITOS DE BAÑOS Y RONDOS DE LA PROVINCIA DE LAURICOCHA, DEPARTAMENTO DE HUANUCO"</t>
  </si>
  <si>
    <t>WINNER CONSTRUCCIONES E.I.R.L</t>
  </si>
  <si>
    <t>EVALUACION DEL ESTUDIO DE PRE INVERSION"MEJORAMIENTO DEL SERVICIO DE AGUA PARA RIEGO DE LANCANA ALTO Y RACHACANCHA -SECCHA DE LOS DISTRITOS DE BAÑOS Y RONDOS DE LA PROVINCIA DE LAURICOCHA, DEPARTAMENTO DE HUANUCO"</t>
  </si>
  <si>
    <t>GOBIERNO REGIONAL HUÁNUCO</t>
  </si>
  <si>
    <t>MENSUAL</t>
  </si>
  <si>
    <t>2056427: CONSTRUCCION DEL SISTEMA DE AGUA POTABLE Y ALCANTARILLADO DEL CENTRO POBLADO LA ESPERANZA Y ANEXOS - AMARILIS HUANUCO, PROVINCIA DE HUANUCO - HUANUCO</t>
  </si>
  <si>
    <t>AS-SM-163-2019-GRH/GR-1</t>
  </si>
  <si>
    <t>OBRA EN EJECUCIÓN</t>
  </si>
  <si>
    <t>2164917: CREACION DE CAMINO VECINAL DE MONOPAMPA - ABRA ALEGRIA - SHOTOJ - PUENTE CHOROPAMPA, PROVINCIA DE PACHITEA - HUANUCO</t>
  </si>
  <si>
    <t>LICITACION PUBLICA</t>
  </si>
  <si>
    <t xml:space="preserve">LP-SM-20-2019-GRH/GR-1
</t>
  </si>
  <si>
    <t xml:space="preserve">13/02/2022
</t>
  </si>
  <si>
    <t>2196406: CONSTRUCCION DEL PUENTE TINGO MARIA-CASTILLO GRANDE, DISTRITO DE RUPA RUPA-PROVINCIA DE LEONCIO PRADO-DEPARTAMENTO DE HUANUCO</t>
  </si>
  <si>
    <t xml:space="preserve">AS-SM-110-2018-GRH/GR-2
</t>
  </si>
  <si>
    <t xml:space="preserve">23/05/21
</t>
  </si>
  <si>
    <t>2308385: MEJORAMIENTO DE LOS SERVICIOS DE TRANSITABILIDAD DE LA AVENIDA HEROES DE JACTAY-AV.CIRCUNVALACION, TRAMO CRUZ VERDE -LOMA BLANCA-LAS MORAS Y PUENTE VIACRUCIS, PROVINCIA DE HUANUCO - HUANUCO</t>
  </si>
  <si>
    <t xml:space="preserve">LP-SM-16-2019-GRH/GR-1
</t>
  </si>
  <si>
    <t xml:space="preserve">46,614,701.82
</t>
  </si>
  <si>
    <t xml:space="preserve">22/12/2020
</t>
  </si>
  <si>
    <t>_</t>
  </si>
  <si>
    <t>OBRA SUSPENDIDA</t>
  </si>
  <si>
    <t>2320101: MEJORAMIENTO DE LOS SERVICIOS DE EDUCACION SECUNDARIA DEL COLEGIO NACIONAL INDUSTRIAL HERMILIO VALDIZAN, DISTRITO DE HUANUCO, PROVINCIA DE HUANUCO, REGION HUANUCO</t>
  </si>
  <si>
    <t>LP-SM-33-2019-GRH/GR-1</t>
  </si>
  <si>
    <t>2214487: MEJORAMIENTO DEL SERVICIO EDUCATIVO DE LA INSTITUCION EDUCATIVA DE TUPAC AMARU II, DISTRITO DE PANAO, PROVINCIA DE PACHITEA - HUANUCO</t>
  </si>
  <si>
    <t xml:space="preserve">LP-SM-25-2019-GRH/GR-1
</t>
  </si>
  <si>
    <t xml:space="preserve">01/04/2021
</t>
  </si>
  <si>
    <t>2308399: MEJORAMIENTO DE LOS SERVICIOS DE TRANSITABILIDAD DEL PUENTE ESTEBAN PAVLETICH, CREACION DE LOS SERVICIOS DE TRANSITABILIDAD DEL PUENTE CIRCUNVALACION Y ACCESOS EN LA AV. COLECTORA, DISTRITO DE AMARILIS, PROVINCIA Y DEPARTAMENTO DE HUANUCO</t>
  </si>
  <si>
    <t xml:space="preserve">LP-SM-15-2019-GRH/GR-1
</t>
  </si>
  <si>
    <t xml:space="preserve">25852698.28
</t>
  </si>
  <si>
    <t xml:space="preserve">17/05/21
</t>
  </si>
  <si>
    <t>2324482: MEJORAMIENTO DE LOS SERVICIOS DE SALUD DEL CENTRO DE SALUD YUYAPICHIS EN EL DISTRITO DE YUYAPICHIS, PROVINCIA DE PUERTO INCA - REGION HUANUCO</t>
  </si>
  <si>
    <t xml:space="preserve">AS-SM-55-2019-GRH/GR-1
</t>
  </si>
  <si>
    <t xml:space="preserve">27/02/21
</t>
  </si>
  <si>
    <t>2309621: MEJORAMIENTO, AMPLIACION DEL SERVICIO EDUCATIVO EN EL INSTITUTO PEDAGOGICO PUBLICO JUANA MORENO DISTRITO DE LLATA, HUAMALES, HUANUCO</t>
  </si>
  <si>
    <t xml:space="preserve">LP-SM-1-2019-GRH/GR-1
</t>
  </si>
  <si>
    <t xml:space="preserve">10/06/2020
</t>
  </si>
  <si>
    <r>
      <t xml:space="preserve">2193859: INSTALACION DE LOS SERVICIOS DE EDUCACION INICIAL ESCOLARIZADA QUE LES CORRESPONDE EN LOS CENTROS POBLADOS DE GUENAYHUILCA, GORGOR, TICTE, CHIPAQUILLO Y TANCUY, DISTRITOS DE MARIAS Y CHUQUIS, PROVINCIA DOS DE MAYO - REGION HUANUCO. </t>
    </r>
    <r>
      <rPr>
        <b/>
        <sz val="11"/>
        <color theme="1"/>
        <rFont val="Arial"/>
        <family val="2"/>
      </rPr>
      <t>ITEM GUENAYHUILCA</t>
    </r>
  </si>
  <si>
    <t xml:space="preserve">AS-SM-66-2019-GRH/GR-1
</t>
  </si>
  <si>
    <t xml:space="preserve">17/03/2020
</t>
  </si>
  <si>
    <r>
      <t>2193859: INSTALACION DE LOS SERVICIOS DE EDUCACION INICIAL ESCOLARIZADA QUE LES CORRESPONDE EN LOS CENTROS POBLADOS DE GUENAYHUILCA, GORGOR, TICTE, CHIPAQUILLO Y TANCUY, DISTRITOS DE MARIAS Y CHUQUIS, PROVINCIA DOS DE MAYO - REGION HUANUCO.</t>
    </r>
    <r>
      <rPr>
        <b/>
        <sz val="11"/>
        <color theme="1"/>
        <rFont val="Arial"/>
        <family val="2"/>
      </rPr>
      <t xml:space="preserve"> ITEM GORGOR</t>
    </r>
  </si>
  <si>
    <t>31/11/20</t>
  </si>
  <si>
    <r>
      <t>2193859: INSTALACION DE LOS SERVICIOS DE EDUCACION INICIAL ESCOLARIZADA QUE LES CORRESPONDE EN LOS CENTROS POBLADOS DE GUENAYHUILCA, GORGOR, TICTE, CHIPAQUILLO Y TANCUY, DISTRITOS DE MARIAS Y CHUQUIS, PROVINCIA DOS DE MAYO - REGION HUANUCO.</t>
    </r>
    <r>
      <rPr>
        <b/>
        <sz val="11"/>
        <color theme="1"/>
        <rFont val="Arial"/>
        <family val="2"/>
      </rPr>
      <t xml:space="preserve"> ITEM TICTE</t>
    </r>
  </si>
  <si>
    <r>
      <t>2193859: INSTALACION DE LOS SERVICIOS DE EDUCACION INICIAL ESCOLARIZADA QUE LES CORRESPONDE EN LOS CENTROS POBLADOS DE GUENAYHUILCA, GORGOR, TICTE, CHIPAQUILLO Y TANCUY, DISTRITOS DE MARIAS Y CHUQUIS, PROVINCIA DOS DE MAYO - REGION HUANUCO.</t>
    </r>
    <r>
      <rPr>
        <b/>
        <sz val="11"/>
        <color theme="1"/>
        <rFont val="Arial"/>
        <family val="2"/>
      </rPr>
      <t xml:space="preserve"> ITEM CHIPAQUILLO</t>
    </r>
  </si>
  <si>
    <t xml:space="preserve">05/04/2020
</t>
  </si>
  <si>
    <r>
      <t>2193859: INSTALACION DE LOS SERVICIOS DE EDUCACION INICIAL ESCOLARIZADA QUE LES CORRESPONDE EN LOS CENTROS POBLADOS DE GUENAYHUILCA, GORGOR, TICTE, CHIPAQUILLO Y TANCUY, DISTRITOS DE MARIAS Y CHUQUIS, PROVINCIA DOS DE MAYO - REGION HUANUCO.</t>
    </r>
    <r>
      <rPr>
        <b/>
        <sz val="11"/>
        <color theme="1"/>
        <rFont val="Arial"/>
        <family val="2"/>
      </rPr>
      <t xml:space="preserve"> ITEM TANCUY</t>
    </r>
  </si>
  <si>
    <t xml:space="preserve">30/03/2020
</t>
  </si>
  <si>
    <t>2324286: MEJORAMIENTO DE LOS SERVICIOS DE SALUD DEL PUESTO DE SALUD SAN PEDRO DE CHOLON, DISTRITO DE CHOLON, PROVINCIA DE MARAÑON, REGION HUANUCO</t>
  </si>
  <si>
    <t xml:space="preserve">LP-SM-10-2019-GRH/GR-1
</t>
  </si>
  <si>
    <t xml:space="preserve">13/11/2020
</t>
  </si>
  <si>
    <t>2308074: AMPLIACION DE LOS SERVICIOS DE EDUCACION SECUNDARIA EN LA INSTITUCION EDUCATIVA N 32082 DE PAGSHAG, DISTRITO DE CHURUBAMBA, PROVINCIA Y REGION HUANUCO</t>
  </si>
  <si>
    <t xml:space="preserve">LP-SM-31-2019-GRH/GR-1
</t>
  </si>
  <si>
    <t xml:space="preserve">27/12/2020
</t>
  </si>
  <si>
    <t>2324622: MEJORAMIENTO DE LOS SERVICIOS DE SALUD DEL CENTRO DE SALUD DE MONZON EN EL DISTRITO DE MONZON, PROVINCIA DE HUAMALIES - HUANUCO</t>
  </si>
  <si>
    <t>lICITACION PUBLICA</t>
  </si>
  <si>
    <t xml:space="preserve">LP-SM-8-2019-GRH/GR-1
</t>
  </si>
  <si>
    <t xml:space="preserve">15/03/2021
</t>
  </si>
  <si>
    <t>2441667: CONSTRUCCION DE DEFENSA RIBEREÑA; EN EL(LA) SISTEMA DE AGUA POTABLE EN LA LOCALIDAD QUINCHAS, DISTRITO DE RIPAN, PROVINCIA DOS DE MAYO, DEPARTAMENTO HUANUCO</t>
  </si>
  <si>
    <t xml:space="preserve">LP-SM-28-2019-GRH/GR-1
</t>
  </si>
  <si>
    <t>2443724: REPARACION DE LINEA DE CONDUCCION, CANAL DE RIEGO Y TOMAS O CENTROS DE MEDIDORES; EN EL(LA) SERVICIO DE AGUA PARA RIEGO DE LOS CENTROS POBLADOS ANTIJIRCA - CANCAN DISTRITO DE CHURUBAMBA, PROVINCIA HUANUCO, DEPARTAMENTO HUANUCO</t>
  </si>
  <si>
    <t xml:space="preserve">LP-SM-30-2019-GRH/GR-1
</t>
  </si>
  <si>
    <t>2260586: MEJORAMIENTO DE LOS SERVICIOS DE EDUCACION EN LA INSTITUCION EDUCATIVA PRIMARIA N 33331 DE LA LOCALIDAD DE PRIMAVERA, DISTRITO Y PROVINCIA DE HUACAYBAMBA - HUANUCO</t>
  </si>
  <si>
    <t xml:space="preserve">AS-SM-83-2019-GRH/GR-1
</t>
  </si>
  <si>
    <t xml:space="preserve">10/06/20
</t>
  </si>
  <si>
    <t>2198756: INSTALACION DEL SISTEMA DE RIEGO TECNIFICADO POR ASPERSION EN LA LOCALIDAD DE CHINCHAYPARAC, DISTRITO DE SAN FRANCISCO DE CAYRAN, PROVINCIA DE HUANUCO, REGION HUANUCO</t>
  </si>
  <si>
    <t xml:space="preserve">LP-SM-27-2019-GRH/GR-1
</t>
  </si>
  <si>
    <t xml:space="preserve">29/06/20
</t>
  </si>
  <si>
    <t>2441602: CONSTRUCCION DE DEFENSA RIBEREÑA; EN EL(LA) CAMAL MUNICIPAL EN LA LOCALIDAD SHAYAN, DISTRITO DE LA UNION, PROVINCIA DOS DE MAYO, DEPARTAMENTO HUANUCO</t>
  </si>
  <si>
    <t xml:space="preserve">LP-SM-29-2019-GRH/GR-1
</t>
  </si>
  <si>
    <t>2441579: REPARACION DE DEFENSA RIBEREÑA, VEREDA, RED DE ALCANTARILLADO Y BARANDAS; EN EL(LA) MERCADO MUNICIPAL DE LA UNION DISTRITO DE LA UNION, PROVINCIA DOS DE MAYO, DEPARTAMENTO HUANUCO</t>
  </si>
  <si>
    <t xml:space="preserve">AS-SM-76-2019-GRH/GR-1
</t>
  </si>
  <si>
    <t xml:space="preserve">26/02/2020
</t>
  </si>
  <si>
    <t>OBRA CONCLUIDA</t>
  </si>
  <si>
    <t>2260457: MEJORAMIENTO E INSTALACION DE LOS SERVICIOS EDUCATIVOS EN LA INSTITUCION EDUCATIVA INICIAL N 690 DE SAN GABRIEL DE LA LOCALIDAD DE CAYHUAYNA, DISTRITO DE PILLCOMARCA, PROVINCIA DE HUANUCO-HUANUCO</t>
  </si>
  <si>
    <t xml:space="preserve">LP-SM-3-2019-GRH/GR-1
</t>
  </si>
  <si>
    <t xml:space="preserve">12/02/20
</t>
  </si>
  <si>
    <t>2303768: MEJORAMIENTO E INSTALACION DE LOS SERVICIOS EDUCATIVOS EN LA INSTITUCION N 518, DE LA LOCALIDAD DE UMBE, DISTRITO DE CANCHABAMBA, PROVINCIA DE HUACAYBAMBA, REGION HUANUCO</t>
  </si>
  <si>
    <t xml:space="preserve">AS-SM-130-2019-GRH/GR-1
</t>
  </si>
  <si>
    <t xml:space="preserve">28/12/2020
</t>
  </si>
  <si>
    <t>2261602: MEJORAMIENTO E INSTALACION DE LOS SERVICIOS EDUCATIVOS EN LA INSTITUCION EDUCATIVA INICIAL N 558 DE CENTRO POBLADO DE LEON PAMPA, DISTRITO DE CHINCHAO, PROVINCIA DE HUANUCO-HUANUCO</t>
  </si>
  <si>
    <t xml:space="preserve">AS-SM-69-2019-GRH/PR-1
</t>
  </si>
  <si>
    <t xml:space="preserve">07/04/2020
</t>
  </si>
  <si>
    <t>2096035: AMPLIACION Y SUSTITUCION DE INFRAESTRUCTURA Y EQUIPAMIENTO DE LA INSTITUCION EDUCATIVA INICIAL Nº 311 DE FONAVI III, DISTRITO DE AMARILIS - HUANUCO - HUANUCO</t>
  </si>
  <si>
    <t xml:space="preserve">LP-SM-6-2019-GRH/GR-1
</t>
  </si>
  <si>
    <t xml:space="preserve">25/05/2020
</t>
  </si>
  <si>
    <t>OBRA PARALIZADA</t>
  </si>
  <si>
    <t>2367295: AMPLIACION Y MEJORAMIENTO DEL SERVICIO EDUCATIVO DE LA I.E. INICIAL ESCOLARIZADO N 610 DEL CENTRO POBLADO YANACANDADO, DISTRITO DE MONZON - HUAMALIES - HUANUCO</t>
  </si>
  <si>
    <t>AS-SM-152-2019-GRH/GR-1</t>
  </si>
  <si>
    <t>2186113: INSTALACION DE LOS SERVICIOS DE EDUCACION INICIAL N 466 EN LA LOCALIDAD EL TRIUNFO DISTRITO DE CHOLON, PROVINCIA DE MARAÑON, DEPARTAMENTO DE HUANUCO</t>
  </si>
  <si>
    <t xml:space="preserve">AS-SM-47-2019-GRH/GR-1
</t>
  </si>
  <si>
    <t>2441682: RENOVACION DE AULA FUNCIONAL; ADQUISICION DE TABURETES PARA AULAS DE CLASE, MESAS PARA AULAS DE CLASE, CAJONERAS O ESTANTERIAS NO MODULARES Y TABLEROS DE TIZA O ACCESORIOS; EN EL(LA) IE 32645 - SAN RAFAEL EN LA LOCALIDAD CARAMPAYOG, DISTRITO DE SAN RAFAEL, PROVINCIA AMBO, DEPARTAMENTO HUANUCO</t>
  </si>
  <si>
    <t xml:space="preserve">AS-SM-105-2019-GRH/GR-1
</t>
  </si>
  <si>
    <t>2443566: RENOVACION DE AULA; ADQUISICION DE ASIENTOS, MESAS, CAJONERAS O ESTANTERIAS Y TABLEROS; EN EL(LA) IE 32287 - CHORAS EN LA LOCALIDAD QUILCAYHUARIN, DISTRITO DE CHORAS, PROVINCIA YAROWILCA, DEPARTAMENTO HUANUCO</t>
  </si>
  <si>
    <t xml:space="preserve">AS-SM-125-2019-GRH/GR-1
</t>
  </si>
  <si>
    <t>2443831: RENOVACION DE CANAL DE RIEGO; EN EL(LA) LOCALIDADES DE ISHOCAN - HUANDOBAMBA DISTRITO DE AMBO, PROVINCIA AMBO, DEPARTAMENTO HUANUCO</t>
  </si>
  <si>
    <t xml:space="preserve">AS-SM-106-2019-GRH/GR-1
</t>
  </si>
  <si>
    <t>2259441: INSTALACION DEL SERVICIO EDUCATIVO EN LA INSTITUCION EDUCATIVA INICIAL ESCOLARIZADA N 581 DE LA LOCALIDAD DE SAN SEBASTIAN DE GORAMARCA, DISTRITO DE SANTA MARIA DEL VALLE, PROVINCIA DE HUANUCO - HUANUCO</t>
  </si>
  <si>
    <t xml:space="preserve">AS-SM-70-2019-GRH/GR-1
</t>
  </si>
  <si>
    <t xml:space="preserve">24/03/2020
</t>
  </si>
  <si>
    <t>OBRA SUSPENDIDA DESDE EL 17 DE ENERO DE 2020</t>
  </si>
  <si>
    <t>2443767: RENOVACION DE AULA FUNCIONAL; ADQUISICION DE TABURETES PARA AULAS DE CLASE, MESAS PARA AULAS DE CLASE, CAJONERAS O ESTANTERIAS NO MODULARES Y TABLEROS DE TIZA O ACCESORIOS; EN EL(LA) IE 633 - CHUQUIS EN LA LOCALIDAD SAN FRANCISCO DE CASHA, DISTRITO DE CHUQUIS, PROVINCIA DOS DE MAYO, DEPARTAMENTO HUANUCO</t>
  </si>
  <si>
    <t xml:space="preserve">AS-SM-104-2019-GRH/GR-1
</t>
  </si>
  <si>
    <t>2105555: REHABILITACION, MEJORAMIENTO DEL CAMINO VECINAL CHACAPAMPA - ICHOCAN, PROVINCIA DE AMBO - HUANUCO</t>
  </si>
  <si>
    <t xml:space="preserve">AS-SM-101-2019-GRH-GR-1
</t>
  </si>
  <si>
    <t>2450843: CONSTRUCCION DE AMBIENTE U OFICINA ADMINISTRATIVA; EN EL(LA) CONSEJO REGIONAL DEL GOBIERNO REGIONAL HUANUCO, DISTRITO DE AMARILIS, PROVINCIA HUANUCO, DEPARTAMENTO HUANUCO</t>
  </si>
  <si>
    <t xml:space="preserve">AS-SM-90-2019-GRH/GR-1
</t>
  </si>
  <si>
    <t xml:space="preserve">26/03/2020
</t>
  </si>
  <si>
    <t>2443926: REPARACION DE AULA; ADQUISICION DE ASIENTOS, MESAS, CAJONES O ESTANTES PARA TABLEROS Y TABLEROS; EN EL(LA) IE 86865 - HUACAYBAMBA DISTRITO DE HUACAYBAMBA, PROVINCIA HUACAYBAMBA, DEPARTAMENTO HUANUCO</t>
  </si>
  <si>
    <t xml:space="preserve">AS-SM-108-2019-GRH/GR-1
</t>
  </si>
  <si>
    <t>2443628: REPARACION DE MURO DE CONTENCION; EN EL(LA) MERCADO MUNICIPAL DE CHORAS; DISTRITO DE CHORAS, PROVINCIA YAROWILCA, DEPARTAMENTO HUANUCO</t>
  </si>
  <si>
    <t xml:space="preserve">AS-SM-124-2019-GRH/GR-1
</t>
  </si>
  <si>
    <t>2443641: REPARACION DE BOCATOMA Y LINEA DE CONDUCCION; EN EL(LA) SERVICIO DE AGUA PARA RIEGO HUASHGA - NEOCOLCA DISTRITO DE HUACAYBAMBA, PROVINCIA HUACAYBAMBA, DEPARTAMENTO HUANUCO</t>
  </si>
  <si>
    <t xml:space="preserve">AS-SM-110-2019-GRH/GR-1
</t>
  </si>
  <si>
    <t>2409/2020</t>
  </si>
  <si>
    <t>2443935: REPARACION DE CAPTACION, CAMARA DE VALVULAS Y LINEA DE CONDUCCION; EN EL(LA) LOCALIDADES DE CHACOS Y SAN RAFAEL DISTRITO DE SAN RAFAEL, PROVINCIA AMBO, DEPARTAMENTO HUANUCO</t>
  </si>
  <si>
    <t xml:space="preserve">AS-SM-109-2019-GRH/GR-1
</t>
  </si>
  <si>
    <t>2443616: REPARACION DE MURO DE CONTENCION; EN EL(LA) CAMINO VECINAL TRAMO HUACORA - PAMPAS, EN LOS CENTROS POBLADOS HUACORA Y PAMPAS; DISTRITO DE YACUS, PROVINCIA HUANUCO, DEPARTAMENTO HUANUCO</t>
  </si>
  <si>
    <t xml:space="preserve">AS-SM-111-2019-GRH/GR-1
</t>
  </si>
  <si>
    <t>2441683: REPARACION DE LINEA DE CONDUCCION Y CAMARA DE VALVULAS; EN EL(LA) SISTEMA DE AGUA POTABLE EN LA LOCALIDAD QUINCHAS, DISTRITO DE RIPAN, PROVINCIA DOS DE MAYO, DEPARTAMENTO HUANUCO</t>
  </si>
  <si>
    <t xml:space="preserve">AS-SM-102-2019-GRH/GR-1
</t>
  </si>
  <si>
    <t xml:space="preserve">14/11/20
</t>
  </si>
  <si>
    <t>PLAZO DE EJEUCION DE OBRAS (DÍAS CALENDARIOS)</t>
  </si>
  <si>
    <t>INICIO DE EJECUCIÓN</t>
  </si>
  <si>
    <t>FECHA DE CULMINACIÓN DE OBRA</t>
  </si>
  <si>
    <t>AMPLIACION DE PLAZO (DÍAS CALENDARIOS)</t>
  </si>
  <si>
    <t>NUEVA FECHA DE CULMINACIÓN DE OBRA</t>
  </si>
  <si>
    <t>RECEPCIÓN DE OBRA (27 DÍAS CALENDARIOS SIN OBSERVACIONES)</t>
  </si>
  <si>
    <t xml:space="preserve"> ALIMENTOS Y BEBIDAS</t>
  </si>
  <si>
    <t>SUMINISTROS PARA USO AGROPECUARIO, FORESTAL Y VETERINARIO</t>
  </si>
  <si>
    <t>VESTUARIOS Y TEXTILES</t>
  </si>
  <si>
    <t>COMBUSTIBLES, CARBURANTES, LUBRICANTES Y AFINES</t>
  </si>
  <si>
    <t>MATERIALES Y  UTILES</t>
  </si>
  <si>
    <t>SERVICIO DE MANTENIMIENTO, ACONDICIONAMIENTO Y  REPARACIONES</t>
  </si>
  <si>
    <t>LOCACIÓN DE SERVICIOS RELACIONADAS AL ROL DE LA ENTIDAD</t>
  </si>
  <si>
    <t>GOB. REGIONAL : 448 GOBIERNO REGIONAL HUÁNUCO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</si>
</sst>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280A]d&quot; de &quot;mmmm&quot; de &quot;yyyy;@"/>
    <numFmt numFmtId="165" formatCode="#,##0.00_ ;[Red]\-#,##0.00\ "/>
    <numFmt numFmtId="166" formatCode="#,##0_ ;[Red]\-#,##0\ "/>
    <numFmt numFmtId="167" formatCode="0.0%"/>
    <numFmt numFmtId="168" formatCode="#,##0.0"/>
    <numFmt numFmtId="169" formatCode="&quot;S/&quot;#,##0.00"/>
    <numFmt numFmtId="170" formatCode="[$-F800]dddd\,\ mmmm\ dd\,\ yyyy"/>
  </numFmts>
  <fonts count="35" x14ac:knownFonts="1">
    <font>
      <sz val="10"/>
      <name val="Arial"/>
    </font>
    <font>
      <sz val="11"/>
      <color theme="1"/>
      <name val="Calibri"/>
      <family val="2"/>
      <scheme val="minor"/>
    </font>
    <font>
      <sz val="10"/>
      <name val="Arial"/>
      <family val="2"/>
    </font>
    <font>
      <sz val="8"/>
      <name val="Arial"/>
      <family val="2"/>
    </font>
    <font>
      <b/>
      <sz val="10"/>
      <name val="Arial"/>
      <family val="2"/>
    </font>
    <font>
      <sz val="10"/>
      <name val="Arial Narrow"/>
      <family val="2"/>
    </font>
    <font>
      <sz val="10"/>
      <name val="Arial"/>
      <family val="2"/>
    </font>
    <font>
      <b/>
      <sz val="8"/>
      <name val="Arial"/>
      <family val="2"/>
    </font>
    <font>
      <sz val="10"/>
      <name val="Courier"/>
      <family val="3"/>
    </font>
    <font>
      <b/>
      <sz val="12"/>
      <name val="Arial"/>
      <family val="2"/>
    </font>
    <font>
      <sz val="9"/>
      <name val="Arial"/>
      <family val="2"/>
    </font>
    <font>
      <b/>
      <sz val="9"/>
      <name val="Arial"/>
      <family val="2"/>
    </font>
    <font>
      <sz val="8"/>
      <name val="Arial"/>
      <family val="2"/>
    </font>
    <font>
      <b/>
      <sz val="9"/>
      <color indexed="8"/>
      <name val="Arial"/>
      <family val="2"/>
    </font>
    <font>
      <sz val="9"/>
      <color indexed="32"/>
      <name val="Arial"/>
      <family val="2"/>
    </font>
    <font>
      <sz val="9"/>
      <color indexed="8"/>
      <name val="Arial"/>
      <family val="2"/>
    </font>
    <font>
      <sz val="8"/>
      <color indexed="81"/>
      <name val="Tahoma"/>
      <family val="2"/>
    </font>
    <font>
      <sz val="12"/>
      <name val="Arial"/>
      <family val="2"/>
    </font>
    <font>
      <sz val="8"/>
      <name val="Calibri"/>
      <family val="2"/>
      <scheme val="minor"/>
    </font>
    <font>
      <b/>
      <sz val="8"/>
      <name val="Calibri"/>
      <family val="2"/>
      <scheme val="minor"/>
    </font>
    <font>
      <sz val="8"/>
      <color indexed="8"/>
      <name val="Arial"/>
      <family val="2"/>
    </font>
    <font>
      <b/>
      <u/>
      <sz val="8"/>
      <name val="Arial"/>
      <family val="2"/>
    </font>
    <font>
      <b/>
      <sz val="9"/>
      <name val="Arial"/>
      <family val="2"/>
      <charset val="1"/>
    </font>
    <font>
      <b/>
      <sz val="8"/>
      <name val="Arial"/>
      <family val="2"/>
      <charset val="1"/>
    </font>
    <font>
      <sz val="10"/>
      <name val="Arial"/>
      <family val="2"/>
    </font>
    <font>
      <sz val="8"/>
      <color rgb="FF000000"/>
      <name val="Arial"/>
      <family val="2"/>
    </font>
    <font>
      <sz val="10"/>
      <color rgb="FF000000"/>
      <name val="Arial Narrow"/>
      <family val="2"/>
    </font>
    <font>
      <sz val="11"/>
      <color indexed="8"/>
      <name val="Calibri"/>
      <family val="2"/>
      <scheme val="minor"/>
    </font>
    <font>
      <b/>
      <sz val="9"/>
      <color theme="1"/>
      <name val="Arial"/>
      <family val="2"/>
    </font>
    <font>
      <sz val="9"/>
      <color theme="1"/>
      <name val="Arial"/>
      <family val="2"/>
    </font>
    <font>
      <sz val="8"/>
      <color theme="1"/>
      <name val="Arial"/>
      <family val="2"/>
    </font>
    <font>
      <sz val="10"/>
      <name val="Calibri"/>
      <family val="2"/>
      <scheme val="minor"/>
    </font>
    <font>
      <sz val="11"/>
      <color theme="1"/>
      <name val="Arial"/>
      <family val="2"/>
    </font>
    <font>
      <b/>
      <sz val="11"/>
      <color theme="1"/>
      <name val="Arial"/>
      <family val="2"/>
    </font>
    <font>
      <sz val="8"/>
      <color rgb="FF333333"/>
      <name val="Trebuchet MS"/>
      <family val="2"/>
    </font>
  </fonts>
  <fills count="15">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249977111117893"/>
        <bgColor rgb="FFF79646"/>
      </patternFill>
    </fill>
    <fill>
      <patternFill patternType="solid">
        <fgColor theme="9" tint="-0.249977111117893"/>
        <bgColor rgb="FFCCFF66"/>
      </patternFill>
    </fill>
    <fill>
      <patternFill patternType="solid">
        <fgColor theme="0"/>
        <bgColor rgb="FFCCFF66"/>
      </patternFill>
    </fill>
    <fill>
      <patternFill patternType="solid">
        <fgColor theme="0" tint="-0.14999847407452621"/>
        <bgColor indexed="44"/>
      </patternFill>
    </fill>
    <fill>
      <patternFill patternType="solid">
        <fgColor rgb="FFFFFFFF"/>
        <bgColor indexed="64"/>
      </patternFill>
    </fill>
    <fill>
      <patternFill patternType="solid">
        <fgColor rgb="FFC00000"/>
        <bgColor indexed="64"/>
      </patternFill>
    </fill>
  </fills>
  <borders count="81">
    <border>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ck">
        <color indexed="64"/>
      </bottom>
      <diagonal/>
    </border>
    <border>
      <left style="medium">
        <color indexed="64"/>
      </left>
      <right style="thin">
        <color indexed="64"/>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8"/>
      </left>
      <right style="thin">
        <color indexed="8"/>
      </right>
      <top style="thin">
        <color indexed="8"/>
      </top>
      <bottom style="medium">
        <color indexed="8"/>
      </bottom>
      <diagonal/>
    </border>
    <border>
      <left/>
      <right/>
      <top/>
      <bottom style="medium">
        <color indexed="64"/>
      </bottom>
      <diagonal/>
    </border>
    <border>
      <left/>
      <right style="thin">
        <color rgb="FFABABAB"/>
      </right>
      <top style="thin">
        <color rgb="FFABABAB"/>
      </top>
      <bottom/>
      <diagonal/>
    </border>
    <border>
      <left/>
      <right style="thin">
        <color rgb="FFABABAB"/>
      </right>
      <top/>
      <bottom/>
      <diagonal/>
    </border>
    <border>
      <left style="thin">
        <color rgb="FFABABAB"/>
      </left>
      <right/>
      <top style="thin">
        <color rgb="FFABABAB"/>
      </top>
      <bottom/>
      <diagonal/>
    </border>
    <border>
      <left style="thin">
        <color rgb="FFABABAB"/>
      </left>
      <right/>
      <top/>
      <bottom/>
      <diagonal/>
    </border>
  </borders>
  <cellStyleXfs count="8">
    <xf numFmtId="0" fontId="0" fillId="0" borderId="0"/>
    <xf numFmtId="0" fontId="5" fillId="0" borderId="0"/>
    <xf numFmtId="0" fontId="5" fillId="0" borderId="0"/>
    <xf numFmtId="49" fontId="8" fillId="0" borderId="0"/>
    <xf numFmtId="0" fontId="2" fillId="0" borderId="0"/>
    <xf numFmtId="9" fontId="24" fillId="0" borderId="0" applyFont="0" applyFill="0" applyBorder="0" applyAlignment="0" applyProtection="0"/>
    <xf numFmtId="0" fontId="27" fillId="0" borderId="0"/>
    <xf numFmtId="0" fontId="1" fillId="0" borderId="0"/>
  </cellStyleXfs>
  <cellXfs count="584">
    <xf numFmtId="0" fontId="0" fillId="0" borderId="0" xfId="0"/>
    <xf numFmtId="0" fontId="10" fillId="0" borderId="0" xfId="2" applyFont="1" applyFill="1" applyBorder="1" applyAlignment="1">
      <alignment horizontal="left" vertical="center"/>
    </xf>
    <xf numFmtId="0" fontId="11" fillId="0" borderId="0" xfId="2" applyFont="1" applyFill="1" applyBorder="1" applyAlignment="1">
      <alignment vertical="center"/>
    </xf>
    <xf numFmtId="0" fontId="10" fillId="0" borderId="0" xfId="0" applyFont="1"/>
    <xf numFmtId="0" fontId="10" fillId="0" borderId="3" xfId="0" applyFont="1" applyBorder="1"/>
    <xf numFmtId="0" fontId="10" fillId="0" borderId="0" xfId="0" applyFont="1" applyFill="1"/>
    <xf numFmtId="0" fontId="11" fillId="0" borderId="0" xfId="0" applyFont="1" applyFill="1" applyAlignment="1">
      <alignment horizontal="center"/>
    </xf>
    <xf numFmtId="0" fontId="10" fillId="0" borderId="8" xfId="0" applyFont="1" applyBorder="1"/>
    <xf numFmtId="0" fontId="10" fillId="0" borderId="0" xfId="0" applyFont="1" applyBorder="1"/>
    <xf numFmtId="0" fontId="11" fillId="0" borderId="0" xfId="0" applyFont="1" applyBorder="1"/>
    <xf numFmtId="49" fontId="10" fillId="0" borderId="0" xfId="3" applyFont="1" applyAlignment="1">
      <alignment vertical="center"/>
    </xf>
    <xf numFmtId="0" fontId="10" fillId="0" borderId="13" xfId="0" applyFont="1" applyBorder="1"/>
    <xf numFmtId="0" fontId="11" fillId="0" borderId="0" xfId="0" applyFont="1"/>
    <xf numFmtId="0" fontId="10" fillId="0" borderId="14" xfId="0" applyFont="1" applyBorder="1"/>
    <xf numFmtId="0" fontId="10" fillId="0" borderId="4" xfId="0" applyFont="1" applyBorder="1"/>
    <xf numFmtId="0" fontId="10" fillId="0" borderId="5" xfId="0" applyFont="1" applyBorder="1"/>
    <xf numFmtId="0" fontId="10" fillId="0" borderId="18" xfId="0" applyFont="1" applyBorder="1"/>
    <xf numFmtId="49" fontId="14" fillId="0" borderId="0" xfId="1" quotePrefix="1" applyNumberFormat="1" applyFont="1" applyFill="1" applyAlignment="1">
      <alignment horizontal="left" vertical="center"/>
    </xf>
    <xf numFmtId="49" fontId="10" fillId="0" borderId="0" xfId="1" applyNumberFormat="1" applyFont="1" applyFill="1" applyAlignment="1">
      <alignment horizontal="left" vertical="center"/>
    </xf>
    <xf numFmtId="0" fontId="10" fillId="0" borderId="6" xfId="0" applyFont="1" applyBorder="1"/>
    <xf numFmtId="49" fontId="10" fillId="0" borderId="3" xfId="0" applyNumberFormat="1" applyFont="1" applyBorder="1" applyAlignment="1">
      <alignment horizontal="left"/>
    </xf>
    <xf numFmtId="0" fontId="10" fillId="0" borderId="7" xfId="0" applyFont="1" applyBorder="1" applyAlignment="1">
      <alignment horizontal="right"/>
    </xf>
    <xf numFmtId="0" fontId="10" fillId="0" borderId="3" xfId="0" applyFont="1" applyBorder="1" applyAlignment="1">
      <alignment horizontal="center"/>
    </xf>
    <xf numFmtId="0" fontId="10" fillId="0" borderId="0" xfId="2" applyFont="1" applyAlignment="1">
      <alignment vertical="center"/>
    </xf>
    <xf numFmtId="0" fontId="11" fillId="0" borderId="0" xfId="2" applyFont="1" applyFill="1" applyBorder="1" applyAlignment="1">
      <alignment horizontal="center" vertical="center"/>
    </xf>
    <xf numFmtId="0" fontId="10" fillId="0" borderId="0" xfId="2" applyFont="1" applyBorder="1" applyAlignment="1">
      <alignment vertical="center"/>
    </xf>
    <xf numFmtId="0" fontId="11" fillId="2" borderId="19" xfId="2" applyFont="1" applyFill="1" applyBorder="1" applyAlignment="1">
      <alignment horizontal="center" vertical="center"/>
    </xf>
    <xf numFmtId="0" fontId="11" fillId="2" borderId="18" xfId="2" applyFont="1" applyFill="1" applyBorder="1" applyAlignment="1">
      <alignment horizontal="center" vertical="center"/>
    </xf>
    <xf numFmtId="0" fontId="10" fillId="0" borderId="14" xfId="2" applyFont="1" applyBorder="1" applyAlignment="1">
      <alignment horizontal="center" vertical="center"/>
    </xf>
    <xf numFmtId="0" fontId="11" fillId="2" borderId="14" xfId="2" applyFont="1" applyFill="1" applyBorder="1" applyAlignment="1">
      <alignment horizontal="center" vertical="center"/>
    </xf>
    <xf numFmtId="0" fontId="11" fillId="2" borderId="0" xfId="2" applyFont="1" applyFill="1" applyBorder="1" applyAlignment="1">
      <alignment vertical="center"/>
    </xf>
    <xf numFmtId="0" fontId="10" fillId="0" borderId="55" xfId="2" applyFont="1" applyBorder="1" applyAlignment="1">
      <alignment vertical="center"/>
    </xf>
    <xf numFmtId="0" fontId="10" fillId="0" borderId="13" xfId="2" applyFont="1" applyBorder="1" applyAlignment="1">
      <alignment vertical="center"/>
    </xf>
    <xf numFmtId="0" fontId="10" fillId="0" borderId="3" xfId="2" applyFont="1" applyBorder="1" applyAlignment="1">
      <alignment vertical="center"/>
    </xf>
    <xf numFmtId="0" fontId="10" fillId="0" borderId="4" xfId="2" applyFont="1" applyBorder="1" applyAlignment="1">
      <alignment vertical="center"/>
    </xf>
    <xf numFmtId="0" fontId="10" fillId="0" borderId="54" xfId="2" applyFont="1" applyBorder="1" applyAlignment="1">
      <alignment vertical="center"/>
    </xf>
    <xf numFmtId="0" fontId="11" fillId="2" borderId="5" xfId="2" applyFont="1" applyFill="1" applyBorder="1" applyAlignment="1">
      <alignment horizontal="center" vertical="center"/>
    </xf>
    <xf numFmtId="0" fontId="11" fillId="2" borderId="43" xfId="2" applyFont="1" applyFill="1" applyBorder="1" applyAlignment="1">
      <alignment vertical="center"/>
    </xf>
    <xf numFmtId="0" fontId="11" fillId="2" borderId="17" xfId="2" applyFont="1" applyFill="1" applyBorder="1" applyAlignment="1">
      <alignment vertical="center"/>
    </xf>
    <xf numFmtId="0" fontId="11" fillId="2" borderId="19" xfId="2" applyFont="1" applyFill="1" applyBorder="1" applyAlignment="1">
      <alignment vertical="center"/>
    </xf>
    <xf numFmtId="0" fontId="11" fillId="2" borderId="20" xfId="2" applyFont="1" applyFill="1" applyBorder="1" applyAlignment="1">
      <alignment vertical="center"/>
    </xf>
    <xf numFmtId="0" fontId="11" fillId="2" borderId="18" xfId="2" applyFont="1" applyFill="1" applyBorder="1" applyAlignment="1">
      <alignment vertical="center"/>
    </xf>
    <xf numFmtId="0" fontId="11" fillId="2" borderId="44" xfId="2" applyFont="1" applyFill="1" applyBorder="1" applyAlignment="1">
      <alignment vertical="center"/>
    </xf>
    <xf numFmtId="0" fontId="11" fillId="2" borderId="5" xfId="2" applyFont="1" applyFill="1" applyBorder="1" applyAlignment="1">
      <alignment vertical="center"/>
    </xf>
    <xf numFmtId="0" fontId="10" fillId="0" borderId="14" xfId="2" applyFont="1" applyFill="1" applyBorder="1" applyAlignment="1">
      <alignment horizontal="left" vertical="center"/>
    </xf>
    <xf numFmtId="0" fontId="10" fillId="0" borderId="12" xfId="0" applyFont="1" applyBorder="1"/>
    <xf numFmtId="0" fontId="10" fillId="0" borderId="11" xfId="0" applyFont="1" applyBorder="1"/>
    <xf numFmtId="0" fontId="11" fillId="2" borderId="7" xfId="2" applyFont="1" applyFill="1" applyBorder="1" applyAlignment="1">
      <alignment horizontal="center" vertical="center"/>
    </xf>
    <xf numFmtId="0" fontId="11" fillId="2" borderId="21" xfId="2" applyFont="1" applyFill="1" applyBorder="1" applyAlignment="1">
      <alignment horizontal="center" vertical="center"/>
    </xf>
    <xf numFmtId="0" fontId="10" fillId="0" borderId="55" xfId="0" applyFont="1" applyBorder="1"/>
    <xf numFmtId="0" fontId="10" fillId="0" borderId="16" xfId="0" applyFont="1" applyBorder="1"/>
    <xf numFmtId="164" fontId="10" fillId="0" borderId="0" xfId="0" applyNumberFormat="1" applyFont="1"/>
    <xf numFmtId="0" fontId="10" fillId="0" borderId="15" xfId="0" applyFont="1" applyBorder="1"/>
    <xf numFmtId="0" fontId="11" fillId="2" borderId="8" xfId="2" applyFont="1" applyFill="1" applyBorder="1" applyAlignment="1">
      <alignment horizontal="center" vertical="center"/>
    </xf>
    <xf numFmtId="0" fontId="11" fillId="2" borderId="4" xfId="2" applyFont="1" applyFill="1" applyBorder="1" applyAlignment="1">
      <alignment horizontal="center" vertical="center"/>
    </xf>
    <xf numFmtId="0" fontId="10" fillId="0" borderId="0" xfId="0" applyFont="1" applyAlignment="1">
      <alignment wrapText="1"/>
    </xf>
    <xf numFmtId="49" fontId="10" fillId="0" borderId="7" xfId="0" applyNumberFormat="1" applyFont="1" applyBorder="1" applyAlignment="1">
      <alignment horizontal="left"/>
    </xf>
    <xf numFmtId="0" fontId="10" fillId="0" borderId="3" xfId="0" applyFont="1" applyBorder="1" applyAlignment="1">
      <alignment horizontal="left"/>
    </xf>
    <xf numFmtId="0" fontId="10" fillId="0" borderId="0" xfId="2" applyFont="1" applyFill="1" applyBorder="1" applyAlignment="1">
      <alignment vertical="center"/>
    </xf>
    <xf numFmtId="0" fontId="11" fillId="0" borderId="43" xfId="0" applyFont="1" applyBorder="1" applyAlignment="1">
      <alignment horizontal="center"/>
    </xf>
    <xf numFmtId="0" fontId="10" fillId="0" borderId="0" xfId="0" applyFont="1" applyAlignment="1">
      <alignment horizontal="center" wrapText="1"/>
    </xf>
    <xf numFmtId="0" fontId="11" fillId="0" borderId="0" xfId="0" applyFont="1" applyAlignment="1">
      <alignment horizontal="center" textRotation="90" wrapText="1"/>
    </xf>
    <xf numFmtId="0" fontId="3" fillId="0" borderId="0" xfId="0" applyFont="1" applyAlignment="1">
      <alignment horizontal="center" vertical="center" wrapText="1"/>
    </xf>
    <xf numFmtId="0" fontId="3" fillId="0" borderId="0" xfId="0" applyFont="1"/>
    <xf numFmtId="0" fontId="3" fillId="0" borderId="0" xfId="0" applyFont="1" applyAlignment="1">
      <alignment wrapText="1"/>
    </xf>
    <xf numFmtId="0" fontId="10" fillId="0" borderId="0" xfId="0" applyFont="1"/>
    <xf numFmtId="0" fontId="11" fillId="2" borderId="21" xfId="2" applyFont="1" applyFill="1" applyBorder="1" applyAlignment="1">
      <alignment horizontal="center" vertical="center"/>
    </xf>
    <xf numFmtId="0" fontId="11" fillId="0" borderId="11" xfId="0" applyFont="1" applyBorder="1" applyAlignment="1">
      <alignment horizontal="center"/>
    </xf>
    <xf numFmtId="0" fontId="10" fillId="3" borderId="11" xfId="0" applyFont="1" applyFill="1" applyBorder="1" applyAlignment="1">
      <alignment horizontal="right"/>
    </xf>
    <xf numFmtId="0" fontId="10" fillId="0" borderId="63" xfId="0" applyNumberFormat="1" applyFont="1" applyBorder="1"/>
    <xf numFmtId="0" fontId="10" fillId="0" borderId="32" xfId="0" applyNumberFormat="1" applyFont="1" applyBorder="1"/>
    <xf numFmtId="0" fontId="10" fillId="0" borderId="31" xfId="0" applyNumberFormat="1" applyFont="1" applyBorder="1"/>
    <xf numFmtId="0" fontId="10" fillId="0" borderId="30" xfId="0" applyNumberFormat="1" applyFont="1" applyBorder="1"/>
    <xf numFmtId="0" fontId="10" fillId="0" borderId="26" xfId="0" applyNumberFormat="1" applyFont="1" applyBorder="1"/>
    <xf numFmtId="0" fontId="10" fillId="0" borderId="28" xfId="0" applyNumberFormat="1" applyFont="1" applyBorder="1"/>
    <xf numFmtId="0" fontId="10" fillId="0" borderId="29" xfId="0" applyNumberFormat="1" applyFont="1" applyBorder="1"/>
    <xf numFmtId="0" fontId="10" fillId="0" borderId="27" xfId="0" applyNumberFormat="1" applyFont="1" applyBorder="1"/>
    <xf numFmtId="0" fontId="10" fillId="0" borderId="34" xfId="0" applyNumberFormat="1" applyFont="1" applyBorder="1"/>
    <xf numFmtId="0" fontId="10" fillId="0" borderId="36" xfId="0" applyNumberFormat="1" applyFont="1" applyBorder="1"/>
    <xf numFmtId="0" fontId="10" fillId="0" borderId="38" xfId="0" applyNumberFormat="1" applyFont="1" applyBorder="1"/>
    <xf numFmtId="0" fontId="10" fillId="0" borderId="35" xfId="0" applyNumberFormat="1" applyFont="1" applyBorder="1"/>
    <xf numFmtId="0" fontId="10" fillId="3" borderId="39" xfId="0" applyNumberFormat="1" applyFont="1" applyFill="1" applyBorder="1"/>
    <xf numFmtId="0" fontId="10" fillId="3" borderId="41" xfId="0" applyNumberFormat="1" applyFont="1" applyFill="1" applyBorder="1"/>
    <xf numFmtId="0" fontId="10" fillId="3" borderId="40" xfId="0" applyNumberFormat="1" applyFont="1" applyFill="1" applyBorder="1"/>
    <xf numFmtId="0" fontId="10" fillId="3" borderId="52" xfId="0" applyNumberFormat="1" applyFont="1" applyFill="1" applyBorder="1"/>
    <xf numFmtId="0" fontId="10" fillId="0" borderId="22" xfId="0" applyNumberFormat="1" applyFont="1" applyBorder="1"/>
    <xf numFmtId="0" fontId="10" fillId="0" borderId="23" xfId="0" applyNumberFormat="1" applyFont="1" applyBorder="1"/>
    <xf numFmtId="0" fontId="10" fillId="0" borderId="25" xfId="0" applyNumberFormat="1" applyFont="1" applyBorder="1"/>
    <xf numFmtId="0" fontId="10" fillId="0" borderId="45" xfId="0" applyNumberFormat="1" applyFont="1" applyBorder="1"/>
    <xf numFmtId="0" fontId="10" fillId="3" borderId="41" xfId="0" applyNumberFormat="1" applyFont="1" applyFill="1" applyBorder="1" applyAlignment="1"/>
    <xf numFmtId="0" fontId="10" fillId="0" borderId="40" xfId="0" applyNumberFormat="1" applyFont="1" applyBorder="1"/>
    <xf numFmtId="0" fontId="10" fillId="0" borderId="0" xfId="0" applyFont="1"/>
    <xf numFmtId="0" fontId="11" fillId="2" borderId="19" xfId="2" applyFont="1" applyFill="1" applyBorder="1" applyAlignment="1">
      <alignment horizontal="center" vertical="center"/>
    </xf>
    <xf numFmtId="0" fontId="11" fillId="2" borderId="21" xfId="2" applyFont="1" applyFill="1" applyBorder="1" applyAlignment="1">
      <alignment horizontal="center" vertical="center"/>
    </xf>
    <xf numFmtId="0" fontId="11" fillId="2" borderId="20" xfId="2" applyFont="1" applyFill="1" applyBorder="1" applyAlignment="1">
      <alignment horizontal="center" vertical="center"/>
    </xf>
    <xf numFmtId="0" fontId="11" fillId="2" borderId="18" xfId="2" applyFont="1" applyFill="1" applyBorder="1" applyAlignment="1">
      <alignment horizontal="center" vertical="center"/>
    </xf>
    <xf numFmtId="0" fontId="11" fillId="2" borderId="11" xfId="2" applyFont="1" applyFill="1" applyBorder="1" applyAlignment="1">
      <alignment horizontal="center" vertical="center"/>
    </xf>
    <xf numFmtId="0" fontId="10" fillId="0" borderId="62" xfId="0" applyFont="1" applyBorder="1"/>
    <xf numFmtId="0" fontId="11" fillId="0" borderId="0" xfId="0" applyFont="1" applyFill="1"/>
    <xf numFmtId="0" fontId="9" fillId="5" borderId="0" xfId="0" applyFont="1" applyFill="1" applyBorder="1"/>
    <xf numFmtId="0" fontId="10" fillId="5" borderId="0" xfId="0" applyFont="1" applyFill="1" applyBorder="1"/>
    <xf numFmtId="0" fontId="9" fillId="5" borderId="0" xfId="0" applyFont="1" applyFill="1"/>
    <xf numFmtId="0" fontId="10" fillId="0" borderId="47" xfId="2" applyFont="1" applyFill="1" applyBorder="1" applyAlignment="1">
      <alignment horizontal="left" vertical="center"/>
    </xf>
    <xf numFmtId="0" fontId="10" fillId="0" borderId="0" xfId="0" applyFont="1"/>
    <xf numFmtId="0" fontId="11" fillId="5" borderId="0" xfId="0" applyFont="1" applyFill="1"/>
    <xf numFmtId="0" fontId="11" fillId="5" borderId="0" xfId="2" applyFont="1" applyFill="1" applyAlignment="1">
      <alignment vertical="center"/>
    </xf>
    <xf numFmtId="0" fontId="11" fillId="5" borderId="0" xfId="0" applyFont="1" applyFill="1" applyBorder="1"/>
    <xf numFmtId="0" fontId="10" fillId="5" borderId="0" xfId="0" applyFont="1" applyFill="1"/>
    <xf numFmtId="0" fontId="9" fillId="4" borderId="0" xfId="0" applyFont="1" applyFill="1" applyAlignment="1">
      <alignment vertical="center"/>
    </xf>
    <xf numFmtId="0" fontId="17" fillId="4" borderId="0" xfId="0" applyFont="1" applyFill="1" applyAlignment="1">
      <alignment vertical="center" wrapText="1"/>
    </xf>
    <xf numFmtId="0" fontId="17" fillId="4" borderId="0" xfId="0" applyFont="1" applyFill="1" applyAlignment="1">
      <alignment vertical="center"/>
    </xf>
    <xf numFmtId="0" fontId="0" fillId="0" borderId="0" xfId="0" applyAlignment="1">
      <alignment vertical="center"/>
    </xf>
    <xf numFmtId="0" fontId="0" fillId="0" borderId="0" xfId="0" applyAlignment="1">
      <alignment vertical="center" wrapText="1"/>
    </xf>
    <xf numFmtId="0" fontId="6" fillId="0" borderId="0" xfId="0" applyFont="1" applyAlignment="1">
      <alignment vertical="center"/>
    </xf>
    <xf numFmtId="0" fontId="4" fillId="0" borderId="0" xfId="0" applyFont="1" applyAlignment="1">
      <alignment vertical="center"/>
    </xf>
    <xf numFmtId="0" fontId="17" fillId="0" borderId="0" xfId="0" applyFont="1" applyFill="1" applyAlignment="1">
      <alignment vertical="center"/>
    </xf>
    <xf numFmtId="0" fontId="0" fillId="0" borderId="0" xfId="0" applyFill="1" applyAlignment="1">
      <alignment vertical="center"/>
    </xf>
    <xf numFmtId="0" fontId="6" fillId="0" borderId="0" xfId="0" applyFont="1" applyFill="1" applyAlignment="1">
      <alignment vertical="center"/>
    </xf>
    <xf numFmtId="0" fontId="10" fillId="0" borderId="0" xfId="0" applyFont="1"/>
    <xf numFmtId="0" fontId="11" fillId="0" borderId="0" xfId="2" applyFont="1" applyFill="1" applyAlignment="1">
      <alignment vertical="center"/>
    </xf>
    <xf numFmtId="0" fontId="11" fillId="0" borderId="0" xfId="0" applyFont="1" applyFill="1" applyAlignment="1"/>
    <xf numFmtId="0" fontId="9" fillId="0" borderId="0" xfId="0" applyFont="1" applyFill="1"/>
    <xf numFmtId="0" fontId="9" fillId="0" borderId="0" xfId="2" applyFont="1" applyFill="1" applyAlignment="1">
      <alignment vertical="center"/>
    </xf>
    <xf numFmtId="0" fontId="17" fillId="0" borderId="0" xfId="0" applyFont="1" applyFill="1"/>
    <xf numFmtId="0" fontId="17" fillId="0" borderId="0" xfId="0" applyFont="1" applyFill="1" applyBorder="1"/>
    <xf numFmtId="49" fontId="9" fillId="0" borderId="0" xfId="3" applyFont="1" applyFill="1" applyAlignment="1">
      <alignment vertical="center"/>
    </xf>
    <xf numFmtId="49" fontId="9" fillId="0" borderId="0" xfId="3" applyFont="1" applyFill="1" applyBorder="1" applyAlignment="1">
      <alignment vertical="center"/>
    </xf>
    <xf numFmtId="0" fontId="7" fillId="0" borderId="0" xfId="0" applyFont="1" applyFill="1" applyAlignment="1">
      <alignment horizontal="left"/>
    </xf>
    <xf numFmtId="0" fontId="3" fillId="0" borderId="0" xfId="0" applyFont="1" applyFill="1" applyAlignment="1">
      <alignment horizontal="left"/>
    </xf>
    <xf numFmtId="0" fontId="7" fillId="0" borderId="0" xfId="2" applyFont="1" applyFill="1" applyAlignment="1">
      <alignment vertical="center"/>
    </xf>
    <xf numFmtId="0" fontId="3" fillId="0" borderId="26"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0" xfId="0" applyFont="1" applyAlignment="1">
      <alignment horizontal="justify" vertical="center" wrapText="1"/>
    </xf>
    <xf numFmtId="0" fontId="3" fillId="0" borderId="39" xfId="0" applyFont="1" applyBorder="1" applyAlignment="1">
      <alignment horizontal="justify" vertical="center" wrapText="1"/>
    </xf>
    <xf numFmtId="0" fontId="19" fillId="0" borderId="0" xfId="0" applyFont="1" applyFill="1"/>
    <xf numFmtId="0" fontId="19" fillId="0" borderId="0" xfId="0" applyFont="1" applyFill="1" applyAlignment="1"/>
    <xf numFmtId="0" fontId="19" fillId="0" borderId="0" xfId="2" applyFont="1" applyFill="1" applyAlignment="1">
      <alignment vertical="center"/>
    </xf>
    <xf numFmtId="0" fontId="18" fillId="0" borderId="0" xfId="0" applyFont="1" applyFill="1"/>
    <xf numFmtId="0" fontId="18" fillId="0" borderId="0" xfId="0" applyFont="1"/>
    <xf numFmtId="0" fontId="19" fillId="0" borderId="0" xfId="0" applyFont="1"/>
    <xf numFmtId="0" fontId="18" fillId="0" borderId="0" xfId="0" applyFont="1" applyFill="1" applyAlignment="1">
      <alignment horizontal="centerContinuous"/>
    </xf>
    <xf numFmtId="0" fontId="18" fillId="0" borderId="0" xfId="0" applyFont="1" applyAlignment="1">
      <alignment vertical="center" wrapText="1"/>
    </xf>
    <xf numFmtId="0" fontId="18" fillId="0" borderId="0" xfId="0" applyFont="1" applyAlignment="1">
      <alignment wrapText="1"/>
    </xf>
    <xf numFmtId="49" fontId="19" fillId="0" borderId="0" xfId="3" applyFont="1" applyBorder="1" applyAlignment="1">
      <alignment horizontal="left" vertical="center"/>
    </xf>
    <xf numFmtId="3" fontId="18" fillId="0" borderId="0" xfId="3" applyNumberFormat="1" applyFont="1" applyBorder="1" applyAlignment="1">
      <alignment vertical="center"/>
    </xf>
    <xf numFmtId="3" fontId="18" fillId="0" borderId="0" xfId="3" applyNumberFormat="1" applyFont="1" applyAlignment="1">
      <alignment vertical="center"/>
    </xf>
    <xf numFmtId="3" fontId="18" fillId="0" borderId="0" xfId="3" applyNumberFormat="1" applyFont="1" applyAlignment="1">
      <alignment horizontal="right" vertical="center"/>
    </xf>
    <xf numFmtId="3" fontId="18" fillId="0" borderId="14" xfId="0" applyNumberFormat="1" applyFont="1" applyBorder="1"/>
    <xf numFmtId="3" fontId="18" fillId="0" borderId="0" xfId="0" applyNumberFormat="1" applyFont="1" applyBorder="1"/>
    <xf numFmtId="3" fontId="18" fillId="0" borderId="4" xfId="0" applyNumberFormat="1" applyFont="1" applyBorder="1"/>
    <xf numFmtId="3" fontId="18" fillId="0" borderId="0" xfId="0" applyNumberFormat="1" applyFont="1" applyBorder="1" applyAlignment="1"/>
    <xf numFmtId="3" fontId="18" fillId="0" borderId="14" xfId="0" applyNumberFormat="1" applyFont="1" applyBorder="1" applyAlignment="1"/>
    <xf numFmtId="0" fontId="18" fillId="0" borderId="11" xfId="0" applyFont="1" applyBorder="1"/>
    <xf numFmtId="0" fontId="19" fillId="0" borderId="0" xfId="0" applyFont="1" applyAlignment="1">
      <alignment horizontal="center" vertical="center" textRotation="90"/>
    </xf>
    <xf numFmtId="0" fontId="19" fillId="0" borderId="14" xfId="0" applyFont="1" applyBorder="1" applyAlignment="1"/>
    <xf numFmtId="0" fontId="19" fillId="0" borderId="0" xfId="0" applyFont="1" applyFill="1" applyAlignment="1">
      <alignment horizontal="center" vertical="center" wrapText="1"/>
    </xf>
    <xf numFmtId="0" fontId="18" fillId="0" borderId="14" xfId="0" applyFont="1" applyBorder="1"/>
    <xf numFmtId="3" fontId="18" fillId="0" borderId="4" xfId="0" applyNumberFormat="1" applyFont="1" applyBorder="1" applyAlignment="1"/>
    <xf numFmtId="0" fontId="18" fillId="0" borderId="0" xfId="0" applyFont="1" applyBorder="1"/>
    <xf numFmtId="0" fontId="18" fillId="0" borderId="4" xfId="0" applyFont="1" applyBorder="1"/>
    <xf numFmtId="49" fontId="19" fillId="0" borderId="19" xfId="3" applyFont="1" applyBorder="1" applyAlignment="1">
      <alignment horizontal="left" vertical="center"/>
    </xf>
    <xf numFmtId="0" fontId="11" fillId="0" borderId="18" xfId="0" applyFont="1" applyBorder="1" applyAlignment="1">
      <alignment horizontal="center"/>
    </xf>
    <xf numFmtId="0" fontId="10" fillId="0" borderId="44" xfId="0" applyFont="1" applyBorder="1"/>
    <xf numFmtId="0" fontId="10" fillId="0" borderId="17" xfId="0" applyFont="1" applyBorder="1"/>
    <xf numFmtId="0" fontId="10" fillId="0" borderId="43" xfId="0" applyFont="1" applyBorder="1"/>
    <xf numFmtId="0" fontId="4" fillId="0" borderId="0" xfId="0" applyFont="1" applyAlignment="1">
      <alignment horizontal="center" vertical="center"/>
    </xf>
    <xf numFmtId="0" fontId="2" fillId="0" borderId="28" xfId="0" applyFont="1" applyFill="1" applyBorder="1" applyAlignment="1">
      <alignment horizontal="left" indent="2"/>
    </xf>
    <xf numFmtId="0" fontId="2" fillId="0" borderId="28" xfId="0" applyFont="1" applyFill="1" applyBorder="1"/>
    <xf numFmtId="0" fontId="2" fillId="0" borderId="0" xfId="0" applyFont="1" applyFill="1"/>
    <xf numFmtId="0" fontId="4" fillId="6" borderId="28" xfId="0" applyFont="1" applyFill="1" applyBorder="1"/>
    <xf numFmtId="0" fontId="2" fillId="0" borderId="0" xfId="0" applyFont="1" applyFill="1" applyBorder="1"/>
    <xf numFmtId="0" fontId="4" fillId="6" borderId="28" xfId="0" applyFont="1" applyFill="1" applyBorder="1" applyAlignment="1">
      <alignment horizontal="right" vertical="center"/>
    </xf>
    <xf numFmtId="0" fontId="2" fillId="0" borderId="0" xfId="0" applyFont="1" applyFill="1" applyAlignment="1">
      <alignment vertical="center"/>
    </xf>
    <xf numFmtId="0" fontId="4" fillId="6" borderId="28" xfId="0" applyFont="1" applyFill="1" applyBorder="1" applyAlignment="1">
      <alignment horizontal="right" vertical="center" indent="2"/>
    </xf>
    <xf numFmtId="0" fontId="18" fillId="0" borderId="0" xfId="0" applyFont="1"/>
    <xf numFmtId="0" fontId="4" fillId="7" borderId="28" xfId="0" applyFont="1" applyFill="1" applyBorder="1" applyAlignment="1">
      <alignment horizontal="center" vertical="center" wrapText="1"/>
    </xf>
    <xf numFmtId="0" fontId="4" fillId="7" borderId="28" xfId="0" applyFont="1" applyFill="1" applyBorder="1" applyAlignment="1">
      <alignment horizontal="center" vertical="center"/>
    </xf>
    <xf numFmtId="0" fontId="7" fillId="7" borderId="32"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19" fillId="7" borderId="18" xfId="0" applyFont="1" applyFill="1" applyBorder="1" applyAlignment="1">
      <alignment horizontal="center" vertical="center" textRotation="90" wrapText="1"/>
    </xf>
    <xf numFmtId="0" fontId="19" fillId="7" borderId="5" xfId="0" applyFont="1" applyFill="1" applyBorder="1" applyAlignment="1">
      <alignment horizontal="center" vertical="center" textRotation="90" wrapText="1"/>
    </xf>
    <xf numFmtId="0" fontId="19" fillId="7" borderId="20" xfId="0" applyFont="1" applyFill="1" applyBorder="1" applyAlignment="1">
      <alignment horizontal="center" vertical="center" textRotation="90" wrapText="1"/>
    </xf>
    <xf numFmtId="49" fontId="15" fillId="7" borderId="39" xfId="3" applyFont="1" applyFill="1" applyBorder="1" applyAlignment="1">
      <alignment horizontal="center" textRotation="90" wrapText="1"/>
    </xf>
    <xf numFmtId="49" fontId="15" fillId="7" borderId="41" xfId="3" applyFont="1" applyFill="1" applyBorder="1" applyAlignment="1">
      <alignment horizontal="center" textRotation="90" wrapText="1"/>
    </xf>
    <xf numFmtId="49" fontId="15" fillId="7" borderId="40" xfId="3" applyFont="1" applyFill="1" applyBorder="1" applyAlignment="1">
      <alignment horizontal="center" textRotation="90" wrapText="1"/>
    </xf>
    <xf numFmtId="49" fontId="15" fillId="7" borderId="52" xfId="3" applyFont="1" applyFill="1" applyBorder="1" applyAlignment="1">
      <alignment horizontal="center" textRotation="90" wrapText="1"/>
    </xf>
    <xf numFmtId="49" fontId="13" fillId="7" borderId="41" xfId="3" applyFont="1" applyFill="1" applyBorder="1" applyAlignment="1">
      <alignment horizontal="center" textRotation="90" wrapText="1"/>
    </xf>
    <xf numFmtId="49" fontId="11" fillId="7" borderId="40" xfId="3" applyFont="1" applyFill="1" applyBorder="1" applyAlignment="1">
      <alignment horizontal="center" textRotation="90" wrapText="1"/>
    </xf>
    <xf numFmtId="0" fontId="7" fillId="7" borderId="61" xfId="2" applyFont="1" applyFill="1" applyBorder="1" applyAlignment="1">
      <alignment horizontal="center" vertical="center"/>
    </xf>
    <xf numFmtId="0" fontId="7" fillId="7" borderId="47" xfId="2" applyFont="1" applyFill="1" applyBorder="1" applyAlignment="1">
      <alignment horizontal="center" vertical="center" wrapText="1"/>
    </xf>
    <xf numFmtId="0" fontId="3" fillId="7" borderId="27" xfId="2" applyFont="1" applyFill="1" applyBorder="1" applyAlignment="1">
      <alignment horizontal="center" vertical="center" textRotation="90" wrapText="1"/>
    </xf>
    <xf numFmtId="0" fontId="3" fillId="7" borderId="28" xfId="2" applyFont="1" applyFill="1" applyBorder="1" applyAlignment="1">
      <alignment horizontal="center" vertical="center" textRotation="90" wrapText="1"/>
    </xf>
    <xf numFmtId="0" fontId="7" fillId="7" borderId="28" xfId="2" applyFont="1" applyFill="1" applyBorder="1" applyAlignment="1">
      <alignment horizontal="center" vertical="center" textRotation="90" wrapText="1"/>
    </xf>
    <xf numFmtId="0" fontId="7" fillId="7" borderId="1" xfId="2" applyFont="1" applyFill="1" applyBorder="1" applyAlignment="1">
      <alignment horizontal="center" vertical="center" textRotation="90" wrapText="1"/>
    </xf>
    <xf numFmtId="0" fontId="7" fillId="7" borderId="29" xfId="2" applyFont="1" applyFill="1" applyBorder="1" applyAlignment="1">
      <alignment horizontal="center" vertical="center" textRotation="90" wrapText="1"/>
    </xf>
    <xf numFmtId="0" fontId="11" fillId="7" borderId="12" xfId="2" applyFont="1" applyFill="1" applyBorder="1" applyAlignment="1">
      <alignment horizontal="center" vertical="center" wrapText="1"/>
    </xf>
    <xf numFmtId="0" fontId="11" fillId="7" borderId="21" xfId="2" applyFont="1" applyFill="1" applyBorder="1" applyAlignment="1">
      <alignment horizontal="center" vertical="center" wrapText="1"/>
    </xf>
    <xf numFmtId="0" fontId="11" fillId="7" borderId="58" xfId="2" applyFont="1" applyFill="1" applyBorder="1" applyAlignment="1">
      <alignment horizontal="center" vertical="center" wrapText="1"/>
    </xf>
    <xf numFmtId="0" fontId="11" fillId="7" borderId="12" xfId="0" applyFont="1" applyFill="1" applyBorder="1" applyAlignment="1">
      <alignment horizontal="center" vertical="center" textRotation="90" wrapText="1"/>
    </xf>
    <xf numFmtId="0" fontId="11" fillId="7" borderId="13" xfId="0" applyFont="1" applyFill="1" applyBorder="1" applyAlignment="1">
      <alignment horizontal="center" vertical="center" textRotation="90" wrapText="1"/>
    </xf>
    <xf numFmtId="0" fontId="11" fillId="7" borderId="50" xfId="0" applyFont="1" applyFill="1" applyBorder="1" applyAlignment="1">
      <alignment horizontal="center" vertical="center" textRotation="90" wrapText="1"/>
    </xf>
    <xf numFmtId="0" fontId="11" fillId="7" borderId="53" xfId="0" applyFont="1" applyFill="1" applyBorder="1" applyAlignment="1">
      <alignment horizontal="center" vertical="center" textRotation="90" wrapText="1"/>
    </xf>
    <xf numFmtId="0" fontId="11" fillId="7" borderId="57" xfId="0" applyFont="1" applyFill="1" applyBorder="1" applyAlignment="1">
      <alignment horizontal="center" vertical="center" textRotation="90" wrapText="1"/>
    </xf>
    <xf numFmtId="0" fontId="11" fillId="7" borderId="21" xfId="0" applyFont="1" applyFill="1" applyBorder="1" applyAlignment="1">
      <alignment horizontal="center" vertical="center" textRotation="90" wrapText="1"/>
    </xf>
    <xf numFmtId="0" fontId="11" fillId="7" borderId="14" xfId="0" applyFont="1" applyFill="1" applyBorder="1" applyAlignment="1">
      <alignment horizontal="center" vertical="center" textRotation="90" wrapText="1"/>
    </xf>
    <xf numFmtId="0" fontId="11" fillId="7" borderId="11" xfId="0" applyFont="1" applyFill="1" applyBorder="1" applyAlignment="1">
      <alignment horizontal="center"/>
    </xf>
    <xf numFmtId="0" fontId="11" fillId="7" borderId="10" xfId="0" applyFont="1" applyFill="1" applyBorder="1" applyAlignment="1">
      <alignment horizontal="center"/>
    </xf>
    <xf numFmtId="0" fontId="11" fillId="7" borderId="51" xfId="0" applyFont="1" applyFill="1" applyBorder="1" applyAlignment="1">
      <alignment horizontal="center"/>
    </xf>
    <xf numFmtId="0" fontId="11" fillId="7" borderId="51" xfId="0" quotePrefix="1" applyFont="1" applyFill="1" applyBorder="1" applyAlignment="1">
      <alignment horizontal="center"/>
    </xf>
    <xf numFmtId="0" fontId="11" fillId="7" borderId="56" xfId="0" quotePrefix="1" applyFont="1" applyFill="1" applyBorder="1" applyAlignment="1">
      <alignment horizontal="center"/>
    </xf>
    <xf numFmtId="0" fontId="11" fillId="7" borderId="9" xfId="0" quotePrefix="1" applyFont="1" applyFill="1" applyBorder="1" applyAlignment="1">
      <alignment horizontal="center"/>
    </xf>
    <xf numFmtId="0" fontId="11" fillId="7" borderId="8" xfId="0" quotePrefix="1" applyFont="1" applyFill="1" applyBorder="1" applyAlignment="1">
      <alignment horizontal="center"/>
    </xf>
    <xf numFmtId="0" fontId="11" fillId="7" borderId="8" xfId="0" applyFont="1" applyFill="1" applyBorder="1" applyAlignment="1">
      <alignment horizontal="center"/>
    </xf>
    <xf numFmtId="0" fontId="11" fillId="7" borderId="43" xfId="0" applyFont="1" applyFill="1" applyBorder="1" applyAlignment="1">
      <alignment horizontal="center" vertical="center" wrapText="1"/>
    </xf>
    <xf numFmtId="0" fontId="11" fillId="7"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5" xfId="0" applyFont="1" applyFill="1" applyBorder="1" applyAlignment="1">
      <alignment horizontal="center" vertical="center" wrapText="1"/>
    </xf>
    <xf numFmtId="0" fontId="11" fillId="7" borderId="19" xfId="0" applyFont="1" applyFill="1" applyBorder="1" applyAlignment="1">
      <alignment horizontal="center" vertical="center" wrapText="1"/>
    </xf>
    <xf numFmtId="164" fontId="11" fillId="7" borderId="16" xfId="0" applyNumberFormat="1" applyFont="1" applyFill="1" applyBorder="1" applyAlignment="1">
      <alignment horizontal="center" vertical="center" textRotation="90" wrapText="1"/>
    </xf>
    <xf numFmtId="164" fontId="11" fillId="7" borderId="44" xfId="0" applyNumberFormat="1" applyFont="1" applyFill="1" applyBorder="1" applyAlignment="1">
      <alignment horizontal="center" vertical="center" textRotation="90" wrapText="1"/>
    </xf>
    <xf numFmtId="0" fontId="11" fillId="7" borderId="18" xfId="0" applyFont="1" applyFill="1" applyBorder="1" applyAlignment="1">
      <alignment horizontal="center" vertical="center" wrapText="1"/>
    </xf>
    <xf numFmtId="0" fontId="3" fillId="0" borderId="0" xfId="0" applyFont="1" applyFill="1" applyAlignment="1">
      <alignment horizontal="centerContinuous"/>
    </xf>
    <xf numFmtId="0" fontId="3" fillId="0" borderId="0" xfId="0" applyFont="1" applyFill="1"/>
    <xf numFmtId="49" fontId="20" fillId="7" borderId="43" xfId="3" applyFont="1" applyFill="1" applyBorder="1" applyAlignment="1">
      <alignment horizontal="center" textRotation="90" wrapText="1"/>
    </xf>
    <xf numFmtId="49" fontId="20" fillId="7" borderId="16" xfId="3" applyFont="1" applyFill="1" applyBorder="1" applyAlignment="1">
      <alignment horizontal="center" textRotation="90" wrapText="1"/>
    </xf>
    <xf numFmtId="49" fontId="20" fillId="7" borderId="17" xfId="3" applyFont="1" applyFill="1" applyBorder="1" applyAlignment="1">
      <alignment horizontal="center" textRotation="90" wrapText="1"/>
    </xf>
    <xf numFmtId="49" fontId="7" fillId="7" borderId="43" xfId="3" applyNumberFormat="1" applyFont="1" applyFill="1" applyBorder="1" applyAlignment="1" applyProtection="1">
      <alignment horizontal="center" textRotation="90" wrapText="1"/>
    </xf>
    <xf numFmtId="49" fontId="7" fillId="7" borderId="44" xfId="3" applyFont="1" applyFill="1" applyBorder="1" applyAlignment="1">
      <alignment horizontal="center" textRotation="90" wrapText="1"/>
    </xf>
    <xf numFmtId="4" fontId="7" fillId="0" borderId="22" xfId="3" applyNumberFormat="1" applyFont="1" applyBorder="1" applyAlignment="1">
      <alignment vertical="center"/>
    </xf>
    <xf numFmtId="4" fontId="7" fillId="0" borderId="23" xfId="3" applyNumberFormat="1" applyFont="1" applyBorder="1" applyAlignment="1">
      <alignment vertical="center"/>
    </xf>
    <xf numFmtId="4" fontId="7" fillId="0" borderId="24" xfId="3" applyNumberFormat="1" applyFont="1" applyBorder="1" applyAlignment="1">
      <alignment vertical="center"/>
    </xf>
    <xf numFmtId="49" fontId="3" fillId="0" borderId="2" xfId="3" applyFont="1" applyBorder="1" applyAlignment="1">
      <alignment vertical="center"/>
    </xf>
    <xf numFmtId="4" fontId="7" fillId="0" borderId="26" xfId="3" applyNumberFormat="1" applyFont="1" applyBorder="1" applyAlignment="1">
      <alignment vertical="center"/>
    </xf>
    <xf numFmtId="4" fontId="7" fillId="0" borderId="28" xfId="3" applyNumberFormat="1" applyFont="1" applyBorder="1" applyAlignment="1">
      <alignment vertical="center"/>
    </xf>
    <xf numFmtId="4" fontId="7" fillId="0" borderId="1" xfId="3" applyNumberFormat="1" applyFont="1" applyBorder="1" applyAlignment="1">
      <alignment vertical="center"/>
    </xf>
    <xf numFmtId="4" fontId="3" fillId="0" borderId="26" xfId="3" applyNumberFormat="1" applyFont="1" applyBorder="1" applyAlignment="1">
      <alignment horizontal="justify" vertical="center"/>
    </xf>
    <xf numFmtId="4" fontId="3" fillId="0" borderId="28" xfId="3" applyNumberFormat="1" applyFont="1" applyBorder="1" applyAlignment="1">
      <alignment horizontal="justify" vertical="center"/>
    </xf>
    <xf numFmtId="4" fontId="3" fillId="0" borderId="28" xfId="3" applyNumberFormat="1" applyFont="1" applyBorder="1" applyAlignment="1">
      <alignment horizontal="right" vertical="center"/>
    </xf>
    <xf numFmtId="4" fontId="3" fillId="0" borderId="1" xfId="3" applyNumberFormat="1" applyFont="1" applyBorder="1" applyAlignment="1">
      <alignment horizontal="right" vertical="center"/>
    </xf>
    <xf numFmtId="4" fontId="3" fillId="0" borderId="26" xfId="3" applyNumberFormat="1" applyFont="1" applyBorder="1" applyAlignment="1">
      <alignment vertical="center"/>
    </xf>
    <xf numFmtId="4" fontId="3" fillId="0" borderId="28" xfId="3" applyNumberFormat="1" applyFont="1" applyBorder="1" applyAlignment="1">
      <alignment vertical="center"/>
    </xf>
    <xf numFmtId="4" fontId="3" fillId="0" borderId="1" xfId="3" applyNumberFormat="1" applyFont="1" applyBorder="1" applyAlignment="1">
      <alignment vertical="center"/>
    </xf>
    <xf numFmtId="49" fontId="3" fillId="0" borderId="26" xfId="3" applyFont="1" applyBorder="1" applyAlignment="1">
      <alignment vertical="center"/>
    </xf>
    <xf numFmtId="49" fontId="7" fillId="2" borderId="19" xfId="3" applyFont="1" applyFill="1" applyBorder="1" applyAlignment="1">
      <alignment horizontal="center" vertical="center"/>
    </xf>
    <xf numFmtId="4" fontId="7" fillId="2" borderId="43" xfId="3" applyNumberFormat="1" applyFont="1" applyFill="1" applyBorder="1" applyAlignment="1">
      <alignment horizontal="right" vertical="center"/>
    </xf>
    <xf numFmtId="0" fontId="7" fillId="0" borderId="0" xfId="0" applyFont="1" applyFill="1" applyAlignment="1"/>
    <xf numFmtId="0" fontId="7" fillId="0" borderId="0" xfId="0" quotePrefix="1" applyFont="1" applyFill="1" applyAlignment="1"/>
    <xf numFmtId="0" fontId="7" fillId="7" borderId="43" xfId="0" applyFont="1" applyFill="1" applyBorder="1" applyAlignment="1">
      <alignment horizontal="center" vertical="center" textRotation="90" wrapText="1"/>
    </xf>
    <xf numFmtId="0" fontId="7" fillId="7" borderId="16" xfId="0" applyFont="1" applyFill="1" applyBorder="1" applyAlignment="1">
      <alignment horizontal="center" vertical="center" textRotation="90" wrapText="1"/>
    </xf>
    <xf numFmtId="0" fontId="7" fillId="7" borderId="15" xfId="0" applyFont="1" applyFill="1" applyBorder="1" applyAlignment="1">
      <alignment horizontal="center" vertical="center" textRotation="90" wrapText="1"/>
    </xf>
    <xf numFmtId="0" fontId="7" fillId="7" borderId="18" xfId="0" applyFont="1" applyFill="1" applyBorder="1" applyAlignment="1">
      <alignment horizontal="center" vertical="center" textRotation="90" wrapText="1"/>
    </xf>
    <xf numFmtId="0" fontId="7" fillId="0" borderId="12" xfId="0" applyFont="1" applyBorder="1" applyAlignment="1">
      <alignment horizontal="center" wrapText="1"/>
    </xf>
    <xf numFmtId="0" fontId="7" fillId="0" borderId="57" xfId="0" applyFont="1" applyBorder="1" applyAlignment="1">
      <alignment horizontal="center"/>
    </xf>
    <xf numFmtId="0" fontId="7" fillId="0" borderId="50" xfId="0" applyFont="1" applyBorder="1" applyAlignment="1">
      <alignment horizontal="center"/>
    </xf>
    <xf numFmtId="0" fontId="7" fillId="0" borderId="13" xfId="0" applyFont="1" applyBorder="1" applyAlignment="1">
      <alignment horizontal="center"/>
    </xf>
    <xf numFmtId="0" fontId="7" fillId="0" borderId="4" xfId="0" applyFont="1" applyBorder="1" applyAlignment="1">
      <alignment horizontal="center"/>
    </xf>
    <xf numFmtId="0" fontId="21" fillId="0" borderId="14" xfId="0" applyFont="1" applyFill="1" applyBorder="1" applyAlignment="1">
      <alignment wrapText="1"/>
    </xf>
    <xf numFmtId="3" fontId="7" fillId="0" borderId="55" xfId="0" applyNumberFormat="1" applyFont="1" applyBorder="1"/>
    <xf numFmtId="3" fontId="7" fillId="0" borderId="50" xfId="0" applyNumberFormat="1" applyFont="1" applyBorder="1"/>
    <xf numFmtId="3" fontId="7" fillId="0" borderId="13" xfId="0" applyNumberFormat="1" applyFont="1" applyBorder="1"/>
    <xf numFmtId="3" fontId="7" fillId="0" borderId="4" xfId="0" applyNumberFormat="1" applyFont="1" applyBorder="1"/>
    <xf numFmtId="0" fontId="3" fillId="0" borderId="14" xfId="0" applyFont="1" applyFill="1" applyBorder="1" applyAlignment="1">
      <alignment wrapText="1"/>
    </xf>
    <xf numFmtId="3" fontId="3" fillId="0" borderId="55" xfId="0" applyNumberFormat="1" applyFont="1" applyBorder="1"/>
    <xf numFmtId="3" fontId="3" fillId="0" borderId="50" xfId="0" applyNumberFormat="1" applyFont="1" applyBorder="1"/>
    <xf numFmtId="3" fontId="3" fillId="0" borderId="13" xfId="0" applyNumberFormat="1" applyFont="1" applyBorder="1"/>
    <xf numFmtId="3" fontId="3" fillId="0" borderId="4" xfId="0" applyNumberFormat="1" applyFont="1" applyBorder="1"/>
    <xf numFmtId="0" fontId="7" fillId="0" borderId="14" xfId="0" applyFont="1" applyFill="1" applyBorder="1" applyAlignment="1">
      <alignment wrapText="1"/>
    </xf>
    <xf numFmtId="0" fontId="3" fillId="0" borderId="14" xfId="0" applyFont="1" applyFill="1" applyBorder="1" applyAlignment="1">
      <alignment horizontal="left" wrapText="1"/>
    </xf>
    <xf numFmtId="0" fontId="3" fillId="0" borderId="14" xfId="0" quotePrefix="1" applyFont="1" applyFill="1" applyBorder="1" applyAlignment="1">
      <alignment horizontal="left" wrapText="1"/>
    </xf>
    <xf numFmtId="0" fontId="21" fillId="0" borderId="14" xfId="0" applyFont="1" applyFill="1" applyBorder="1" applyAlignment="1">
      <alignment horizontal="left" wrapText="1"/>
    </xf>
    <xf numFmtId="0" fontId="3" fillId="0" borderId="7" xfId="0" applyFont="1" applyBorder="1" applyAlignment="1">
      <alignment wrapText="1"/>
    </xf>
    <xf numFmtId="0" fontId="7" fillId="0" borderId="46" xfId="0" applyFont="1" applyFill="1" applyBorder="1" applyAlignment="1">
      <alignment horizontal="center" wrapText="1"/>
    </xf>
    <xf numFmtId="3" fontId="7" fillId="0" borderId="66" xfId="0" applyNumberFormat="1" applyFont="1" applyFill="1" applyBorder="1"/>
    <xf numFmtId="3" fontId="7" fillId="0" borderId="67" xfId="0" applyNumberFormat="1" applyFont="1" applyFill="1" applyBorder="1"/>
    <xf numFmtId="3" fontId="7" fillId="0" borderId="68" xfId="0" applyNumberFormat="1" applyFont="1" applyFill="1" applyBorder="1"/>
    <xf numFmtId="3" fontId="7" fillId="0" borderId="65" xfId="0" applyNumberFormat="1" applyFont="1" applyFill="1" applyBorder="1"/>
    <xf numFmtId="0" fontId="7" fillId="0" borderId="5" xfId="0" applyFont="1" applyFill="1" applyBorder="1" applyAlignment="1">
      <alignment horizontal="center" wrapText="1"/>
    </xf>
    <xf numFmtId="3" fontId="7" fillId="0" borderId="43" xfId="0" applyNumberFormat="1" applyFont="1" applyFill="1" applyBorder="1"/>
    <xf numFmtId="3" fontId="7" fillId="0" borderId="20" xfId="0" applyNumberFormat="1" applyFont="1" applyFill="1" applyBorder="1"/>
    <xf numFmtId="3" fontId="7" fillId="0" borderId="15" xfId="0" applyNumberFormat="1" applyFont="1" applyFill="1" applyBorder="1"/>
    <xf numFmtId="3" fontId="7" fillId="0" borderId="18" xfId="0" applyNumberFormat="1" applyFont="1" applyFill="1" applyBorder="1"/>
    <xf numFmtId="3" fontId="7" fillId="0" borderId="69" xfId="0" applyNumberFormat="1" applyFont="1" applyFill="1" applyBorder="1"/>
    <xf numFmtId="3" fontId="7" fillId="0" borderId="44" xfId="0" applyNumberFormat="1" applyFont="1" applyFill="1" applyBorder="1"/>
    <xf numFmtId="3" fontId="7" fillId="0" borderId="70" xfId="0" applyNumberFormat="1" applyFont="1" applyFill="1" applyBorder="1"/>
    <xf numFmtId="3" fontId="7" fillId="0" borderId="16" xfId="0" applyNumberFormat="1" applyFont="1" applyFill="1" applyBorder="1"/>
    <xf numFmtId="0" fontId="4" fillId="0" borderId="0" xfId="2" applyFont="1" applyFill="1" applyAlignment="1">
      <alignment vertical="center"/>
    </xf>
    <xf numFmtId="0" fontId="4" fillId="5" borderId="0" xfId="0" applyFont="1" applyFill="1"/>
    <xf numFmtId="0" fontId="11" fillId="2" borderId="15" xfId="2" applyFont="1" applyFill="1" applyBorder="1" applyAlignment="1">
      <alignment vertical="center"/>
    </xf>
    <xf numFmtId="0" fontId="10" fillId="0" borderId="53" xfId="2" applyFont="1" applyBorder="1" applyAlignment="1">
      <alignment vertical="center"/>
    </xf>
    <xf numFmtId="0" fontId="10" fillId="0" borderId="0" xfId="4" applyFont="1"/>
    <xf numFmtId="0" fontId="11" fillId="0" borderId="0" xfId="4" applyFont="1" applyFill="1" applyAlignment="1">
      <alignment horizontal="center"/>
    </xf>
    <xf numFmtId="0" fontId="11" fillId="8" borderId="18" xfId="4" applyFont="1" applyFill="1" applyBorder="1" applyAlignment="1">
      <alignment horizontal="center"/>
    </xf>
    <xf numFmtId="0" fontId="11" fillId="8" borderId="5" xfId="4" applyFont="1" applyFill="1" applyBorder="1" applyAlignment="1">
      <alignment horizontal="center" wrapText="1"/>
    </xf>
    <xf numFmtId="0" fontId="11" fillId="8" borderId="5" xfId="4" applyFont="1" applyFill="1" applyBorder="1" applyAlignment="1">
      <alignment horizontal="center"/>
    </xf>
    <xf numFmtId="0" fontId="17" fillId="0" borderId="0" xfId="4" applyFont="1" applyFill="1"/>
    <xf numFmtId="0" fontId="9" fillId="0" borderId="0" xfId="4" applyFont="1" applyFill="1"/>
    <xf numFmtId="0" fontId="11" fillId="0" borderId="0" xfId="4" applyFont="1" applyFill="1" applyAlignment="1"/>
    <xf numFmtId="0" fontId="0" fillId="5" borderId="0" xfId="0" applyFill="1" applyAlignment="1">
      <alignment horizontal="left" vertical="center" wrapText="1"/>
    </xf>
    <xf numFmtId="0" fontId="0" fillId="0" borderId="0" xfId="0" applyAlignment="1">
      <alignment horizontal="left" vertical="center"/>
    </xf>
    <xf numFmtId="0" fontId="0" fillId="0" borderId="0" xfId="0" applyFill="1" applyAlignment="1">
      <alignment horizontal="left" vertical="center"/>
    </xf>
    <xf numFmtId="0" fontId="4" fillId="6" borderId="36" xfId="0" applyFont="1" applyFill="1" applyBorder="1" applyAlignment="1">
      <alignment horizontal="right" vertical="center"/>
    </xf>
    <xf numFmtId="0" fontId="3" fillId="0" borderId="72" xfId="0" applyFont="1" applyFill="1" applyBorder="1" applyAlignment="1">
      <alignment horizontal="left" indent="2"/>
    </xf>
    <xf numFmtId="0" fontId="3" fillId="0" borderId="0" xfId="0" applyFont="1" applyFill="1" applyBorder="1" applyAlignment="1">
      <alignment horizontal="left" indent="2"/>
    </xf>
    <xf numFmtId="0" fontId="4" fillId="0" borderId="28" xfId="0" applyFont="1" applyBorder="1" applyAlignment="1">
      <alignment horizontal="left" vertical="center"/>
    </xf>
    <xf numFmtId="165" fontId="2" fillId="0" borderId="28" xfId="0" applyNumberFormat="1" applyFont="1" applyFill="1" applyBorder="1"/>
    <xf numFmtId="165" fontId="4" fillId="6" borderId="28" xfId="0" applyNumberFormat="1" applyFont="1" applyFill="1" applyBorder="1" applyAlignment="1">
      <alignment vertical="center"/>
    </xf>
    <xf numFmtId="166" fontId="2" fillId="0" borderId="28" xfId="0" applyNumberFormat="1" applyFont="1" applyFill="1" applyBorder="1"/>
    <xf numFmtId="166" fontId="4" fillId="6" borderId="28" xfId="0" applyNumberFormat="1" applyFont="1" applyFill="1" applyBorder="1" applyAlignment="1">
      <alignment vertical="center"/>
    </xf>
    <xf numFmtId="3" fontId="0" fillId="0" borderId="0" xfId="0" applyNumberFormat="1"/>
    <xf numFmtId="3" fontId="2" fillId="0" borderId="0" xfId="0" applyNumberFormat="1" applyFont="1"/>
    <xf numFmtId="4" fontId="2" fillId="0" borderId="0" xfId="0" applyNumberFormat="1" applyFont="1"/>
    <xf numFmtId="3" fontId="2" fillId="0" borderId="28" xfId="0" applyNumberFormat="1" applyFont="1" applyFill="1" applyBorder="1"/>
    <xf numFmtId="3" fontId="4" fillId="6" borderId="28" xfId="0" applyNumberFormat="1" applyFont="1" applyFill="1" applyBorder="1" applyAlignment="1">
      <alignment vertical="center"/>
    </xf>
    <xf numFmtId="166" fontId="4" fillId="6" borderId="28" xfId="0" applyNumberFormat="1" applyFont="1" applyFill="1" applyBorder="1"/>
    <xf numFmtId="0" fontId="22" fillId="9" borderId="28" xfId="0" applyFont="1" applyFill="1" applyBorder="1" applyAlignment="1">
      <alignment horizontal="center" vertical="center" wrapText="1"/>
    </xf>
    <xf numFmtId="0" fontId="11" fillId="10" borderId="28" xfId="0" applyFont="1" applyFill="1" applyBorder="1" applyAlignment="1">
      <alignment horizontal="center" vertical="center" wrapText="1"/>
    </xf>
    <xf numFmtId="49" fontId="3" fillId="0" borderId="73" xfId="3" applyFont="1" applyBorder="1" applyAlignment="1">
      <alignment vertical="center"/>
    </xf>
    <xf numFmtId="4" fontId="3" fillId="0" borderId="34" xfId="3" applyNumberFormat="1" applyFont="1" applyBorder="1" applyAlignment="1">
      <alignment vertical="center"/>
    </xf>
    <xf numFmtId="4" fontId="3" fillId="0" borderId="36" xfId="3" applyNumberFormat="1" applyFont="1" applyBorder="1" applyAlignment="1">
      <alignment vertical="center"/>
    </xf>
    <xf numFmtId="4" fontId="3" fillId="0" borderId="37" xfId="3" applyNumberFormat="1" applyFont="1" applyBorder="1" applyAlignment="1">
      <alignment vertical="center"/>
    </xf>
    <xf numFmtId="49" fontId="3" fillId="0" borderId="34" xfId="3" applyFont="1" applyBorder="1" applyAlignment="1">
      <alignment vertical="center"/>
    </xf>
    <xf numFmtId="49" fontId="3" fillId="0" borderId="74" xfId="3" applyFont="1" applyBorder="1" applyAlignment="1">
      <alignment vertical="center"/>
    </xf>
    <xf numFmtId="4" fontId="7" fillId="7" borderId="22" xfId="3" applyNumberFormat="1" applyFont="1" applyFill="1" applyBorder="1" applyAlignment="1">
      <alignment vertical="center"/>
    </xf>
    <xf numFmtId="4" fontId="7" fillId="7" borderId="23" xfId="3" applyNumberFormat="1" applyFont="1" applyFill="1" applyBorder="1" applyAlignment="1">
      <alignment vertical="center"/>
    </xf>
    <xf numFmtId="4" fontId="7" fillId="10" borderId="28" xfId="0" applyNumberFormat="1" applyFont="1" applyFill="1" applyBorder="1" applyAlignment="1">
      <alignment vertical="center"/>
    </xf>
    <xf numFmtId="4" fontId="23" fillId="11" borderId="28" xfId="0" applyNumberFormat="1" applyFont="1" applyFill="1" applyBorder="1" applyAlignment="1">
      <alignment vertical="center"/>
    </xf>
    <xf numFmtId="4" fontId="0" fillId="0" borderId="28" xfId="0" applyNumberFormat="1" applyBorder="1"/>
    <xf numFmtId="4" fontId="2" fillId="0" borderId="28" xfId="0" applyNumberFormat="1" applyFont="1" applyFill="1" applyBorder="1"/>
    <xf numFmtId="165" fontId="2" fillId="0" borderId="0" xfId="0" applyNumberFormat="1" applyFont="1"/>
    <xf numFmtId="165" fontId="0" fillId="0" borderId="28" xfId="0" applyNumberFormat="1" applyBorder="1"/>
    <xf numFmtId="0" fontId="0" fillId="0" borderId="0" xfId="0" applyAlignment="1">
      <alignment horizontal="left"/>
    </xf>
    <xf numFmtId="4" fontId="2" fillId="0" borderId="0" xfId="0" applyNumberFormat="1" applyFont="1" applyFill="1"/>
    <xf numFmtId="165" fontId="2" fillId="0" borderId="50" xfId="0" applyNumberFormat="1" applyFont="1" applyFill="1" applyBorder="1"/>
    <xf numFmtId="3" fontId="18" fillId="0" borderId="5" xfId="0" applyNumberFormat="1" applyFont="1" applyBorder="1"/>
    <xf numFmtId="2" fontId="18" fillId="0" borderId="14" xfId="0" applyNumberFormat="1" applyFont="1" applyBorder="1"/>
    <xf numFmtId="4" fontId="18" fillId="0" borderId="5" xfId="0" applyNumberFormat="1" applyFont="1" applyBorder="1"/>
    <xf numFmtId="0" fontId="11" fillId="7" borderId="31" xfId="2" applyFont="1" applyFill="1" applyBorder="1" applyAlignment="1">
      <alignment horizontal="center" vertical="center" wrapText="1"/>
    </xf>
    <xf numFmtId="0" fontId="11" fillId="7" borderId="12" xfId="2" applyFont="1" applyFill="1" applyBorder="1" applyAlignment="1">
      <alignment horizontal="center" vertical="center"/>
    </xf>
    <xf numFmtId="0" fontId="11" fillId="8" borderId="19" xfId="4" applyFont="1" applyFill="1" applyBorder="1" applyAlignment="1">
      <alignment horizontal="center"/>
    </xf>
    <xf numFmtId="0" fontId="3" fillId="0" borderId="28" xfId="0" applyFont="1" applyBorder="1" applyAlignment="1">
      <alignment horizontal="justify" vertical="center"/>
    </xf>
    <xf numFmtId="9" fontId="3" fillId="0" borderId="28" xfId="0" applyNumberFormat="1" applyFont="1" applyBorder="1" applyAlignment="1">
      <alignment horizontal="justify" vertical="center" wrapText="1"/>
    </xf>
    <xf numFmtId="9" fontId="3" fillId="0" borderId="28" xfId="5" applyFont="1" applyBorder="1" applyAlignment="1">
      <alignment horizontal="center" vertical="center" wrapText="1"/>
    </xf>
    <xf numFmtId="0" fontId="25" fillId="0" borderId="28" xfId="0" applyFont="1" applyFill="1" applyBorder="1" applyAlignment="1">
      <alignment horizontal="center" vertical="center" wrapText="1"/>
    </xf>
    <xf numFmtId="0" fontId="3" fillId="0" borderId="28" xfId="0" applyFont="1" applyFill="1" applyBorder="1" applyAlignment="1">
      <alignment horizontal="justify" vertical="center" wrapText="1"/>
    </xf>
    <xf numFmtId="9" fontId="25" fillId="0" borderId="28" xfId="0" applyNumberFormat="1" applyFont="1" applyFill="1" applyBorder="1" applyAlignment="1">
      <alignment horizontal="center" vertical="center" wrapText="1"/>
    </xf>
    <xf numFmtId="167" fontId="3" fillId="0" borderId="28" xfId="5" applyNumberFormat="1" applyFont="1" applyFill="1" applyBorder="1" applyAlignment="1">
      <alignment horizontal="center" vertical="center" wrapText="1"/>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9" fontId="25" fillId="0" borderId="28" xfId="5" applyFont="1" applyFill="1" applyBorder="1" applyAlignment="1">
      <alignment horizontal="center" vertical="center" wrapText="1"/>
    </xf>
    <xf numFmtId="10" fontId="25" fillId="0" borderId="28" xfId="0" applyNumberFormat="1" applyFont="1" applyFill="1" applyBorder="1" applyAlignment="1">
      <alignment horizontal="center" vertical="center" wrapText="1"/>
    </xf>
    <xf numFmtId="0" fontId="3" fillId="0" borderId="28" xfId="0" applyFont="1" applyBorder="1" applyAlignment="1">
      <alignment vertical="center"/>
    </xf>
    <xf numFmtId="10" fontId="3" fillId="0" borderId="28" xfId="5" applyNumberFormat="1" applyFont="1" applyBorder="1" applyAlignment="1">
      <alignment horizontal="center" vertical="center" wrapText="1"/>
    </xf>
    <xf numFmtId="167" fontId="3" fillId="0" borderId="28" xfId="5" applyNumberFormat="1" applyFont="1" applyBorder="1" applyAlignment="1">
      <alignment horizontal="center" vertical="center" wrapText="1"/>
    </xf>
    <xf numFmtId="167" fontId="3" fillId="0" borderId="28" xfId="5" applyNumberFormat="1" applyFont="1" applyBorder="1" applyAlignment="1">
      <alignment horizontal="justify" vertical="center" wrapText="1"/>
    </xf>
    <xf numFmtId="10" fontId="3" fillId="0" borderId="28" xfId="5" applyNumberFormat="1" applyFont="1" applyBorder="1" applyAlignment="1">
      <alignment horizontal="justify" vertical="center" wrapText="1"/>
    </xf>
    <xf numFmtId="0" fontId="26" fillId="0" borderId="28" xfId="0" applyFont="1" applyFill="1" applyBorder="1" applyAlignment="1">
      <alignment vertical="center" wrapText="1"/>
    </xf>
    <xf numFmtId="9" fontId="3" fillId="0" borderId="28" xfId="5" applyNumberFormat="1" applyFont="1" applyBorder="1" applyAlignment="1">
      <alignment horizontal="center" vertical="center" wrapText="1"/>
    </xf>
    <xf numFmtId="167" fontId="25" fillId="0" borderId="28" xfId="0" applyNumberFormat="1" applyFont="1" applyFill="1" applyBorder="1" applyAlignment="1">
      <alignment horizontal="center" vertical="center" wrapText="1"/>
    </xf>
    <xf numFmtId="4" fontId="10" fillId="0" borderId="28" xfId="0" applyNumberFormat="1" applyFont="1" applyBorder="1"/>
    <xf numFmtId="4" fontId="10" fillId="0" borderId="32" xfId="0" applyNumberFormat="1" applyFont="1" applyBorder="1"/>
    <xf numFmtId="4" fontId="10" fillId="0" borderId="23" xfId="0" applyNumberFormat="1" applyFont="1" applyBorder="1"/>
    <xf numFmtId="4" fontId="10" fillId="0" borderId="45" xfId="0" applyNumberFormat="1" applyFont="1" applyBorder="1"/>
    <xf numFmtId="10" fontId="10" fillId="12" borderId="75" xfId="5" applyNumberFormat="1" applyFont="1" applyFill="1" applyBorder="1"/>
    <xf numFmtId="0" fontId="4" fillId="0" borderId="0" xfId="4" applyFont="1" applyFill="1"/>
    <xf numFmtId="0" fontId="2" fillId="0" borderId="0" xfId="4" applyFont="1"/>
    <xf numFmtId="0" fontId="4" fillId="0" borderId="0" xfId="4" applyFont="1" applyFill="1" applyAlignment="1">
      <alignment horizontal="center"/>
    </xf>
    <xf numFmtId="0" fontId="28" fillId="0" borderId="28" xfId="0" applyFont="1" applyBorder="1" applyAlignment="1">
      <alignment horizontal="left"/>
    </xf>
    <xf numFmtId="0" fontId="29" fillId="0" borderId="28" xfId="0" applyFont="1" applyBorder="1"/>
    <xf numFmtId="0" fontId="29" fillId="0" borderId="28" xfId="0" applyFont="1" applyBorder="1" applyAlignment="1"/>
    <xf numFmtId="0" fontId="29" fillId="0" borderId="28" xfId="0" applyNumberFormat="1" applyFont="1" applyBorder="1" applyAlignment="1">
      <alignment horizontal="center"/>
    </xf>
    <xf numFmtId="0" fontId="29" fillId="0" borderId="28" xfId="0" applyFont="1" applyBorder="1" applyAlignment="1">
      <alignment horizontal="center"/>
    </xf>
    <xf numFmtId="3" fontId="29" fillId="0" borderId="28" xfId="0" applyNumberFormat="1" applyFont="1" applyBorder="1" applyAlignment="1">
      <alignment horizontal="center"/>
    </xf>
    <xf numFmtId="0" fontId="29" fillId="0" borderId="28" xfId="0" applyFont="1" applyBorder="1" applyAlignment="1">
      <alignment horizontal="left"/>
    </xf>
    <xf numFmtId="14" fontId="29" fillId="0" borderId="28" xfId="0" applyNumberFormat="1" applyFont="1" applyBorder="1" applyAlignment="1">
      <alignment horizontal="center"/>
    </xf>
    <xf numFmtId="0" fontId="28" fillId="0" borderId="28" xfId="0" applyFont="1" applyBorder="1"/>
    <xf numFmtId="0" fontId="28" fillId="0" borderId="28" xfId="0" applyFont="1" applyBorder="1" applyAlignment="1"/>
    <xf numFmtId="0" fontId="28" fillId="0" borderId="28" xfId="0" applyNumberFormat="1" applyFont="1" applyBorder="1" applyAlignment="1">
      <alignment horizontal="center"/>
    </xf>
    <xf numFmtId="0" fontId="28" fillId="0" borderId="28" xfId="0" applyFont="1" applyBorder="1" applyAlignment="1">
      <alignment horizontal="center"/>
    </xf>
    <xf numFmtId="3" fontId="28" fillId="0" borderId="28" xfId="0" applyNumberFormat="1" applyFont="1" applyBorder="1" applyAlignment="1">
      <alignment horizontal="center"/>
    </xf>
    <xf numFmtId="0" fontId="29" fillId="0" borderId="28" xfId="0" applyFont="1" applyBorder="1" applyAlignment="1">
      <alignment vertical="center"/>
    </xf>
    <xf numFmtId="0" fontId="28" fillId="0" borderId="28" xfId="0" applyFont="1" applyBorder="1" applyAlignment="1">
      <alignment vertical="center"/>
    </xf>
    <xf numFmtId="0" fontId="29" fillId="0" borderId="0" xfId="0" applyFont="1" applyAlignment="1">
      <alignment horizontal="center"/>
    </xf>
    <xf numFmtId="3" fontId="3" fillId="0" borderId="55" xfId="0" applyNumberFormat="1" applyFont="1" applyFill="1" applyBorder="1" applyAlignment="1">
      <alignment vertical="center"/>
    </xf>
    <xf numFmtId="3" fontId="3" fillId="0" borderId="50" xfId="0" applyNumberFormat="1" applyFont="1" applyFill="1" applyBorder="1" applyAlignment="1">
      <alignment vertical="center"/>
    </xf>
    <xf numFmtId="3" fontId="3" fillId="0" borderId="13" xfId="0" applyNumberFormat="1" applyFont="1" applyFill="1" applyBorder="1" applyAlignment="1">
      <alignment vertical="center"/>
    </xf>
    <xf numFmtId="3" fontId="3" fillId="0" borderId="4" xfId="0" applyNumberFormat="1" applyFont="1" applyFill="1" applyBorder="1" applyAlignment="1">
      <alignment vertical="center"/>
    </xf>
    <xf numFmtId="3" fontId="3" fillId="0" borderId="55" xfId="0" applyNumberFormat="1" applyFont="1" applyFill="1" applyBorder="1"/>
    <xf numFmtId="3" fontId="3" fillId="0" borderId="50" xfId="0" applyNumberFormat="1" applyFont="1" applyFill="1" applyBorder="1"/>
    <xf numFmtId="3" fontId="3" fillId="0" borderId="13" xfId="0" applyNumberFormat="1" applyFont="1" applyFill="1" applyBorder="1"/>
    <xf numFmtId="3" fontId="3" fillId="0" borderId="4" xfId="0" applyNumberFormat="1" applyFont="1" applyFill="1" applyBorder="1"/>
    <xf numFmtId="3" fontId="7" fillId="0" borderId="55" xfId="0" applyNumberFormat="1" applyFont="1" applyFill="1" applyBorder="1"/>
    <xf numFmtId="3" fontId="7" fillId="0" borderId="50" xfId="0" applyNumberFormat="1" applyFont="1" applyFill="1" applyBorder="1"/>
    <xf numFmtId="3" fontId="7" fillId="0" borderId="13" xfId="0" applyNumberFormat="1" applyFont="1" applyFill="1" applyBorder="1"/>
    <xf numFmtId="3" fontId="7" fillId="0" borderId="4" xfId="0" applyNumberFormat="1" applyFont="1" applyFill="1" applyBorder="1"/>
    <xf numFmtId="3" fontId="3" fillId="0" borderId="3" xfId="0" applyNumberFormat="1" applyFont="1" applyFill="1" applyBorder="1" applyAlignment="1">
      <alignment vertical="center"/>
    </xf>
    <xf numFmtId="0" fontId="30" fillId="0" borderId="50" xfId="7" applyFont="1" applyFill="1" applyBorder="1" applyAlignment="1">
      <alignment horizontal="center" vertical="center" wrapText="1"/>
    </xf>
    <xf numFmtId="9" fontId="3" fillId="0" borderId="55" xfId="0" applyNumberFormat="1" applyFont="1" applyFill="1" applyBorder="1"/>
    <xf numFmtId="3" fontId="3" fillId="0" borderId="0" xfId="0" applyNumberFormat="1" applyFont="1" applyFill="1" applyBorder="1"/>
    <xf numFmtId="168" fontId="3" fillId="0" borderId="55" xfId="0" applyNumberFormat="1" applyFont="1" applyFill="1" applyBorder="1"/>
    <xf numFmtId="168" fontId="3" fillId="0" borderId="50" xfId="0" applyNumberFormat="1" applyFont="1" applyFill="1" applyBorder="1"/>
    <xf numFmtId="168" fontId="3" fillId="0" borderId="13" xfId="0" applyNumberFormat="1" applyFont="1" applyFill="1" applyBorder="1"/>
    <xf numFmtId="168" fontId="3" fillId="0" borderId="4" xfId="0" applyNumberFormat="1" applyFont="1" applyFill="1" applyBorder="1"/>
    <xf numFmtId="0" fontId="11" fillId="7" borderId="6" xfId="2" applyFont="1" applyFill="1" applyBorder="1" applyAlignment="1">
      <alignment horizontal="center" vertical="center"/>
    </xf>
    <xf numFmtId="0" fontId="11" fillId="0" borderId="28" xfId="2" applyFont="1" applyBorder="1" applyAlignment="1">
      <alignment vertical="center"/>
    </xf>
    <xf numFmtId="0" fontId="11" fillId="0" borderId="28" xfId="2" applyFont="1" applyFill="1" applyBorder="1" applyAlignment="1">
      <alignment vertical="center"/>
    </xf>
    <xf numFmtId="0" fontId="11" fillId="0" borderId="28" xfId="2" applyFont="1" applyFill="1" applyBorder="1" applyAlignment="1">
      <alignment horizontal="left" vertical="center"/>
    </xf>
    <xf numFmtId="0" fontId="10" fillId="0" borderId="28" xfId="2" applyFont="1" applyBorder="1" applyAlignment="1">
      <alignment horizontal="left" vertical="center" wrapText="1"/>
    </xf>
    <xf numFmtId="0" fontId="10" fillId="0" borderId="28" xfId="2" applyFont="1" applyBorder="1" applyAlignment="1">
      <alignment horizontal="left" vertical="center"/>
    </xf>
    <xf numFmtId="0" fontId="10" fillId="0" borderId="28" xfId="2" applyFont="1" applyBorder="1" applyAlignment="1">
      <alignment horizontal="center" vertical="center"/>
    </xf>
    <xf numFmtId="169" fontId="31" fillId="0" borderId="28" xfId="0" applyNumberFormat="1" applyFont="1" applyBorder="1" applyAlignment="1">
      <alignment horizontal="center" vertical="center"/>
    </xf>
    <xf numFmtId="14" fontId="31" fillId="0" borderId="28" xfId="0" applyNumberFormat="1" applyFont="1" applyBorder="1" applyAlignment="1">
      <alignment horizontal="center" vertical="center" wrapText="1"/>
    </xf>
    <xf numFmtId="0" fontId="10" fillId="0" borderId="28" xfId="2" applyFont="1" applyBorder="1" applyAlignment="1">
      <alignment vertical="center"/>
    </xf>
    <xf numFmtId="169" fontId="2" fillId="0" borderId="28" xfId="0" applyNumberFormat="1" applyFont="1" applyBorder="1" applyAlignment="1">
      <alignment horizontal="center" vertical="center"/>
    </xf>
    <xf numFmtId="169" fontId="2" fillId="0" borderId="28" xfId="0" applyNumberFormat="1" applyFont="1" applyBorder="1" applyAlignment="1">
      <alignment horizontal="center" vertical="center" wrapText="1"/>
    </xf>
    <xf numFmtId="0" fontId="11" fillId="0" borderId="0" xfId="2" applyFont="1" applyFill="1" applyAlignment="1">
      <alignment horizontal="center" vertical="center"/>
    </xf>
    <xf numFmtId="0" fontId="11" fillId="0" borderId="0" xfId="0" applyFont="1" applyAlignment="1">
      <alignment horizontal="center"/>
    </xf>
    <xf numFmtId="49" fontId="10" fillId="0" borderId="0" xfId="1" applyNumberFormat="1" applyFont="1" applyFill="1" applyAlignment="1">
      <alignment horizontal="center" vertical="center"/>
    </xf>
    <xf numFmtId="0" fontId="10" fillId="0" borderId="0" xfId="0" applyFont="1" applyAlignment="1">
      <alignment horizontal="center"/>
    </xf>
    <xf numFmtId="4" fontId="10" fillId="0" borderId="4" xfId="2" applyNumberFormat="1" applyFont="1" applyBorder="1" applyAlignment="1">
      <alignment vertical="center"/>
    </xf>
    <xf numFmtId="0" fontId="11" fillId="2" borderId="3" xfId="2" applyFont="1" applyFill="1" applyBorder="1" applyAlignment="1">
      <alignment vertical="center"/>
    </xf>
    <xf numFmtId="4" fontId="11" fillId="2" borderId="4" xfId="2" applyNumberFormat="1" applyFont="1" applyFill="1" applyBorder="1" applyAlignment="1">
      <alignment vertical="center"/>
    </xf>
    <xf numFmtId="3" fontId="11" fillId="2" borderId="0" xfId="2" applyNumberFormat="1" applyFont="1" applyFill="1" applyBorder="1" applyAlignment="1">
      <alignment vertical="center"/>
    </xf>
    <xf numFmtId="4" fontId="11" fillId="2" borderId="18" xfId="2" applyNumberFormat="1" applyFont="1" applyFill="1" applyBorder="1" applyAlignment="1">
      <alignment vertical="center"/>
    </xf>
    <xf numFmtId="0" fontId="3" fillId="7" borderId="26" xfId="2" applyFont="1" applyFill="1" applyBorder="1" applyAlignment="1">
      <alignment horizontal="center" vertical="center" textRotation="90" wrapText="1"/>
    </xf>
    <xf numFmtId="4" fontId="10" fillId="0" borderId="13" xfId="0" applyNumberFormat="1" applyFont="1" applyBorder="1"/>
    <xf numFmtId="4" fontId="10" fillId="0" borderId="0" xfId="0" applyNumberFormat="1" applyFont="1" applyBorder="1"/>
    <xf numFmtId="4" fontId="10" fillId="0" borderId="55" xfId="0" applyNumberFormat="1" applyFont="1" applyBorder="1"/>
    <xf numFmtId="4" fontId="10" fillId="0" borderId="4" xfId="0" applyNumberFormat="1" applyFont="1" applyBorder="1"/>
    <xf numFmtId="4" fontId="10" fillId="0" borderId="14" xfId="0" applyNumberFormat="1" applyFont="1" applyBorder="1"/>
    <xf numFmtId="0" fontId="10" fillId="0" borderId="14" xfId="0" applyFont="1" applyBorder="1" applyAlignment="1">
      <alignment horizontal="left" indent="1"/>
    </xf>
    <xf numFmtId="0" fontId="10" fillId="0" borderId="14" xfId="0" applyFont="1" applyBorder="1" applyAlignment="1">
      <alignment horizontal="left" indent="3"/>
    </xf>
    <xf numFmtId="4" fontId="10" fillId="0" borderId="40" xfId="0" applyNumberFormat="1" applyFont="1" applyBorder="1"/>
    <xf numFmtId="4" fontId="10" fillId="0" borderId="8" xfId="0" applyNumberFormat="1" applyFont="1" applyBorder="1"/>
    <xf numFmtId="4" fontId="10" fillId="0" borderId="11" xfId="0" applyNumberFormat="1" applyFont="1" applyBorder="1"/>
    <xf numFmtId="0" fontId="11" fillId="0" borderId="28" xfId="2" applyFont="1" applyFill="1" applyBorder="1" applyAlignment="1">
      <alignment horizontal="left" vertical="center" wrapText="1"/>
    </xf>
    <xf numFmtId="0" fontId="11" fillId="0" borderId="27" xfId="2" applyFont="1" applyFill="1" applyBorder="1" applyAlignment="1">
      <alignment horizontal="left" vertical="center" wrapText="1"/>
    </xf>
    <xf numFmtId="4" fontId="11" fillId="0" borderId="28" xfId="2" applyNumberFormat="1" applyFont="1" applyFill="1" applyBorder="1" applyAlignment="1">
      <alignment vertical="center" wrapText="1"/>
    </xf>
    <xf numFmtId="0" fontId="11" fillId="0" borderId="28" xfId="2" applyFont="1" applyFill="1" applyBorder="1" applyAlignment="1">
      <alignment vertical="center" wrapText="1"/>
    </xf>
    <xf numFmtId="0" fontId="11" fillId="0" borderId="27" xfId="2" applyFont="1" applyFill="1" applyBorder="1" applyAlignment="1">
      <alignment horizontal="left" vertical="center"/>
    </xf>
    <xf numFmtId="0" fontId="11" fillId="2" borderId="28" xfId="2" applyFont="1" applyFill="1" applyBorder="1" applyAlignment="1">
      <alignment horizontal="center" vertical="center"/>
    </xf>
    <xf numFmtId="0" fontId="11" fillId="2" borderId="76" xfId="2" applyFont="1" applyFill="1" applyBorder="1" applyAlignment="1">
      <alignment horizontal="center" vertical="center"/>
    </xf>
    <xf numFmtId="4" fontId="11" fillId="2" borderId="43" xfId="2" applyNumberFormat="1" applyFont="1" applyFill="1" applyBorder="1" applyAlignment="1">
      <alignment vertical="center"/>
    </xf>
    <xf numFmtId="0" fontId="10" fillId="0" borderId="28" xfId="0" applyFont="1" applyBorder="1"/>
    <xf numFmtId="14" fontId="10" fillId="0" borderId="28" xfId="0" applyNumberFormat="1" applyFont="1" applyBorder="1"/>
    <xf numFmtId="169" fontId="10" fillId="0" borderId="28" xfId="2" applyNumberFormat="1" applyFont="1" applyBorder="1" applyAlignment="1">
      <alignment horizontal="right" vertical="center"/>
    </xf>
    <xf numFmtId="169" fontId="10" fillId="0" borderId="28" xfId="0" applyNumberFormat="1" applyFont="1" applyBorder="1" applyAlignment="1">
      <alignment horizontal="right"/>
    </xf>
    <xf numFmtId="0" fontId="10" fillId="0" borderId="28" xfId="0" applyFont="1" applyBorder="1" applyAlignment="1"/>
    <xf numFmtId="14" fontId="29" fillId="0" borderId="28" xfId="0" applyNumberFormat="1" applyFont="1" applyBorder="1"/>
    <xf numFmtId="169" fontId="29" fillId="0" borderId="28" xfId="0" applyNumberFormat="1" applyFont="1" applyBorder="1" applyAlignment="1">
      <alignment horizontal="right"/>
    </xf>
    <xf numFmtId="3" fontId="32" fillId="13" borderId="28" xfId="0" applyNumberFormat="1" applyFont="1" applyFill="1" applyBorder="1" applyAlignment="1">
      <alignment horizontal="center" vertical="center" wrapText="1"/>
    </xf>
    <xf numFmtId="14" fontId="11" fillId="0" borderId="28" xfId="2" applyNumberFormat="1" applyFont="1" applyFill="1" applyBorder="1" applyAlignment="1">
      <alignment horizontal="center" vertical="center"/>
    </xf>
    <xf numFmtId="0" fontId="11" fillId="0" borderId="28" xfId="2" applyFont="1" applyFill="1" applyBorder="1" applyAlignment="1">
      <alignment horizontal="center" vertical="center"/>
    </xf>
    <xf numFmtId="0" fontId="11" fillId="0" borderId="28" xfId="2" applyFont="1" applyFill="1" applyBorder="1" applyAlignment="1">
      <alignment horizontal="center" vertical="center" wrapText="1"/>
    </xf>
    <xf numFmtId="14" fontId="11" fillId="0" borderId="28" xfId="2" applyNumberFormat="1" applyFont="1" applyFill="1" applyBorder="1" applyAlignment="1">
      <alignment horizontal="center" vertical="center" wrapText="1"/>
    </xf>
    <xf numFmtId="4" fontId="32" fillId="13" borderId="28" xfId="0" applyNumberFormat="1" applyFont="1" applyFill="1" applyBorder="1" applyAlignment="1">
      <alignment horizontal="center" vertical="center" wrapText="1"/>
    </xf>
    <xf numFmtId="170" fontId="11" fillId="0" borderId="28" xfId="2" applyNumberFormat="1" applyFont="1" applyFill="1" applyBorder="1" applyAlignment="1">
      <alignment horizontal="center" vertical="center" wrapText="1"/>
    </xf>
    <xf numFmtId="14" fontId="34" fillId="13" borderId="28" xfId="0" applyNumberFormat="1" applyFont="1" applyFill="1" applyBorder="1" applyAlignment="1">
      <alignment horizontal="center" vertical="center" wrapText="1"/>
    </xf>
    <xf numFmtId="0" fontId="11" fillId="7" borderId="28" xfId="2" applyFont="1" applyFill="1" applyBorder="1" applyAlignment="1">
      <alignment horizontal="center" vertical="center" wrapText="1"/>
    </xf>
    <xf numFmtId="14" fontId="11" fillId="14" borderId="28" xfId="2" applyNumberFormat="1" applyFont="1" applyFill="1" applyBorder="1" applyAlignment="1">
      <alignment horizontal="center" vertical="center" wrapText="1"/>
    </xf>
    <xf numFmtId="165" fontId="10" fillId="0" borderId="14" xfId="2" applyNumberFormat="1" applyFont="1" applyBorder="1" applyAlignment="1">
      <alignment vertical="center"/>
    </xf>
    <xf numFmtId="4" fontId="10" fillId="0" borderId="3" xfId="2" applyNumberFormat="1" applyFont="1" applyFill="1" applyBorder="1" applyAlignment="1">
      <alignment vertical="center"/>
    </xf>
    <xf numFmtId="10" fontId="10" fillId="0" borderId="53" xfId="5" applyNumberFormat="1" applyFont="1" applyFill="1" applyBorder="1" applyAlignment="1">
      <alignment vertical="center"/>
    </xf>
    <xf numFmtId="3" fontId="10" fillId="0" borderId="55" xfId="2" applyNumberFormat="1" applyFont="1" applyFill="1" applyBorder="1" applyAlignment="1">
      <alignment vertical="center"/>
    </xf>
    <xf numFmtId="10" fontId="10" fillId="0" borderId="4" xfId="5" applyNumberFormat="1" applyFont="1" applyFill="1" applyBorder="1" applyAlignment="1">
      <alignment vertical="center"/>
    </xf>
    <xf numFmtId="4" fontId="10" fillId="0" borderId="14" xfId="2" applyNumberFormat="1" applyFont="1" applyFill="1" applyBorder="1" applyAlignment="1">
      <alignment vertical="center"/>
    </xf>
    <xf numFmtId="4" fontId="2" fillId="0" borderId="79" xfId="4" applyNumberFormat="1" applyBorder="1"/>
    <xf numFmtId="4" fontId="2" fillId="0" borderId="77" xfId="4" applyNumberFormat="1" applyBorder="1"/>
    <xf numFmtId="4" fontId="2" fillId="0" borderId="80" xfId="4" applyNumberFormat="1" applyBorder="1"/>
    <xf numFmtId="4" fontId="2" fillId="0" borderId="78" xfId="4" applyNumberFormat="1" applyBorder="1"/>
    <xf numFmtId="4" fontId="10" fillId="0" borderId="0" xfId="0" applyNumberFormat="1" applyFont="1"/>
    <xf numFmtId="4" fontId="11" fillId="0" borderId="13" xfId="2" applyNumberFormat="1" applyFont="1" applyFill="1" applyBorder="1" applyAlignment="1">
      <alignment vertical="center"/>
    </xf>
    <xf numFmtId="4" fontId="11" fillId="0" borderId="0" xfId="2" applyNumberFormat="1" applyFont="1" applyFill="1" applyBorder="1" applyAlignment="1">
      <alignment vertical="center"/>
    </xf>
    <xf numFmtId="3" fontId="11" fillId="0" borderId="27" xfId="2" applyNumberFormat="1" applyFont="1" applyFill="1" applyBorder="1" applyAlignment="1">
      <alignment vertical="center"/>
    </xf>
    <xf numFmtId="3" fontId="11" fillId="0" borderId="59" xfId="2" applyNumberFormat="1" applyFont="1" applyFill="1" applyBorder="1" applyAlignment="1">
      <alignment vertical="center"/>
    </xf>
    <xf numFmtId="3" fontId="11" fillId="0" borderId="26" xfId="2" applyNumberFormat="1" applyFont="1" applyFill="1" applyBorder="1" applyAlignment="1">
      <alignment vertical="center"/>
    </xf>
    <xf numFmtId="3" fontId="11" fillId="0" borderId="29" xfId="2" applyNumberFormat="1" applyFont="1" applyFill="1" applyBorder="1" applyAlignment="1">
      <alignment vertical="center"/>
    </xf>
    <xf numFmtId="3" fontId="11" fillId="2" borderId="18" xfId="2" applyNumberFormat="1" applyFont="1" applyFill="1" applyBorder="1" applyAlignment="1">
      <alignment vertical="center"/>
    </xf>
    <xf numFmtId="3" fontId="10" fillId="0" borderId="27" xfId="2" applyNumberFormat="1" applyFont="1" applyFill="1" applyBorder="1" applyAlignment="1">
      <alignment vertical="center"/>
    </xf>
    <xf numFmtId="3" fontId="10" fillId="0" borderId="59" xfId="2" applyNumberFormat="1" applyFont="1" applyFill="1" applyBorder="1" applyAlignment="1">
      <alignment vertical="center"/>
    </xf>
    <xf numFmtId="3" fontId="10" fillId="0" borderId="26" xfId="2" applyNumberFormat="1" applyFont="1" applyFill="1" applyBorder="1" applyAlignment="1">
      <alignment vertical="center"/>
    </xf>
    <xf numFmtId="3" fontId="10" fillId="0" borderId="29" xfId="2" applyNumberFormat="1" applyFont="1" applyFill="1" applyBorder="1" applyAlignment="1">
      <alignment vertical="center"/>
    </xf>
    <xf numFmtId="3" fontId="2" fillId="0" borderId="28" xfId="0" applyNumberFormat="1" applyFont="1" applyBorder="1"/>
    <xf numFmtId="4" fontId="2" fillId="0" borderId="28" xfId="0" applyNumberFormat="1" applyFont="1" applyBorder="1"/>
    <xf numFmtId="0" fontId="10" fillId="0" borderId="0" xfId="0" applyFont="1" applyFill="1" applyAlignment="1">
      <alignment wrapText="1"/>
    </xf>
    <xf numFmtId="0" fontId="11" fillId="0" borderId="0" xfId="2" applyFont="1" applyFill="1" applyAlignment="1">
      <alignment vertical="center" wrapText="1"/>
    </xf>
    <xf numFmtId="0" fontId="11" fillId="0" borderId="0" xfId="2" applyFont="1" applyFill="1" applyAlignment="1">
      <alignment vertical="top"/>
    </xf>
    <xf numFmtId="0" fontId="7" fillId="0" borderId="0" xfId="2" applyFont="1" applyFill="1" applyAlignment="1">
      <alignment vertical="top"/>
    </xf>
    <xf numFmtId="0" fontId="10" fillId="0" borderId="0" xfId="0" applyFont="1" applyBorder="1" applyAlignment="1">
      <alignment vertical="top"/>
    </xf>
    <xf numFmtId="0" fontId="11" fillId="2" borderId="4" xfId="2" applyFont="1" applyFill="1" applyBorder="1" applyAlignment="1">
      <alignment horizontal="center" vertical="top"/>
    </xf>
    <xf numFmtId="0" fontId="11" fillId="7" borderId="28" xfId="2" applyFont="1" applyFill="1" applyBorder="1" applyAlignment="1">
      <alignment horizontal="center" vertical="top"/>
    </xf>
    <xf numFmtId="0" fontId="32" fillId="0" borderId="28" xfId="0" applyFont="1" applyFill="1" applyBorder="1" applyAlignment="1">
      <alignment horizontal="left" vertical="top" wrapText="1"/>
    </xf>
    <xf numFmtId="0" fontId="10" fillId="0" borderId="0" xfId="0" applyFont="1" applyAlignment="1">
      <alignment vertical="top"/>
    </xf>
    <xf numFmtId="15" fontId="11" fillId="7" borderId="12" xfId="2" applyNumberFormat="1" applyFont="1" applyFill="1" applyBorder="1" applyAlignment="1">
      <alignment horizontal="center" vertical="center" wrapText="1"/>
    </xf>
    <xf numFmtId="0" fontId="10" fillId="0" borderId="0" xfId="0" applyFont="1" applyAlignment="1">
      <alignment vertical="center" wrapText="1"/>
    </xf>
    <xf numFmtId="0" fontId="11" fillId="7" borderId="8" xfId="2" applyFont="1" applyFill="1" applyBorder="1" applyAlignment="1">
      <alignment horizontal="center" vertical="center" wrapText="1"/>
    </xf>
    <xf numFmtId="0" fontId="2" fillId="5" borderId="1" xfId="0" applyFont="1" applyFill="1" applyBorder="1" applyAlignment="1">
      <alignment horizontal="left" vertical="center" wrapText="1"/>
    </xf>
    <xf numFmtId="0" fontId="2" fillId="5" borderId="71"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3" fillId="0" borderId="28" xfId="0" applyFont="1" applyBorder="1" applyAlignment="1">
      <alignment horizontal="center" vertical="center"/>
    </xf>
    <xf numFmtId="0" fontId="3" fillId="0" borderId="28" xfId="0" applyFont="1" applyBorder="1" applyAlignment="1">
      <alignment horizontal="center" vertical="center" wrapText="1"/>
    </xf>
    <xf numFmtId="0" fontId="25" fillId="0" borderId="28" xfId="0" applyFont="1" applyFill="1" applyBorder="1" applyAlignment="1">
      <alignment horizontal="center" vertical="center" wrapText="1"/>
    </xf>
    <xf numFmtId="0" fontId="7" fillId="7" borderId="33" xfId="0" applyFont="1" applyFill="1" applyBorder="1" applyAlignment="1">
      <alignment horizontal="center" vertical="center" wrapText="1"/>
    </xf>
    <xf numFmtId="0" fontId="7" fillId="7" borderId="63" xfId="0" applyFont="1" applyFill="1" applyBorder="1" applyAlignment="1">
      <alignment horizontal="center" vertical="center" wrapText="1"/>
    </xf>
    <xf numFmtId="0" fontId="7" fillId="7" borderId="57"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49" xfId="0" applyFont="1" applyFill="1" applyBorder="1" applyAlignment="1">
      <alignment horizontal="center" vertical="center" wrapText="1"/>
    </xf>
    <xf numFmtId="0" fontId="7" fillId="7" borderId="23" xfId="0" applyFont="1" applyFill="1" applyBorder="1" applyAlignment="1">
      <alignment horizontal="center" vertical="center" wrapText="1"/>
    </xf>
    <xf numFmtId="49" fontId="7" fillId="7" borderId="12" xfId="3" applyNumberFormat="1" applyFont="1" applyFill="1" applyBorder="1" applyAlignment="1" applyProtection="1">
      <alignment horizontal="center" vertical="center" wrapText="1"/>
    </xf>
    <xf numFmtId="49" fontId="7" fillId="7" borderId="11" xfId="3" applyNumberFormat="1" applyFont="1" applyFill="1" applyBorder="1" applyAlignment="1" applyProtection="1">
      <alignment horizontal="center" vertical="center" wrapText="1"/>
    </xf>
    <xf numFmtId="49" fontId="7" fillId="7" borderId="6" xfId="3" applyFont="1" applyFill="1" applyBorder="1" applyAlignment="1">
      <alignment horizontal="center" vertical="center" wrapText="1"/>
    </xf>
    <xf numFmtId="49" fontId="7" fillId="7" borderId="48" xfId="3" applyFont="1" applyFill="1" applyBorder="1" applyAlignment="1">
      <alignment horizontal="center" vertical="center" wrapText="1"/>
    </xf>
    <xf numFmtId="49" fontId="7" fillId="7" borderId="21" xfId="3" applyFont="1" applyFill="1" applyBorder="1" applyAlignment="1">
      <alignment horizontal="center" vertical="center" wrapText="1"/>
    </xf>
    <xf numFmtId="49" fontId="7" fillId="7" borderId="60" xfId="3" applyFont="1" applyFill="1" applyBorder="1" applyAlignment="1">
      <alignment horizontal="left" vertical="center"/>
    </xf>
    <xf numFmtId="49" fontId="7" fillId="7" borderId="58" xfId="3" applyFont="1" applyFill="1" applyBorder="1" applyAlignment="1">
      <alignment horizontal="left" vertical="center"/>
    </xf>
    <xf numFmtId="0" fontId="7" fillId="7" borderId="19" xfId="0" applyFont="1" applyFill="1" applyBorder="1" applyAlignment="1">
      <alignment horizontal="center" wrapText="1"/>
    </xf>
    <xf numFmtId="0" fontId="7" fillId="7" borderId="20" xfId="0" applyFont="1" applyFill="1" applyBorder="1" applyAlignment="1">
      <alignment horizontal="center" wrapText="1"/>
    </xf>
    <xf numFmtId="0" fontId="7" fillId="7" borderId="18" xfId="0" applyFont="1" applyFill="1" applyBorder="1" applyAlignment="1">
      <alignment horizontal="center" wrapText="1"/>
    </xf>
    <xf numFmtId="0" fontId="7" fillId="7" borderId="6" xfId="0" applyFont="1" applyFill="1" applyBorder="1" applyAlignment="1">
      <alignment horizontal="center" wrapText="1"/>
    </xf>
    <xf numFmtId="0" fontId="7" fillId="7" borderId="48" xfId="0" applyFont="1" applyFill="1" applyBorder="1" applyAlignment="1">
      <alignment horizontal="center" wrapText="1"/>
    </xf>
    <xf numFmtId="0" fontId="7" fillId="7" borderId="12" xfId="0" applyFont="1" applyFill="1" applyBorder="1" applyAlignment="1">
      <alignment horizontal="center" vertical="center"/>
    </xf>
    <xf numFmtId="0" fontId="7" fillId="7" borderId="11" xfId="0" applyFont="1" applyFill="1" applyBorder="1" applyAlignment="1">
      <alignment horizontal="center" vertical="center"/>
    </xf>
    <xf numFmtId="0" fontId="19" fillId="7" borderId="19" xfId="0" applyFont="1" applyFill="1" applyBorder="1" applyAlignment="1">
      <alignment horizontal="center"/>
    </xf>
    <xf numFmtId="0" fontId="19" fillId="7" borderId="18" xfId="0" applyFont="1" applyFill="1" applyBorder="1" applyAlignment="1">
      <alignment horizontal="center"/>
    </xf>
    <xf numFmtId="0" fontId="19" fillId="7" borderId="5" xfId="0" applyFont="1" applyFill="1" applyBorder="1" applyAlignment="1">
      <alignment horizontal="center"/>
    </xf>
    <xf numFmtId="0" fontId="19" fillId="7" borderId="20" xfId="0" applyFont="1" applyFill="1" applyBorder="1" applyAlignment="1">
      <alignment horizontal="center"/>
    </xf>
    <xf numFmtId="0" fontId="19" fillId="7" borderId="5" xfId="0" applyFont="1" applyFill="1" applyBorder="1" applyAlignment="1">
      <alignment horizontal="center" vertical="center"/>
    </xf>
    <xf numFmtId="0" fontId="19" fillId="7" borderId="11" xfId="0" applyFont="1" applyFill="1" applyBorder="1" applyAlignment="1">
      <alignment horizontal="center" vertical="center"/>
    </xf>
    <xf numFmtId="49" fontId="11" fillId="7" borderId="32" xfId="3" applyFont="1" applyFill="1" applyBorder="1" applyAlignment="1">
      <alignment horizontal="center" vertical="center" wrapText="1"/>
    </xf>
    <xf numFmtId="49" fontId="11" fillId="7" borderId="31" xfId="3" applyFont="1" applyFill="1" applyBorder="1" applyAlignment="1">
      <alignment horizontal="center" vertical="center" wrapText="1"/>
    </xf>
    <xf numFmtId="0" fontId="11" fillId="7" borderId="12" xfId="0" applyFont="1" applyFill="1" applyBorder="1" applyAlignment="1">
      <alignment horizontal="center" vertical="center"/>
    </xf>
    <xf numFmtId="0" fontId="11" fillId="7" borderId="11" xfId="0" applyFont="1" applyFill="1" applyBorder="1" applyAlignment="1">
      <alignment horizontal="center" vertical="center"/>
    </xf>
    <xf numFmtId="49" fontId="11" fillId="7" borderId="30" xfId="3" applyFont="1" applyFill="1" applyBorder="1" applyAlignment="1">
      <alignment horizontal="center" vertical="center"/>
    </xf>
    <xf numFmtId="49" fontId="11" fillId="7" borderId="32" xfId="3" applyFont="1" applyFill="1" applyBorder="1" applyAlignment="1">
      <alignment horizontal="center" vertical="center"/>
    </xf>
    <xf numFmtId="49" fontId="11" fillId="7" borderId="31" xfId="3" applyFont="1" applyFill="1" applyBorder="1" applyAlignment="1">
      <alignment horizontal="center" vertical="center"/>
    </xf>
    <xf numFmtId="49" fontId="11" fillId="7" borderId="30" xfId="3" applyFont="1" applyFill="1" applyBorder="1" applyAlignment="1">
      <alignment horizontal="center" vertical="center" wrapText="1"/>
    </xf>
    <xf numFmtId="49" fontId="11" fillId="7" borderId="63" xfId="3"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7" fillId="7" borderId="60" xfId="2" applyFont="1" applyFill="1" applyBorder="1" applyAlignment="1">
      <alignment horizontal="center" vertical="center"/>
    </xf>
    <xf numFmtId="0" fontId="7" fillId="7" borderId="64" xfId="2" applyFont="1" applyFill="1" applyBorder="1" applyAlignment="1">
      <alignment horizontal="center" vertical="center"/>
    </xf>
    <xf numFmtId="0" fontId="7" fillId="7" borderId="58" xfId="2" applyFont="1" applyFill="1" applyBorder="1" applyAlignment="1">
      <alignment horizontal="center" vertical="center"/>
    </xf>
    <xf numFmtId="0" fontId="11" fillId="7" borderId="48" xfId="2" applyFont="1" applyFill="1" applyBorder="1" applyAlignment="1">
      <alignment horizontal="center" vertical="center"/>
    </xf>
    <xf numFmtId="0" fontId="11" fillId="7" borderId="19" xfId="2" applyFont="1" applyFill="1" applyBorder="1" applyAlignment="1">
      <alignment horizontal="center" vertical="center"/>
    </xf>
    <xf numFmtId="0" fontId="11" fillId="7" borderId="18" xfId="2" applyFont="1" applyFill="1" applyBorder="1" applyAlignment="1">
      <alignment horizontal="center" vertical="center"/>
    </xf>
    <xf numFmtId="0" fontId="11" fillId="7" borderId="20" xfId="2" applyFont="1" applyFill="1" applyBorder="1" applyAlignment="1">
      <alignment horizontal="center" vertical="center"/>
    </xf>
    <xf numFmtId="0" fontId="11" fillId="7" borderId="19" xfId="0" applyFont="1" applyFill="1" applyBorder="1" applyAlignment="1">
      <alignment horizontal="center" wrapText="1"/>
    </xf>
    <xf numFmtId="0" fontId="11" fillId="7" borderId="18" xfId="0" applyFont="1" applyFill="1" applyBorder="1" applyAlignment="1">
      <alignment horizontal="center" wrapText="1"/>
    </xf>
    <xf numFmtId="0" fontId="11" fillId="7" borderId="14" xfId="0" applyFont="1" applyFill="1" applyBorder="1" applyAlignment="1">
      <alignment horizontal="center" vertical="center" wrapText="1"/>
    </xf>
    <xf numFmtId="0" fontId="10" fillId="7" borderId="11" xfId="0" applyFont="1" applyFill="1" applyBorder="1" applyAlignment="1">
      <alignment horizontal="center" vertical="center" wrapText="1"/>
    </xf>
    <xf numFmtId="0" fontId="11" fillId="7" borderId="20" xfId="0" applyFont="1" applyFill="1" applyBorder="1" applyAlignment="1">
      <alignment horizontal="center"/>
    </xf>
    <xf numFmtId="0" fontId="11" fillId="7" borderId="19" xfId="0" applyFont="1" applyFill="1" applyBorder="1" applyAlignment="1">
      <alignment horizontal="center"/>
    </xf>
    <xf numFmtId="0" fontId="11" fillId="7" borderId="18" xfId="0" applyFont="1" applyFill="1" applyBorder="1" applyAlignment="1">
      <alignment horizontal="center"/>
    </xf>
    <xf numFmtId="0" fontId="11" fillId="7" borderId="6" xfId="2" applyFont="1" applyFill="1" applyBorder="1" applyAlignment="1">
      <alignment horizontal="center" vertical="center" wrapText="1"/>
    </xf>
    <xf numFmtId="0" fontId="11" fillId="7" borderId="19" xfId="2" applyFont="1" applyFill="1" applyBorder="1" applyAlignment="1">
      <alignment horizontal="center" vertical="center" wrapText="1"/>
    </xf>
    <xf numFmtId="0" fontId="11" fillId="7" borderId="30" xfId="2" applyFont="1" applyFill="1" applyBorder="1" applyAlignment="1">
      <alignment horizontal="center" vertical="center" wrapText="1"/>
    </xf>
    <xf numFmtId="0" fontId="11" fillId="7" borderId="39" xfId="2" applyFont="1" applyFill="1" applyBorder="1" applyAlignment="1">
      <alignment horizontal="center" vertical="center" wrapText="1"/>
    </xf>
    <xf numFmtId="0" fontId="11" fillId="7" borderId="33" xfId="2" applyFont="1" applyFill="1" applyBorder="1" applyAlignment="1">
      <alignment horizontal="center" vertical="center" wrapText="1"/>
    </xf>
    <xf numFmtId="0" fontId="11" fillId="7" borderId="42" xfId="2" applyFont="1" applyFill="1" applyBorder="1" applyAlignment="1">
      <alignment horizontal="center" vertical="center" wrapText="1"/>
    </xf>
    <xf numFmtId="0" fontId="11" fillId="7" borderId="31" xfId="2" applyFont="1" applyFill="1" applyBorder="1" applyAlignment="1">
      <alignment horizontal="center" vertical="center" wrapText="1"/>
    </xf>
    <xf numFmtId="0" fontId="11" fillId="7" borderId="40" xfId="2" applyFont="1" applyFill="1" applyBorder="1" applyAlignment="1">
      <alignment horizontal="center" vertical="center" wrapText="1"/>
    </xf>
    <xf numFmtId="0" fontId="11" fillId="7" borderId="61" xfId="2" applyFont="1" applyFill="1" applyBorder="1" applyAlignment="1">
      <alignment horizontal="center" vertical="center" wrapText="1"/>
    </xf>
    <xf numFmtId="0" fontId="11" fillId="7" borderId="62" xfId="2" applyFont="1" applyFill="1" applyBorder="1" applyAlignment="1">
      <alignment horizontal="center" vertical="center" wrapText="1"/>
    </xf>
    <xf numFmtId="0" fontId="11" fillId="7" borderId="60" xfId="2" applyFont="1" applyFill="1" applyBorder="1" applyAlignment="1">
      <alignment horizontal="center" vertical="center" wrapText="1"/>
    </xf>
    <xf numFmtId="0" fontId="11" fillId="7" borderId="63" xfId="2" applyFont="1" applyFill="1" applyBorder="1" applyAlignment="1">
      <alignment horizontal="center" vertical="center" wrapText="1"/>
    </xf>
    <xf numFmtId="0" fontId="11" fillId="7" borderId="52" xfId="2" applyFont="1" applyFill="1" applyBorder="1" applyAlignment="1">
      <alignment horizontal="center" vertical="center" wrapText="1"/>
    </xf>
    <xf numFmtId="0" fontId="11" fillId="7" borderId="12" xfId="2" applyFont="1" applyFill="1" applyBorder="1" applyAlignment="1">
      <alignment horizontal="center" vertical="center" wrapText="1"/>
    </xf>
    <xf numFmtId="0" fontId="11" fillId="7" borderId="5" xfId="2" applyFont="1" applyFill="1" applyBorder="1" applyAlignment="1">
      <alignment horizontal="center" vertical="center" wrapText="1"/>
    </xf>
    <xf numFmtId="0" fontId="11" fillId="7" borderId="11" xfId="2" applyFont="1" applyFill="1" applyBorder="1" applyAlignment="1">
      <alignment horizontal="center" vertical="center" wrapText="1"/>
    </xf>
    <xf numFmtId="0" fontId="11" fillId="8" borderId="12" xfId="4" applyFont="1" applyFill="1" applyBorder="1" applyAlignment="1">
      <alignment horizontal="center" vertical="center"/>
    </xf>
    <xf numFmtId="0" fontId="11" fillId="8" borderId="11" xfId="4" applyFont="1" applyFill="1" applyBorder="1" applyAlignment="1">
      <alignment horizontal="center" vertical="center"/>
    </xf>
    <xf numFmtId="0" fontId="29" fillId="0" borderId="36" xfId="0" applyFont="1" applyBorder="1" applyAlignment="1">
      <alignment horizontal="center" vertical="center"/>
    </xf>
    <xf numFmtId="0" fontId="29" fillId="0" borderId="23" xfId="0" applyFont="1" applyBorder="1" applyAlignment="1">
      <alignment horizontal="center" vertical="center"/>
    </xf>
    <xf numFmtId="0" fontId="29" fillId="0" borderId="36" xfId="0" applyFont="1" applyBorder="1" applyAlignment="1">
      <alignment horizontal="left" vertical="center"/>
    </xf>
    <xf numFmtId="0" fontId="29" fillId="0" borderId="23" xfId="0" applyFont="1" applyBorder="1" applyAlignment="1">
      <alignment horizontal="left" vertical="center"/>
    </xf>
    <xf numFmtId="0" fontId="11" fillId="8" borderId="19" xfId="4" applyFont="1" applyFill="1" applyBorder="1" applyAlignment="1">
      <alignment horizontal="center"/>
    </xf>
    <xf numFmtId="0" fontId="11" fillId="8" borderId="20" xfId="4" applyFont="1" applyFill="1" applyBorder="1" applyAlignment="1">
      <alignment horizontal="center"/>
    </xf>
    <xf numFmtId="0" fontId="11" fillId="7" borderId="21"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18"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11" fillId="7" borderId="44" xfId="0" applyFont="1" applyFill="1" applyBorder="1" applyAlignment="1">
      <alignment horizontal="center" vertical="center" wrapText="1"/>
    </xf>
  </cellXfs>
  <cellStyles count="8">
    <cellStyle name="Normal" xfId="0" builtinId="0"/>
    <cellStyle name="Normal 2" xfId="4" xr:uid="{00000000-0005-0000-0000-000001000000}"/>
    <cellStyle name="Normal 2 2" xfId="6" xr:uid="{00000000-0005-0000-0000-000002000000}"/>
    <cellStyle name="Normal 3" xfId="7" xr:uid="{00000000-0005-0000-0000-000003000000}"/>
    <cellStyle name="Normal_ESTR98" xfId="1" xr:uid="{00000000-0005-0000-0000-000004000000}"/>
    <cellStyle name="Normal_PLAZAS98" xfId="2" xr:uid="{00000000-0005-0000-0000-000005000000}"/>
    <cellStyle name="Normal_SPGG98" xfId="3" xr:uid="{00000000-0005-0000-0000-000006000000}"/>
    <cellStyle name="Porcentaje"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FF00"/>
  </sheetPr>
  <dimension ref="A1:SR34"/>
  <sheetViews>
    <sheetView tabSelected="1" view="pageBreakPreview" zoomScaleNormal="100" zoomScaleSheetLayoutView="100" workbookViewId="0">
      <selection activeCell="H19" sqref="H19"/>
    </sheetView>
  </sheetViews>
  <sheetFormatPr baseColWidth="10" defaultColWidth="11.42578125" defaultRowHeight="12.75" x14ac:dyDescent="0.2"/>
  <cols>
    <col min="1" max="1" width="19.85546875" style="111" customWidth="1"/>
    <col min="2" max="2" width="69.85546875" style="112" customWidth="1"/>
    <col min="3" max="5" width="8.7109375" style="111" customWidth="1"/>
    <col min="6" max="16384" width="11.42578125" style="111"/>
  </cols>
  <sheetData>
    <row r="1" spans="1:512" s="110" customFormat="1" ht="15.75" x14ac:dyDescent="0.2">
      <c r="A1" s="108" t="s">
        <v>347</v>
      </c>
      <c r="B1" s="109"/>
      <c r="F1" s="115"/>
      <c r="G1" s="115"/>
      <c r="H1" s="115"/>
      <c r="I1" s="115"/>
      <c r="J1" s="115"/>
      <c r="K1" s="115"/>
      <c r="L1" s="115"/>
      <c r="M1" s="115"/>
      <c r="N1" s="115"/>
      <c r="O1" s="115"/>
      <c r="P1" s="115"/>
      <c r="Q1" s="115"/>
      <c r="R1" s="115"/>
      <c r="S1" s="115"/>
      <c r="T1" s="115"/>
      <c r="U1" s="115"/>
      <c r="V1" s="115"/>
      <c r="W1" s="115"/>
      <c r="X1" s="115"/>
      <c r="Y1" s="115"/>
      <c r="Z1" s="115"/>
      <c r="AA1" s="115"/>
      <c r="AB1" s="115"/>
      <c r="AC1" s="115"/>
      <c r="AD1" s="115"/>
      <c r="AE1" s="115"/>
      <c r="AF1" s="115"/>
      <c r="AG1" s="115"/>
      <c r="AH1" s="115"/>
      <c r="AI1" s="115"/>
      <c r="AJ1" s="115"/>
      <c r="AK1" s="115"/>
      <c r="AL1" s="115"/>
      <c r="AM1" s="115"/>
      <c r="AN1" s="115"/>
      <c r="AO1" s="115"/>
      <c r="AP1" s="115"/>
      <c r="AQ1" s="115"/>
      <c r="AR1" s="115"/>
      <c r="AS1" s="115"/>
      <c r="AT1" s="115"/>
      <c r="AU1" s="115"/>
      <c r="AV1" s="115"/>
      <c r="AW1" s="115"/>
      <c r="AX1" s="115"/>
      <c r="AY1" s="115"/>
      <c r="AZ1" s="115"/>
      <c r="BA1" s="115"/>
      <c r="BB1" s="115"/>
      <c r="BC1" s="115"/>
      <c r="BD1" s="115"/>
      <c r="BE1" s="115"/>
      <c r="BF1" s="115"/>
      <c r="BG1" s="115"/>
      <c r="BH1" s="115"/>
      <c r="BI1" s="115"/>
      <c r="BJ1" s="115"/>
      <c r="BK1" s="115"/>
      <c r="BL1" s="115"/>
      <c r="BM1" s="115"/>
      <c r="BN1" s="115"/>
      <c r="BO1" s="115"/>
      <c r="BP1" s="115"/>
      <c r="BQ1" s="115"/>
      <c r="BR1" s="115"/>
      <c r="BS1" s="115"/>
      <c r="BT1" s="115"/>
      <c r="BU1" s="115"/>
      <c r="BV1" s="115"/>
      <c r="BW1" s="115"/>
      <c r="BX1" s="115"/>
      <c r="BY1" s="115"/>
      <c r="BZ1" s="115"/>
      <c r="CA1" s="115"/>
      <c r="CB1" s="115"/>
      <c r="CC1" s="115"/>
      <c r="CD1" s="115"/>
      <c r="CE1" s="115"/>
      <c r="CF1" s="115"/>
      <c r="CG1" s="115"/>
      <c r="CH1" s="115"/>
      <c r="CI1" s="115"/>
      <c r="CJ1" s="115"/>
      <c r="CK1" s="115"/>
      <c r="CL1" s="115"/>
      <c r="CM1" s="115"/>
      <c r="CN1" s="115"/>
      <c r="CO1" s="115"/>
      <c r="CP1" s="115"/>
      <c r="CQ1" s="115"/>
      <c r="CR1" s="115"/>
      <c r="CS1" s="115"/>
      <c r="CT1" s="115"/>
      <c r="CU1" s="115"/>
      <c r="CV1" s="115"/>
      <c r="CW1" s="115"/>
      <c r="CX1" s="115"/>
      <c r="CY1" s="115"/>
      <c r="CZ1" s="115"/>
      <c r="DA1" s="115"/>
      <c r="DB1" s="115"/>
      <c r="DC1" s="115"/>
      <c r="DD1" s="115"/>
      <c r="DE1" s="115"/>
      <c r="DF1" s="115"/>
      <c r="DG1" s="115"/>
      <c r="DH1" s="115"/>
      <c r="DI1" s="115"/>
      <c r="DJ1" s="115"/>
      <c r="DK1" s="115"/>
      <c r="DL1" s="115"/>
      <c r="DM1" s="115"/>
      <c r="DN1" s="115"/>
      <c r="DO1" s="115"/>
      <c r="DP1" s="115"/>
      <c r="DQ1" s="115"/>
      <c r="DR1" s="115"/>
      <c r="DS1" s="115"/>
      <c r="DT1" s="115"/>
      <c r="DU1" s="115"/>
      <c r="DV1" s="115"/>
      <c r="DW1" s="115"/>
      <c r="DX1" s="115"/>
      <c r="DY1" s="115"/>
      <c r="DZ1" s="115"/>
      <c r="EA1" s="115"/>
      <c r="EB1" s="115"/>
      <c r="EC1" s="115"/>
      <c r="ED1" s="115"/>
      <c r="EE1" s="115"/>
      <c r="EF1" s="115"/>
      <c r="EG1" s="115"/>
      <c r="EH1" s="115"/>
      <c r="EI1" s="115"/>
      <c r="EJ1" s="115"/>
      <c r="EK1" s="115"/>
      <c r="EL1" s="115"/>
      <c r="EM1" s="115"/>
      <c r="EN1" s="115"/>
      <c r="EO1" s="115"/>
      <c r="EP1" s="115"/>
      <c r="EQ1" s="115"/>
      <c r="ER1" s="115"/>
      <c r="ES1" s="115"/>
      <c r="ET1" s="115"/>
      <c r="EU1" s="115"/>
      <c r="EV1" s="115"/>
      <c r="EW1" s="115"/>
      <c r="EX1" s="115"/>
      <c r="EY1" s="115"/>
      <c r="EZ1" s="115"/>
      <c r="FA1" s="115"/>
      <c r="FB1" s="115"/>
      <c r="FC1" s="115"/>
      <c r="FD1" s="115"/>
      <c r="FE1" s="115"/>
      <c r="FF1" s="115"/>
      <c r="FG1" s="115"/>
      <c r="FH1" s="115"/>
      <c r="FI1" s="115"/>
      <c r="FJ1" s="115"/>
      <c r="FK1" s="115"/>
      <c r="FL1" s="115"/>
      <c r="FM1" s="115"/>
      <c r="FN1" s="115"/>
      <c r="FO1" s="115"/>
      <c r="FP1" s="115"/>
      <c r="FQ1" s="115"/>
      <c r="FR1" s="115"/>
      <c r="FS1" s="115"/>
      <c r="FT1" s="115"/>
      <c r="FU1" s="115"/>
      <c r="FV1" s="115"/>
      <c r="FW1" s="115"/>
      <c r="FX1" s="115"/>
      <c r="FY1" s="115"/>
      <c r="FZ1" s="115"/>
      <c r="GA1" s="115"/>
      <c r="GB1" s="115"/>
      <c r="GC1" s="115"/>
      <c r="GD1" s="115"/>
      <c r="GE1" s="115"/>
      <c r="GF1" s="115"/>
      <c r="GG1" s="115"/>
      <c r="GH1" s="115"/>
      <c r="GI1" s="115"/>
      <c r="GJ1" s="115"/>
      <c r="GK1" s="115"/>
      <c r="GL1" s="115"/>
      <c r="GM1" s="115"/>
      <c r="GN1" s="115"/>
      <c r="GO1" s="115"/>
      <c r="GP1" s="115"/>
      <c r="GQ1" s="115"/>
      <c r="GR1" s="115"/>
      <c r="GS1" s="115"/>
      <c r="GT1" s="115"/>
      <c r="GU1" s="115"/>
      <c r="GV1" s="115"/>
      <c r="GW1" s="115"/>
      <c r="GX1" s="115"/>
      <c r="GY1" s="115"/>
      <c r="GZ1" s="115"/>
      <c r="HA1" s="115"/>
      <c r="HB1" s="115"/>
      <c r="HC1" s="115"/>
      <c r="HD1" s="115"/>
      <c r="HE1" s="115"/>
      <c r="HF1" s="115"/>
      <c r="HG1" s="115"/>
      <c r="HH1" s="115"/>
      <c r="HI1" s="115"/>
      <c r="HJ1" s="115"/>
      <c r="HK1" s="115"/>
      <c r="HL1" s="115"/>
      <c r="HM1" s="115"/>
      <c r="HN1" s="115"/>
      <c r="HO1" s="115"/>
      <c r="HP1" s="115"/>
      <c r="HQ1" s="115"/>
      <c r="HR1" s="115"/>
      <c r="HS1" s="115"/>
      <c r="HT1" s="115"/>
      <c r="HU1" s="115"/>
      <c r="HV1" s="115"/>
      <c r="HW1" s="115"/>
      <c r="HX1" s="115"/>
      <c r="HY1" s="115"/>
      <c r="HZ1" s="115"/>
      <c r="IA1" s="115"/>
      <c r="IB1" s="115"/>
      <c r="IC1" s="115"/>
      <c r="ID1" s="115"/>
      <c r="IE1" s="115"/>
      <c r="IF1" s="115"/>
      <c r="IG1" s="115"/>
      <c r="IH1" s="115"/>
      <c r="II1" s="115"/>
      <c r="IJ1" s="115"/>
      <c r="IK1" s="115"/>
      <c r="IL1" s="115"/>
      <c r="IM1" s="115"/>
      <c r="IN1" s="115"/>
      <c r="IO1" s="115"/>
      <c r="IP1" s="115"/>
      <c r="IQ1" s="115"/>
      <c r="IR1" s="115"/>
      <c r="IS1" s="115"/>
      <c r="IT1" s="115"/>
      <c r="IU1" s="115"/>
      <c r="IV1" s="115"/>
      <c r="IW1" s="115"/>
      <c r="IX1" s="115"/>
      <c r="IY1" s="115"/>
      <c r="IZ1" s="115"/>
      <c r="JA1" s="115"/>
      <c r="JB1" s="115"/>
      <c r="JC1" s="115"/>
      <c r="JD1" s="115"/>
      <c r="JE1" s="115"/>
      <c r="JF1" s="115"/>
      <c r="JG1" s="115"/>
      <c r="JH1" s="115"/>
      <c r="JI1" s="115"/>
      <c r="JJ1" s="115"/>
      <c r="JK1" s="115"/>
      <c r="JL1" s="115"/>
      <c r="JM1" s="115"/>
      <c r="JN1" s="115"/>
      <c r="JO1" s="115"/>
      <c r="JP1" s="115"/>
      <c r="JQ1" s="115"/>
      <c r="JR1" s="115"/>
      <c r="JS1" s="115"/>
      <c r="JT1" s="115"/>
      <c r="JU1" s="115"/>
      <c r="JV1" s="115"/>
      <c r="JW1" s="115"/>
      <c r="JX1" s="115"/>
      <c r="JY1" s="115"/>
      <c r="JZ1" s="115"/>
      <c r="KA1" s="115"/>
      <c r="KB1" s="115"/>
      <c r="KC1" s="115"/>
      <c r="KD1" s="115"/>
      <c r="KE1" s="115"/>
      <c r="KF1" s="115"/>
      <c r="KG1" s="115"/>
      <c r="KH1" s="115"/>
      <c r="KI1" s="115"/>
      <c r="KJ1" s="115"/>
      <c r="KK1" s="115"/>
      <c r="KL1" s="115"/>
      <c r="KM1" s="115"/>
      <c r="KN1" s="115"/>
      <c r="KO1" s="115"/>
      <c r="KP1" s="115"/>
      <c r="KQ1" s="115"/>
      <c r="KR1" s="115"/>
      <c r="KS1" s="115"/>
      <c r="KT1" s="115"/>
      <c r="KU1" s="115"/>
      <c r="KV1" s="115"/>
      <c r="KW1" s="115"/>
      <c r="KX1" s="115"/>
      <c r="KY1" s="115"/>
      <c r="KZ1" s="115"/>
      <c r="LA1" s="115"/>
      <c r="LB1" s="115"/>
      <c r="LC1" s="115"/>
      <c r="LD1" s="115"/>
      <c r="LE1" s="115"/>
      <c r="LF1" s="115"/>
      <c r="LG1" s="115"/>
      <c r="LH1" s="115"/>
      <c r="LI1" s="115"/>
      <c r="LJ1" s="115"/>
      <c r="LK1" s="115"/>
      <c r="LL1" s="115"/>
      <c r="LM1" s="115"/>
      <c r="LN1" s="115"/>
      <c r="LO1" s="115"/>
      <c r="LP1" s="115"/>
      <c r="LQ1" s="115"/>
      <c r="LR1" s="115"/>
      <c r="LS1" s="115"/>
      <c r="LT1" s="115"/>
      <c r="LU1" s="115"/>
      <c r="LV1" s="115"/>
      <c r="LW1" s="115"/>
      <c r="LX1" s="115"/>
      <c r="LY1" s="115"/>
      <c r="LZ1" s="115"/>
      <c r="MA1" s="115"/>
      <c r="MB1" s="115"/>
      <c r="MC1" s="115"/>
      <c r="MD1" s="115"/>
      <c r="ME1" s="115"/>
      <c r="MF1" s="115"/>
      <c r="MG1" s="115"/>
      <c r="MH1" s="115"/>
      <c r="MI1" s="115"/>
      <c r="MJ1" s="115"/>
      <c r="MK1" s="115"/>
      <c r="ML1" s="115"/>
      <c r="MM1" s="115"/>
      <c r="MN1" s="115"/>
      <c r="MO1" s="115"/>
      <c r="MP1" s="115"/>
      <c r="MQ1" s="115"/>
      <c r="MR1" s="115"/>
      <c r="MS1" s="115"/>
      <c r="MT1" s="115"/>
      <c r="MU1" s="115"/>
      <c r="MV1" s="115"/>
      <c r="MW1" s="115"/>
      <c r="MX1" s="115"/>
      <c r="MY1" s="115"/>
      <c r="MZ1" s="115"/>
      <c r="NA1" s="115"/>
      <c r="NB1" s="115"/>
      <c r="NC1" s="115"/>
      <c r="ND1" s="115"/>
      <c r="NE1" s="115"/>
      <c r="NF1" s="115"/>
      <c r="NG1" s="115"/>
      <c r="NH1" s="115"/>
      <c r="NI1" s="115"/>
      <c r="NJ1" s="115"/>
      <c r="NK1" s="115"/>
      <c r="NL1" s="115"/>
      <c r="NM1" s="115"/>
      <c r="NN1" s="115"/>
      <c r="NO1" s="115"/>
      <c r="NP1" s="115"/>
      <c r="NQ1" s="115"/>
      <c r="NR1" s="115"/>
      <c r="NS1" s="115"/>
      <c r="NT1" s="115"/>
      <c r="NU1" s="115"/>
      <c r="NV1" s="115"/>
      <c r="NW1" s="115"/>
      <c r="NX1" s="115"/>
      <c r="NY1" s="115"/>
      <c r="NZ1" s="115"/>
      <c r="OA1" s="115"/>
      <c r="OB1" s="115"/>
      <c r="OC1" s="115"/>
      <c r="OD1" s="115"/>
      <c r="OE1" s="115"/>
      <c r="OF1" s="115"/>
      <c r="OG1" s="115"/>
      <c r="OH1" s="115"/>
      <c r="OI1" s="115"/>
      <c r="OJ1" s="115"/>
      <c r="OK1" s="115"/>
      <c r="OL1" s="115"/>
      <c r="OM1" s="115"/>
      <c r="ON1" s="115"/>
      <c r="OO1" s="115"/>
      <c r="OP1" s="115"/>
      <c r="OQ1" s="115"/>
      <c r="OR1" s="115"/>
      <c r="OS1" s="115"/>
      <c r="OT1" s="115"/>
      <c r="OU1" s="115"/>
      <c r="OV1" s="115"/>
      <c r="OW1" s="115"/>
      <c r="OX1" s="115"/>
      <c r="OY1" s="115"/>
      <c r="OZ1" s="115"/>
      <c r="PA1" s="115"/>
      <c r="PB1" s="115"/>
      <c r="PC1" s="115"/>
      <c r="PD1" s="115"/>
      <c r="PE1" s="115"/>
      <c r="PF1" s="115"/>
      <c r="PG1" s="115"/>
      <c r="PH1" s="115"/>
      <c r="PI1" s="115"/>
      <c r="PJ1" s="115"/>
      <c r="PK1" s="115"/>
      <c r="PL1" s="115"/>
      <c r="PM1" s="115"/>
      <c r="PN1" s="115"/>
      <c r="PO1" s="115"/>
      <c r="PP1" s="115"/>
      <c r="PQ1" s="115"/>
      <c r="PR1" s="115"/>
      <c r="PS1" s="115"/>
      <c r="PT1" s="115"/>
      <c r="PU1" s="115"/>
      <c r="PV1" s="115"/>
      <c r="PW1" s="115"/>
      <c r="PX1" s="115"/>
      <c r="PY1" s="115"/>
      <c r="PZ1" s="115"/>
      <c r="QA1" s="115"/>
      <c r="QB1" s="115"/>
      <c r="QC1" s="115"/>
      <c r="QD1" s="115"/>
      <c r="QE1" s="115"/>
      <c r="QF1" s="115"/>
      <c r="QG1" s="115"/>
      <c r="QH1" s="115"/>
      <c r="QI1" s="115"/>
      <c r="QJ1" s="115"/>
      <c r="QK1" s="115"/>
      <c r="QL1" s="115"/>
      <c r="QM1" s="115"/>
      <c r="QN1" s="115"/>
      <c r="QO1" s="115"/>
      <c r="QP1" s="115"/>
      <c r="QQ1" s="115"/>
      <c r="QR1" s="115"/>
      <c r="QS1" s="115"/>
      <c r="QT1" s="115"/>
      <c r="QU1" s="115"/>
      <c r="QV1" s="115"/>
      <c r="QW1" s="115"/>
      <c r="QX1" s="115"/>
      <c r="QY1" s="115"/>
      <c r="QZ1" s="115"/>
      <c r="RA1" s="115"/>
      <c r="RB1" s="115"/>
      <c r="RC1" s="115"/>
      <c r="RD1" s="115"/>
      <c r="RE1" s="115"/>
      <c r="RF1" s="115"/>
      <c r="RG1" s="115"/>
      <c r="RH1" s="115"/>
      <c r="RI1" s="115"/>
      <c r="RJ1" s="115"/>
      <c r="RK1" s="115"/>
      <c r="RL1" s="115"/>
      <c r="RM1" s="115"/>
      <c r="RN1" s="115"/>
      <c r="RO1" s="115"/>
      <c r="RP1" s="115"/>
      <c r="RQ1" s="115"/>
      <c r="RR1" s="115"/>
      <c r="RS1" s="115"/>
      <c r="RT1" s="115"/>
      <c r="RU1" s="115"/>
      <c r="RV1" s="115"/>
      <c r="RW1" s="115"/>
      <c r="RX1" s="115"/>
      <c r="RY1" s="115"/>
      <c r="RZ1" s="115"/>
      <c r="SA1" s="115"/>
      <c r="SB1" s="115"/>
      <c r="SC1" s="115"/>
      <c r="SD1" s="115"/>
      <c r="SE1" s="115"/>
      <c r="SF1" s="115"/>
      <c r="SG1" s="115"/>
      <c r="SH1" s="115"/>
      <c r="SI1" s="115"/>
      <c r="SJ1" s="115"/>
      <c r="SK1" s="115"/>
      <c r="SL1" s="115"/>
      <c r="SM1" s="115"/>
      <c r="SN1" s="115"/>
      <c r="SO1" s="115"/>
      <c r="SP1" s="115"/>
      <c r="SQ1" s="115"/>
      <c r="SR1" s="115"/>
    </row>
    <row r="2" spans="1:512" x14ac:dyDescent="0.2">
      <c r="C2" s="113"/>
      <c r="D2" s="113"/>
      <c r="E2" s="117"/>
      <c r="F2" s="116"/>
    </row>
    <row r="3" spans="1:512" x14ac:dyDescent="0.2">
      <c r="A3" s="114" t="s">
        <v>367</v>
      </c>
      <c r="E3" s="116"/>
      <c r="F3" s="116"/>
    </row>
    <row r="4" spans="1:512" x14ac:dyDescent="0.2">
      <c r="E4" s="116"/>
      <c r="F4" s="116"/>
    </row>
    <row r="5" spans="1:512" s="298" customFormat="1" ht="27" customHeight="1" x14ac:dyDescent="0.2">
      <c r="A5" s="303" t="s">
        <v>349</v>
      </c>
      <c r="B5" s="495" t="s">
        <v>348</v>
      </c>
      <c r="C5" s="496"/>
      <c r="D5" s="496"/>
      <c r="E5" s="497"/>
      <c r="F5" s="299"/>
    </row>
    <row r="6" spans="1:512" x14ac:dyDescent="0.2">
      <c r="A6" s="114"/>
      <c r="B6" s="297"/>
      <c r="C6" s="298"/>
      <c r="D6" s="298"/>
      <c r="E6" s="299"/>
      <c r="F6" s="116"/>
    </row>
    <row r="7" spans="1:512" x14ac:dyDescent="0.2">
      <c r="A7" s="114" t="s">
        <v>368</v>
      </c>
      <c r="B7" s="297"/>
      <c r="C7" s="298"/>
      <c r="D7" s="298"/>
      <c r="E7" s="299"/>
      <c r="F7" s="116"/>
    </row>
    <row r="8" spans="1:512" x14ac:dyDescent="0.2">
      <c r="A8" s="114"/>
      <c r="B8" s="297"/>
      <c r="C8" s="298"/>
      <c r="D8" s="298"/>
      <c r="E8" s="299"/>
      <c r="F8" s="116"/>
    </row>
    <row r="9" spans="1:512" s="298" customFormat="1" ht="27" customHeight="1" x14ac:dyDescent="0.2">
      <c r="A9" s="303" t="s">
        <v>350</v>
      </c>
      <c r="B9" s="495" t="s">
        <v>414</v>
      </c>
      <c r="C9" s="496"/>
      <c r="D9" s="496"/>
      <c r="E9" s="497"/>
      <c r="F9" s="299"/>
    </row>
    <row r="10" spans="1:512" s="298" customFormat="1" ht="27" customHeight="1" x14ac:dyDescent="0.2">
      <c r="A10" s="303" t="s">
        <v>351</v>
      </c>
      <c r="B10" s="495" t="s">
        <v>415</v>
      </c>
      <c r="C10" s="496"/>
      <c r="D10" s="496"/>
      <c r="E10" s="497"/>
      <c r="F10" s="299"/>
    </row>
    <row r="11" spans="1:512" s="298" customFormat="1" ht="27" customHeight="1" x14ac:dyDescent="0.2">
      <c r="A11" s="303" t="s">
        <v>352</v>
      </c>
      <c r="B11" s="495" t="s">
        <v>416</v>
      </c>
      <c r="C11" s="496"/>
      <c r="D11" s="496"/>
      <c r="E11" s="497"/>
      <c r="F11" s="299"/>
    </row>
    <row r="12" spans="1:512" s="298" customFormat="1" ht="27" customHeight="1" x14ac:dyDescent="0.2">
      <c r="A12" s="303" t="s">
        <v>353</v>
      </c>
      <c r="B12" s="495" t="s">
        <v>417</v>
      </c>
      <c r="C12" s="496"/>
      <c r="D12" s="496"/>
      <c r="E12" s="497"/>
      <c r="F12" s="299"/>
    </row>
    <row r="13" spans="1:512" s="298" customFormat="1" ht="27" customHeight="1" x14ac:dyDescent="0.2">
      <c r="A13" s="303" t="s">
        <v>354</v>
      </c>
      <c r="B13" s="495" t="s">
        <v>418</v>
      </c>
      <c r="C13" s="496"/>
      <c r="D13" s="496"/>
      <c r="E13" s="497"/>
      <c r="F13" s="299"/>
    </row>
    <row r="14" spans="1:512" s="298" customFormat="1" ht="27" customHeight="1" x14ac:dyDescent="0.2">
      <c r="A14" s="303" t="s">
        <v>355</v>
      </c>
      <c r="B14" s="495" t="s">
        <v>419</v>
      </c>
      <c r="C14" s="496"/>
      <c r="D14" s="496"/>
      <c r="E14" s="497"/>
      <c r="F14" s="299"/>
    </row>
    <row r="15" spans="1:512" s="298" customFormat="1" ht="27" customHeight="1" x14ac:dyDescent="0.2">
      <c r="A15" s="303" t="s">
        <v>356</v>
      </c>
      <c r="B15" s="495" t="s">
        <v>420</v>
      </c>
      <c r="C15" s="496"/>
      <c r="D15" s="496"/>
      <c r="E15" s="497"/>
      <c r="F15" s="299"/>
    </row>
    <row r="16" spans="1:512" x14ac:dyDescent="0.2">
      <c r="A16" s="114"/>
      <c r="B16" s="297"/>
      <c r="C16" s="298"/>
      <c r="D16" s="298"/>
      <c r="E16" s="299"/>
      <c r="F16" s="116"/>
    </row>
    <row r="17" spans="1:6" x14ac:dyDescent="0.2">
      <c r="A17" s="114" t="s">
        <v>369</v>
      </c>
      <c r="B17" s="297"/>
      <c r="C17" s="298"/>
      <c r="D17" s="298"/>
      <c r="E17" s="299"/>
      <c r="F17" s="116"/>
    </row>
    <row r="18" spans="1:6" x14ac:dyDescent="0.2">
      <c r="A18" s="114"/>
      <c r="B18" s="297"/>
      <c r="C18" s="298"/>
      <c r="D18" s="298"/>
      <c r="E18" s="299"/>
      <c r="F18" s="116"/>
    </row>
    <row r="19" spans="1:6" s="298" customFormat="1" ht="27" customHeight="1" x14ac:dyDescent="0.2">
      <c r="A19" s="303" t="s">
        <v>357</v>
      </c>
      <c r="B19" s="495" t="s">
        <v>421</v>
      </c>
      <c r="C19" s="496"/>
      <c r="D19" s="496"/>
      <c r="E19" s="497"/>
      <c r="F19" s="299"/>
    </row>
    <row r="20" spans="1:6" s="298" customFormat="1" ht="27" customHeight="1" x14ac:dyDescent="0.2">
      <c r="A20" s="303" t="s">
        <v>358</v>
      </c>
      <c r="B20" s="495" t="s">
        <v>422</v>
      </c>
      <c r="C20" s="496"/>
      <c r="D20" s="496"/>
      <c r="E20" s="497"/>
      <c r="F20" s="299"/>
    </row>
    <row r="21" spans="1:6" s="298" customFormat="1" ht="27" customHeight="1" x14ac:dyDescent="0.2">
      <c r="A21" s="303" t="s">
        <v>359</v>
      </c>
      <c r="B21" s="495" t="s">
        <v>423</v>
      </c>
      <c r="C21" s="496"/>
      <c r="D21" s="496"/>
      <c r="E21" s="497"/>
      <c r="F21" s="299"/>
    </row>
    <row r="22" spans="1:6" x14ac:dyDescent="0.2">
      <c r="A22" s="114"/>
      <c r="B22" s="297"/>
      <c r="C22" s="298"/>
      <c r="D22" s="298"/>
      <c r="E22" s="299"/>
      <c r="F22" s="116"/>
    </row>
    <row r="23" spans="1:6" x14ac:dyDescent="0.2">
      <c r="A23" s="114" t="s">
        <v>370</v>
      </c>
      <c r="B23" s="297"/>
      <c r="C23" s="298"/>
      <c r="D23" s="298"/>
      <c r="E23" s="299"/>
      <c r="F23" s="116"/>
    </row>
    <row r="24" spans="1:6" x14ac:dyDescent="0.2">
      <c r="A24" s="114"/>
      <c r="B24" s="297"/>
      <c r="C24" s="298"/>
      <c r="D24" s="298"/>
      <c r="E24" s="299"/>
      <c r="F24" s="116"/>
    </row>
    <row r="25" spans="1:6" s="298" customFormat="1" ht="27" customHeight="1" x14ac:dyDescent="0.2">
      <c r="A25" s="303" t="s">
        <v>360</v>
      </c>
      <c r="B25" s="495" t="s">
        <v>424</v>
      </c>
      <c r="C25" s="496"/>
      <c r="D25" s="496"/>
      <c r="E25" s="497"/>
      <c r="F25" s="299"/>
    </row>
    <row r="26" spans="1:6" s="298" customFormat="1" ht="27" customHeight="1" x14ac:dyDescent="0.2">
      <c r="A26" s="303" t="s">
        <v>361</v>
      </c>
      <c r="B26" s="495" t="s">
        <v>425</v>
      </c>
      <c r="C26" s="496"/>
      <c r="D26" s="496"/>
      <c r="E26" s="497"/>
      <c r="F26" s="299"/>
    </row>
    <row r="27" spans="1:6" s="298" customFormat="1" ht="27" customHeight="1" x14ac:dyDescent="0.2">
      <c r="A27" s="303" t="s">
        <v>362</v>
      </c>
      <c r="B27" s="495" t="s">
        <v>426</v>
      </c>
      <c r="C27" s="496"/>
      <c r="D27" s="496"/>
      <c r="E27" s="497"/>
      <c r="F27" s="299"/>
    </row>
    <row r="28" spans="1:6" s="298" customFormat="1" ht="27" customHeight="1" x14ac:dyDescent="0.2">
      <c r="A28" s="303" t="s">
        <v>363</v>
      </c>
      <c r="B28" s="495" t="s">
        <v>427</v>
      </c>
      <c r="C28" s="496"/>
      <c r="D28" s="496"/>
      <c r="E28" s="497"/>
      <c r="F28" s="299"/>
    </row>
    <row r="29" spans="1:6" s="298" customFormat="1" ht="27" customHeight="1" x14ac:dyDescent="0.2">
      <c r="A29" s="303" t="s">
        <v>364</v>
      </c>
      <c r="B29" s="495" t="s">
        <v>428</v>
      </c>
      <c r="C29" s="496"/>
      <c r="D29" s="496"/>
      <c r="E29" s="497"/>
      <c r="F29" s="299"/>
    </row>
    <row r="30" spans="1:6" x14ac:dyDescent="0.2">
      <c r="A30" s="114"/>
      <c r="B30" s="297"/>
      <c r="C30" s="298"/>
      <c r="D30" s="298"/>
      <c r="E30" s="299"/>
      <c r="F30" s="116"/>
    </row>
    <row r="31" spans="1:6" x14ac:dyDescent="0.2">
      <c r="A31" s="114" t="s">
        <v>23</v>
      </c>
      <c r="B31" s="297"/>
      <c r="C31" s="298"/>
      <c r="D31" s="298"/>
      <c r="E31" s="299"/>
      <c r="F31" s="116"/>
    </row>
    <row r="32" spans="1:6" x14ac:dyDescent="0.2">
      <c r="A32" s="114"/>
      <c r="B32" s="297"/>
      <c r="C32" s="298"/>
      <c r="D32" s="298"/>
      <c r="E32" s="299"/>
      <c r="F32" s="116"/>
    </row>
    <row r="33" spans="1:6" s="298" customFormat="1" ht="27" customHeight="1" x14ac:dyDescent="0.2">
      <c r="A33" s="303" t="s">
        <v>365</v>
      </c>
      <c r="B33" s="495" t="s">
        <v>429</v>
      </c>
      <c r="C33" s="496"/>
      <c r="D33" s="496"/>
      <c r="E33" s="497"/>
      <c r="F33" s="299"/>
    </row>
    <row r="34" spans="1:6" s="298" customFormat="1" ht="27" customHeight="1" x14ac:dyDescent="0.2">
      <c r="A34" s="303" t="s">
        <v>366</v>
      </c>
      <c r="B34" s="495" t="s">
        <v>430</v>
      </c>
      <c r="C34" s="496"/>
      <c r="D34" s="496"/>
      <c r="E34" s="497"/>
      <c r="F34" s="299"/>
    </row>
  </sheetData>
  <mergeCells count="18">
    <mergeCell ref="B33:E33"/>
    <mergeCell ref="B34:E34"/>
    <mergeCell ref="B9:E9"/>
    <mergeCell ref="B10:E10"/>
    <mergeCell ref="B11:E11"/>
    <mergeCell ref="B15:E15"/>
    <mergeCell ref="B21:E21"/>
    <mergeCell ref="B25:E25"/>
    <mergeCell ref="B26:E26"/>
    <mergeCell ref="B27:E27"/>
    <mergeCell ref="B28:E28"/>
    <mergeCell ref="B29:E29"/>
    <mergeCell ref="B20:E20"/>
    <mergeCell ref="B5:E5"/>
    <mergeCell ref="B12:E12"/>
    <mergeCell ref="B13:E13"/>
    <mergeCell ref="B14:E14"/>
    <mergeCell ref="B19:E19"/>
  </mergeCells>
  <pageMargins left="0.8203125" right="0.70866141732283472" top="0.74803149606299213" bottom="0.74803149606299213" header="0.31496062992125984" footer="0.31496062992125984"/>
  <pageSetup paperSize="9" scale="75" orientation="portrait" r:id="rId1"/>
  <headerFooter>
    <oddHeader>&amp;C&amp;"Arial,Negrita"&amp;18FORMATOS DEL 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249977111117893"/>
    <pageSetUpPr fitToPage="1"/>
  </sheetPr>
  <dimension ref="A1:AB60"/>
  <sheetViews>
    <sheetView view="pageLayout" zoomScale="85" zoomScaleNormal="100" zoomScaleSheetLayoutView="90" zoomScalePageLayoutView="85" workbookViewId="0">
      <selection activeCell="A2" sqref="A2"/>
    </sheetView>
  </sheetViews>
  <sheetFormatPr baseColWidth="10" defaultColWidth="11.42578125" defaultRowHeight="12.75" x14ac:dyDescent="0.2"/>
  <cols>
    <col min="1" max="1" width="41.28515625" style="23" customWidth="1"/>
    <col min="2" max="12" width="7" style="23" customWidth="1"/>
    <col min="13" max="13" width="16.7109375" style="23" bestFit="1" customWidth="1"/>
    <col min="14" max="23" width="7" style="23" customWidth="1"/>
    <col min="24" max="24" width="1.7109375" style="100" customWidth="1"/>
    <col min="25" max="25" width="16.7109375" bestFit="1" customWidth="1"/>
    <col min="26" max="28" width="10.7109375" customWidth="1"/>
    <col min="29" max="16384" width="11.42578125" style="118"/>
  </cols>
  <sheetData>
    <row r="1" spans="1:28" s="123" customFormat="1" ht="15.75" x14ac:dyDescent="0.2">
      <c r="A1" s="285" t="s">
        <v>394</v>
      </c>
      <c r="B1" s="122"/>
      <c r="C1" s="122"/>
      <c r="D1" s="122"/>
      <c r="E1" s="122"/>
      <c r="F1" s="122"/>
      <c r="G1" s="122"/>
      <c r="H1" s="122"/>
      <c r="I1" s="122"/>
      <c r="J1" s="122"/>
      <c r="K1" s="122"/>
      <c r="L1" s="122"/>
      <c r="M1" s="122"/>
      <c r="N1" s="122"/>
      <c r="O1" s="122"/>
      <c r="P1" s="122"/>
      <c r="Q1" s="122"/>
      <c r="R1" s="122"/>
      <c r="S1" s="122"/>
      <c r="T1" s="122"/>
      <c r="U1" s="122"/>
      <c r="V1" s="122"/>
      <c r="W1" s="122"/>
      <c r="X1" s="124"/>
    </row>
    <row r="2" spans="1:28" s="123" customFormat="1" ht="15.75" x14ac:dyDescent="0.2">
      <c r="A2" s="129" t="s">
        <v>962</v>
      </c>
      <c r="B2" s="122"/>
      <c r="C2" s="122"/>
      <c r="D2" s="122"/>
      <c r="E2" s="122"/>
      <c r="F2" s="122"/>
      <c r="G2" s="122"/>
      <c r="H2" s="122"/>
      <c r="I2" s="122"/>
      <c r="J2" s="122"/>
      <c r="K2" s="122"/>
      <c r="L2" s="122"/>
      <c r="M2" s="122"/>
      <c r="N2" s="122"/>
      <c r="O2" s="122"/>
      <c r="P2" s="122"/>
      <c r="Q2" s="122"/>
      <c r="R2" s="122"/>
      <c r="S2" s="122"/>
      <c r="T2" s="122"/>
      <c r="U2" s="122"/>
      <c r="V2" s="122"/>
      <c r="W2" s="122"/>
      <c r="X2" s="124"/>
    </row>
    <row r="3" spans="1:28" s="101" customFormat="1" ht="15.75" x14ac:dyDescent="0.25">
      <c r="A3" s="286" t="s">
        <v>321</v>
      </c>
      <c r="X3" s="99"/>
    </row>
    <row r="4" spans="1:28" ht="13.5" thickBot="1" x14ac:dyDescent="0.25">
      <c r="L4" s="24"/>
      <c r="W4" s="24"/>
    </row>
    <row r="5" spans="1:28" s="63" customFormat="1" ht="26.25" customHeight="1" x14ac:dyDescent="0.2">
      <c r="A5" s="188" t="s">
        <v>9</v>
      </c>
      <c r="B5" s="538" t="s">
        <v>392</v>
      </c>
      <c r="C5" s="539"/>
      <c r="D5" s="539"/>
      <c r="E5" s="539"/>
      <c r="F5" s="539"/>
      <c r="G5" s="539"/>
      <c r="H5" s="539"/>
      <c r="I5" s="539"/>
      <c r="J5" s="539"/>
      <c r="K5" s="539"/>
      <c r="L5" s="539"/>
      <c r="M5" s="540"/>
      <c r="N5" s="539" t="s">
        <v>393</v>
      </c>
      <c r="O5" s="539"/>
      <c r="P5" s="539"/>
      <c r="Q5" s="539"/>
      <c r="R5" s="539"/>
      <c r="S5" s="539"/>
      <c r="T5" s="539"/>
      <c r="U5" s="539"/>
      <c r="V5" s="539"/>
      <c r="W5" s="539"/>
      <c r="X5" s="539"/>
      <c r="Y5" s="540"/>
    </row>
    <row r="6" spans="1:28" s="64" customFormat="1" ht="99.95" customHeight="1" x14ac:dyDescent="0.2">
      <c r="A6" s="189" t="s">
        <v>8</v>
      </c>
      <c r="B6" s="423" t="s">
        <v>322</v>
      </c>
      <c r="C6" s="190" t="s">
        <v>117</v>
      </c>
      <c r="D6" s="191" t="s">
        <v>287</v>
      </c>
      <c r="E6" s="191" t="s">
        <v>281</v>
      </c>
      <c r="F6" s="191" t="s">
        <v>288</v>
      </c>
      <c r="G6" s="191" t="s">
        <v>289</v>
      </c>
      <c r="H6" s="191" t="s">
        <v>290</v>
      </c>
      <c r="I6" s="191" t="s">
        <v>780</v>
      </c>
      <c r="J6" s="191" t="s">
        <v>294</v>
      </c>
      <c r="K6" s="192" t="s">
        <v>291</v>
      </c>
      <c r="L6" s="193" t="s">
        <v>292</v>
      </c>
      <c r="M6" s="194" t="s">
        <v>293</v>
      </c>
      <c r="N6" s="423" t="s">
        <v>322</v>
      </c>
      <c r="O6" s="190" t="s">
        <v>117</v>
      </c>
      <c r="P6" s="191" t="s">
        <v>287</v>
      </c>
      <c r="Q6" s="191" t="s">
        <v>281</v>
      </c>
      <c r="R6" s="191" t="s">
        <v>288</v>
      </c>
      <c r="S6" s="191" t="s">
        <v>289</v>
      </c>
      <c r="T6" s="191" t="s">
        <v>290</v>
      </c>
      <c r="U6" s="191" t="s">
        <v>780</v>
      </c>
      <c r="V6" s="191" t="s">
        <v>294</v>
      </c>
      <c r="W6" s="192" t="s">
        <v>291</v>
      </c>
      <c r="X6" s="193" t="s">
        <v>292</v>
      </c>
      <c r="Y6" s="194" t="s">
        <v>293</v>
      </c>
    </row>
    <row r="7" spans="1:28" x14ac:dyDescent="0.2">
      <c r="A7" s="28"/>
      <c r="B7" s="33"/>
      <c r="C7" s="25"/>
      <c r="D7" s="25"/>
      <c r="E7" s="25"/>
      <c r="F7" s="25"/>
      <c r="G7" s="25"/>
      <c r="H7" s="25"/>
      <c r="I7" s="25"/>
      <c r="J7" s="25"/>
      <c r="K7" s="25"/>
      <c r="L7" s="25"/>
      <c r="M7" s="418"/>
      <c r="N7" s="33"/>
      <c r="O7" s="25"/>
      <c r="P7" s="25"/>
      <c r="Q7" s="25"/>
      <c r="R7" s="25"/>
      <c r="S7" s="25"/>
      <c r="T7" s="25"/>
      <c r="U7" s="25"/>
      <c r="V7" s="25"/>
      <c r="W7" s="25"/>
      <c r="X7" s="25"/>
      <c r="Y7" s="418"/>
      <c r="AA7" s="118"/>
      <c r="AB7" s="118"/>
    </row>
    <row r="8" spans="1:28" x14ac:dyDescent="0.2">
      <c r="A8" s="29" t="s">
        <v>7</v>
      </c>
      <c r="B8" s="419">
        <f>SUM(B9:B16)</f>
        <v>202</v>
      </c>
      <c r="C8" s="30"/>
      <c r="D8" s="30"/>
      <c r="E8" s="30"/>
      <c r="F8" s="30"/>
      <c r="G8" s="30"/>
      <c r="H8" s="30"/>
      <c r="I8" s="30"/>
      <c r="J8" s="30"/>
      <c r="K8" s="30"/>
      <c r="L8" s="30">
        <f>SUM(L9:L16)</f>
        <v>202</v>
      </c>
      <c r="M8" s="420">
        <f>SUM(M9:M16)</f>
        <v>10156173.280000001</v>
      </c>
      <c r="N8" s="419">
        <f>SUM(N9:N16)</f>
        <v>202</v>
      </c>
      <c r="O8" s="30"/>
      <c r="P8" s="30"/>
      <c r="Q8" s="30"/>
      <c r="R8" s="30"/>
      <c r="S8" s="30"/>
      <c r="T8" s="30"/>
      <c r="U8" s="30"/>
      <c r="V8" s="30"/>
      <c r="W8" s="30"/>
      <c r="X8" s="30">
        <f>SUM(X9:X16)</f>
        <v>202</v>
      </c>
      <c r="Y8" s="420">
        <f>SUM(Y9:Y16)</f>
        <v>10156173.280000001</v>
      </c>
      <c r="AA8" s="118"/>
      <c r="AB8" s="118"/>
    </row>
    <row r="9" spans="1:28" x14ac:dyDescent="0.2">
      <c r="A9" s="28" t="s">
        <v>3</v>
      </c>
      <c r="B9" s="33"/>
      <c r="C9" s="25"/>
      <c r="D9" s="25"/>
      <c r="E9" s="25"/>
      <c r="F9" s="25"/>
      <c r="G9" s="25"/>
      <c r="H9" s="25"/>
      <c r="I9" s="25"/>
      <c r="J9" s="25"/>
      <c r="K9" s="25"/>
      <c r="L9" s="25">
        <f t="shared" ref="L9:L16" si="0">SUM(B9:K9)</f>
        <v>0</v>
      </c>
      <c r="M9" s="418">
        <v>0</v>
      </c>
      <c r="N9" s="33"/>
      <c r="O9" s="25"/>
      <c r="P9" s="25"/>
      <c r="Q9" s="25"/>
      <c r="R9" s="25"/>
      <c r="S9" s="25"/>
      <c r="T9" s="25"/>
      <c r="U9" s="25"/>
      <c r="V9" s="25"/>
      <c r="W9" s="25"/>
      <c r="X9" s="25">
        <f t="shared" ref="X9:X16" si="1">SUM(N9:W9)</f>
        <v>0</v>
      </c>
      <c r="Y9" s="418">
        <v>0</v>
      </c>
      <c r="AA9" s="118"/>
      <c r="AB9" s="118"/>
    </row>
    <row r="10" spans="1:28" x14ac:dyDescent="0.2">
      <c r="A10" s="28" t="s">
        <v>743</v>
      </c>
      <c r="B10" s="33">
        <v>1</v>
      </c>
      <c r="C10" s="25"/>
      <c r="D10" s="25"/>
      <c r="E10" s="25"/>
      <c r="F10" s="25"/>
      <c r="G10" s="25"/>
      <c r="H10" s="25"/>
      <c r="I10" s="25"/>
      <c r="J10" s="25"/>
      <c r="K10" s="25"/>
      <c r="L10" s="25">
        <f t="shared" si="0"/>
        <v>1</v>
      </c>
      <c r="M10" s="418">
        <v>12027.76</v>
      </c>
      <c r="N10" s="33">
        <v>1</v>
      </c>
      <c r="O10" s="25"/>
      <c r="P10" s="25"/>
      <c r="Q10" s="25"/>
      <c r="R10" s="25"/>
      <c r="S10" s="25"/>
      <c r="T10" s="25"/>
      <c r="U10" s="25"/>
      <c r="V10" s="25"/>
      <c r="W10" s="25"/>
      <c r="X10" s="25">
        <f t="shared" si="1"/>
        <v>1</v>
      </c>
      <c r="Y10" s="418">
        <v>12027.76</v>
      </c>
      <c r="AA10" s="118"/>
      <c r="AB10" s="118"/>
    </row>
    <row r="11" spans="1:28" x14ac:dyDescent="0.2">
      <c r="A11" s="28" t="s">
        <v>744</v>
      </c>
      <c r="B11" s="33">
        <v>2</v>
      </c>
      <c r="C11" s="25"/>
      <c r="D11" s="25"/>
      <c r="E11" s="25"/>
      <c r="F11" s="25"/>
      <c r="G11" s="25"/>
      <c r="H11" s="25"/>
      <c r="I11" s="25"/>
      <c r="J11" s="25"/>
      <c r="K11" s="25" t="s">
        <v>86</v>
      </c>
      <c r="L11" s="25">
        <f t="shared" si="0"/>
        <v>2</v>
      </c>
      <c r="M11" s="418">
        <v>65868.44</v>
      </c>
      <c r="N11" s="33">
        <v>2</v>
      </c>
      <c r="O11" s="25"/>
      <c r="P11" s="25"/>
      <c r="Q11" s="25"/>
      <c r="R11" s="25"/>
      <c r="S11" s="25"/>
      <c r="T11" s="25"/>
      <c r="U11" s="25"/>
      <c r="V11" s="25"/>
      <c r="W11" s="25" t="s">
        <v>86</v>
      </c>
      <c r="X11" s="25">
        <f t="shared" si="1"/>
        <v>2</v>
      </c>
      <c r="Y11" s="418">
        <v>65868.44</v>
      </c>
      <c r="AA11" s="118"/>
      <c r="AB11" s="118"/>
    </row>
    <row r="12" spans="1:28" x14ac:dyDescent="0.2">
      <c r="A12" s="28" t="s">
        <v>745</v>
      </c>
      <c r="B12" s="33">
        <v>11</v>
      </c>
      <c r="C12" s="25"/>
      <c r="D12" s="25"/>
      <c r="E12" s="25"/>
      <c r="F12" s="25"/>
      <c r="G12" s="25"/>
      <c r="H12" s="25"/>
      <c r="I12" s="25"/>
      <c r="J12" s="25"/>
      <c r="K12" s="25"/>
      <c r="L12" s="25">
        <f t="shared" si="0"/>
        <v>11</v>
      </c>
      <c r="M12" s="418">
        <v>623524.16</v>
      </c>
      <c r="N12" s="33">
        <v>11</v>
      </c>
      <c r="O12" s="25"/>
      <c r="P12" s="25"/>
      <c r="Q12" s="25"/>
      <c r="R12" s="25"/>
      <c r="S12" s="25"/>
      <c r="T12" s="25"/>
      <c r="U12" s="25"/>
      <c r="V12" s="25"/>
      <c r="W12" s="25"/>
      <c r="X12" s="25">
        <f t="shared" si="1"/>
        <v>11</v>
      </c>
      <c r="Y12" s="418">
        <v>623524.16</v>
      </c>
      <c r="AA12" s="118"/>
      <c r="AB12" s="118"/>
    </row>
    <row r="13" spans="1:28" x14ac:dyDescent="0.2">
      <c r="A13" s="28" t="s">
        <v>746</v>
      </c>
      <c r="B13" s="33">
        <v>52</v>
      </c>
      <c r="C13" s="25"/>
      <c r="D13" s="25"/>
      <c r="E13" s="25"/>
      <c r="F13" s="25"/>
      <c r="G13" s="25"/>
      <c r="H13" s="25"/>
      <c r="I13" s="25"/>
      <c r="J13" s="25"/>
      <c r="K13" s="25"/>
      <c r="L13" s="25">
        <f t="shared" si="0"/>
        <v>52</v>
      </c>
      <c r="M13" s="418">
        <v>2808836.32</v>
      </c>
      <c r="N13" s="33">
        <v>52</v>
      </c>
      <c r="O13" s="25"/>
      <c r="P13" s="25"/>
      <c r="Q13" s="25"/>
      <c r="R13" s="25"/>
      <c r="S13" s="25"/>
      <c r="T13" s="25"/>
      <c r="U13" s="25"/>
      <c r="V13" s="25"/>
      <c r="W13" s="25"/>
      <c r="X13" s="25">
        <f t="shared" si="1"/>
        <v>52</v>
      </c>
      <c r="Y13" s="418">
        <v>2808836.32</v>
      </c>
      <c r="AA13" s="118"/>
      <c r="AB13" s="118"/>
    </row>
    <row r="14" spans="1:28" x14ac:dyDescent="0.2">
      <c r="A14" s="28" t="s">
        <v>747</v>
      </c>
      <c r="B14" s="33">
        <v>81</v>
      </c>
      <c r="C14" s="25"/>
      <c r="D14" s="25"/>
      <c r="E14" s="25"/>
      <c r="F14" s="25"/>
      <c r="G14" s="25"/>
      <c r="H14" s="25"/>
      <c r="I14" s="25"/>
      <c r="J14" s="25"/>
      <c r="K14" s="25"/>
      <c r="L14" s="25">
        <f t="shared" si="0"/>
        <v>81</v>
      </c>
      <c r="M14" s="418">
        <v>4292088.3600000003</v>
      </c>
      <c r="N14" s="33">
        <v>81</v>
      </c>
      <c r="O14" s="25"/>
      <c r="P14" s="25"/>
      <c r="Q14" s="25"/>
      <c r="R14" s="25"/>
      <c r="S14" s="25"/>
      <c r="T14" s="25"/>
      <c r="U14" s="25"/>
      <c r="V14" s="25"/>
      <c r="W14" s="25"/>
      <c r="X14" s="25">
        <f t="shared" si="1"/>
        <v>81</v>
      </c>
      <c r="Y14" s="418">
        <v>4292088.3600000003</v>
      </c>
      <c r="AA14" s="118"/>
      <c r="AB14" s="118"/>
    </row>
    <row r="15" spans="1:28" x14ac:dyDescent="0.2">
      <c r="A15" s="28" t="s">
        <v>748</v>
      </c>
      <c r="B15" s="33">
        <v>29</v>
      </c>
      <c r="C15" s="25"/>
      <c r="D15" s="25"/>
      <c r="E15" s="25"/>
      <c r="F15" s="25"/>
      <c r="G15" s="25"/>
      <c r="H15" s="25"/>
      <c r="I15" s="25"/>
      <c r="J15" s="25"/>
      <c r="K15" s="25"/>
      <c r="L15" s="25">
        <f t="shared" si="0"/>
        <v>29</v>
      </c>
      <c r="M15" s="418">
        <v>1235882.3600000001</v>
      </c>
      <c r="N15" s="33">
        <v>29</v>
      </c>
      <c r="O15" s="25"/>
      <c r="P15" s="25"/>
      <c r="Q15" s="25"/>
      <c r="R15" s="25"/>
      <c r="S15" s="25"/>
      <c r="T15" s="25"/>
      <c r="U15" s="25"/>
      <c r="V15" s="25"/>
      <c r="W15" s="25"/>
      <c r="X15" s="25">
        <f t="shared" si="1"/>
        <v>29</v>
      </c>
      <c r="Y15" s="418">
        <v>1235882.3600000001</v>
      </c>
      <c r="AA15" s="118"/>
      <c r="AB15" s="118"/>
    </row>
    <row r="16" spans="1:28" x14ac:dyDescent="0.2">
      <c r="A16" s="28" t="s">
        <v>11</v>
      </c>
      <c r="B16" s="33">
        <v>26</v>
      </c>
      <c r="C16" s="25"/>
      <c r="D16" s="25"/>
      <c r="E16" s="25"/>
      <c r="F16" s="25"/>
      <c r="G16" s="25"/>
      <c r="H16" s="25"/>
      <c r="I16" s="25"/>
      <c r="J16" s="25"/>
      <c r="K16" s="25"/>
      <c r="L16" s="25">
        <f t="shared" si="0"/>
        <v>26</v>
      </c>
      <c r="M16" s="418">
        <v>1117945.8799999999</v>
      </c>
      <c r="N16" s="33">
        <v>26</v>
      </c>
      <c r="O16" s="25"/>
      <c r="P16" s="25"/>
      <c r="Q16" s="25"/>
      <c r="R16" s="25"/>
      <c r="S16" s="25"/>
      <c r="T16" s="25"/>
      <c r="U16" s="25"/>
      <c r="V16" s="25"/>
      <c r="W16" s="25"/>
      <c r="X16" s="25">
        <f t="shared" si="1"/>
        <v>26</v>
      </c>
      <c r="Y16" s="418">
        <v>1117945.8799999999</v>
      </c>
      <c r="AA16" s="118"/>
      <c r="AB16" s="118"/>
    </row>
    <row r="17" spans="1:28" x14ac:dyDescent="0.2">
      <c r="A17" s="29" t="s">
        <v>4</v>
      </c>
      <c r="B17" s="419">
        <f>SUM(B18:B23)</f>
        <v>232</v>
      </c>
      <c r="C17" s="30"/>
      <c r="D17" s="30"/>
      <c r="E17" s="30"/>
      <c r="F17" s="30"/>
      <c r="G17" s="30"/>
      <c r="H17" s="30"/>
      <c r="I17" s="30">
        <f>SUM(I18:I23)</f>
        <v>33</v>
      </c>
      <c r="J17" s="30"/>
      <c r="K17" s="30"/>
      <c r="L17" s="421">
        <f t="shared" ref="L17:M17" si="2">SUM(L18:L23)</f>
        <v>265</v>
      </c>
      <c r="M17" s="420">
        <f t="shared" si="2"/>
        <v>10704537.279999999</v>
      </c>
      <c r="N17" s="419">
        <f>SUM(N18:N23)</f>
        <v>232</v>
      </c>
      <c r="O17" s="30"/>
      <c r="P17" s="30"/>
      <c r="Q17" s="30"/>
      <c r="R17" s="30"/>
      <c r="S17" s="30"/>
      <c r="T17" s="30"/>
      <c r="U17" s="30">
        <f>SUM(U18:U23)</f>
        <v>33</v>
      </c>
      <c r="V17" s="30"/>
      <c r="W17" s="30"/>
      <c r="X17" s="421">
        <f t="shared" ref="X17:Y17" si="3">SUM(X18:X23)</f>
        <v>265</v>
      </c>
      <c r="Y17" s="420">
        <f t="shared" si="3"/>
        <v>10704537.279999999</v>
      </c>
      <c r="AA17" s="118"/>
      <c r="AB17" s="118"/>
    </row>
    <row r="18" spans="1:28" x14ac:dyDescent="0.2">
      <c r="A18" s="28" t="s">
        <v>12</v>
      </c>
      <c r="B18" s="33">
        <v>17</v>
      </c>
      <c r="C18" s="25"/>
      <c r="D18" s="25"/>
      <c r="E18" s="25"/>
      <c r="F18" s="25"/>
      <c r="G18" s="25"/>
      <c r="H18" s="25"/>
      <c r="I18" s="25"/>
      <c r="J18" s="25"/>
      <c r="K18" s="25"/>
      <c r="L18" s="25">
        <f>SUM(B18:K18)</f>
        <v>17</v>
      </c>
      <c r="M18" s="418">
        <v>692094.32</v>
      </c>
      <c r="N18" s="33">
        <v>17</v>
      </c>
      <c r="O18" s="25"/>
      <c r="P18" s="25"/>
      <c r="Q18" s="25"/>
      <c r="R18" s="25"/>
      <c r="S18" s="25"/>
      <c r="T18" s="25"/>
      <c r="U18" s="25"/>
      <c r="V18" s="25"/>
      <c r="W18" s="25"/>
      <c r="X18" s="25">
        <f>SUM(N18:W18)</f>
        <v>17</v>
      </c>
      <c r="Y18" s="418">
        <v>692094.32</v>
      </c>
      <c r="AA18" s="118"/>
      <c r="AB18" s="118"/>
    </row>
    <row r="19" spans="1:28" x14ac:dyDescent="0.2">
      <c r="A19" s="28" t="s">
        <v>749</v>
      </c>
      <c r="B19" s="33">
        <v>12</v>
      </c>
      <c r="C19" s="25"/>
      <c r="D19" s="25"/>
      <c r="E19" s="25"/>
      <c r="F19" s="25"/>
      <c r="G19" s="25"/>
      <c r="H19" s="25"/>
      <c r="I19" s="25"/>
      <c r="J19" s="25"/>
      <c r="K19" s="25"/>
      <c r="L19" s="25">
        <f t="shared" ref="L19:L23" si="4">SUM(B19:K19)</f>
        <v>12</v>
      </c>
      <c r="M19" s="418">
        <v>477973.08</v>
      </c>
      <c r="N19" s="33">
        <v>12</v>
      </c>
      <c r="O19" s="25"/>
      <c r="P19" s="25"/>
      <c r="Q19" s="25"/>
      <c r="R19" s="25"/>
      <c r="S19" s="25"/>
      <c r="T19" s="25"/>
      <c r="U19" s="25"/>
      <c r="V19" s="25"/>
      <c r="W19" s="25"/>
      <c r="X19" s="25">
        <f t="shared" ref="X19:X23" si="5">SUM(N19:W19)</f>
        <v>12</v>
      </c>
      <c r="Y19" s="418">
        <v>477973.08</v>
      </c>
      <c r="AA19" s="118"/>
      <c r="AB19" s="118"/>
    </row>
    <row r="20" spans="1:28" x14ac:dyDescent="0.2">
      <c r="A20" s="28" t="s">
        <v>750</v>
      </c>
      <c r="B20" s="33">
        <v>46</v>
      </c>
      <c r="C20" s="25"/>
      <c r="D20" s="25"/>
      <c r="E20" s="25"/>
      <c r="F20" s="25"/>
      <c r="G20" s="25"/>
      <c r="H20" s="25"/>
      <c r="I20" s="25"/>
      <c r="J20" s="25"/>
      <c r="K20" s="25"/>
      <c r="L20" s="25">
        <f t="shared" si="4"/>
        <v>46</v>
      </c>
      <c r="M20" s="418">
        <v>1834544.08</v>
      </c>
      <c r="N20" s="33">
        <v>46</v>
      </c>
      <c r="O20" s="25"/>
      <c r="P20" s="25"/>
      <c r="Q20" s="25"/>
      <c r="R20" s="25"/>
      <c r="S20" s="25"/>
      <c r="T20" s="25"/>
      <c r="U20" s="25"/>
      <c r="V20" s="25"/>
      <c r="W20" s="25"/>
      <c r="X20" s="25">
        <f t="shared" si="5"/>
        <v>46</v>
      </c>
      <c r="Y20" s="418">
        <v>1834544.08</v>
      </c>
      <c r="AA20" s="118"/>
      <c r="AB20" s="118"/>
    </row>
    <row r="21" spans="1:28" x14ac:dyDescent="0.2">
      <c r="A21" s="28" t="s">
        <v>751</v>
      </c>
      <c r="B21" s="33">
        <v>67</v>
      </c>
      <c r="C21" s="25"/>
      <c r="D21" s="25"/>
      <c r="E21" s="25"/>
      <c r="F21" s="25"/>
      <c r="G21" s="25"/>
      <c r="H21" s="25"/>
      <c r="I21" s="25">
        <v>3</v>
      </c>
      <c r="J21" s="25"/>
      <c r="K21" s="25"/>
      <c r="L21" s="25">
        <f t="shared" si="4"/>
        <v>70</v>
      </c>
      <c r="M21" s="418">
        <f>103998.12+2815041.88</f>
        <v>2919040</v>
      </c>
      <c r="N21" s="33">
        <v>67</v>
      </c>
      <c r="O21" s="25"/>
      <c r="P21" s="25"/>
      <c r="Q21" s="25"/>
      <c r="R21" s="25"/>
      <c r="S21" s="25"/>
      <c r="T21" s="25"/>
      <c r="U21" s="25">
        <v>3</v>
      </c>
      <c r="V21" s="25"/>
      <c r="W21" s="25"/>
      <c r="X21" s="25">
        <f t="shared" si="5"/>
        <v>70</v>
      </c>
      <c r="Y21" s="418">
        <f>103998.12+2815041.88</f>
        <v>2919040</v>
      </c>
      <c r="AA21" s="118"/>
      <c r="AB21" s="118"/>
    </row>
    <row r="22" spans="1:28" x14ac:dyDescent="0.2">
      <c r="A22" s="28" t="s">
        <v>13</v>
      </c>
      <c r="B22" s="33">
        <v>54</v>
      </c>
      <c r="C22" s="25"/>
      <c r="D22" s="25"/>
      <c r="E22" s="25"/>
      <c r="F22" s="25"/>
      <c r="G22" s="25"/>
      <c r="H22" s="25"/>
      <c r="I22" s="25">
        <v>22</v>
      </c>
      <c r="J22" s="25"/>
      <c r="K22" s="25"/>
      <c r="L22" s="25">
        <f t="shared" si="4"/>
        <v>76</v>
      </c>
      <c r="M22" s="418">
        <f>2032861.8+913094.08</f>
        <v>2945955.88</v>
      </c>
      <c r="N22" s="33">
        <v>54</v>
      </c>
      <c r="O22" s="25"/>
      <c r="P22" s="25"/>
      <c r="Q22" s="25"/>
      <c r="R22" s="25"/>
      <c r="S22" s="25"/>
      <c r="T22" s="25"/>
      <c r="U22" s="25">
        <v>22</v>
      </c>
      <c r="V22" s="25"/>
      <c r="W22" s="25"/>
      <c r="X22" s="25">
        <f t="shared" si="5"/>
        <v>76</v>
      </c>
      <c r="Y22" s="418">
        <f>2032861.8+913094.08</f>
        <v>2945955.88</v>
      </c>
      <c r="AA22" s="118"/>
      <c r="AB22" s="118"/>
    </row>
    <row r="23" spans="1:28" x14ac:dyDescent="0.2">
      <c r="A23" s="28" t="s">
        <v>752</v>
      </c>
      <c r="B23" s="33">
        <v>36</v>
      </c>
      <c r="C23" s="25"/>
      <c r="D23" s="25"/>
      <c r="E23" s="25"/>
      <c r="F23" s="25"/>
      <c r="G23" s="25"/>
      <c r="H23" s="25"/>
      <c r="I23" s="25">
        <v>8</v>
      </c>
      <c r="J23" s="25"/>
      <c r="K23" s="25"/>
      <c r="L23" s="25">
        <f t="shared" si="4"/>
        <v>44</v>
      </c>
      <c r="M23" s="418">
        <f>326773.04+1508156.88</f>
        <v>1834929.92</v>
      </c>
      <c r="N23" s="33">
        <v>36</v>
      </c>
      <c r="O23" s="25"/>
      <c r="P23" s="25"/>
      <c r="Q23" s="25"/>
      <c r="R23" s="25"/>
      <c r="S23" s="25"/>
      <c r="T23" s="25"/>
      <c r="U23" s="25">
        <v>8</v>
      </c>
      <c r="V23" s="25"/>
      <c r="W23" s="25"/>
      <c r="X23" s="25">
        <f t="shared" si="5"/>
        <v>44</v>
      </c>
      <c r="Y23" s="418">
        <f>326773.04+1508156.88</f>
        <v>1834929.92</v>
      </c>
      <c r="AA23" s="118"/>
      <c r="AB23" s="118"/>
    </row>
    <row r="24" spans="1:28" x14ac:dyDescent="0.2">
      <c r="A24" s="29" t="s">
        <v>5</v>
      </c>
      <c r="B24" s="419">
        <f>SUM(B25:B30)</f>
        <v>561</v>
      </c>
      <c r="C24" s="30"/>
      <c r="D24" s="30"/>
      <c r="E24" s="30"/>
      <c r="F24" s="30"/>
      <c r="G24" s="30"/>
      <c r="H24" s="30"/>
      <c r="I24" s="30">
        <f>SUM(I25:I30)</f>
        <v>1283</v>
      </c>
      <c r="J24" s="30"/>
      <c r="K24" s="30"/>
      <c r="L24" s="421">
        <f t="shared" ref="L24:M24" si="6">SUM(L25:L30)</f>
        <v>1844</v>
      </c>
      <c r="M24" s="420">
        <f t="shared" si="6"/>
        <v>69543761.159999996</v>
      </c>
      <c r="N24" s="419">
        <f>SUM(N25:N30)</f>
        <v>561</v>
      </c>
      <c r="O24" s="30"/>
      <c r="P24" s="30"/>
      <c r="Q24" s="30"/>
      <c r="R24" s="30"/>
      <c r="S24" s="30"/>
      <c r="T24" s="30"/>
      <c r="U24" s="30">
        <f>SUM(U25:U30)</f>
        <v>1283</v>
      </c>
      <c r="V24" s="30"/>
      <c r="W24" s="30"/>
      <c r="X24" s="421">
        <f t="shared" ref="X24:Y24" si="7">SUM(X25:X30)</f>
        <v>1844</v>
      </c>
      <c r="Y24" s="420">
        <f t="shared" si="7"/>
        <v>69543761.159999996</v>
      </c>
      <c r="AA24" s="118"/>
      <c r="AB24" s="118"/>
    </row>
    <row r="25" spans="1:28" x14ac:dyDescent="0.2">
      <c r="A25" s="28" t="s">
        <v>14</v>
      </c>
      <c r="B25" s="33">
        <v>170</v>
      </c>
      <c r="C25" s="25"/>
      <c r="D25" s="25"/>
      <c r="E25" s="25"/>
      <c r="F25" s="25"/>
      <c r="G25" s="25"/>
      <c r="H25" s="25"/>
      <c r="I25" s="25">
        <v>78</v>
      </c>
      <c r="J25" s="25"/>
      <c r="K25" s="25"/>
      <c r="L25" s="25">
        <f>SUM(B25:K25)</f>
        <v>248</v>
      </c>
      <c r="M25" s="418">
        <f>5943785+3072799.32</f>
        <v>9016584.3200000003</v>
      </c>
      <c r="N25" s="33">
        <v>170</v>
      </c>
      <c r="O25" s="25"/>
      <c r="P25" s="25"/>
      <c r="Q25" s="25"/>
      <c r="R25" s="25"/>
      <c r="S25" s="25"/>
      <c r="T25" s="25"/>
      <c r="U25" s="25">
        <v>78</v>
      </c>
      <c r="V25" s="25"/>
      <c r="W25" s="25"/>
      <c r="X25" s="25">
        <f>SUM(N25:W25)</f>
        <v>248</v>
      </c>
      <c r="Y25" s="418">
        <f>5943785+3072799.32</f>
        <v>9016584.3200000003</v>
      </c>
      <c r="AA25" s="118"/>
      <c r="AB25" s="118"/>
    </row>
    <row r="26" spans="1:28" x14ac:dyDescent="0.2">
      <c r="A26" s="28" t="s">
        <v>753</v>
      </c>
      <c r="B26" s="33">
        <v>86</v>
      </c>
      <c r="C26" s="25"/>
      <c r="D26" s="25"/>
      <c r="E26" s="25"/>
      <c r="F26" s="25"/>
      <c r="G26" s="25"/>
      <c r="H26" s="25"/>
      <c r="I26" s="25">
        <v>155</v>
      </c>
      <c r="J26" s="25"/>
      <c r="K26" s="25"/>
      <c r="L26" s="25">
        <f t="shared" ref="L26:L30" si="8">SUM(B26:K26)</f>
        <v>241</v>
      </c>
      <c r="M26" s="418">
        <f>3213950.48+6451796.6</f>
        <v>9665747.0800000001</v>
      </c>
      <c r="N26" s="33">
        <v>86</v>
      </c>
      <c r="O26" s="25"/>
      <c r="P26" s="25"/>
      <c r="Q26" s="25"/>
      <c r="R26" s="25"/>
      <c r="S26" s="25"/>
      <c r="T26" s="25"/>
      <c r="U26" s="25">
        <v>155</v>
      </c>
      <c r="V26" s="25"/>
      <c r="W26" s="25"/>
      <c r="X26" s="25">
        <f t="shared" ref="X26:X30" si="9">SUM(N26:W26)</f>
        <v>241</v>
      </c>
      <c r="Y26" s="418">
        <f>3213950.48+6451796.6</f>
        <v>9665747.0800000001</v>
      </c>
      <c r="AA26" s="118"/>
      <c r="AB26" s="118"/>
    </row>
    <row r="27" spans="1:28" x14ac:dyDescent="0.2">
      <c r="A27" s="28" t="s">
        <v>754</v>
      </c>
      <c r="B27" s="33">
        <v>76</v>
      </c>
      <c r="C27" s="25"/>
      <c r="D27" s="25"/>
      <c r="E27" s="25"/>
      <c r="F27" s="25"/>
      <c r="G27" s="25"/>
      <c r="H27" s="25"/>
      <c r="I27" s="25">
        <v>336</v>
      </c>
      <c r="J27" s="25"/>
      <c r="K27" s="25"/>
      <c r="L27" s="25">
        <f t="shared" si="8"/>
        <v>412</v>
      </c>
      <c r="M27" s="418">
        <f>13613187.48+2874247</f>
        <v>16487434.48</v>
      </c>
      <c r="N27" s="33">
        <v>76</v>
      </c>
      <c r="O27" s="25"/>
      <c r="P27" s="25"/>
      <c r="Q27" s="25"/>
      <c r="R27" s="25"/>
      <c r="S27" s="25"/>
      <c r="T27" s="25"/>
      <c r="U27" s="25">
        <v>336</v>
      </c>
      <c r="V27" s="25"/>
      <c r="W27" s="25"/>
      <c r="X27" s="25">
        <f t="shared" si="9"/>
        <v>412</v>
      </c>
      <c r="Y27" s="418">
        <f>13613187.48+2874247</f>
        <v>16487434.48</v>
      </c>
      <c r="AA27" s="118"/>
      <c r="AB27" s="118"/>
    </row>
    <row r="28" spans="1:28" x14ac:dyDescent="0.2">
      <c r="A28" s="28" t="s">
        <v>755</v>
      </c>
      <c r="B28" s="33">
        <v>115</v>
      </c>
      <c r="C28" s="25"/>
      <c r="D28" s="25"/>
      <c r="E28" s="25"/>
      <c r="F28" s="25"/>
      <c r="G28" s="25"/>
      <c r="H28" s="25"/>
      <c r="I28" s="25">
        <v>44</v>
      </c>
      <c r="J28" s="25"/>
      <c r="K28" s="25"/>
      <c r="L28" s="25">
        <f t="shared" si="8"/>
        <v>159</v>
      </c>
      <c r="M28" s="418">
        <f>1577486.6+4013202.4</f>
        <v>5590689</v>
      </c>
      <c r="N28" s="33">
        <v>115</v>
      </c>
      <c r="O28" s="25"/>
      <c r="P28" s="25"/>
      <c r="Q28" s="25"/>
      <c r="R28" s="25"/>
      <c r="S28" s="25"/>
      <c r="T28" s="25"/>
      <c r="U28" s="25">
        <v>44</v>
      </c>
      <c r="V28" s="25"/>
      <c r="W28" s="25"/>
      <c r="X28" s="25">
        <f t="shared" si="9"/>
        <v>159</v>
      </c>
      <c r="Y28" s="418">
        <f>1577486.6+4013202.4</f>
        <v>5590689</v>
      </c>
      <c r="AA28" s="118"/>
      <c r="AB28" s="118"/>
    </row>
    <row r="29" spans="1:28" x14ac:dyDescent="0.2">
      <c r="A29" s="28" t="s">
        <v>15</v>
      </c>
      <c r="B29" s="33">
        <v>83</v>
      </c>
      <c r="C29" s="25"/>
      <c r="D29" s="25"/>
      <c r="E29" s="25"/>
      <c r="F29" s="25"/>
      <c r="G29" s="25"/>
      <c r="H29" s="25"/>
      <c r="I29" s="25">
        <v>29</v>
      </c>
      <c r="J29" s="25"/>
      <c r="K29" s="25"/>
      <c r="L29" s="25">
        <f t="shared" si="8"/>
        <v>112</v>
      </c>
      <c r="M29" s="418">
        <f>1015466.48+2396909.28</f>
        <v>3412375.76</v>
      </c>
      <c r="N29" s="33">
        <v>83</v>
      </c>
      <c r="O29" s="25"/>
      <c r="P29" s="25"/>
      <c r="Q29" s="25"/>
      <c r="R29" s="25"/>
      <c r="S29" s="25"/>
      <c r="T29" s="25"/>
      <c r="U29" s="25">
        <v>29</v>
      </c>
      <c r="V29" s="25"/>
      <c r="W29" s="25"/>
      <c r="X29" s="25">
        <f t="shared" si="9"/>
        <v>112</v>
      </c>
      <c r="Y29" s="418">
        <f>1015466.48+2396909.28</f>
        <v>3412375.76</v>
      </c>
      <c r="AA29" s="118"/>
      <c r="AB29" s="118"/>
    </row>
    <row r="30" spans="1:28" x14ac:dyDescent="0.2">
      <c r="A30" s="28" t="s">
        <v>756</v>
      </c>
      <c r="B30" s="33">
        <v>31</v>
      </c>
      <c r="C30" s="25"/>
      <c r="D30" s="25"/>
      <c r="E30" s="25"/>
      <c r="F30" s="25"/>
      <c r="G30" s="25"/>
      <c r="H30" s="25"/>
      <c r="I30" s="25">
        <v>641</v>
      </c>
      <c r="J30" s="25"/>
      <c r="K30" s="25"/>
      <c r="L30" s="25">
        <f t="shared" si="8"/>
        <v>672</v>
      </c>
      <c r="M30" s="418">
        <f>24354850.4+1016080.12</f>
        <v>25370930.52</v>
      </c>
      <c r="N30" s="33">
        <v>31</v>
      </c>
      <c r="O30" s="25"/>
      <c r="P30" s="25"/>
      <c r="Q30" s="25"/>
      <c r="R30" s="25"/>
      <c r="S30" s="25"/>
      <c r="T30" s="25"/>
      <c r="U30" s="25">
        <v>641</v>
      </c>
      <c r="V30" s="25"/>
      <c r="W30" s="25"/>
      <c r="X30" s="25">
        <f t="shared" si="9"/>
        <v>672</v>
      </c>
      <c r="Y30" s="418">
        <f>24354850.4+1016080.12</f>
        <v>25370930.52</v>
      </c>
      <c r="AA30" s="118"/>
      <c r="AB30" s="118"/>
    </row>
    <row r="31" spans="1:28" x14ac:dyDescent="0.2">
      <c r="A31" s="29" t="s">
        <v>6</v>
      </c>
      <c r="B31" s="419">
        <f>SUM(B32:B37)</f>
        <v>749</v>
      </c>
      <c r="C31" s="30"/>
      <c r="D31" s="30"/>
      <c r="E31" s="30"/>
      <c r="F31" s="30"/>
      <c r="G31" s="30"/>
      <c r="H31" s="30"/>
      <c r="I31" s="30">
        <f>SUM(I32:I37)</f>
        <v>186</v>
      </c>
      <c r="J31" s="30"/>
      <c r="K31" s="30"/>
      <c r="L31" s="421">
        <f t="shared" ref="L31:M31" si="10">SUM(L32:L37)</f>
        <v>935</v>
      </c>
      <c r="M31" s="420">
        <f t="shared" si="10"/>
        <v>22751353.84</v>
      </c>
      <c r="N31" s="419">
        <f>SUM(N32:N37)</f>
        <v>749</v>
      </c>
      <c r="O31" s="30"/>
      <c r="P31" s="30"/>
      <c r="Q31" s="30"/>
      <c r="R31" s="30"/>
      <c r="S31" s="30"/>
      <c r="T31" s="30"/>
      <c r="U31" s="30">
        <f>SUM(U32:U37)</f>
        <v>186</v>
      </c>
      <c r="V31" s="30"/>
      <c r="W31" s="30"/>
      <c r="X31" s="421">
        <f t="shared" ref="X31:Y31" si="11">SUM(X32:X37)</f>
        <v>935</v>
      </c>
      <c r="Y31" s="420">
        <f t="shared" si="11"/>
        <v>22751353.84</v>
      </c>
      <c r="AA31" s="118"/>
      <c r="AB31" s="118"/>
    </row>
    <row r="32" spans="1:28" ht="12" x14ac:dyDescent="0.2">
      <c r="A32" s="28" t="s">
        <v>16</v>
      </c>
      <c r="B32" s="33">
        <v>39</v>
      </c>
      <c r="C32" s="25"/>
      <c r="D32" s="25"/>
      <c r="E32" s="25"/>
      <c r="F32" s="25"/>
      <c r="G32" s="25"/>
      <c r="H32" s="25"/>
      <c r="I32" s="25"/>
      <c r="J32" s="25"/>
      <c r="K32" s="25"/>
      <c r="L32" s="25">
        <f t="shared" ref="L32:L37" si="12">SUM(B32:K32)</f>
        <v>39</v>
      </c>
      <c r="M32" s="418">
        <v>1026482.64</v>
      </c>
      <c r="N32" s="33">
        <v>39</v>
      </c>
      <c r="O32" s="25"/>
      <c r="P32" s="25"/>
      <c r="Q32" s="25"/>
      <c r="R32" s="25"/>
      <c r="S32" s="25"/>
      <c r="T32" s="25"/>
      <c r="U32" s="25"/>
      <c r="V32" s="25"/>
      <c r="W32" s="25"/>
      <c r="X32" s="25">
        <f t="shared" ref="X32:X37" si="13">SUM(N32:W32)</f>
        <v>39</v>
      </c>
      <c r="Y32" s="418">
        <v>1026482.64</v>
      </c>
      <c r="Z32" s="118"/>
      <c r="AA32" s="118"/>
      <c r="AB32" s="118"/>
    </row>
    <row r="33" spans="1:28" ht="12" x14ac:dyDescent="0.2">
      <c r="A33" s="28" t="s">
        <v>757</v>
      </c>
      <c r="B33" s="33">
        <v>79</v>
      </c>
      <c r="C33" s="25"/>
      <c r="D33" s="25"/>
      <c r="E33" s="25"/>
      <c r="F33" s="25"/>
      <c r="G33" s="25"/>
      <c r="H33" s="25"/>
      <c r="I33" s="25">
        <v>47</v>
      </c>
      <c r="J33" s="25"/>
      <c r="K33" s="25"/>
      <c r="L33" s="25">
        <f t="shared" si="12"/>
        <v>126</v>
      </c>
      <c r="M33" s="418">
        <f>1849807.04+2309574.04</f>
        <v>4159381.08</v>
      </c>
      <c r="N33" s="33">
        <v>79</v>
      </c>
      <c r="O33" s="25"/>
      <c r="P33" s="25"/>
      <c r="Q33" s="25"/>
      <c r="R33" s="25"/>
      <c r="S33" s="25"/>
      <c r="T33" s="25"/>
      <c r="U33" s="25">
        <v>47</v>
      </c>
      <c r="V33" s="25"/>
      <c r="W33" s="25"/>
      <c r="X33" s="25">
        <f t="shared" si="13"/>
        <v>126</v>
      </c>
      <c r="Y33" s="418">
        <f>1849807.04+2309574.04</f>
        <v>4159381.08</v>
      </c>
      <c r="Z33" s="118"/>
      <c r="AA33" s="118"/>
      <c r="AB33" s="118"/>
    </row>
    <row r="34" spans="1:28" ht="12" x14ac:dyDescent="0.2">
      <c r="A34" s="28" t="s">
        <v>758</v>
      </c>
      <c r="B34" s="33">
        <v>34</v>
      </c>
      <c r="C34" s="25"/>
      <c r="D34" s="25"/>
      <c r="E34" s="25"/>
      <c r="F34" s="25"/>
      <c r="G34" s="25"/>
      <c r="H34" s="25"/>
      <c r="I34" s="25">
        <v>22</v>
      </c>
      <c r="J34" s="25"/>
      <c r="K34" s="25"/>
      <c r="L34" s="25">
        <f t="shared" si="12"/>
        <v>56</v>
      </c>
      <c r="M34" s="418">
        <f>842349.28+992348.32</f>
        <v>1834697.6</v>
      </c>
      <c r="N34" s="33">
        <v>34</v>
      </c>
      <c r="O34" s="25"/>
      <c r="P34" s="25"/>
      <c r="Q34" s="25"/>
      <c r="R34" s="25"/>
      <c r="S34" s="25"/>
      <c r="T34" s="25"/>
      <c r="U34" s="25">
        <v>22</v>
      </c>
      <c r="V34" s="25"/>
      <c r="W34" s="25"/>
      <c r="X34" s="25">
        <f t="shared" si="13"/>
        <v>56</v>
      </c>
      <c r="Y34" s="418">
        <f>842349.28+992348.32</f>
        <v>1834697.6</v>
      </c>
      <c r="Z34" s="118"/>
      <c r="AA34" s="118"/>
      <c r="AB34" s="118"/>
    </row>
    <row r="35" spans="1:28" x14ac:dyDescent="0.2">
      <c r="A35" s="28" t="s">
        <v>759</v>
      </c>
      <c r="B35" s="33">
        <v>57</v>
      </c>
      <c r="C35" s="25"/>
      <c r="D35" s="25"/>
      <c r="E35" s="25"/>
      <c r="F35" s="25"/>
      <c r="G35" s="25"/>
      <c r="H35" s="25"/>
      <c r="I35" s="25">
        <v>19</v>
      </c>
      <c r="J35" s="25"/>
      <c r="K35" s="25"/>
      <c r="L35" s="25">
        <f t="shared" si="12"/>
        <v>76</v>
      </c>
      <c r="M35" s="418">
        <f>654011.56+1473148.92</f>
        <v>2127160.48</v>
      </c>
      <c r="N35" s="33">
        <v>57</v>
      </c>
      <c r="O35" s="25"/>
      <c r="P35" s="25"/>
      <c r="Q35" s="25"/>
      <c r="R35" s="25"/>
      <c r="S35" s="25"/>
      <c r="T35" s="25"/>
      <c r="U35" s="25">
        <v>19</v>
      </c>
      <c r="V35" s="25"/>
      <c r="W35" s="25"/>
      <c r="X35" s="25">
        <f t="shared" si="13"/>
        <v>76</v>
      </c>
      <c r="Y35" s="418">
        <f>654011.56+1473148.92</f>
        <v>2127160.48</v>
      </c>
    </row>
    <row r="36" spans="1:28" x14ac:dyDescent="0.2">
      <c r="A36" s="28" t="s">
        <v>17</v>
      </c>
      <c r="B36" s="33">
        <v>537</v>
      </c>
      <c r="C36" s="25"/>
      <c r="D36" s="25"/>
      <c r="E36" s="25"/>
      <c r="F36" s="25"/>
      <c r="G36" s="25"/>
      <c r="H36" s="25"/>
      <c r="I36" s="25">
        <v>5</v>
      </c>
      <c r="J36" s="25"/>
      <c r="K36" s="25"/>
      <c r="L36" s="25">
        <f t="shared" si="12"/>
        <v>542</v>
      </c>
      <c r="M36" s="418">
        <v>13349107.640000001</v>
      </c>
      <c r="N36" s="33">
        <v>537</v>
      </c>
      <c r="O36" s="25"/>
      <c r="P36" s="25"/>
      <c r="Q36" s="25"/>
      <c r="R36" s="25"/>
      <c r="S36" s="25"/>
      <c r="T36" s="25"/>
      <c r="U36" s="25">
        <v>5</v>
      </c>
      <c r="V36" s="25"/>
      <c r="W36" s="25"/>
      <c r="X36" s="25">
        <f t="shared" si="13"/>
        <v>542</v>
      </c>
      <c r="Y36" s="418">
        <v>13349107.640000001</v>
      </c>
    </row>
    <row r="37" spans="1:28" x14ac:dyDescent="0.2">
      <c r="A37" s="28" t="s">
        <v>760</v>
      </c>
      <c r="B37" s="33">
        <v>3</v>
      </c>
      <c r="C37" s="25"/>
      <c r="D37" s="25"/>
      <c r="E37" s="25"/>
      <c r="F37" s="25"/>
      <c r="G37" s="25"/>
      <c r="H37" s="25"/>
      <c r="I37" s="25">
        <v>93</v>
      </c>
      <c r="J37" s="25"/>
      <c r="K37" s="25"/>
      <c r="L37" s="25">
        <f t="shared" si="12"/>
        <v>96</v>
      </c>
      <c r="M37" s="418">
        <f>182132.24+72392.16</f>
        <v>254524.4</v>
      </c>
      <c r="N37" s="33">
        <v>3</v>
      </c>
      <c r="O37" s="25"/>
      <c r="P37" s="25"/>
      <c r="Q37" s="25"/>
      <c r="R37" s="25"/>
      <c r="S37" s="25"/>
      <c r="T37" s="25"/>
      <c r="U37" s="25">
        <v>93</v>
      </c>
      <c r="V37" s="25"/>
      <c r="W37" s="25"/>
      <c r="X37" s="25">
        <f t="shared" si="13"/>
        <v>96</v>
      </c>
      <c r="Y37" s="418">
        <f>182132.24+72392.16</f>
        <v>254524.4</v>
      </c>
    </row>
    <row r="38" spans="1:28" x14ac:dyDescent="0.2">
      <c r="A38" s="29" t="s">
        <v>761</v>
      </c>
      <c r="B38" s="419"/>
      <c r="C38" s="30"/>
      <c r="D38" s="30"/>
      <c r="E38" s="30"/>
      <c r="F38" s="30"/>
      <c r="G38" s="30"/>
      <c r="H38" s="30"/>
      <c r="I38" s="30"/>
      <c r="J38" s="30"/>
      <c r="K38" s="30">
        <f>SUM(K39:K43)</f>
        <v>12841</v>
      </c>
      <c r="L38" s="421">
        <f>SUM(L39:L43)</f>
        <v>12841</v>
      </c>
      <c r="M38" s="420">
        <f>SUM(M39:M43)</f>
        <v>553894468.24000001</v>
      </c>
      <c r="N38" s="419"/>
      <c r="O38" s="30"/>
      <c r="P38" s="30"/>
      <c r="Q38" s="30"/>
      <c r="R38" s="30"/>
      <c r="S38" s="30"/>
      <c r="T38" s="30"/>
      <c r="U38" s="30"/>
      <c r="V38" s="30"/>
      <c r="W38" s="30">
        <f>SUM(W39:W43)</f>
        <v>12841</v>
      </c>
      <c r="X38" s="421">
        <f>SUM(X39:X43)</f>
        <v>12841</v>
      </c>
      <c r="Y38" s="420">
        <f>SUM(Y39:Y43)</f>
        <v>553894468.24000001</v>
      </c>
    </row>
    <row r="39" spans="1:28" x14ac:dyDescent="0.2">
      <c r="A39" s="28" t="s">
        <v>762</v>
      </c>
      <c r="B39" s="33"/>
      <c r="C39" s="25"/>
      <c r="D39" s="25"/>
      <c r="E39" s="25"/>
      <c r="F39" s="25"/>
      <c r="G39" s="25"/>
      <c r="H39" s="25"/>
      <c r="I39" s="25"/>
      <c r="J39" s="25"/>
      <c r="K39" s="25">
        <v>1811</v>
      </c>
      <c r="L39" s="25">
        <f>SUM(B39:K39)</f>
        <v>1811</v>
      </c>
      <c r="M39" s="418">
        <v>127418985.92</v>
      </c>
      <c r="N39" s="33"/>
      <c r="O39" s="25"/>
      <c r="P39" s="25"/>
      <c r="Q39" s="25"/>
      <c r="R39" s="25"/>
      <c r="S39" s="25"/>
      <c r="T39" s="25"/>
      <c r="U39" s="25"/>
      <c r="V39" s="25"/>
      <c r="W39" s="25">
        <v>1811</v>
      </c>
      <c r="X39" s="25">
        <f>SUM(N39:W39)</f>
        <v>1811</v>
      </c>
      <c r="Y39" s="418">
        <v>127418985.92</v>
      </c>
    </row>
    <row r="40" spans="1:28" x14ac:dyDescent="0.2">
      <c r="A40" s="28" t="s">
        <v>763</v>
      </c>
      <c r="B40" s="33"/>
      <c r="C40" s="25"/>
      <c r="D40" s="25"/>
      <c r="E40" s="25"/>
      <c r="F40" s="25"/>
      <c r="G40" s="25"/>
      <c r="H40" s="25"/>
      <c r="I40" s="25"/>
      <c r="J40" s="25"/>
      <c r="K40" s="25">
        <v>8079</v>
      </c>
      <c r="L40" s="25">
        <f>SUM(B40:K40)</f>
        <v>8079</v>
      </c>
      <c r="M40" s="418">
        <v>331822773.95999998</v>
      </c>
      <c r="N40" s="33"/>
      <c r="O40" s="25"/>
      <c r="P40" s="25"/>
      <c r="Q40" s="25"/>
      <c r="R40" s="25"/>
      <c r="S40" s="25"/>
      <c r="T40" s="25"/>
      <c r="U40" s="25"/>
      <c r="V40" s="25"/>
      <c r="W40" s="25">
        <v>8079</v>
      </c>
      <c r="X40" s="25">
        <f>SUM(N40:W40)</f>
        <v>8079</v>
      </c>
      <c r="Y40" s="418">
        <v>331822773.95999998</v>
      </c>
    </row>
    <row r="41" spans="1:28" x14ac:dyDescent="0.2">
      <c r="A41" s="28" t="s">
        <v>764</v>
      </c>
      <c r="B41" s="33"/>
      <c r="C41" s="25"/>
      <c r="D41" s="25"/>
      <c r="E41" s="25"/>
      <c r="F41" s="25"/>
      <c r="G41" s="25"/>
      <c r="H41" s="25"/>
      <c r="I41" s="25"/>
      <c r="J41" s="25"/>
      <c r="K41" s="25">
        <v>2461</v>
      </c>
      <c r="L41" s="25">
        <f>SUM(B41:K41)</f>
        <v>2461</v>
      </c>
      <c r="M41" s="418">
        <v>81239641.319999993</v>
      </c>
      <c r="N41" s="33"/>
      <c r="O41" s="25"/>
      <c r="P41" s="25"/>
      <c r="Q41" s="25"/>
      <c r="R41" s="25"/>
      <c r="S41" s="25"/>
      <c r="T41" s="25"/>
      <c r="U41" s="25"/>
      <c r="V41" s="25"/>
      <c r="W41" s="25">
        <v>2461</v>
      </c>
      <c r="X41" s="25">
        <f>SUM(N41:W41)</f>
        <v>2461</v>
      </c>
      <c r="Y41" s="418">
        <v>81239641.319999993</v>
      </c>
    </row>
    <row r="42" spans="1:28" x14ac:dyDescent="0.2">
      <c r="A42" s="28" t="s">
        <v>765</v>
      </c>
      <c r="B42" s="33"/>
      <c r="C42" s="25"/>
      <c r="D42" s="25"/>
      <c r="E42" s="25"/>
      <c r="F42" s="25"/>
      <c r="G42" s="25"/>
      <c r="H42" s="25"/>
      <c r="I42" s="25"/>
      <c r="J42" s="25"/>
      <c r="K42" s="25">
        <v>290</v>
      </c>
      <c r="L42" s="25">
        <f>SUM(B42:K42)</f>
        <v>290</v>
      </c>
      <c r="M42" s="418">
        <v>5702756</v>
      </c>
      <c r="N42" s="33"/>
      <c r="O42" s="25"/>
      <c r="P42" s="25"/>
      <c r="Q42" s="25"/>
      <c r="R42" s="25"/>
      <c r="S42" s="25"/>
      <c r="T42" s="25"/>
      <c r="U42" s="25"/>
      <c r="V42" s="25"/>
      <c r="W42" s="25">
        <v>290</v>
      </c>
      <c r="X42" s="25">
        <f>SUM(N42:W42)</f>
        <v>290</v>
      </c>
      <c r="Y42" s="418">
        <v>5702756</v>
      </c>
    </row>
    <row r="43" spans="1:28" x14ac:dyDescent="0.2">
      <c r="A43" s="28" t="s">
        <v>766</v>
      </c>
      <c r="B43" s="33"/>
      <c r="C43" s="25"/>
      <c r="D43" s="25"/>
      <c r="E43" s="25"/>
      <c r="F43" s="25"/>
      <c r="G43" s="25"/>
      <c r="H43" s="25"/>
      <c r="I43" s="25"/>
      <c r="J43" s="25"/>
      <c r="K43" s="25">
        <v>200</v>
      </c>
      <c r="L43" s="25">
        <f>SUM(B43:K43)</f>
        <v>200</v>
      </c>
      <c r="M43" s="418">
        <v>7710311.04</v>
      </c>
      <c r="N43" s="33"/>
      <c r="O43" s="25"/>
      <c r="P43" s="25"/>
      <c r="Q43" s="25"/>
      <c r="R43" s="25"/>
      <c r="S43" s="25"/>
      <c r="T43" s="25"/>
      <c r="U43" s="25"/>
      <c r="V43" s="25"/>
      <c r="W43" s="25">
        <v>200</v>
      </c>
      <c r="X43" s="25">
        <f>SUM(N43:W43)</f>
        <v>200</v>
      </c>
      <c r="Y43" s="418">
        <v>7710311.04</v>
      </c>
    </row>
    <row r="44" spans="1:28" x14ac:dyDescent="0.2">
      <c r="A44" s="29" t="s">
        <v>767</v>
      </c>
      <c r="B44" s="419"/>
      <c r="C44" s="30"/>
      <c r="D44" s="30"/>
      <c r="E44" s="30"/>
      <c r="F44" s="30"/>
      <c r="G44" s="30"/>
      <c r="H44" s="30"/>
      <c r="I44" s="30"/>
      <c r="J44" s="30"/>
      <c r="K44" s="30">
        <f>SUM(K45:K49)</f>
        <v>4007</v>
      </c>
      <c r="L44" s="421">
        <f>SUM(L45:L49)</f>
        <v>4007</v>
      </c>
      <c r="M44" s="420">
        <f>SUM(M45:M49)</f>
        <v>121879261.59999999</v>
      </c>
      <c r="N44" s="419"/>
      <c r="O44" s="30"/>
      <c r="P44" s="30"/>
      <c r="Q44" s="30"/>
      <c r="R44" s="30"/>
      <c r="S44" s="30"/>
      <c r="T44" s="30"/>
      <c r="U44" s="30"/>
      <c r="V44" s="30"/>
      <c r="W44" s="30">
        <f>SUM(W45:W49)</f>
        <v>4007</v>
      </c>
      <c r="X44" s="421">
        <f>SUM(X45:X49)</f>
        <v>4007</v>
      </c>
      <c r="Y44" s="420">
        <f>SUM(Y45:Y49)</f>
        <v>121879261.59999999</v>
      </c>
    </row>
    <row r="45" spans="1:28" x14ac:dyDescent="0.2">
      <c r="A45" s="28" t="s">
        <v>768</v>
      </c>
      <c r="B45" s="33"/>
      <c r="C45" s="25"/>
      <c r="D45" s="25"/>
      <c r="E45" s="25"/>
      <c r="F45" s="25"/>
      <c r="G45" s="25"/>
      <c r="H45" s="25"/>
      <c r="I45" s="25"/>
      <c r="J45" s="25"/>
      <c r="K45" s="25">
        <v>15</v>
      </c>
      <c r="L45" s="25">
        <f>SUM(B45:K45)</f>
        <v>15</v>
      </c>
      <c r="M45" s="418">
        <v>268076.40000000002</v>
      </c>
      <c r="N45" s="33"/>
      <c r="O45" s="25"/>
      <c r="P45" s="25"/>
      <c r="Q45" s="25"/>
      <c r="R45" s="25"/>
      <c r="S45" s="25"/>
      <c r="T45" s="25"/>
      <c r="U45" s="25"/>
      <c r="V45" s="25"/>
      <c r="W45" s="25">
        <v>15</v>
      </c>
      <c r="X45" s="25">
        <f>SUM(N45:W45)</f>
        <v>15</v>
      </c>
      <c r="Y45" s="418">
        <v>268076.40000000002</v>
      </c>
    </row>
    <row r="46" spans="1:28" x14ac:dyDescent="0.2">
      <c r="A46" s="28" t="s">
        <v>769</v>
      </c>
      <c r="B46" s="33"/>
      <c r="C46" s="25"/>
      <c r="D46" s="25"/>
      <c r="E46" s="25"/>
      <c r="F46" s="25"/>
      <c r="G46" s="25"/>
      <c r="H46" s="25"/>
      <c r="I46" s="25"/>
      <c r="J46" s="25"/>
      <c r="K46" s="25">
        <v>72</v>
      </c>
      <c r="L46" s="25">
        <f>SUM(B46:K46)</f>
        <v>72</v>
      </c>
      <c r="M46" s="418">
        <v>4395786.84</v>
      </c>
      <c r="N46" s="33"/>
      <c r="O46" s="25"/>
      <c r="P46" s="25"/>
      <c r="Q46" s="25"/>
      <c r="R46" s="25"/>
      <c r="S46" s="25"/>
      <c r="T46" s="25"/>
      <c r="U46" s="25"/>
      <c r="V46" s="25"/>
      <c r="W46" s="25">
        <v>72</v>
      </c>
      <c r="X46" s="25">
        <f>SUM(N46:W46)</f>
        <v>72</v>
      </c>
      <c r="Y46" s="418">
        <v>4395786.84</v>
      </c>
    </row>
    <row r="47" spans="1:28" x14ac:dyDescent="0.2">
      <c r="A47" s="28" t="s">
        <v>770</v>
      </c>
      <c r="B47" s="33"/>
      <c r="C47" s="25"/>
      <c r="D47" s="25"/>
      <c r="E47" s="25"/>
      <c r="F47" s="25"/>
      <c r="G47" s="25"/>
      <c r="H47" s="25"/>
      <c r="I47" s="25"/>
      <c r="J47" s="25"/>
      <c r="K47" s="25">
        <v>1305</v>
      </c>
      <c r="L47" s="25">
        <f>SUM(B47:K47)</f>
        <v>1305</v>
      </c>
      <c r="M47" s="418">
        <v>28778806</v>
      </c>
      <c r="N47" s="33"/>
      <c r="O47" s="25"/>
      <c r="P47" s="25"/>
      <c r="Q47" s="25"/>
      <c r="R47" s="25"/>
      <c r="S47" s="25"/>
      <c r="T47" s="25"/>
      <c r="U47" s="25"/>
      <c r="V47" s="25"/>
      <c r="W47" s="25">
        <v>1305</v>
      </c>
      <c r="X47" s="25">
        <f>SUM(N47:W47)</f>
        <v>1305</v>
      </c>
      <c r="Y47" s="418">
        <v>28778806</v>
      </c>
    </row>
    <row r="48" spans="1:28" x14ac:dyDescent="0.2">
      <c r="A48" s="28" t="s">
        <v>771</v>
      </c>
      <c r="B48" s="33"/>
      <c r="C48" s="25"/>
      <c r="D48" s="25"/>
      <c r="E48" s="25"/>
      <c r="F48" s="25"/>
      <c r="G48" s="25"/>
      <c r="H48" s="25"/>
      <c r="I48" s="25"/>
      <c r="J48" s="25"/>
      <c r="K48" s="25">
        <v>19</v>
      </c>
      <c r="L48" s="25">
        <f>SUM(B48:K48)</f>
        <v>19</v>
      </c>
      <c r="M48" s="418">
        <v>978120</v>
      </c>
      <c r="N48" s="33"/>
      <c r="O48" s="25"/>
      <c r="P48" s="25"/>
      <c r="Q48" s="25"/>
      <c r="R48" s="25"/>
      <c r="S48" s="25"/>
      <c r="T48" s="25"/>
      <c r="U48" s="25"/>
      <c r="V48" s="25"/>
      <c r="W48" s="25">
        <v>19</v>
      </c>
      <c r="X48" s="25">
        <f>SUM(N48:W48)</f>
        <v>19</v>
      </c>
      <c r="Y48" s="418">
        <v>978120</v>
      </c>
    </row>
    <row r="49" spans="1:25" x14ac:dyDescent="0.2">
      <c r="A49" s="28" t="s">
        <v>772</v>
      </c>
      <c r="B49" s="33"/>
      <c r="C49" s="25"/>
      <c r="D49" s="25"/>
      <c r="E49" s="25"/>
      <c r="F49" s="25"/>
      <c r="G49" s="25"/>
      <c r="H49" s="25"/>
      <c r="I49" s="25"/>
      <c r="J49" s="25"/>
      <c r="K49" s="25">
        <v>2596</v>
      </c>
      <c r="L49" s="25">
        <f>SUM(B49:K49)</f>
        <v>2596</v>
      </c>
      <c r="M49" s="418">
        <v>87458472.359999999</v>
      </c>
      <c r="N49" s="33"/>
      <c r="O49" s="25"/>
      <c r="P49" s="25"/>
      <c r="Q49" s="25"/>
      <c r="R49" s="25"/>
      <c r="S49" s="25"/>
      <c r="T49" s="25"/>
      <c r="U49" s="25"/>
      <c r="V49" s="25"/>
      <c r="W49" s="25">
        <v>2596</v>
      </c>
      <c r="X49" s="25">
        <f>SUM(N49:W49)</f>
        <v>2596</v>
      </c>
      <c r="Y49" s="418">
        <v>87458472.359999999</v>
      </c>
    </row>
    <row r="50" spans="1:25" x14ac:dyDescent="0.2">
      <c r="A50" s="29" t="s">
        <v>773</v>
      </c>
      <c r="B50" s="419"/>
      <c r="C50" s="30"/>
      <c r="D50" s="30"/>
      <c r="E50" s="30"/>
      <c r="F50" s="30"/>
      <c r="G50" s="30"/>
      <c r="H50" s="30"/>
      <c r="I50" s="30"/>
      <c r="J50" s="30"/>
      <c r="K50" s="30">
        <f>SUM(K51:K52)</f>
        <v>2962</v>
      </c>
      <c r="L50" s="421">
        <f>SUM(L51:L52)</f>
        <v>2962</v>
      </c>
      <c r="M50" s="420">
        <f>SUM(M51:M52)</f>
        <v>39140973.32</v>
      </c>
      <c r="N50" s="419"/>
      <c r="O50" s="30"/>
      <c r="P50" s="30"/>
      <c r="Q50" s="30"/>
      <c r="R50" s="30"/>
      <c r="S50" s="30"/>
      <c r="T50" s="30"/>
      <c r="U50" s="30"/>
      <c r="V50" s="30"/>
      <c r="W50" s="30">
        <f>SUM(W51:W52)</f>
        <v>2962</v>
      </c>
      <c r="X50" s="421">
        <f>SUM(X51:X52)</f>
        <v>2962</v>
      </c>
      <c r="Y50" s="420">
        <f>SUM(Y51:Y52)</f>
        <v>39140973.32</v>
      </c>
    </row>
    <row r="51" spans="1:25" x14ac:dyDescent="0.2">
      <c r="A51" s="28" t="s">
        <v>774</v>
      </c>
      <c r="B51" s="33"/>
      <c r="C51" s="25"/>
      <c r="D51" s="25"/>
      <c r="E51" s="25"/>
      <c r="F51" s="25"/>
      <c r="G51" s="25"/>
      <c r="H51" s="25"/>
      <c r="I51" s="25"/>
      <c r="J51" s="25"/>
      <c r="K51" s="25">
        <v>2459</v>
      </c>
      <c r="L51" s="25">
        <f>SUM(B51:K51)</f>
        <v>2459</v>
      </c>
      <c r="M51" s="418">
        <v>33471075.600000001</v>
      </c>
      <c r="N51" s="33"/>
      <c r="O51" s="25"/>
      <c r="P51" s="25"/>
      <c r="Q51" s="25"/>
      <c r="R51" s="25"/>
      <c r="S51" s="25"/>
      <c r="T51" s="25"/>
      <c r="U51" s="25"/>
      <c r="V51" s="25"/>
      <c r="W51" s="25">
        <v>2459</v>
      </c>
      <c r="X51" s="25">
        <f>SUM(N51:W51)</f>
        <v>2459</v>
      </c>
      <c r="Y51" s="418">
        <v>33471075.600000001</v>
      </c>
    </row>
    <row r="52" spans="1:25" x14ac:dyDescent="0.2">
      <c r="A52" s="28" t="s">
        <v>775</v>
      </c>
      <c r="B52" s="33"/>
      <c r="C52" s="25"/>
      <c r="D52" s="25"/>
      <c r="E52" s="25"/>
      <c r="F52" s="25"/>
      <c r="G52" s="25"/>
      <c r="H52" s="25"/>
      <c r="I52" s="25"/>
      <c r="J52" s="25"/>
      <c r="K52" s="25">
        <v>503</v>
      </c>
      <c r="L52" s="25">
        <f>SUM(B52:K52)</f>
        <v>503</v>
      </c>
      <c r="M52" s="418">
        <v>5669897.7199999997</v>
      </c>
      <c r="N52" s="33"/>
      <c r="O52" s="25"/>
      <c r="P52" s="25"/>
      <c r="Q52" s="25"/>
      <c r="R52" s="25"/>
      <c r="S52" s="25"/>
      <c r="T52" s="25"/>
      <c r="U52" s="25"/>
      <c r="V52" s="25"/>
      <c r="W52" s="25">
        <v>503</v>
      </c>
      <c r="X52" s="25">
        <f>SUM(N52:W52)</f>
        <v>503</v>
      </c>
      <c r="Y52" s="418">
        <v>5669897.7199999997</v>
      </c>
    </row>
    <row r="53" spans="1:25" x14ac:dyDescent="0.2">
      <c r="A53" s="29" t="s">
        <v>87</v>
      </c>
      <c r="B53" s="419"/>
      <c r="C53" s="30"/>
      <c r="D53" s="30">
        <f>SUM(D54:D56)</f>
        <v>3357</v>
      </c>
      <c r="E53" s="30"/>
      <c r="F53" s="30"/>
      <c r="G53" s="30"/>
      <c r="H53" s="30"/>
      <c r="I53" s="30"/>
      <c r="J53" s="30"/>
      <c r="K53" s="30"/>
      <c r="L53" s="421">
        <f>SUM(L54:L56)</f>
        <v>3357</v>
      </c>
      <c r="M53" s="420">
        <f>SUM(M54:M56)</f>
        <v>86773671</v>
      </c>
      <c r="N53" s="419"/>
      <c r="O53" s="30"/>
      <c r="P53" s="30">
        <f>SUM(P54:P56)</f>
        <v>3357</v>
      </c>
      <c r="Q53" s="30"/>
      <c r="R53" s="30"/>
      <c r="S53" s="30"/>
      <c r="T53" s="30"/>
      <c r="U53" s="30"/>
      <c r="V53" s="30"/>
      <c r="W53" s="30"/>
      <c r="X53" s="421">
        <f>SUM(X54:X56)</f>
        <v>3357</v>
      </c>
      <c r="Y53" s="420">
        <f>SUM(Y54:Y56)</f>
        <v>86773671</v>
      </c>
    </row>
    <row r="54" spans="1:25" x14ac:dyDescent="0.2">
      <c r="A54" s="28" t="s">
        <v>87</v>
      </c>
      <c r="B54" s="33"/>
      <c r="C54" s="25"/>
      <c r="D54" s="25">
        <v>2129</v>
      </c>
      <c r="E54" s="25"/>
      <c r="F54" s="25"/>
      <c r="G54" s="25"/>
      <c r="H54" s="25"/>
      <c r="I54" s="25"/>
      <c r="J54" s="25"/>
      <c r="K54" s="25"/>
      <c r="L54" s="25">
        <f>SUM(B54:K54)</f>
        <v>2129</v>
      </c>
      <c r="M54" s="418">
        <v>56811943.200000003</v>
      </c>
      <c r="N54" s="33"/>
      <c r="O54" s="25"/>
      <c r="P54" s="25">
        <v>2129</v>
      </c>
      <c r="Q54" s="25"/>
      <c r="R54" s="25"/>
      <c r="S54" s="25"/>
      <c r="T54" s="25"/>
      <c r="U54" s="25"/>
      <c r="V54" s="25"/>
      <c r="W54" s="25"/>
      <c r="X54" s="25">
        <f>SUM(N54:W54)</f>
        <v>2129</v>
      </c>
      <c r="Y54" s="418">
        <v>56811943.200000003</v>
      </c>
    </row>
    <row r="55" spans="1:25" x14ac:dyDescent="0.2">
      <c r="A55" s="28" t="s">
        <v>776</v>
      </c>
      <c r="B55" s="33"/>
      <c r="C55" s="25"/>
      <c r="D55" s="25">
        <v>1185</v>
      </c>
      <c r="E55" s="25"/>
      <c r="F55" s="25"/>
      <c r="G55" s="25"/>
      <c r="H55" s="25"/>
      <c r="I55" s="25"/>
      <c r="J55" s="25"/>
      <c r="K55" s="25"/>
      <c r="L55" s="25">
        <f>SUM(B55:K55)</f>
        <v>1185</v>
      </c>
      <c r="M55" s="418">
        <v>28451666.399999999</v>
      </c>
      <c r="N55" s="33"/>
      <c r="O55" s="25"/>
      <c r="P55" s="25">
        <v>1185</v>
      </c>
      <c r="Q55" s="25"/>
      <c r="R55" s="25"/>
      <c r="S55" s="25"/>
      <c r="T55" s="25"/>
      <c r="U55" s="25"/>
      <c r="V55" s="25"/>
      <c r="W55" s="25"/>
      <c r="X55" s="25">
        <f>SUM(N55:W55)</f>
        <v>1185</v>
      </c>
      <c r="Y55" s="418">
        <v>28451666.399999999</v>
      </c>
    </row>
    <row r="56" spans="1:25" x14ac:dyDescent="0.2">
      <c r="A56" s="28" t="s">
        <v>777</v>
      </c>
      <c r="B56" s="33"/>
      <c r="C56" s="25"/>
      <c r="D56" s="25">
        <v>43</v>
      </c>
      <c r="E56" s="25"/>
      <c r="F56" s="25"/>
      <c r="G56" s="25"/>
      <c r="H56" s="25"/>
      <c r="I56" s="25"/>
      <c r="J56" s="25"/>
      <c r="K56" s="25"/>
      <c r="L56" s="25">
        <f>SUM(B56:K56)</f>
        <v>43</v>
      </c>
      <c r="M56" s="418">
        <v>1510061.4</v>
      </c>
      <c r="N56" s="33"/>
      <c r="O56" s="25"/>
      <c r="P56" s="25">
        <v>43</v>
      </c>
      <c r="Q56" s="25"/>
      <c r="R56" s="25"/>
      <c r="S56" s="25"/>
      <c r="T56" s="25"/>
      <c r="U56" s="25"/>
      <c r="V56" s="25"/>
      <c r="W56" s="25"/>
      <c r="X56" s="25">
        <f>SUM(N56:W56)</f>
        <v>43</v>
      </c>
      <c r="Y56" s="418">
        <v>1510061.4</v>
      </c>
    </row>
    <row r="57" spans="1:25" x14ac:dyDescent="0.2">
      <c r="A57" s="29" t="s">
        <v>23</v>
      </c>
      <c r="B57" s="419"/>
      <c r="C57" s="30"/>
      <c r="D57" s="30"/>
      <c r="E57" s="30"/>
      <c r="F57" s="30"/>
      <c r="G57" s="30"/>
      <c r="H57" s="30"/>
      <c r="I57" s="30"/>
      <c r="J57" s="30">
        <f>SUM(J58:J59)</f>
        <v>110</v>
      </c>
      <c r="K57" s="30">
        <f>SUM(K58:K59)</f>
        <v>690</v>
      </c>
      <c r="L57" s="421">
        <f>SUM(L58:L59)</f>
        <v>800</v>
      </c>
      <c r="M57" s="420">
        <f>SUM(M58:M59)</f>
        <v>6829284</v>
      </c>
      <c r="N57" s="419"/>
      <c r="O57" s="30"/>
      <c r="P57" s="30"/>
      <c r="Q57" s="30"/>
      <c r="R57" s="30"/>
      <c r="S57" s="30"/>
      <c r="T57" s="30"/>
      <c r="U57" s="30"/>
      <c r="V57" s="30">
        <f>SUM(V58:V59)</f>
        <v>110</v>
      </c>
      <c r="W57" s="30">
        <f>SUM(W58:W59)</f>
        <v>690</v>
      </c>
      <c r="X57" s="421">
        <f>SUM(X58:X59)</f>
        <v>800</v>
      </c>
      <c r="Y57" s="420">
        <f>SUM(Y58:Y59)</f>
        <v>6829284</v>
      </c>
    </row>
    <row r="58" spans="1:25" x14ac:dyDescent="0.2">
      <c r="A58" s="28" t="s">
        <v>778</v>
      </c>
      <c r="B58" s="33"/>
      <c r="C58" s="25"/>
      <c r="D58" s="25"/>
      <c r="E58" s="25"/>
      <c r="F58" s="25"/>
      <c r="G58" s="25"/>
      <c r="H58" s="25"/>
      <c r="I58" s="25"/>
      <c r="J58" s="25">
        <v>110</v>
      </c>
      <c r="K58" s="25"/>
      <c r="L58" s="25">
        <f>SUM(B58:K58)</f>
        <v>110</v>
      </c>
      <c r="M58" s="418">
        <v>1338084</v>
      </c>
      <c r="N58" s="33"/>
      <c r="O58" s="25"/>
      <c r="P58" s="25"/>
      <c r="Q58" s="25"/>
      <c r="R58" s="25"/>
      <c r="S58" s="25"/>
      <c r="T58" s="25"/>
      <c r="U58" s="25"/>
      <c r="V58" s="25">
        <v>110</v>
      </c>
      <c r="W58" s="25"/>
      <c r="X58" s="25">
        <f>SUM(N58:W58)</f>
        <v>110</v>
      </c>
      <c r="Y58" s="418">
        <v>1338084</v>
      </c>
    </row>
    <row r="59" spans="1:25" ht="13.5" thickBot="1" x14ac:dyDescent="0.25">
      <c r="A59" s="28" t="s">
        <v>779</v>
      </c>
      <c r="B59" s="33"/>
      <c r="C59" s="25"/>
      <c r="D59" s="25"/>
      <c r="E59" s="25"/>
      <c r="F59" s="25"/>
      <c r="G59" s="25"/>
      <c r="H59" s="25"/>
      <c r="I59" s="25"/>
      <c r="J59" s="25"/>
      <c r="K59" s="25">
        <v>690</v>
      </c>
      <c r="L59" s="25">
        <f>SUM(B59:K59)</f>
        <v>690</v>
      </c>
      <c r="M59" s="418">
        <v>5491200</v>
      </c>
      <c r="N59" s="33"/>
      <c r="O59" s="25"/>
      <c r="P59" s="25"/>
      <c r="Q59" s="25"/>
      <c r="R59" s="25"/>
      <c r="S59" s="25"/>
      <c r="T59" s="25"/>
      <c r="U59" s="25"/>
      <c r="V59" s="25"/>
      <c r="W59" s="25">
        <v>690</v>
      </c>
      <c r="X59" s="25">
        <f>SUM(N59:W59)</f>
        <v>690</v>
      </c>
      <c r="Y59" s="418">
        <v>5491200</v>
      </c>
    </row>
    <row r="60" spans="1:25" ht="13.5" thickBot="1" x14ac:dyDescent="0.25">
      <c r="A60" s="36" t="s">
        <v>22</v>
      </c>
      <c r="B60" s="39">
        <f>SUM(B31+B24+B17+B8+B38+B44+B50+B53+B57)</f>
        <v>1744</v>
      </c>
      <c r="C60" s="40"/>
      <c r="D60" s="40">
        <f>SUM(D31+D24+D17+D8+D38+D44+D50+D53+D57)</f>
        <v>3357</v>
      </c>
      <c r="E60" s="40"/>
      <c r="F60" s="40"/>
      <c r="G60" s="40"/>
      <c r="H60" s="40"/>
      <c r="I60" s="40">
        <f t="shared" ref="I60:N60" si="14">SUM(I31+I24+I17+I8+I38+I44+I50+I53+I57)</f>
        <v>1502</v>
      </c>
      <c r="J60" s="40">
        <f t="shared" si="14"/>
        <v>110</v>
      </c>
      <c r="K60" s="40">
        <f t="shared" si="14"/>
        <v>20500</v>
      </c>
      <c r="L60" s="40">
        <f t="shared" si="14"/>
        <v>27213</v>
      </c>
      <c r="M60" s="422">
        <f t="shared" si="14"/>
        <v>921673483.72000003</v>
      </c>
      <c r="N60" s="39">
        <f t="shared" si="14"/>
        <v>1744</v>
      </c>
      <c r="O60" s="40"/>
      <c r="P60" s="40">
        <f>SUM(P31+P24+P17+P8+P38+P44+P50+P53+P57)</f>
        <v>3357</v>
      </c>
      <c r="Q60" s="40"/>
      <c r="R60" s="40"/>
      <c r="S60" s="40"/>
      <c r="T60" s="40"/>
      <c r="U60" s="40">
        <f>SUM(U31+U24+U17+U8+U38+U44+U50+U53+U57)</f>
        <v>1502</v>
      </c>
      <c r="V60" s="40">
        <f>SUM(V31+V24+V17+V8+V38+V44+V50+V53+V57)</f>
        <v>110</v>
      </c>
      <c r="W60" s="40">
        <f>SUM(W31+W24+W17+W8+W38+W44+W50+W53+W57)</f>
        <v>20500</v>
      </c>
      <c r="X60" s="40">
        <f>SUM(X31+X24+X17+X8+X38+X44+X50+X53+X57)</f>
        <v>27213</v>
      </c>
      <c r="Y60" s="422">
        <f>SUM(Y31+Y24+Y17+Y8+Y38+Y44+Y50+Y53+Y57)</f>
        <v>921673483.72000003</v>
      </c>
    </row>
  </sheetData>
  <mergeCells count="2">
    <mergeCell ref="B5:M5"/>
    <mergeCell ref="N5:Y5"/>
  </mergeCells>
  <printOptions horizontalCentered="1"/>
  <pageMargins left="0.23622047244094491" right="0.23622047244094491" top="0.74803149606299213" bottom="0.74803149606299213" header="0.31496062992125984" footer="0.31496062992125984"/>
  <pageSetup paperSize="9" scale="5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22">
    <tabColor theme="9" tint="-0.249977111117893"/>
    <pageSetUpPr fitToPage="1"/>
  </sheetPr>
  <dimension ref="A1:V25"/>
  <sheetViews>
    <sheetView view="pageLayout" zoomScale="90" zoomScaleNormal="100" zoomScaleSheetLayoutView="100" zoomScalePageLayoutView="90" workbookViewId="0">
      <selection activeCell="A2" sqref="A2"/>
    </sheetView>
  </sheetViews>
  <sheetFormatPr baseColWidth="10" defaultColWidth="11.42578125" defaultRowHeight="12" x14ac:dyDescent="0.2"/>
  <cols>
    <col min="1" max="1" width="62" style="3" customWidth="1"/>
    <col min="2" max="9" width="14.7109375" style="3" customWidth="1"/>
    <col min="10" max="16384" width="11.42578125" style="3"/>
  </cols>
  <sheetData>
    <row r="1" spans="1:22" s="121" customFormat="1" ht="15.75" x14ac:dyDescent="0.25">
      <c r="A1" s="98"/>
      <c r="B1" s="126"/>
      <c r="C1" s="125"/>
      <c r="D1" s="125"/>
      <c r="E1" s="125"/>
      <c r="F1" s="125"/>
      <c r="H1" s="122"/>
      <c r="I1" s="122"/>
    </row>
    <row r="2" spans="1:22" s="123" customFormat="1" ht="15.75" x14ac:dyDescent="0.2">
      <c r="A2" s="129" t="s">
        <v>962</v>
      </c>
      <c r="B2" s="122"/>
      <c r="C2" s="122"/>
      <c r="D2" s="122"/>
      <c r="E2" s="122"/>
      <c r="F2" s="122"/>
      <c r="G2" s="122"/>
      <c r="H2" s="122"/>
      <c r="I2" s="122"/>
      <c r="J2" s="122"/>
      <c r="K2" s="122"/>
      <c r="L2" s="122"/>
      <c r="M2" s="122"/>
      <c r="N2" s="122"/>
      <c r="O2" s="122"/>
      <c r="P2" s="122"/>
      <c r="Q2" s="122"/>
      <c r="R2" s="122"/>
      <c r="S2" s="122"/>
      <c r="T2" s="122"/>
      <c r="U2" s="122"/>
      <c r="V2" s="122"/>
    </row>
    <row r="3" spans="1:22" s="65" customFormat="1" ht="12.75" thickBot="1" x14ac:dyDescent="0.25">
      <c r="A3" s="8"/>
      <c r="B3" s="10"/>
      <c r="E3" s="10"/>
    </row>
    <row r="4" spans="1:22" ht="12.75" thickBot="1" x14ac:dyDescent="0.25">
      <c r="A4" s="337" t="s">
        <v>9</v>
      </c>
      <c r="B4" s="541" t="s">
        <v>324</v>
      </c>
      <c r="C4" s="541"/>
      <c r="D4" s="542" t="s">
        <v>395</v>
      </c>
      <c r="E4" s="544"/>
      <c r="F4" s="542" t="s">
        <v>396</v>
      </c>
      <c r="G4" s="543"/>
      <c r="H4" s="542" t="s">
        <v>323</v>
      </c>
      <c r="I4" s="543"/>
    </row>
    <row r="5" spans="1:22" s="55" customFormat="1" ht="24" customHeight="1" x14ac:dyDescent="0.2">
      <c r="A5" s="195" t="s">
        <v>8</v>
      </c>
      <c r="B5" s="196" t="s">
        <v>125</v>
      </c>
      <c r="C5" s="197" t="s">
        <v>24</v>
      </c>
      <c r="D5" s="195" t="s">
        <v>125</v>
      </c>
      <c r="E5" s="336" t="s">
        <v>24</v>
      </c>
      <c r="F5" s="195" t="s">
        <v>125</v>
      </c>
      <c r="G5" s="336" t="s">
        <v>24</v>
      </c>
      <c r="H5" s="195" t="s">
        <v>125</v>
      </c>
      <c r="I5" s="336" t="s">
        <v>24</v>
      </c>
    </row>
    <row r="6" spans="1:22" x14ac:dyDescent="0.2">
      <c r="A6" s="102" t="s">
        <v>124</v>
      </c>
      <c r="B6" s="477">
        <v>21740</v>
      </c>
      <c r="C6" s="478">
        <v>543661435</v>
      </c>
      <c r="D6" s="479">
        <v>23744</v>
      </c>
      <c r="E6" s="480">
        <v>607408449</v>
      </c>
      <c r="F6" s="479">
        <v>24500</v>
      </c>
      <c r="G6" s="480">
        <v>807408449</v>
      </c>
      <c r="H6" s="479">
        <f>B6-D6</f>
        <v>-2004</v>
      </c>
      <c r="I6" s="480">
        <f>C6-E6</f>
        <v>-63747014</v>
      </c>
    </row>
    <row r="7" spans="1:22" x14ac:dyDescent="0.2">
      <c r="A7" s="102" t="s">
        <v>149</v>
      </c>
      <c r="B7" s="477"/>
      <c r="C7" s="478"/>
      <c r="D7" s="479"/>
      <c r="E7" s="480"/>
      <c r="F7" s="479"/>
      <c r="G7" s="480"/>
      <c r="H7" s="479">
        <f t="shared" ref="H7:H21" si="0">B7-D7</f>
        <v>0</v>
      </c>
      <c r="I7" s="480"/>
    </row>
    <row r="8" spans="1:22" x14ac:dyDescent="0.2">
      <c r="A8" s="102" t="s">
        <v>147</v>
      </c>
      <c r="B8" s="477"/>
      <c r="C8" s="478"/>
      <c r="D8" s="479"/>
      <c r="E8" s="480"/>
      <c r="F8" s="479"/>
      <c r="G8" s="480"/>
      <c r="H8" s="479">
        <f t="shared" si="0"/>
        <v>0</v>
      </c>
      <c r="I8" s="480"/>
    </row>
    <row r="9" spans="1:22" s="91" customFormat="1" x14ac:dyDescent="0.2">
      <c r="A9" s="44" t="s">
        <v>156</v>
      </c>
      <c r="B9" s="477"/>
      <c r="C9" s="478"/>
      <c r="D9" s="479"/>
      <c r="E9" s="480"/>
      <c r="F9" s="479"/>
      <c r="G9" s="480"/>
      <c r="H9" s="479">
        <f t="shared" si="0"/>
        <v>0</v>
      </c>
      <c r="I9" s="480"/>
    </row>
    <row r="10" spans="1:22" s="91" customFormat="1" x14ac:dyDescent="0.2">
      <c r="A10" s="102" t="s">
        <v>150</v>
      </c>
      <c r="B10" s="477">
        <v>19</v>
      </c>
      <c r="C10" s="478">
        <v>720720</v>
      </c>
      <c r="D10" s="479">
        <v>19</v>
      </c>
      <c r="E10" s="480">
        <v>382232</v>
      </c>
      <c r="F10" s="479">
        <v>19</v>
      </c>
      <c r="G10" s="480">
        <v>978120</v>
      </c>
      <c r="H10" s="479">
        <f t="shared" si="0"/>
        <v>0</v>
      </c>
      <c r="I10" s="480"/>
    </row>
    <row r="11" spans="1:22" s="91" customFormat="1" x14ac:dyDescent="0.2">
      <c r="A11" s="44" t="s">
        <v>148</v>
      </c>
      <c r="B11" s="477"/>
      <c r="C11" s="478"/>
      <c r="D11" s="479"/>
      <c r="E11" s="480"/>
      <c r="F11" s="479"/>
      <c r="G11" s="480"/>
      <c r="H11" s="479">
        <f t="shared" si="0"/>
        <v>0</v>
      </c>
      <c r="I11" s="480"/>
    </row>
    <row r="12" spans="1:22" s="91" customFormat="1" x14ac:dyDescent="0.2">
      <c r="A12" s="102" t="s">
        <v>155</v>
      </c>
      <c r="B12" s="477"/>
      <c r="C12" s="478"/>
      <c r="D12" s="479"/>
      <c r="E12" s="480"/>
      <c r="F12" s="479"/>
      <c r="G12" s="480"/>
      <c r="H12" s="479">
        <f t="shared" si="0"/>
        <v>0</v>
      </c>
      <c r="I12" s="480"/>
    </row>
    <row r="13" spans="1:22" s="91" customFormat="1" x14ac:dyDescent="0.2">
      <c r="A13" s="102" t="s">
        <v>26</v>
      </c>
      <c r="B13" s="477"/>
      <c r="C13" s="478">
        <v>48731335</v>
      </c>
      <c r="D13" s="479"/>
      <c r="E13" s="480">
        <v>49951718</v>
      </c>
      <c r="F13" s="479"/>
      <c r="G13" s="480">
        <v>49951718</v>
      </c>
      <c r="H13" s="479">
        <f t="shared" si="0"/>
        <v>0</v>
      </c>
      <c r="I13" s="480"/>
    </row>
    <row r="14" spans="1:22" s="91" customFormat="1" x14ac:dyDescent="0.2">
      <c r="A14" s="102" t="s">
        <v>152</v>
      </c>
      <c r="B14" s="477"/>
      <c r="C14" s="478"/>
      <c r="D14" s="479"/>
      <c r="E14" s="480"/>
      <c r="F14" s="479"/>
      <c r="G14" s="480"/>
      <c r="H14" s="479">
        <f t="shared" si="0"/>
        <v>0</v>
      </c>
      <c r="I14" s="480"/>
    </row>
    <row r="15" spans="1:22" s="91" customFormat="1" x14ac:dyDescent="0.2">
      <c r="A15" s="102" t="s">
        <v>25</v>
      </c>
      <c r="B15" s="477"/>
      <c r="C15" s="478">
        <v>34051094</v>
      </c>
      <c r="D15" s="479"/>
      <c r="E15" s="480">
        <v>31868340</v>
      </c>
      <c r="F15" s="479"/>
      <c r="G15" s="480">
        <v>31868340</v>
      </c>
      <c r="H15" s="479">
        <f t="shared" si="0"/>
        <v>0</v>
      </c>
      <c r="I15" s="480"/>
    </row>
    <row r="16" spans="1:22" s="91" customFormat="1" x14ac:dyDescent="0.2">
      <c r="A16" s="102" t="s">
        <v>153</v>
      </c>
      <c r="B16" s="477"/>
      <c r="C16" s="478"/>
      <c r="D16" s="479"/>
      <c r="E16" s="480"/>
      <c r="F16" s="479"/>
      <c r="G16" s="480"/>
      <c r="H16" s="479">
        <f t="shared" si="0"/>
        <v>0</v>
      </c>
      <c r="I16" s="480"/>
    </row>
    <row r="17" spans="1:9" s="91" customFormat="1" x14ac:dyDescent="0.2">
      <c r="A17" s="102" t="s">
        <v>151</v>
      </c>
      <c r="B17" s="477"/>
      <c r="C17" s="478"/>
      <c r="D17" s="479"/>
      <c r="E17" s="480"/>
      <c r="F17" s="479"/>
      <c r="G17" s="480"/>
      <c r="H17" s="479">
        <f t="shared" si="0"/>
        <v>0</v>
      </c>
      <c r="I17" s="480"/>
    </row>
    <row r="18" spans="1:9" s="91" customFormat="1" x14ac:dyDescent="0.2">
      <c r="A18" s="102" t="s">
        <v>154</v>
      </c>
      <c r="B18" s="477"/>
      <c r="C18" s="478"/>
      <c r="D18" s="479"/>
      <c r="E18" s="480"/>
      <c r="F18" s="479"/>
      <c r="G18" s="480"/>
      <c r="H18" s="479">
        <f t="shared" si="0"/>
        <v>0</v>
      </c>
      <c r="I18" s="480"/>
    </row>
    <row r="19" spans="1:9" s="91" customFormat="1" x14ac:dyDescent="0.2">
      <c r="A19" s="102" t="s">
        <v>27</v>
      </c>
      <c r="B19" s="477"/>
      <c r="C19" s="478">
        <v>28322371</v>
      </c>
      <c r="D19" s="479"/>
      <c r="E19" s="480">
        <v>36326138</v>
      </c>
      <c r="F19" s="479"/>
      <c r="G19" s="480">
        <v>36326138</v>
      </c>
      <c r="H19" s="479">
        <f t="shared" si="0"/>
        <v>0</v>
      </c>
      <c r="I19" s="480"/>
    </row>
    <row r="20" spans="1:9" s="91" customFormat="1" x14ac:dyDescent="0.2">
      <c r="A20" s="102" t="s">
        <v>146</v>
      </c>
      <c r="B20" s="477"/>
      <c r="C20" s="478">
        <v>13500</v>
      </c>
      <c r="D20" s="479"/>
      <c r="E20" s="480">
        <v>562326</v>
      </c>
      <c r="F20" s="479"/>
      <c r="G20" s="480">
        <v>562326</v>
      </c>
      <c r="H20" s="479">
        <f t="shared" si="0"/>
        <v>0</v>
      </c>
      <c r="I20" s="480"/>
    </row>
    <row r="21" spans="1:9" ht="12.75" thickBot="1" x14ac:dyDescent="0.25">
      <c r="A21" s="102" t="s">
        <v>43</v>
      </c>
      <c r="B21" s="472"/>
      <c r="C21" s="473"/>
      <c r="D21" s="474"/>
      <c r="E21" s="475"/>
      <c r="F21" s="474"/>
      <c r="G21" s="475"/>
      <c r="H21" s="474">
        <f t="shared" si="0"/>
        <v>0</v>
      </c>
      <c r="I21" s="475"/>
    </row>
    <row r="22" spans="1:9" ht="12.75" thickBot="1" x14ac:dyDescent="0.25">
      <c r="A22" s="36" t="s">
        <v>42</v>
      </c>
      <c r="B22" s="476">
        <f>SUM(B6:B21)</f>
        <v>21759</v>
      </c>
      <c r="C22" s="476">
        <f t="shared" ref="C22:I22" si="1">SUM(C6:C21)</f>
        <v>655500455</v>
      </c>
      <c r="D22" s="476">
        <f t="shared" si="1"/>
        <v>23763</v>
      </c>
      <c r="E22" s="476">
        <f t="shared" si="1"/>
        <v>726499203</v>
      </c>
      <c r="F22" s="476">
        <f t="shared" si="1"/>
        <v>24519</v>
      </c>
      <c r="G22" s="476">
        <f>SUM(G6:G21)</f>
        <v>927095091</v>
      </c>
      <c r="H22" s="476">
        <f t="shared" si="1"/>
        <v>-2004</v>
      </c>
      <c r="I22" s="476">
        <f t="shared" si="1"/>
        <v>-63747014</v>
      </c>
    </row>
    <row r="23" spans="1:9" x14ac:dyDescent="0.2">
      <c r="A23" s="1" t="s">
        <v>325</v>
      </c>
      <c r="B23" s="2"/>
      <c r="C23" s="2"/>
      <c r="D23" s="2"/>
      <c r="E23" s="2"/>
      <c r="F23" s="2"/>
      <c r="G23" s="2"/>
      <c r="H23" s="2"/>
      <c r="I23" s="2"/>
    </row>
    <row r="24" spans="1:9" x14ac:dyDescent="0.2">
      <c r="A24" s="1" t="s">
        <v>85</v>
      </c>
      <c r="B24" s="2"/>
      <c r="C24" s="2"/>
      <c r="D24" s="2"/>
      <c r="E24" s="2"/>
      <c r="F24" s="2"/>
      <c r="G24" s="2"/>
      <c r="H24" s="2"/>
      <c r="I24" s="2"/>
    </row>
    <row r="25" spans="1:9" x14ac:dyDescent="0.2">
      <c r="A25" s="1"/>
      <c r="B25" s="2"/>
      <c r="C25" s="2"/>
      <c r="D25" s="2"/>
      <c r="E25" s="2"/>
      <c r="F25" s="2"/>
      <c r="G25" s="2"/>
      <c r="H25" s="2"/>
      <c r="I25" s="2"/>
    </row>
  </sheetData>
  <sortState xmlns:xlrd2="http://schemas.microsoft.com/office/spreadsheetml/2017/richdata2" ref="A9:A24">
    <sortCondition ref="A9:A24"/>
  </sortState>
  <mergeCells count="4">
    <mergeCell ref="B4:C4"/>
    <mergeCell ref="F4:G4"/>
    <mergeCell ref="H4:I4"/>
    <mergeCell ref="D4:E4"/>
  </mergeCells>
  <phoneticPr fontId="0" type="noConversion"/>
  <printOptions horizontalCentered="1"/>
  <pageMargins left="0.25" right="0.25" top="0.75" bottom="0.75" header="0.3" footer="0.3"/>
  <pageSetup paperSize="9" scale="79"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23">
    <tabColor theme="9" tint="-0.249977111117893"/>
    <pageSetUpPr fitToPage="1"/>
  </sheetPr>
  <dimension ref="A1:AI55"/>
  <sheetViews>
    <sheetView view="pageBreakPreview" zoomScale="80" zoomScaleNormal="100" zoomScaleSheetLayoutView="80" zoomScalePageLayoutView="85" workbookViewId="0">
      <selection activeCell="A2" sqref="A2"/>
    </sheetView>
  </sheetViews>
  <sheetFormatPr baseColWidth="10" defaultColWidth="11.42578125" defaultRowHeight="12" x14ac:dyDescent="0.2"/>
  <cols>
    <col min="1" max="1" width="43.7109375" style="3" customWidth="1"/>
    <col min="2" max="2" width="8.7109375" style="3" customWidth="1"/>
    <col min="3" max="3" width="8.7109375" style="65" customWidth="1"/>
    <col min="4" max="5" width="8.7109375" style="3" customWidth="1"/>
    <col min="6" max="9" width="8.7109375" style="91" customWidth="1"/>
    <col min="10" max="11" width="8.7109375" style="3" customWidth="1"/>
    <col min="12" max="12" width="8.7109375" style="65" customWidth="1"/>
    <col min="13" max="14" width="8.7109375" style="3" customWidth="1"/>
    <col min="15" max="15" width="10.85546875" style="3" bestFit="1" customWidth="1"/>
    <col min="16" max="16" width="14.28515625" style="65" bestFit="1" customWidth="1"/>
    <col min="17" max="17" width="8.7109375" style="3" customWidth="1"/>
    <col min="18" max="18" width="9.85546875" style="3" bestFit="1" customWidth="1"/>
    <col min="19" max="20" width="8.7109375" style="3" customWidth="1"/>
    <col min="21" max="24" width="8.7109375" style="91" customWidth="1"/>
    <col min="25" max="25" width="8.7109375" style="3" customWidth="1"/>
    <col min="26" max="26" width="9.85546875" style="3" bestFit="1" customWidth="1"/>
    <col min="27" max="27" width="10.5703125" style="65" bestFit="1" customWidth="1"/>
    <col min="28" max="28" width="8.7109375" style="3" customWidth="1"/>
    <col min="29" max="29" width="9.42578125" style="3" bestFit="1" customWidth="1"/>
    <col min="30" max="30" width="10.85546875" style="3" bestFit="1" customWidth="1"/>
    <col min="31" max="31" width="14.28515625" style="65" bestFit="1" customWidth="1"/>
    <col min="32" max="33" width="8.7109375" style="118" hidden="1" customWidth="1"/>
    <col min="34" max="35" width="8.7109375" style="65" hidden="1" customWidth="1"/>
    <col min="36" max="16384" width="11.42578125" style="3"/>
  </cols>
  <sheetData>
    <row r="1" spans="1:35" s="107" customFormat="1" x14ac:dyDescent="0.2">
      <c r="A1" s="104" t="s">
        <v>410</v>
      </c>
    </row>
    <row r="2" spans="1:35" s="107" customFormat="1" x14ac:dyDescent="0.2">
      <c r="A2" s="129" t="s">
        <v>962</v>
      </c>
      <c r="B2" s="105"/>
      <c r="C2" s="105"/>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c r="AD2" s="105"/>
    </row>
    <row r="3" spans="1:35" s="104" customFormat="1" ht="12.75" thickBot="1" x14ac:dyDescent="0.25">
      <c r="A3" s="104" t="s">
        <v>326</v>
      </c>
      <c r="T3" s="106"/>
    </row>
    <row r="4" spans="1:35" ht="30.75" customHeight="1" thickBot="1" x14ac:dyDescent="0.25">
      <c r="A4" s="536" t="s">
        <v>47</v>
      </c>
      <c r="B4" s="549" t="s">
        <v>327</v>
      </c>
      <c r="C4" s="549"/>
      <c r="D4" s="549"/>
      <c r="E4" s="549"/>
      <c r="F4" s="549"/>
      <c r="G4" s="549"/>
      <c r="H4" s="549"/>
      <c r="I4" s="549"/>
      <c r="J4" s="549"/>
      <c r="K4" s="549"/>
      <c r="L4" s="549"/>
      <c r="M4" s="549"/>
      <c r="N4" s="549"/>
      <c r="O4" s="549"/>
      <c r="P4" s="549"/>
      <c r="Q4" s="550" t="s">
        <v>411</v>
      </c>
      <c r="R4" s="549"/>
      <c r="S4" s="549"/>
      <c r="T4" s="549"/>
      <c r="U4" s="549"/>
      <c r="V4" s="549"/>
      <c r="W4" s="549"/>
      <c r="X4" s="549"/>
      <c r="Y4" s="549"/>
      <c r="Z4" s="549"/>
      <c r="AA4" s="549"/>
      <c r="AB4" s="549"/>
      <c r="AC4" s="549"/>
      <c r="AD4" s="549"/>
      <c r="AE4" s="551"/>
      <c r="AF4" s="545" t="s">
        <v>413</v>
      </c>
      <c r="AG4" s="546"/>
      <c r="AH4" s="545" t="s">
        <v>412</v>
      </c>
      <c r="AI4" s="546"/>
    </row>
    <row r="5" spans="1:35" ht="172.5" customHeight="1" x14ac:dyDescent="0.2">
      <c r="A5" s="547"/>
      <c r="B5" s="198" t="s">
        <v>10</v>
      </c>
      <c r="C5" s="199" t="s">
        <v>126</v>
      </c>
      <c r="D5" s="200" t="s">
        <v>260</v>
      </c>
      <c r="E5" s="200" t="s">
        <v>128</v>
      </c>
      <c r="F5" s="200" t="s">
        <v>158</v>
      </c>
      <c r="G5" s="200" t="s">
        <v>159</v>
      </c>
      <c r="H5" s="200" t="s">
        <v>160</v>
      </c>
      <c r="I5" s="200" t="s">
        <v>161</v>
      </c>
      <c r="J5" s="200" t="s">
        <v>129</v>
      </c>
      <c r="K5" s="200" t="s">
        <v>130</v>
      </c>
      <c r="L5" s="200" t="s">
        <v>131</v>
      </c>
      <c r="M5" s="200" t="s">
        <v>157</v>
      </c>
      <c r="N5" s="201" t="s">
        <v>109</v>
      </c>
      <c r="O5" s="202" t="s">
        <v>136</v>
      </c>
      <c r="P5" s="203" t="s">
        <v>135</v>
      </c>
      <c r="Q5" s="198" t="s">
        <v>10</v>
      </c>
      <c r="R5" s="199" t="s">
        <v>126</v>
      </c>
      <c r="S5" s="200" t="s">
        <v>127</v>
      </c>
      <c r="T5" s="200" t="s">
        <v>128</v>
      </c>
      <c r="U5" s="200" t="s">
        <v>158</v>
      </c>
      <c r="V5" s="200" t="s">
        <v>159</v>
      </c>
      <c r="W5" s="200" t="s">
        <v>160</v>
      </c>
      <c r="X5" s="200" t="s">
        <v>161</v>
      </c>
      <c r="Y5" s="200" t="s">
        <v>129</v>
      </c>
      <c r="Z5" s="200" t="s">
        <v>130</v>
      </c>
      <c r="AA5" s="200" t="s">
        <v>131</v>
      </c>
      <c r="AB5" s="200" t="s">
        <v>157</v>
      </c>
      <c r="AC5" s="201" t="s">
        <v>109</v>
      </c>
      <c r="AD5" s="202" t="s">
        <v>136</v>
      </c>
      <c r="AE5" s="203" t="s">
        <v>328</v>
      </c>
      <c r="AF5" s="204" t="s">
        <v>140</v>
      </c>
      <c r="AG5" s="204" t="s">
        <v>139</v>
      </c>
      <c r="AH5" s="204" t="s">
        <v>10</v>
      </c>
      <c r="AI5" s="203" t="s">
        <v>329</v>
      </c>
    </row>
    <row r="6" spans="1:35" ht="15.75" customHeight="1" thickBot="1" x14ac:dyDescent="0.25">
      <c r="A6" s="548"/>
      <c r="B6" s="205" t="s">
        <v>48</v>
      </c>
      <c r="C6" s="206" t="s">
        <v>49</v>
      </c>
      <c r="D6" s="207" t="s">
        <v>50</v>
      </c>
      <c r="E6" s="207" t="s">
        <v>51</v>
      </c>
      <c r="F6" s="208" t="s">
        <v>52</v>
      </c>
      <c r="G6" s="208" t="s">
        <v>53</v>
      </c>
      <c r="H6" s="208" t="s">
        <v>71</v>
      </c>
      <c r="I6" s="208" t="s">
        <v>108</v>
      </c>
      <c r="J6" s="208" t="s">
        <v>134</v>
      </c>
      <c r="K6" s="208" t="s">
        <v>138</v>
      </c>
      <c r="L6" s="208" t="s">
        <v>166</v>
      </c>
      <c r="M6" s="208" t="s">
        <v>167</v>
      </c>
      <c r="N6" s="209" t="s">
        <v>169</v>
      </c>
      <c r="O6" s="210" t="s">
        <v>170</v>
      </c>
      <c r="P6" s="211" t="s">
        <v>171</v>
      </c>
      <c r="Q6" s="205" t="s">
        <v>48</v>
      </c>
      <c r="R6" s="206" t="s">
        <v>49</v>
      </c>
      <c r="S6" s="207" t="s">
        <v>50</v>
      </c>
      <c r="T6" s="207" t="s">
        <v>51</v>
      </c>
      <c r="U6" s="208" t="s">
        <v>52</v>
      </c>
      <c r="V6" s="208" t="s">
        <v>53</v>
      </c>
      <c r="W6" s="208" t="s">
        <v>71</v>
      </c>
      <c r="X6" s="208" t="s">
        <v>108</v>
      </c>
      <c r="Y6" s="208" t="s">
        <v>134</v>
      </c>
      <c r="Z6" s="208" t="s">
        <v>138</v>
      </c>
      <c r="AA6" s="208" t="s">
        <v>166</v>
      </c>
      <c r="AB6" s="208" t="s">
        <v>167</v>
      </c>
      <c r="AC6" s="209" t="s">
        <v>169</v>
      </c>
      <c r="AD6" s="210" t="s">
        <v>170</v>
      </c>
      <c r="AE6" s="211" t="s">
        <v>171</v>
      </c>
      <c r="AF6" s="212"/>
      <c r="AG6" s="205"/>
      <c r="AH6" s="212"/>
      <c r="AI6" s="205"/>
    </row>
    <row r="7" spans="1:35" x14ac:dyDescent="0.2">
      <c r="A7" s="13" t="s">
        <v>54</v>
      </c>
      <c r="B7" s="13"/>
      <c r="C7" s="11"/>
      <c r="D7" s="11"/>
      <c r="E7" s="11"/>
      <c r="F7" s="11"/>
      <c r="G7" s="11"/>
      <c r="H7" s="11"/>
      <c r="I7" s="11"/>
      <c r="J7" s="11"/>
      <c r="K7" s="11"/>
      <c r="L7" s="11"/>
      <c r="M7" s="11"/>
      <c r="N7" s="8"/>
      <c r="O7" s="49"/>
      <c r="P7" s="14"/>
      <c r="Q7" s="13"/>
      <c r="R7" s="424"/>
      <c r="S7" s="424"/>
      <c r="T7" s="424"/>
      <c r="U7" s="424"/>
      <c r="V7" s="424"/>
      <c r="W7" s="424"/>
      <c r="X7" s="424"/>
      <c r="Y7" s="424"/>
      <c r="Z7" s="424"/>
      <c r="AA7" s="424"/>
      <c r="AB7" s="424"/>
      <c r="AC7" s="425"/>
      <c r="AD7" s="426"/>
      <c r="AE7" s="427"/>
      <c r="AF7" s="427"/>
      <c r="AG7" s="428"/>
      <c r="AH7" s="14"/>
      <c r="AI7" s="13"/>
    </row>
    <row r="8" spans="1:35" x14ac:dyDescent="0.2">
      <c r="A8" s="429" t="s">
        <v>781</v>
      </c>
      <c r="B8" s="13">
        <v>202</v>
      </c>
      <c r="C8" s="424">
        <v>841.43252475199995</v>
      </c>
      <c r="D8" s="424">
        <v>3066.8425742499999</v>
      </c>
      <c r="E8" s="424"/>
      <c r="F8" s="424"/>
      <c r="G8" s="424"/>
      <c r="H8" s="424"/>
      <c r="I8" s="424"/>
      <c r="J8" s="424">
        <v>198.23202970200001</v>
      </c>
      <c r="K8" s="424">
        <f>SUM(C8:J8)</f>
        <v>4106.507128704</v>
      </c>
      <c r="L8" s="424">
        <v>1000</v>
      </c>
      <c r="M8" s="424"/>
      <c r="N8" s="425">
        <f>SUM(L8:M8)</f>
        <v>1000</v>
      </c>
      <c r="O8" s="426">
        <f>SUM((K8*12)+N8)</f>
        <v>50278.085544447997</v>
      </c>
      <c r="P8" s="427">
        <f>O8*B8</f>
        <v>10156173.279978495</v>
      </c>
      <c r="Q8" s="13">
        <v>202</v>
      </c>
      <c r="R8" s="424">
        <v>841.43252475199995</v>
      </c>
      <c r="S8" s="424">
        <v>3066.8425742499999</v>
      </c>
      <c r="T8" s="424"/>
      <c r="U8" s="424"/>
      <c r="V8" s="424"/>
      <c r="W8" s="424"/>
      <c r="X8" s="424"/>
      <c r="Y8" s="424">
        <v>198.23202970200001</v>
      </c>
      <c r="Z8" s="424">
        <f>SUM(R8:Y8)</f>
        <v>4106.507128704</v>
      </c>
      <c r="AA8" s="424">
        <v>1000</v>
      </c>
      <c r="AB8" s="424"/>
      <c r="AC8" s="425">
        <f>SUM(AA8:AB8)</f>
        <v>1000</v>
      </c>
      <c r="AD8" s="426">
        <f>SUM((Z8*12)+AC8)</f>
        <v>50278.085544447997</v>
      </c>
      <c r="AE8" s="427">
        <f>AD8*Q8</f>
        <v>10156173.279978495</v>
      </c>
      <c r="AF8" s="427"/>
      <c r="AG8" s="428"/>
      <c r="AH8" s="14"/>
      <c r="AI8" s="13"/>
    </row>
    <row r="9" spans="1:35" x14ac:dyDescent="0.2">
      <c r="A9" s="429" t="s">
        <v>782</v>
      </c>
      <c r="B9" s="13">
        <v>232</v>
      </c>
      <c r="C9" s="424">
        <v>707.76642241299999</v>
      </c>
      <c r="D9" s="424">
        <v>2404.60926724</v>
      </c>
      <c r="E9" s="424"/>
      <c r="F9" s="424"/>
      <c r="G9" s="424"/>
      <c r="H9" s="424"/>
      <c r="I9" s="424"/>
      <c r="J9" s="424">
        <v>166.60133620600001</v>
      </c>
      <c r="K9" s="424">
        <f>SUM(C9:J9)</f>
        <v>3278.9770258589997</v>
      </c>
      <c r="L9" s="424">
        <v>1000</v>
      </c>
      <c r="M9" s="424"/>
      <c r="N9" s="425">
        <f>SUM(L9:M9)</f>
        <v>1000</v>
      </c>
      <c r="O9" s="426">
        <f>SUM((K9*12)+N9)</f>
        <v>40347.724310307996</v>
      </c>
      <c r="P9" s="427">
        <f>O9*B9</f>
        <v>9360672.0399914552</v>
      </c>
      <c r="Q9" s="13">
        <v>232</v>
      </c>
      <c r="R9" s="424">
        <v>707.76642241299999</v>
      </c>
      <c r="S9" s="424">
        <v>2404.60926724</v>
      </c>
      <c r="T9" s="424"/>
      <c r="U9" s="424"/>
      <c r="V9" s="424"/>
      <c r="W9" s="424"/>
      <c r="X9" s="424"/>
      <c r="Y9" s="424">
        <v>166.60133620600001</v>
      </c>
      <c r="Z9" s="424">
        <f>SUM(R9:Y9)</f>
        <v>3278.9770258589997</v>
      </c>
      <c r="AA9" s="424">
        <v>1000</v>
      </c>
      <c r="AB9" s="424"/>
      <c r="AC9" s="425">
        <f>SUM(AA9:AB9)</f>
        <v>1000</v>
      </c>
      <c r="AD9" s="426">
        <f>SUM((Z9*12)+AC9)</f>
        <v>40347.724310307996</v>
      </c>
      <c r="AE9" s="427">
        <f>AD9*Q9</f>
        <v>9360672.0399914552</v>
      </c>
      <c r="AF9" s="427"/>
      <c r="AG9" s="428"/>
      <c r="AH9" s="14"/>
      <c r="AI9" s="13"/>
    </row>
    <row r="10" spans="1:35" x14ac:dyDescent="0.2">
      <c r="A10" s="429" t="s">
        <v>783</v>
      </c>
      <c r="B10" s="13">
        <v>561</v>
      </c>
      <c r="C10" s="424">
        <v>647.25461675500003</v>
      </c>
      <c r="D10" s="424">
        <v>1940.03946524</v>
      </c>
      <c r="E10" s="424"/>
      <c r="F10" s="424"/>
      <c r="G10" s="424"/>
      <c r="H10" s="424"/>
      <c r="I10" s="424"/>
      <c r="J10" s="424">
        <v>219.89163992799999</v>
      </c>
      <c r="K10" s="424">
        <f>SUM(C10:J10)</f>
        <v>2807.1857219230001</v>
      </c>
      <c r="L10" s="424">
        <v>1000</v>
      </c>
      <c r="M10" s="424"/>
      <c r="N10" s="425">
        <f>SUM(L10:M10)</f>
        <v>1000</v>
      </c>
      <c r="O10" s="426">
        <f>SUM((K10*12)+N10)</f>
        <v>34686.228663075999</v>
      </c>
      <c r="P10" s="427">
        <f>O10*B10-800</f>
        <v>19458174.279985636</v>
      </c>
      <c r="Q10" s="13">
        <v>561</v>
      </c>
      <c r="R10" s="424">
        <v>647.25461675500003</v>
      </c>
      <c r="S10" s="424">
        <v>1940.03946524</v>
      </c>
      <c r="T10" s="424"/>
      <c r="U10" s="424"/>
      <c r="V10" s="424"/>
      <c r="W10" s="424"/>
      <c r="X10" s="424"/>
      <c r="Y10" s="424">
        <v>219.89163992799999</v>
      </c>
      <c r="Z10" s="424">
        <f>SUM(R10:Y10)</f>
        <v>2807.1857219230001</v>
      </c>
      <c r="AA10" s="424">
        <v>1000</v>
      </c>
      <c r="AB10" s="424"/>
      <c r="AC10" s="425">
        <f>SUM(AA10:AB10)</f>
        <v>1000</v>
      </c>
      <c r="AD10" s="426">
        <f>SUM((Z10*12)+AC10)</f>
        <v>34686.228663075999</v>
      </c>
      <c r="AE10" s="427">
        <f>AD10*Q10-800</f>
        <v>19458174.279985636</v>
      </c>
      <c r="AF10" s="427"/>
      <c r="AG10" s="428"/>
      <c r="AH10" s="14"/>
      <c r="AI10" s="13"/>
    </row>
    <row r="11" spans="1:35" x14ac:dyDescent="0.2">
      <c r="A11" s="429" t="s">
        <v>784</v>
      </c>
      <c r="B11" s="13">
        <v>749</v>
      </c>
      <c r="C11" s="424">
        <v>609.62335113400002</v>
      </c>
      <c r="D11" s="424">
        <v>1161.5396261599999</v>
      </c>
      <c r="E11" s="424"/>
      <c r="F11" s="424"/>
      <c r="G11" s="424"/>
      <c r="H11" s="424"/>
      <c r="I11" s="424"/>
      <c r="J11" s="424">
        <v>284.29471295000002</v>
      </c>
      <c r="K11" s="424">
        <f>SUM(C11:J11)</f>
        <v>2055.4576902439999</v>
      </c>
      <c r="L11" s="424">
        <v>1000</v>
      </c>
      <c r="M11" s="424"/>
      <c r="N11" s="425">
        <f>SUM(L11:M11)</f>
        <v>1000</v>
      </c>
      <c r="O11" s="426">
        <f>SUM((K11*12)+N11)</f>
        <v>25665.492282927997</v>
      </c>
      <c r="P11" s="427">
        <f>O11*B11-400</f>
        <v>19223053.719913069</v>
      </c>
      <c r="Q11" s="13">
        <v>749</v>
      </c>
      <c r="R11" s="424">
        <v>609.62335113400002</v>
      </c>
      <c r="S11" s="424">
        <v>1161.5396261599999</v>
      </c>
      <c r="T11" s="424"/>
      <c r="U11" s="424"/>
      <c r="V11" s="424"/>
      <c r="W11" s="424"/>
      <c r="X11" s="424"/>
      <c r="Y11" s="424">
        <v>284.29471295000002</v>
      </c>
      <c r="Z11" s="424">
        <f>SUM(R11:Y11)</f>
        <v>2055.4576902439999</v>
      </c>
      <c r="AA11" s="424">
        <v>1000</v>
      </c>
      <c r="AB11" s="424"/>
      <c r="AC11" s="425">
        <f>SUM(AA11:AB11)</f>
        <v>1000</v>
      </c>
      <c r="AD11" s="426">
        <f>SUM((Z11*12)+AC11)</f>
        <v>25665.492282927997</v>
      </c>
      <c r="AE11" s="427">
        <f>AD11*Q11-400</f>
        <v>19223053.719913069</v>
      </c>
      <c r="AF11" s="427"/>
      <c r="AG11" s="428"/>
      <c r="AH11" s="14"/>
      <c r="AI11" s="13"/>
    </row>
    <row r="12" spans="1:35" x14ac:dyDescent="0.2">
      <c r="A12" s="13" t="s">
        <v>55</v>
      </c>
      <c r="B12" s="13"/>
      <c r="C12" s="424"/>
      <c r="D12" s="424"/>
      <c r="E12" s="424"/>
      <c r="F12" s="424"/>
      <c r="G12" s="424"/>
      <c r="H12" s="424"/>
      <c r="I12" s="424"/>
      <c r="J12" s="424"/>
      <c r="K12" s="424">
        <f t="shared" ref="K12:K18" si="0">SUM(C12:J12)</f>
        <v>0</v>
      </c>
      <c r="L12" s="424"/>
      <c r="M12" s="424"/>
      <c r="N12" s="425">
        <f t="shared" ref="N12:N18" si="1">SUM(L12:M12)</f>
        <v>0</v>
      </c>
      <c r="O12" s="426">
        <f t="shared" ref="O12:O18" si="2">SUM((K12*12)+N12)</f>
        <v>0</v>
      </c>
      <c r="P12" s="427">
        <f t="shared" ref="P12:P14" si="3">O12*B12</f>
        <v>0</v>
      </c>
      <c r="Q12" s="13"/>
      <c r="R12" s="424"/>
      <c r="S12" s="424"/>
      <c r="T12" s="424"/>
      <c r="U12" s="424"/>
      <c r="V12" s="424"/>
      <c r="W12" s="424"/>
      <c r="X12" s="424"/>
      <c r="Y12" s="424"/>
      <c r="Z12" s="424">
        <f t="shared" ref="Z12:Z35" si="4">SUM(R12:Y12)</f>
        <v>0</v>
      </c>
      <c r="AA12" s="424"/>
      <c r="AB12" s="424"/>
      <c r="AC12" s="425">
        <f t="shared" ref="AC12:AC35" si="5">SUM(AA12:AB12)</f>
        <v>0</v>
      </c>
      <c r="AD12" s="426">
        <f t="shared" ref="AD12:AD35" si="6">SUM((Z12*12)+AC12)</f>
        <v>0</v>
      </c>
      <c r="AE12" s="427">
        <f t="shared" ref="AE12:AE35" si="7">AD12*Q12</f>
        <v>0</v>
      </c>
      <c r="AF12" s="427"/>
      <c r="AG12" s="428"/>
      <c r="AH12" s="14"/>
      <c r="AI12" s="13"/>
    </row>
    <row r="13" spans="1:35" x14ac:dyDescent="0.2">
      <c r="A13" s="429" t="s">
        <v>763</v>
      </c>
      <c r="B13" s="13">
        <v>8079</v>
      </c>
      <c r="C13" s="424">
        <v>1963.69681272</v>
      </c>
      <c r="D13" s="424"/>
      <c r="E13" s="424"/>
      <c r="F13" s="424"/>
      <c r="G13" s="424"/>
      <c r="H13" s="424"/>
      <c r="I13" s="424"/>
      <c r="J13" s="424">
        <v>1375.6580368800001</v>
      </c>
      <c r="K13" s="424">
        <f t="shared" si="0"/>
        <v>3339.3548496000003</v>
      </c>
      <c r="L13" s="424">
        <v>1000</v>
      </c>
      <c r="M13" s="424"/>
      <c r="N13" s="425">
        <f t="shared" si="1"/>
        <v>1000</v>
      </c>
      <c r="O13" s="426">
        <f t="shared" si="2"/>
        <v>41072.258195200004</v>
      </c>
      <c r="P13" s="427">
        <f t="shared" si="3"/>
        <v>331822773.95902085</v>
      </c>
      <c r="Q13" s="13">
        <v>8079</v>
      </c>
      <c r="R13" s="424">
        <v>1963.69681272</v>
      </c>
      <c r="S13" s="424"/>
      <c r="T13" s="424"/>
      <c r="U13" s="424"/>
      <c r="V13" s="424"/>
      <c r="W13" s="424"/>
      <c r="X13" s="424"/>
      <c r="Y13" s="424">
        <v>1375.6580368800001</v>
      </c>
      <c r="Z13" s="424">
        <f t="shared" si="4"/>
        <v>3339.3548496000003</v>
      </c>
      <c r="AA13" s="424">
        <v>1000</v>
      </c>
      <c r="AB13" s="424"/>
      <c r="AC13" s="425">
        <f t="shared" si="5"/>
        <v>1000</v>
      </c>
      <c r="AD13" s="426">
        <f t="shared" si="6"/>
        <v>41072.258195200004</v>
      </c>
      <c r="AE13" s="427">
        <f t="shared" si="7"/>
        <v>331822773.95902085</v>
      </c>
      <c r="AF13" s="427"/>
      <c r="AG13" s="428"/>
      <c r="AH13" s="14"/>
      <c r="AI13" s="13"/>
    </row>
    <row r="14" spans="1:35" x14ac:dyDescent="0.2">
      <c r="A14" s="429" t="s">
        <v>785</v>
      </c>
      <c r="B14" s="13">
        <v>2461</v>
      </c>
      <c r="C14" s="424">
        <v>1635.58952864</v>
      </c>
      <c r="D14" s="424"/>
      <c r="E14" s="424"/>
      <c r="F14" s="424"/>
      <c r="G14" s="424"/>
      <c r="H14" s="424"/>
      <c r="I14" s="424"/>
      <c r="J14" s="424">
        <v>1065.31258837</v>
      </c>
      <c r="K14" s="424">
        <f t="shared" si="0"/>
        <v>2700.90211701</v>
      </c>
      <c r="L14" s="424">
        <v>600</v>
      </c>
      <c r="M14" s="424"/>
      <c r="N14" s="425">
        <f t="shared" si="1"/>
        <v>600</v>
      </c>
      <c r="O14" s="426">
        <f t="shared" si="2"/>
        <v>33010.825404119998</v>
      </c>
      <c r="P14" s="427">
        <f t="shared" si="3"/>
        <v>81239641.319539309</v>
      </c>
      <c r="Q14" s="13">
        <v>2461</v>
      </c>
      <c r="R14" s="424">
        <v>1635.58952864</v>
      </c>
      <c r="S14" s="424"/>
      <c r="T14" s="424"/>
      <c r="U14" s="424"/>
      <c r="V14" s="424"/>
      <c r="W14" s="424"/>
      <c r="X14" s="424"/>
      <c r="Y14" s="424">
        <v>1065.31258837</v>
      </c>
      <c r="Z14" s="424">
        <f t="shared" si="4"/>
        <v>2700.90211701</v>
      </c>
      <c r="AA14" s="424">
        <v>600</v>
      </c>
      <c r="AB14" s="424"/>
      <c r="AC14" s="425">
        <f t="shared" si="5"/>
        <v>600</v>
      </c>
      <c r="AD14" s="426">
        <f t="shared" si="6"/>
        <v>33010.825404119998</v>
      </c>
      <c r="AE14" s="427">
        <f t="shared" si="7"/>
        <v>81239641.319539309</v>
      </c>
      <c r="AF14" s="427"/>
      <c r="AG14" s="428"/>
      <c r="AH14" s="14"/>
      <c r="AI14" s="13"/>
    </row>
    <row r="15" spans="1:35" x14ac:dyDescent="0.2">
      <c r="A15" s="429" t="s">
        <v>765</v>
      </c>
      <c r="B15" s="13">
        <v>290</v>
      </c>
      <c r="C15" s="424">
        <v>1013.2</v>
      </c>
      <c r="D15" s="424"/>
      <c r="E15" s="424"/>
      <c r="F15" s="424"/>
      <c r="G15" s="424"/>
      <c r="H15" s="424"/>
      <c r="I15" s="424"/>
      <c r="J15" s="424">
        <v>564.25862068900005</v>
      </c>
      <c r="K15" s="424">
        <f t="shared" si="0"/>
        <v>1577.4586206890001</v>
      </c>
      <c r="L15" s="424">
        <v>1000</v>
      </c>
      <c r="M15" s="424"/>
      <c r="N15" s="425">
        <f t="shared" si="1"/>
        <v>1000</v>
      </c>
      <c r="O15" s="426">
        <f t="shared" si="2"/>
        <v>19929.503448268002</v>
      </c>
      <c r="P15" s="427">
        <f>O15*B15-76800</f>
        <v>5702755.9999977211</v>
      </c>
      <c r="Q15" s="13">
        <v>290</v>
      </c>
      <c r="R15" s="424">
        <v>1013.2</v>
      </c>
      <c r="S15" s="424"/>
      <c r="T15" s="424"/>
      <c r="U15" s="424"/>
      <c r="V15" s="424"/>
      <c r="W15" s="424"/>
      <c r="X15" s="424"/>
      <c r="Y15" s="424">
        <v>564.25862068900005</v>
      </c>
      <c r="Z15" s="424">
        <f t="shared" si="4"/>
        <v>1577.4586206890001</v>
      </c>
      <c r="AA15" s="424">
        <v>1000</v>
      </c>
      <c r="AB15" s="424"/>
      <c r="AC15" s="425">
        <f t="shared" si="5"/>
        <v>1000</v>
      </c>
      <c r="AD15" s="426">
        <f t="shared" si="6"/>
        <v>19929.503448268002</v>
      </c>
      <c r="AE15" s="427">
        <f>AD15*Q15-76800</f>
        <v>5702755.9999977211</v>
      </c>
      <c r="AF15" s="427"/>
      <c r="AG15" s="428"/>
      <c r="AH15" s="14"/>
      <c r="AI15" s="13"/>
    </row>
    <row r="16" spans="1:35" x14ac:dyDescent="0.2">
      <c r="A16" s="429" t="s">
        <v>766</v>
      </c>
      <c r="B16" s="13">
        <v>200</v>
      </c>
      <c r="C16" s="424">
        <v>3145.6296000000002</v>
      </c>
      <c r="D16" s="424"/>
      <c r="E16" s="424"/>
      <c r="F16" s="424"/>
      <c r="G16" s="424"/>
      <c r="H16" s="424"/>
      <c r="I16" s="424"/>
      <c r="J16" s="424">
        <v>0</v>
      </c>
      <c r="K16" s="424">
        <f t="shared" si="0"/>
        <v>3145.6296000000002</v>
      </c>
      <c r="L16" s="424">
        <v>1000</v>
      </c>
      <c r="M16" s="424"/>
      <c r="N16" s="425">
        <f t="shared" si="1"/>
        <v>1000</v>
      </c>
      <c r="O16" s="426">
        <f t="shared" si="2"/>
        <v>38747.555200000003</v>
      </c>
      <c r="P16" s="427">
        <f>O16*B16-39200</f>
        <v>7710311.040000001</v>
      </c>
      <c r="Q16" s="13">
        <v>200</v>
      </c>
      <c r="R16" s="424">
        <v>3145.6296000000002</v>
      </c>
      <c r="S16" s="424"/>
      <c r="T16" s="424"/>
      <c r="U16" s="424"/>
      <c r="V16" s="424"/>
      <c r="W16" s="424"/>
      <c r="X16" s="424"/>
      <c r="Y16" s="424">
        <v>0</v>
      </c>
      <c r="Z16" s="424">
        <f t="shared" si="4"/>
        <v>3145.6296000000002</v>
      </c>
      <c r="AA16" s="424">
        <v>1000</v>
      </c>
      <c r="AB16" s="424"/>
      <c r="AC16" s="425">
        <f t="shared" si="5"/>
        <v>1000</v>
      </c>
      <c r="AD16" s="426">
        <f t="shared" si="6"/>
        <v>38747.555200000003</v>
      </c>
      <c r="AE16" s="427">
        <f>AD16*Q16-39200</f>
        <v>7710311.040000001</v>
      </c>
      <c r="AF16" s="427"/>
      <c r="AG16" s="428"/>
      <c r="AH16" s="14"/>
      <c r="AI16" s="13"/>
    </row>
    <row r="17" spans="1:35" x14ac:dyDescent="0.2">
      <c r="A17" s="429" t="s">
        <v>786</v>
      </c>
      <c r="B17" s="13">
        <v>1305</v>
      </c>
      <c r="C17" s="424">
        <v>1146.1325440600001</v>
      </c>
      <c r="D17" s="424"/>
      <c r="E17" s="424"/>
      <c r="F17" s="424"/>
      <c r="G17" s="424"/>
      <c r="H17" s="424"/>
      <c r="I17" s="424"/>
      <c r="J17" s="424">
        <v>656.53450574700003</v>
      </c>
      <c r="K17" s="424">
        <f t="shared" si="0"/>
        <v>1802.6670498070002</v>
      </c>
      <c r="L17" s="424">
        <v>600</v>
      </c>
      <c r="M17" s="424"/>
      <c r="N17" s="425">
        <f t="shared" si="1"/>
        <v>600</v>
      </c>
      <c r="O17" s="426">
        <f t="shared" si="2"/>
        <v>22232.004597684005</v>
      </c>
      <c r="P17" s="427">
        <f>O17*B17-233960</f>
        <v>28778805.999977626</v>
      </c>
      <c r="Q17" s="13">
        <v>1305</v>
      </c>
      <c r="R17" s="424">
        <v>1146.1325440600001</v>
      </c>
      <c r="S17" s="424"/>
      <c r="T17" s="424"/>
      <c r="U17" s="424"/>
      <c r="V17" s="424"/>
      <c r="W17" s="424"/>
      <c r="X17" s="424"/>
      <c r="Y17" s="424">
        <v>656.53450574700003</v>
      </c>
      <c r="Z17" s="424">
        <f t="shared" si="4"/>
        <v>1802.6670498070002</v>
      </c>
      <c r="AA17" s="424">
        <v>600</v>
      </c>
      <c r="AB17" s="424"/>
      <c r="AC17" s="425">
        <f t="shared" si="5"/>
        <v>600</v>
      </c>
      <c r="AD17" s="426">
        <f t="shared" si="6"/>
        <v>22232.004597684005</v>
      </c>
      <c r="AE17" s="427">
        <f>AD17*Q17-233960</f>
        <v>28778805.999977626</v>
      </c>
      <c r="AF17" s="427"/>
      <c r="AG17" s="428"/>
      <c r="AH17" s="14"/>
      <c r="AI17" s="13"/>
    </row>
    <row r="18" spans="1:35" x14ac:dyDescent="0.2">
      <c r="A18" s="13" t="s">
        <v>56</v>
      </c>
      <c r="B18" s="13"/>
      <c r="C18" s="424"/>
      <c r="D18" s="424"/>
      <c r="E18" s="424"/>
      <c r="F18" s="424"/>
      <c r="G18" s="424"/>
      <c r="H18" s="424"/>
      <c r="I18" s="424"/>
      <c r="J18" s="424"/>
      <c r="K18" s="424">
        <f t="shared" si="0"/>
        <v>0</v>
      </c>
      <c r="L18" s="424"/>
      <c r="M18" s="424"/>
      <c r="N18" s="425">
        <f t="shared" si="1"/>
        <v>0</v>
      </c>
      <c r="O18" s="426">
        <f t="shared" si="2"/>
        <v>0</v>
      </c>
      <c r="P18" s="427">
        <f t="shared" ref="P18:P32" si="8">O18*B18</f>
        <v>0</v>
      </c>
      <c r="Q18" s="13"/>
      <c r="R18" s="424"/>
      <c r="S18" s="424"/>
      <c r="T18" s="424"/>
      <c r="U18" s="424"/>
      <c r="V18" s="424"/>
      <c r="W18" s="424"/>
      <c r="X18" s="424"/>
      <c r="Y18" s="424"/>
      <c r="Z18" s="424">
        <f t="shared" si="4"/>
        <v>0</v>
      </c>
      <c r="AA18" s="424"/>
      <c r="AB18" s="424"/>
      <c r="AC18" s="425">
        <f t="shared" si="5"/>
        <v>0</v>
      </c>
      <c r="AD18" s="426">
        <f t="shared" si="6"/>
        <v>0</v>
      </c>
      <c r="AE18" s="427">
        <f t="shared" si="7"/>
        <v>0</v>
      </c>
      <c r="AF18" s="427"/>
      <c r="AG18" s="428"/>
      <c r="AH18" s="14"/>
      <c r="AI18" s="13"/>
    </row>
    <row r="19" spans="1:35" x14ac:dyDescent="0.2">
      <c r="A19" s="429" t="s">
        <v>787</v>
      </c>
      <c r="B19" s="13">
        <v>33</v>
      </c>
      <c r="C19" s="424">
        <v>1681.0018181800001</v>
      </c>
      <c r="D19" s="424"/>
      <c r="E19" s="424"/>
      <c r="F19" s="424"/>
      <c r="G19" s="424"/>
      <c r="H19" s="424"/>
      <c r="I19" s="424"/>
      <c r="J19" s="424">
        <v>1629.2639393899999</v>
      </c>
      <c r="K19" s="424">
        <f>SUM(C19:J19)</f>
        <v>3310.26575757</v>
      </c>
      <c r="L19" s="424">
        <v>1000</v>
      </c>
      <c r="M19" s="424"/>
      <c r="N19" s="425">
        <f>SUM(L19:M19)</f>
        <v>1000</v>
      </c>
      <c r="O19" s="426">
        <f t="shared" ref="O19" si="9">SUM((K19*12)+N19)</f>
        <v>40723.189090840002</v>
      </c>
      <c r="P19" s="427">
        <f t="shared" si="8"/>
        <v>1343865.2399977201</v>
      </c>
      <c r="Q19" s="13">
        <v>33</v>
      </c>
      <c r="R19" s="424">
        <v>1681.0018181800001</v>
      </c>
      <c r="S19" s="424"/>
      <c r="T19" s="424"/>
      <c r="U19" s="424"/>
      <c r="V19" s="424"/>
      <c r="W19" s="424"/>
      <c r="X19" s="424"/>
      <c r="Y19" s="424">
        <v>1629.2639393899999</v>
      </c>
      <c r="Z19" s="424">
        <f>SUM(R19:Y19)</f>
        <v>3310.26575757</v>
      </c>
      <c r="AA19" s="424">
        <v>1000</v>
      </c>
      <c r="AB19" s="424"/>
      <c r="AC19" s="425">
        <f>SUM(AA19:AB19)</f>
        <v>1000</v>
      </c>
      <c r="AD19" s="426">
        <f t="shared" ref="AD19" si="10">SUM((Z19*12)+AC19)</f>
        <v>40723.189090840002</v>
      </c>
      <c r="AE19" s="427">
        <f t="shared" si="7"/>
        <v>1343865.2399977201</v>
      </c>
      <c r="AF19" s="427"/>
      <c r="AG19" s="428"/>
      <c r="AH19" s="14"/>
      <c r="AI19" s="13"/>
    </row>
    <row r="20" spans="1:35" x14ac:dyDescent="0.2">
      <c r="A20" s="429" t="s">
        <v>788</v>
      </c>
      <c r="B20" s="13">
        <v>1283</v>
      </c>
      <c r="C20" s="424">
        <v>1485.8320654700001</v>
      </c>
      <c r="D20" s="424"/>
      <c r="E20" s="424"/>
      <c r="F20" s="424"/>
      <c r="G20" s="424"/>
      <c r="H20" s="424"/>
      <c r="I20" s="424"/>
      <c r="J20" s="424">
        <v>1683.9904130899999</v>
      </c>
      <c r="K20" s="424">
        <f>SUM(C20:J20)</f>
        <v>3169.82247856</v>
      </c>
      <c r="L20" s="424">
        <v>1000</v>
      </c>
      <c r="M20" s="424"/>
      <c r="N20" s="425">
        <f>SUM(L20:M20)</f>
        <v>1000</v>
      </c>
      <c r="O20" s="426">
        <f t="shared" ref="O20:O23" si="11">SUM((K20*12)+N20)</f>
        <v>39037.869742720002</v>
      </c>
      <c r="P20" s="427">
        <f t="shared" si="8"/>
        <v>50085586.879909761</v>
      </c>
      <c r="Q20" s="13">
        <v>1283</v>
      </c>
      <c r="R20" s="424">
        <v>1485.8320654700001</v>
      </c>
      <c r="S20" s="424"/>
      <c r="T20" s="424"/>
      <c r="U20" s="424"/>
      <c r="V20" s="424"/>
      <c r="W20" s="424"/>
      <c r="X20" s="424"/>
      <c r="Y20" s="424">
        <v>1683.9904130899999</v>
      </c>
      <c r="Z20" s="424">
        <f>SUM(R20:Y20)</f>
        <v>3169.82247856</v>
      </c>
      <c r="AA20" s="424">
        <v>1000</v>
      </c>
      <c r="AB20" s="424"/>
      <c r="AC20" s="425">
        <f>SUM(AA20:AB20)</f>
        <v>1000</v>
      </c>
      <c r="AD20" s="426">
        <f t="shared" ref="AD20:AD23" si="12">SUM((Z20*12)+AC20)</f>
        <v>39037.869742720002</v>
      </c>
      <c r="AE20" s="427">
        <f t="shared" si="7"/>
        <v>50085586.879909761</v>
      </c>
      <c r="AF20" s="427"/>
      <c r="AG20" s="428"/>
      <c r="AH20" s="14"/>
      <c r="AI20" s="13"/>
    </row>
    <row r="21" spans="1:35" x14ac:dyDescent="0.2">
      <c r="A21" s="429" t="s">
        <v>789</v>
      </c>
      <c r="B21" s="13">
        <v>93</v>
      </c>
      <c r="C21" s="424">
        <v>1470.7455913900001</v>
      </c>
      <c r="D21" s="424"/>
      <c r="E21" s="424"/>
      <c r="F21" s="424"/>
      <c r="G21" s="424"/>
      <c r="H21" s="424"/>
      <c r="I21" s="424"/>
      <c r="J21" s="424">
        <v>1607.4803225799999</v>
      </c>
      <c r="K21" s="424">
        <f>SUM(C21:J21)</f>
        <v>3078.22591397</v>
      </c>
      <c r="L21" s="424">
        <v>1000</v>
      </c>
      <c r="M21" s="424"/>
      <c r="N21" s="425">
        <f>SUM(L21:M21)</f>
        <v>1000</v>
      </c>
      <c r="O21" s="426">
        <f t="shared" si="11"/>
        <v>37938.71096764</v>
      </c>
      <c r="P21" s="427">
        <f t="shared" si="8"/>
        <v>3528300.1199905202</v>
      </c>
      <c r="Q21" s="13">
        <v>93</v>
      </c>
      <c r="R21" s="424">
        <v>1470.7455913900001</v>
      </c>
      <c r="S21" s="424"/>
      <c r="T21" s="424"/>
      <c r="U21" s="424"/>
      <c r="V21" s="424"/>
      <c r="W21" s="424"/>
      <c r="X21" s="424"/>
      <c r="Y21" s="424">
        <v>1607.4803225799999</v>
      </c>
      <c r="Z21" s="424">
        <f>SUM(R21:Y21)</f>
        <v>3078.22591397</v>
      </c>
      <c r="AA21" s="424">
        <v>1000</v>
      </c>
      <c r="AB21" s="424"/>
      <c r="AC21" s="425">
        <f>SUM(AA21:AB21)</f>
        <v>1000</v>
      </c>
      <c r="AD21" s="426">
        <f t="shared" si="12"/>
        <v>37938.71096764</v>
      </c>
      <c r="AE21" s="427">
        <f t="shared" si="7"/>
        <v>3528300.1199905202</v>
      </c>
      <c r="AF21" s="427"/>
      <c r="AG21" s="428"/>
      <c r="AH21" s="14"/>
      <c r="AI21" s="13"/>
    </row>
    <row r="22" spans="1:35" x14ac:dyDescent="0.2">
      <c r="A22" s="429" t="s">
        <v>762</v>
      </c>
      <c r="B22" s="13">
        <v>1811</v>
      </c>
      <c r="C22" s="424">
        <v>2883.5629762499998</v>
      </c>
      <c r="D22" s="424"/>
      <c r="E22" s="424"/>
      <c r="F22" s="424"/>
      <c r="G22" s="424"/>
      <c r="H22" s="424"/>
      <c r="I22" s="424"/>
      <c r="J22" s="424">
        <v>2896.3001711699999</v>
      </c>
      <c r="K22" s="424">
        <f>SUM(C22:J22)</f>
        <v>5779.8631474199992</v>
      </c>
      <c r="L22" s="424">
        <v>1000</v>
      </c>
      <c r="M22" s="424"/>
      <c r="N22" s="425">
        <f>SUM(L22:M22)</f>
        <v>1000</v>
      </c>
      <c r="O22" s="426">
        <f t="shared" si="11"/>
        <v>70358.357769039983</v>
      </c>
      <c r="P22" s="427">
        <f t="shared" si="8"/>
        <v>127418985.91973141</v>
      </c>
      <c r="Q22" s="13">
        <v>1811</v>
      </c>
      <c r="R22" s="424">
        <v>2883.5629762499998</v>
      </c>
      <c r="S22" s="424"/>
      <c r="T22" s="424"/>
      <c r="U22" s="424"/>
      <c r="V22" s="424"/>
      <c r="W22" s="424"/>
      <c r="X22" s="424"/>
      <c r="Y22" s="424">
        <v>2896.3001711699999</v>
      </c>
      <c r="Z22" s="424">
        <f>SUM(R22:Y22)</f>
        <v>5779.8631474199992</v>
      </c>
      <c r="AA22" s="424">
        <v>1000</v>
      </c>
      <c r="AB22" s="424"/>
      <c r="AC22" s="425">
        <f>SUM(AA22:AB22)</f>
        <v>1000</v>
      </c>
      <c r="AD22" s="426">
        <f t="shared" si="12"/>
        <v>70358.357769039983</v>
      </c>
      <c r="AE22" s="427">
        <f t="shared" si="7"/>
        <v>127418985.91973141</v>
      </c>
      <c r="AF22" s="427"/>
      <c r="AG22" s="428"/>
      <c r="AH22" s="14"/>
      <c r="AI22" s="13"/>
    </row>
    <row r="23" spans="1:35" x14ac:dyDescent="0.2">
      <c r="A23" s="429" t="s">
        <v>768</v>
      </c>
      <c r="B23" s="13">
        <v>15</v>
      </c>
      <c r="C23" s="424">
        <v>400.07666666599999</v>
      </c>
      <c r="D23" s="424"/>
      <c r="E23" s="424"/>
      <c r="F23" s="424"/>
      <c r="G23" s="424"/>
      <c r="H23" s="424"/>
      <c r="I23" s="424"/>
      <c r="J23" s="424">
        <v>1089.2366666</v>
      </c>
      <c r="K23" s="424">
        <f t="shared" ref="K23" si="13">SUM(C23:J23)</f>
        <v>1489.313333266</v>
      </c>
      <c r="L23" s="424"/>
      <c r="M23" s="424"/>
      <c r="N23" s="425">
        <f t="shared" ref="N23" si="14">SUM(L23:M23)</f>
        <v>0</v>
      </c>
      <c r="O23" s="426">
        <f t="shared" si="11"/>
        <v>17871.759999192</v>
      </c>
      <c r="P23" s="427">
        <f t="shared" si="8"/>
        <v>268076.39998788002</v>
      </c>
      <c r="Q23" s="13">
        <v>15</v>
      </c>
      <c r="R23" s="424">
        <v>400.07666666599999</v>
      </c>
      <c r="S23" s="424"/>
      <c r="T23" s="424"/>
      <c r="U23" s="424"/>
      <c r="V23" s="424"/>
      <c r="W23" s="424"/>
      <c r="X23" s="424"/>
      <c r="Y23" s="424">
        <v>1089.2366666</v>
      </c>
      <c r="Z23" s="424">
        <f t="shared" ref="Z23" si="15">SUM(R23:Y23)</f>
        <v>1489.313333266</v>
      </c>
      <c r="AA23" s="424"/>
      <c r="AB23" s="424"/>
      <c r="AC23" s="425">
        <f t="shared" ref="AC23" si="16">SUM(AA23:AB23)</f>
        <v>0</v>
      </c>
      <c r="AD23" s="426">
        <f t="shared" si="12"/>
        <v>17871.759999192</v>
      </c>
      <c r="AE23" s="427">
        <f t="shared" si="7"/>
        <v>268076.39998788002</v>
      </c>
      <c r="AF23" s="427"/>
      <c r="AG23" s="428"/>
      <c r="AH23" s="14"/>
      <c r="AI23" s="13"/>
    </row>
    <row r="24" spans="1:35" x14ac:dyDescent="0.2">
      <c r="A24" s="13" t="s">
        <v>57</v>
      </c>
      <c r="B24" s="13"/>
      <c r="C24" s="424"/>
      <c r="D24" s="424"/>
      <c r="E24" s="424"/>
      <c r="F24" s="424"/>
      <c r="G24" s="424"/>
      <c r="H24" s="424"/>
      <c r="I24" s="424"/>
      <c r="J24" s="424"/>
      <c r="K24" s="424">
        <f t="shared" ref="K24:K31" si="17">SUM(C24:J24)</f>
        <v>0</v>
      </c>
      <c r="L24" s="424"/>
      <c r="M24" s="424"/>
      <c r="N24" s="425">
        <f t="shared" ref="N24:N35" si="18">SUM(L24:M24)</f>
        <v>0</v>
      </c>
      <c r="O24" s="426">
        <f t="shared" ref="O24:O35" si="19">SUM((K24*12)+N24)</f>
        <v>0</v>
      </c>
      <c r="P24" s="427">
        <f t="shared" si="8"/>
        <v>0</v>
      </c>
      <c r="Q24" s="13"/>
      <c r="R24" s="424"/>
      <c r="S24" s="424"/>
      <c r="T24" s="424"/>
      <c r="U24" s="424"/>
      <c r="V24" s="424"/>
      <c r="W24" s="424"/>
      <c r="X24" s="424"/>
      <c r="Y24" s="424"/>
      <c r="Z24" s="424">
        <f t="shared" si="4"/>
        <v>0</v>
      </c>
      <c r="AA24" s="424"/>
      <c r="AB24" s="424"/>
      <c r="AC24" s="425">
        <f t="shared" si="5"/>
        <v>0</v>
      </c>
      <c r="AD24" s="426">
        <f t="shared" si="6"/>
        <v>0</v>
      </c>
      <c r="AE24" s="427">
        <f t="shared" si="7"/>
        <v>0</v>
      </c>
      <c r="AF24" s="427"/>
      <c r="AG24" s="428"/>
      <c r="AH24" s="14"/>
      <c r="AI24" s="13"/>
    </row>
    <row r="25" spans="1:35" x14ac:dyDescent="0.2">
      <c r="A25" s="429" t="s">
        <v>790</v>
      </c>
      <c r="B25" s="13">
        <v>72</v>
      </c>
      <c r="C25" s="424">
        <v>2895.74083333</v>
      </c>
      <c r="D25" s="424"/>
      <c r="E25" s="424"/>
      <c r="F25" s="424"/>
      <c r="G25" s="424"/>
      <c r="H25" s="424"/>
      <c r="I25" s="424"/>
      <c r="J25" s="424">
        <v>2108.6420833299999</v>
      </c>
      <c r="K25" s="424">
        <f t="shared" si="17"/>
        <v>5004.3829166599999</v>
      </c>
      <c r="L25" s="424">
        <v>1000</v>
      </c>
      <c r="M25" s="424"/>
      <c r="N25" s="425">
        <f t="shared" si="18"/>
        <v>1000</v>
      </c>
      <c r="O25" s="426">
        <f t="shared" si="19"/>
        <v>61052.594999919995</v>
      </c>
      <c r="P25" s="427">
        <f t="shared" si="8"/>
        <v>4395786.8399942396</v>
      </c>
      <c r="Q25" s="13">
        <v>72</v>
      </c>
      <c r="R25" s="424">
        <v>2895.74083333</v>
      </c>
      <c r="S25" s="424"/>
      <c r="T25" s="424"/>
      <c r="U25" s="424"/>
      <c r="V25" s="424"/>
      <c r="W25" s="424"/>
      <c r="X25" s="424"/>
      <c r="Y25" s="424">
        <v>2108.6420833299999</v>
      </c>
      <c r="Z25" s="424">
        <f t="shared" si="4"/>
        <v>5004.3829166599999</v>
      </c>
      <c r="AA25" s="424">
        <v>1000</v>
      </c>
      <c r="AB25" s="424"/>
      <c r="AC25" s="425">
        <f t="shared" si="5"/>
        <v>1000</v>
      </c>
      <c r="AD25" s="426">
        <f t="shared" si="6"/>
        <v>61052.594999919995</v>
      </c>
      <c r="AE25" s="427">
        <f t="shared" si="7"/>
        <v>4395786.8399942396</v>
      </c>
      <c r="AF25" s="427"/>
      <c r="AG25" s="428"/>
      <c r="AH25" s="14"/>
      <c r="AI25" s="13"/>
    </row>
    <row r="26" spans="1:35" x14ac:dyDescent="0.2">
      <c r="A26" s="13" t="s">
        <v>23</v>
      </c>
      <c r="B26" s="13"/>
      <c r="C26" s="424"/>
      <c r="D26" s="424"/>
      <c r="E26" s="424"/>
      <c r="F26" s="424"/>
      <c r="G26" s="424"/>
      <c r="H26" s="424"/>
      <c r="I26" s="424"/>
      <c r="J26" s="424"/>
      <c r="K26" s="424">
        <f t="shared" si="17"/>
        <v>0</v>
      </c>
      <c r="L26" s="424"/>
      <c r="M26" s="424"/>
      <c r="N26" s="425">
        <f t="shared" si="18"/>
        <v>0</v>
      </c>
      <c r="O26" s="426">
        <f t="shared" si="19"/>
        <v>0</v>
      </c>
      <c r="P26" s="427">
        <f t="shared" si="8"/>
        <v>0</v>
      </c>
      <c r="Q26" s="13"/>
      <c r="R26" s="424"/>
      <c r="S26" s="424"/>
      <c r="T26" s="424"/>
      <c r="U26" s="424"/>
      <c r="V26" s="424"/>
      <c r="W26" s="424"/>
      <c r="X26" s="424"/>
      <c r="Y26" s="424"/>
      <c r="Z26" s="424">
        <f t="shared" si="4"/>
        <v>0</v>
      </c>
      <c r="AA26" s="424"/>
      <c r="AB26" s="424"/>
      <c r="AC26" s="425">
        <f t="shared" si="5"/>
        <v>0</v>
      </c>
      <c r="AD26" s="426">
        <f t="shared" si="6"/>
        <v>0</v>
      </c>
      <c r="AE26" s="427">
        <f t="shared" si="7"/>
        <v>0</v>
      </c>
      <c r="AF26" s="427"/>
      <c r="AG26" s="428"/>
      <c r="AH26" s="14"/>
      <c r="AI26" s="13"/>
    </row>
    <row r="27" spans="1:35" x14ac:dyDescent="0.2">
      <c r="A27" s="13" t="s">
        <v>791</v>
      </c>
      <c r="B27" s="13"/>
      <c r="C27" s="424"/>
      <c r="D27" s="424"/>
      <c r="E27" s="424"/>
      <c r="F27" s="424"/>
      <c r="G27" s="424"/>
      <c r="H27" s="424"/>
      <c r="I27" s="424"/>
      <c r="J27" s="424"/>
      <c r="K27" s="424">
        <f t="shared" si="17"/>
        <v>0</v>
      </c>
      <c r="L27" s="424"/>
      <c r="M27" s="424"/>
      <c r="N27" s="425">
        <f t="shared" si="18"/>
        <v>0</v>
      </c>
      <c r="O27" s="426">
        <f t="shared" si="19"/>
        <v>0</v>
      </c>
      <c r="P27" s="427">
        <f t="shared" si="8"/>
        <v>0</v>
      </c>
      <c r="Q27" s="13"/>
      <c r="R27" s="424"/>
      <c r="S27" s="424"/>
      <c r="T27" s="424"/>
      <c r="U27" s="424"/>
      <c r="V27" s="424"/>
      <c r="W27" s="424"/>
      <c r="X27" s="424"/>
      <c r="Y27" s="424"/>
      <c r="Z27" s="424">
        <f t="shared" si="4"/>
        <v>0</v>
      </c>
      <c r="AA27" s="424"/>
      <c r="AB27" s="424"/>
      <c r="AC27" s="425">
        <f t="shared" si="5"/>
        <v>0</v>
      </c>
      <c r="AD27" s="426">
        <f t="shared" si="6"/>
        <v>0</v>
      </c>
      <c r="AE27" s="427">
        <f t="shared" si="7"/>
        <v>0</v>
      </c>
      <c r="AF27" s="427"/>
      <c r="AG27" s="428"/>
      <c r="AH27" s="14"/>
      <c r="AI27" s="13"/>
    </row>
    <row r="28" spans="1:35" x14ac:dyDescent="0.2">
      <c r="A28" s="430" t="s">
        <v>792</v>
      </c>
      <c r="B28" s="13">
        <v>2129</v>
      </c>
      <c r="C28" s="424">
        <v>2173.7334899000002</v>
      </c>
      <c r="D28" s="424"/>
      <c r="E28" s="424"/>
      <c r="F28" s="424"/>
      <c r="G28" s="424"/>
      <c r="H28" s="424"/>
      <c r="I28" s="424"/>
      <c r="J28" s="424"/>
      <c r="K28" s="424">
        <f t="shared" si="17"/>
        <v>2173.7334899000002</v>
      </c>
      <c r="L28" s="424">
        <v>600</v>
      </c>
      <c r="M28" s="424"/>
      <c r="N28" s="425">
        <f t="shared" si="18"/>
        <v>600</v>
      </c>
      <c r="O28" s="426">
        <f t="shared" si="19"/>
        <v>26684.801878800004</v>
      </c>
      <c r="P28" s="427">
        <f t="shared" si="8"/>
        <v>56811943.199965209</v>
      </c>
      <c r="Q28" s="13">
        <v>2129</v>
      </c>
      <c r="R28" s="424">
        <v>2173.7334899000002</v>
      </c>
      <c r="S28" s="424"/>
      <c r="T28" s="424"/>
      <c r="U28" s="424"/>
      <c r="V28" s="424"/>
      <c r="W28" s="424"/>
      <c r="X28" s="424"/>
      <c r="Y28" s="424"/>
      <c r="Z28" s="424">
        <f t="shared" si="4"/>
        <v>2173.7334899000002</v>
      </c>
      <c r="AA28" s="424">
        <v>600</v>
      </c>
      <c r="AB28" s="424"/>
      <c r="AC28" s="425">
        <f t="shared" si="5"/>
        <v>600</v>
      </c>
      <c r="AD28" s="426">
        <f t="shared" si="6"/>
        <v>26684.801878800004</v>
      </c>
      <c r="AE28" s="427">
        <f t="shared" si="7"/>
        <v>56811943.199965209</v>
      </c>
      <c r="AF28" s="427"/>
      <c r="AG28" s="428"/>
      <c r="AH28" s="14"/>
      <c r="AI28" s="13"/>
    </row>
    <row r="29" spans="1:35" x14ac:dyDescent="0.2">
      <c r="A29" s="430" t="s">
        <v>776</v>
      </c>
      <c r="B29" s="13">
        <v>1185</v>
      </c>
      <c r="C29" s="424">
        <v>1950.82042194</v>
      </c>
      <c r="D29" s="424"/>
      <c r="E29" s="424"/>
      <c r="F29" s="424"/>
      <c r="G29" s="424"/>
      <c r="H29" s="424"/>
      <c r="I29" s="424"/>
      <c r="J29" s="424"/>
      <c r="K29" s="424">
        <f t="shared" si="17"/>
        <v>1950.82042194</v>
      </c>
      <c r="L29" s="424">
        <v>600</v>
      </c>
      <c r="M29" s="424"/>
      <c r="N29" s="425">
        <f t="shared" si="18"/>
        <v>600</v>
      </c>
      <c r="O29" s="426">
        <f t="shared" si="19"/>
        <v>24009.845063280001</v>
      </c>
      <c r="P29" s="427">
        <f t="shared" si="8"/>
        <v>28451666.3999868</v>
      </c>
      <c r="Q29" s="13">
        <v>1185</v>
      </c>
      <c r="R29" s="424">
        <v>1950.82042194</v>
      </c>
      <c r="S29" s="424"/>
      <c r="T29" s="424"/>
      <c r="U29" s="424"/>
      <c r="V29" s="424"/>
      <c r="W29" s="424"/>
      <c r="X29" s="424"/>
      <c r="Y29" s="424"/>
      <c r="Z29" s="424">
        <f t="shared" si="4"/>
        <v>1950.82042194</v>
      </c>
      <c r="AA29" s="424">
        <v>600</v>
      </c>
      <c r="AB29" s="424"/>
      <c r="AC29" s="425">
        <f t="shared" si="5"/>
        <v>600</v>
      </c>
      <c r="AD29" s="426">
        <f t="shared" si="6"/>
        <v>24009.845063280001</v>
      </c>
      <c r="AE29" s="427">
        <f t="shared" si="7"/>
        <v>28451666.3999868</v>
      </c>
      <c r="AF29" s="427"/>
      <c r="AG29" s="428"/>
      <c r="AH29" s="14"/>
      <c r="AI29" s="13"/>
    </row>
    <row r="30" spans="1:35" x14ac:dyDescent="0.2">
      <c r="A30" s="430" t="s">
        <v>777</v>
      </c>
      <c r="B30" s="13">
        <v>43</v>
      </c>
      <c r="C30" s="424">
        <v>2876.4755813900001</v>
      </c>
      <c r="D30" s="424"/>
      <c r="E30" s="424"/>
      <c r="F30" s="424"/>
      <c r="G30" s="424"/>
      <c r="H30" s="424"/>
      <c r="I30" s="424"/>
      <c r="J30" s="424"/>
      <c r="K30" s="424">
        <f t="shared" si="17"/>
        <v>2876.4755813900001</v>
      </c>
      <c r="L30" s="424">
        <v>600</v>
      </c>
      <c r="M30" s="424"/>
      <c r="N30" s="425">
        <f t="shared" si="18"/>
        <v>600</v>
      </c>
      <c r="O30" s="426">
        <f t="shared" si="19"/>
        <v>35117.706976679998</v>
      </c>
      <c r="P30" s="427">
        <f t="shared" si="8"/>
        <v>1510061.3999972399</v>
      </c>
      <c r="Q30" s="13">
        <v>43</v>
      </c>
      <c r="R30" s="424">
        <v>2876.4755813900001</v>
      </c>
      <c r="S30" s="424"/>
      <c r="T30" s="424"/>
      <c r="U30" s="424"/>
      <c r="V30" s="424"/>
      <c r="W30" s="424"/>
      <c r="X30" s="424"/>
      <c r="Y30" s="424"/>
      <c r="Z30" s="424">
        <f t="shared" si="4"/>
        <v>2876.4755813900001</v>
      </c>
      <c r="AA30" s="424">
        <v>600</v>
      </c>
      <c r="AB30" s="424"/>
      <c r="AC30" s="425">
        <f t="shared" si="5"/>
        <v>600</v>
      </c>
      <c r="AD30" s="426">
        <f t="shared" si="6"/>
        <v>35117.706976679998</v>
      </c>
      <c r="AE30" s="427">
        <f t="shared" si="7"/>
        <v>1510061.3999972399</v>
      </c>
      <c r="AF30" s="427"/>
      <c r="AG30" s="428"/>
      <c r="AH30" s="14"/>
      <c r="AI30" s="13"/>
    </row>
    <row r="31" spans="1:35" x14ac:dyDescent="0.2">
      <c r="A31" s="13" t="s">
        <v>793</v>
      </c>
      <c r="B31" s="13"/>
      <c r="C31" s="424"/>
      <c r="D31" s="424"/>
      <c r="E31" s="424"/>
      <c r="F31" s="424"/>
      <c r="G31" s="424"/>
      <c r="H31" s="424"/>
      <c r="I31" s="424"/>
      <c r="J31" s="424"/>
      <c r="K31" s="424">
        <f t="shared" si="17"/>
        <v>0</v>
      </c>
      <c r="L31" s="424"/>
      <c r="M31" s="424"/>
      <c r="N31" s="425">
        <f t="shared" si="18"/>
        <v>0</v>
      </c>
      <c r="O31" s="426">
        <f t="shared" si="19"/>
        <v>0</v>
      </c>
      <c r="P31" s="427">
        <f t="shared" si="8"/>
        <v>0</v>
      </c>
      <c r="Q31" s="13"/>
      <c r="R31" s="424"/>
      <c r="S31" s="424"/>
      <c r="T31" s="424"/>
      <c r="U31" s="424"/>
      <c r="V31" s="424"/>
      <c r="W31" s="424"/>
      <c r="X31" s="424"/>
      <c r="Y31" s="424"/>
      <c r="Z31" s="424">
        <f t="shared" si="4"/>
        <v>0</v>
      </c>
      <c r="AA31" s="424"/>
      <c r="AB31" s="424"/>
      <c r="AC31" s="425">
        <f t="shared" si="5"/>
        <v>0</v>
      </c>
      <c r="AD31" s="426">
        <f t="shared" si="6"/>
        <v>0</v>
      </c>
      <c r="AE31" s="427">
        <f t="shared" si="7"/>
        <v>0</v>
      </c>
      <c r="AF31" s="427"/>
      <c r="AG31" s="428"/>
      <c r="AH31" s="14"/>
      <c r="AI31" s="13"/>
    </row>
    <row r="32" spans="1:35" x14ac:dyDescent="0.2">
      <c r="A32" s="13" t="s">
        <v>771</v>
      </c>
      <c r="B32" s="13">
        <v>19</v>
      </c>
      <c r="C32" s="424"/>
      <c r="D32" s="424"/>
      <c r="E32" s="424"/>
      <c r="F32" s="424"/>
      <c r="G32" s="424"/>
      <c r="H32" s="424"/>
      <c r="I32" s="424"/>
      <c r="J32" s="424">
        <v>4290</v>
      </c>
      <c r="K32" s="424">
        <f>SUM(C32:J32)</f>
        <v>4290</v>
      </c>
      <c r="L32" s="424"/>
      <c r="M32" s="424"/>
      <c r="N32" s="425">
        <f t="shared" si="18"/>
        <v>0</v>
      </c>
      <c r="O32" s="426">
        <f t="shared" si="19"/>
        <v>51480</v>
      </c>
      <c r="P32" s="427">
        <f t="shared" si="8"/>
        <v>978120</v>
      </c>
      <c r="Q32" s="13">
        <v>19</v>
      </c>
      <c r="R32" s="424"/>
      <c r="S32" s="424"/>
      <c r="T32" s="424"/>
      <c r="U32" s="424"/>
      <c r="V32" s="424"/>
      <c r="W32" s="424"/>
      <c r="X32" s="424"/>
      <c r="Y32" s="424">
        <v>4290</v>
      </c>
      <c r="Z32" s="424">
        <f>SUM(R32:Y32)</f>
        <v>4290</v>
      </c>
      <c r="AA32" s="424"/>
      <c r="AB32" s="424"/>
      <c r="AC32" s="425">
        <f t="shared" si="5"/>
        <v>0</v>
      </c>
      <c r="AD32" s="426">
        <f t="shared" si="6"/>
        <v>51480</v>
      </c>
      <c r="AE32" s="427">
        <f t="shared" si="7"/>
        <v>978120</v>
      </c>
      <c r="AF32" s="427"/>
      <c r="AG32" s="428"/>
      <c r="AH32" s="14"/>
      <c r="AI32" s="13"/>
    </row>
    <row r="33" spans="1:35" x14ac:dyDescent="0.2">
      <c r="A33" s="13" t="s">
        <v>772</v>
      </c>
      <c r="B33" s="13">
        <v>2596</v>
      </c>
      <c r="C33" s="424">
        <v>1683.8554429799999</v>
      </c>
      <c r="D33" s="424"/>
      <c r="E33" s="424"/>
      <c r="F33" s="424"/>
      <c r="G33" s="424"/>
      <c r="H33" s="424"/>
      <c r="I33" s="424"/>
      <c r="J33" s="424">
        <v>1072.2331664000001</v>
      </c>
      <c r="K33" s="424">
        <f t="shared" ref="K33:K35" si="20">SUM(C33:J33)</f>
        <v>2756.08860938</v>
      </c>
      <c r="L33" s="424">
        <v>1000</v>
      </c>
      <c r="M33" s="424"/>
      <c r="N33" s="425">
        <f t="shared" si="18"/>
        <v>1000</v>
      </c>
      <c r="O33" s="426">
        <f t="shared" si="19"/>
        <v>34073.06331256</v>
      </c>
      <c r="P33" s="427">
        <f>O33*B33-995200</f>
        <v>87458472.359405756</v>
      </c>
      <c r="Q33" s="13">
        <v>2596</v>
      </c>
      <c r="R33" s="424">
        <v>1683.8554429799999</v>
      </c>
      <c r="S33" s="424"/>
      <c r="T33" s="424"/>
      <c r="U33" s="424"/>
      <c r="V33" s="424"/>
      <c r="W33" s="424"/>
      <c r="X33" s="424"/>
      <c r="Y33" s="424">
        <v>1072.2331664000001</v>
      </c>
      <c r="Z33" s="424">
        <f t="shared" si="4"/>
        <v>2756.08860938</v>
      </c>
      <c r="AA33" s="424">
        <v>1000</v>
      </c>
      <c r="AB33" s="424"/>
      <c r="AC33" s="425">
        <f t="shared" si="5"/>
        <v>1000</v>
      </c>
      <c r="AD33" s="426">
        <f t="shared" si="6"/>
        <v>34073.06331256</v>
      </c>
      <c r="AE33" s="427">
        <f>AD33*Q33-995200</f>
        <v>87458472.359405756</v>
      </c>
      <c r="AF33" s="427"/>
      <c r="AG33" s="428"/>
      <c r="AH33" s="14"/>
      <c r="AI33" s="13"/>
    </row>
    <row r="34" spans="1:35" x14ac:dyDescent="0.2">
      <c r="A34" s="13" t="s">
        <v>794</v>
      </c>
      <c r="B34" s="13">
        <v>110</v>
      </c>
      <c r="C34" s="424">
        <v>1013.7</v>
      </c>
      <c r="D34" s="424"/>
      <c r="E34" s="424"/>
      <c r="F34" s="424"/>
      <c r="G34" s="424"/>
      <c r="H34" s="424"/>
      <c r="I34" s="424"/>
      <c r="J34" s="424"/>
      <c r="K34" s="424">
        <f t="shared" si="20"/>
        <v>1013.7</v>
      </c>
      <c r="L34" s="424"/>
      <c r="M34" s="424"/>
      <c r="N34" s="425">
        <f t="shared" si="18"/>
        <v>0</v>
      </c>
      <c r="O34" s="426">
        <f t="shared" si="19"/>
        <v>12164.400000000001</v>
      </c>
      <c r="P34" s="427">
        <f>O34*B34</f>
        <v>1338084.0000000002</v>
      </c>
      <c r="Q34" s="13">
        <v>110</v>
      </c>
      <c r="R34" s="424">
        <v>1013.7</v>
      </c>
      <c r="S34" s="424"/>
      <c r="T34" s="424"/>
      <c r="U34" s="424"/>
      <c r="V34" s="424"/>
      <c r="W34" s="424"/>
      <c r="X34" s="424"/>
      <c r="Y34" s="424"/>
      <c r="Z34" s="424">
        <f t="shared" si="4"/>
        <v>1013.7</v>
      </c>
      <c r="AA34" s="424"/>
      <c r="AB34" s="424"/>
      <c r="AC34" s="425">
        <f t="shared" si="5"/>
        <v>0</v>
      </c>
      <c r="AD34" s="426">
        <f t="shared" si="6"/>
        <v>12164.400000000001</v>
      </c>
      <c r="AE34" s="427">
        <f>AD34*Q34</f>
        <v>1338084.0000000002</v>
      </c>
      <c r="AF34" s="427"/>
      <c r="AG34" s="428"/>
      <c r="AH34" s="14"/>
      <c r="AI34" s="13"/>
    </row>
    <row r="35" spans="1:35" x14ac:dyDescent="0.2">
      <c r="A35" s="13" t="s">
        <v>795</v>
      </c>
      <c r="B35" s="13">
        <v>690</v>
      </c>
      <c r="C35" s="424"/>
      <c r="D35" s="424"/>
      <c r="E35" s="424"/>
      <c r="F35" s="424"/>
      <c r="G35" s="424"/>
      <c r="H35" s="424"/>
      <c r="I35" s="424"/>
      <c r="J35" s="424">
        <v>663.18840479699998</v>
      </c>
      <c r="K35" s="424">
        <f t="shared" si="20"/>
        <v>663.18840479699998</v>
      </c>
      <c r="L35" s="424"/>
      <c r="M35" s="424"/>
      <c r="N35" s="425">
        <f t="shared" si="18"/>
        <v>0</v>
      </c>
      <c r="O35" s="426">
        <f t="shared" si="19"/>
        <v>7958.2608575639997</v>
      </c>
      <c r="P35" s="427">
        <f t="shared" ref="P35" si="21">O35*B35</f>
        <v>5491199.9917191602</v>
      </c>
      <c r="Q35" s="13">
        <v>690</v>
      </c>
      <c r="R35" s="424"/>
      <c r="S35" s="424"/>
      <c r="T35" s="424"/>
      <c r="U35" s="424"/>
      <c r="V35" s="424"/>
      <c r="W35" s="424"/>
      <c r="X35" s="424"/>
      <c r="Y35" s="424">
        <v>663.18840479699998</v>
      </c>
      <c r="Z35" s="424">
        <f t="shared" si="4"/>
        <v>663.18840479699998</v>
      </c>
      <c r="AA35" s="424"/>
      <c r="AB35" s="424"/>
      <c r="AC35" s="425">
        <f t="shared" si="5"/>
        <v>0</v>
      </c>
      <c r="AD35" s="426">
        <f t="shared" si="6"/>
        <v>7958.2608575639997</v>
      </c>
      <c r="AE35" s="427">
        <f t="shared" si="7"/>
        <v>5491199.9917191602</v>
      </c>
      <c r="AF35" s="427"/>
      <c r="AG35" s="428"/>
      <c r="AH35" s="14"/>
      <c r="AI35" s="13"/>
    </row>
    <row r="36" spans="1:35" ht="12.75" thickBot="1" x14ac:dyDescent="0.25">
      <c r="A36" s="67" t="s">
        <v>0</v>
      </c>
      <c r="B36" s="97">
        <f>SUM(B7:B35)</f>
        <v>24158</v>
      </c>
      <c r="C36" s="431">
        <f t="shared" ref="C36" si="22">SUM(C7:C35)</f>
        <v>32225.870287969999</v>
      </c>
      <c r="D36" s="431">
        <f t="shared" ref="D36" si="23">SUM(D7:D35)</f>
        <v>8573.0309328900003</v>
      </c>
      <c r="E36" s="431">
        <f t="shared" ref="E36" si="24">SUM(E7:E35)</f>
        <v>0</v>
      </c>
      <c r="F36" s="431">
        <f t="shared" ref="F36" si="25">SUM(F7:F35)</f>
        <v>0</v>
      </c>
      <c r="G36" s="431">
        <f t="shared" ref="G36" si="26">SUM(G7:G35)</f>
        <v>0</v>
      </c>
      <c r="H36" s="431">
        <f t="shared" ref="H36" si="27">SUM(H7:H35)</f>
        <v>0</v>
      </c>
      <c r="I36" s="431">
        <f t="shared" ref="I36" si="28">SUM(I7:I35)</f>
        <v>0</v>
      </c>
      <c r="J36" s="431">
        <f t="shared" ref="J36" si="29">SUM(J7:J35)</f>
        <v>21571.118637829</v>
      </c>
      <c r="K36" s="431">
        <f t="shared" ref="K36" si="30">SUM(K7:K35)</f>
        <v>62370.019858688989</v>
      </c>
      <c r="L36" s="431">
        <f t="shared" ref="L36" si="31">SUM(L7:L35)</f>
        <v>16000</v>
      </c>
      <c r="M36" s="431">
        <f t="shared" ref="M36" si="32">SUM(M7:M35)</f>
        <v>0</v>
      </c>
      <c r="N36" s="431">
        <f t="shared" ref="N36" si="33">SUM(N7:N35)</f>
        <v>16000</v>
      </c>
      <c r="O36" s="431">
        <f t="shared" ref="O36" si="34">SUM(O7:O35)</f>
        <v>764440.23830426799</v>
      </c>
      <c r="P36" s="431">
        <f>SUM(P7:P35)</f>
        <v>882532510.38908982</v>
      </c>
      <c r="Q36" s="97">
        <f>SUM(Q7:Q35)</f>
        <v>24158</v>
      </c>
      <c r="R36" s="431">
        <f t="shared" ref="R36:AD36" si="35">SUM(R7:R35)</f>
        <v>32225.870287969999</v>
      </c>
      <c r="S36" s="431">
        <f t="shared" si="35"/>
        <v>8573.0309328900003</v>
      </c>
      <c r="T36" s="431">
        <f t="shared" si="35"/>
        <v>0</v>
      </c>
      <c r="U36" s="431">
        <f t="shared" si="35"/>
        <v>0</v>
      </c>
      <c r="V36" s="431">
        <f t="shared" si="35"/>
        <v>0</v>
      </c>
      <c r="W36" s="431">
        <f t="shared" si="35"/>
        <v>0</v>
      </c>
      <c r="X36" s="431">
        <f t="shared" si="35"/>
        <v>0</v>
      </c>
      <c r="Y36" s="431">
        <f t="shared" si="35"/>
        <v>21571.118637829</v>
      </c>
      <c r="Z36" s="431">
        <f t="shared" si="35"/>
        <v>62370.019858688989</v>
      </c>
      <c r="AA36" s="431">
        <f t="shared" si="35"/>
        <v>16000</v>
      </c>
      <c r="AB36" s="431">
        <f t="shared" si="35"/>
        <v>0</v>
      </c>
      <c r="AC36" s="431">
        <f t="shared" si="35"/>
        <v>16000</v>
      </c>
      <c r="AD36" s="431">
        <f t="shared" si="35"/>
        <v>764440.23830426799</v>
      </c>
      <c r="AE36" s="431">
        <f>SUM(AE7:AE35)</f>
        <v>882532510.38908982</v>
      </c>
      <c r="AF36" s="432"/>
      <c r="AG36" s="433"/>
      <c r="AH36" s="7"/>
      <c r="AI36" s="46"/>
    </row>
    <row r="37" spans="1:35" x14ac:dyDescent="0.2">
      <c r="A37" s="3" t="s">
        <v>58</v>
      </c>
    </row>
    <row r="38" spans="1:35" x14ac:dyDescent="0.2">
      <c r="A38" s="3" t="s">
        <v>59</v>
      </c>
      <c r="B38" s="65" t="s">
        <v>141</v>
      </c>
    </row>
    <row r="39" spans="1:35" x14ac:dyDescent="0.2">
      <c r="A39" s="3" t="s">
        <v>60</v>
      </c>
      <c r="B39" s="65" t="s">
        <v>61</v>
      </c>
    </row>
    <row r="40" spans="1:35" x14ac:dyDescent="0.2">
      <c r="A40" s="3" t="s">
        <v>62</v>
      </c>
      <c r="B40" s="65" t="s">
        <v>63</v>
      </c>
    </row>
    <row r="41" spans="1:35" x14ac:dyDescent="0.2">
      <c r="A41" s="3" t="s">
        <v>64</v>
      </c>
      <c r="B41" s="65" t="s">
        <v>65</v>
      </c>
    </row>
    <row r="42" spans="1:35" x14ac:dyDescent="0.2">
      <c r="B42" s="65" t="s">
        <v>66</v>
      </c>
    </row>
    <row r="43" spans="1:35" x14ac:dyDescent="0.2">
      <c r="A43" s="3" t="s">
        <v>67</v>
      </c>
      <c r="B43" s="65" t="s">
        <v>132</v>
      </c>
    </row>
    <row r="44" spans="1:35" x14ac:dyDescent="0.2">
      <c r="B44" s="65" t="s">
        <v>68</v>
      </c>
    </row>
    <row r="45" spans="1:35" x14ac:dyDescent="0.2">
      <c r="B45" s="65" t="s">
        <v>69</v>
      </c>
    </row>
    <row r="46" spans="1:35" x14ac:dyDescent="0.2">
      <c r="B46" s="65" t="s">
        <v>70</v>
      </c>
    </row>
    <row r="47" spans="1:35" x14ac:dyDescent="0.2">
      <c r="A47" s="91" t="s">
        <v>162</v>
      </c>
      <c r="B47" s="91" t="s">
        <v>163</v>
      </c>
    </row>
    <row r="48" spans="1:35" s="65" customFormat="1" x14ac:dyDescent="0.2">
      <c r="A48" s="91" t="s">
        <v>164</v>
      </c>
      <c r="B48" s="65" t="s">
        <v>137</v>
      </c>
      <c r="F48" s="91"/>
      <c r="G48" s="91"/>
      <c r="H48" s="91"/>
      <c r="I48" s="91"/>
      <c r="U48" s="91"/>
      <c r="V48" s="91"/>
      <c r="W48" s="91"/>
      <c r="X48" s="91"/>
      <c r="AF48" s="118"/>
      <c r="AG48" s="118"/>
    </row>
    <row r="49" spans="1:33" x14ac:dyDescent="0.2">
      <c r="A49" s="91" t="s">
        <v>165</v>
      </c>
      <c r="B49" s="65" t="s">
        <v>133</v>
      </c>
    </row>
    <row r="50" spans="1:33" x14ac:dyDescent="0.2">
      <c r="B50" s="65" t="s">
        <v>68</v>
      </c>
    </row>
    <row r="51" spans="1:33" x14ac:dyDescent="0.2">
      <c r="B51" s="65" t="s">
        <v>69</v>
      </c>
    </row>
    <row r="52" spans="1:33" x14ac:dyDescent="0.2">
      <c r="B52" s="65" t="s">
        <v>107</v>
      </c>
    </row>
    <row r="53" spans="1:33" s="91" customFormat="1" x14ac:dyDescent="0.2">
      <c r="A53" s="91" t="s">
        <v>174</v>
      </c>
      <c r="B53" s="91" t="s">
        <v>175</v>
      </c>
      <c r="AF53" s="118"/>
      <c r="AG53" s="118"/>
    </row>
    <row r="54" spans="1:33" x14ac:dyDescent="0.2">
      <c r="A54" s="91" t="s">
        <v>172</v>
      </c>
      <c r="B54" s="91" t="s">
        <v>168</v>
      </c>
    </row>
    <row r="55" spans="1:33" x14ac:dyDescent="0.2">
      <c r="A55" s="91" t="s">
        <v>173</v>
      </c>
      <c r="B55" s="91" t="s">
        <v>176</v>
      </c>
    </row>
  </sheetData>
  <mergeCells count="5">
    <mergeCell ref="AH4:AI4"/>
    <mergeCell ref="A4:A6"/>
    <mergeCell ref="B4:P4"/>
    <mergeCell ref="Q4:AE4"/>
    <mergeCell ref="AF4:AG4"/>
  </mergeCells>
  <phoneticPr fontId="12" type="noConversion"/>
  <printOptions horizontalCentered="1"/>
  <pageMargins left="0.25" right="0.25" top="0.75" bottom="0.75" header="0.3" footer="0.3"/>
  <pageSetup paperSize="9" scale="44"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7">
    <tabColor theme="9" tint="-0.249977111117893"/>
    <pageSetUpPr fitToPage="1"/>
  </sheetPr>
  <dimension ref="A1:U31"/>
  <sheetViews>
    <sheetView view="pageBreakPreview" zoomScale="80" zoomScaleNormal="100" zoomScaleSheetLayoutView="80" workbookViewId="0">
      <selection activeCell="A2" sqref="A2"/>
    </sheetView>
  </sheetViews>
  <sheetFormatPr baseColWidth="10" defaultColWidth="11.42578125" defaultRowHeight="12" x14ac:dyDescent="0.2"/>
  <cols>
    <col min="1" max="1" width="59.7109375" style="3" customWidth="1"/>
    <col min="2" max="2" width="13.85546875" style="3" bestFit="1" customWidth="1"/>
    <col min="3" max="3" width="18.140625" style="3" bestFit="1" customWidth="1"/>
    <col min="4" max="4" width="13.5703125" style="3" bestFit="1" customWidth="1"/>
    <col min="5" max="5" width="13.140625" style="3" customWidth="1"/>
    <col min="6" max="6" width="18.42578125" style="3" customWidth="1"/>
    <col min="7" max="7" width="14.28515625" style="3" customWidth="1"/>
    <col min="8" max="8" width="12.7109375" style="3" customWidth="1"/>
    <col min="9" max="9" width="15" style="3" customWidth="1"/>
    <col min="10" max="10" width="12.7109375" style="3" customWidth="1"/>
    <col min="11" max="16384" width="11.42578125" style="3"/>
  </cols>
  <sheetData>
    <row r="1" spans="1:21" s="98" customFormat="1" x14ac:dyDescent="0.2">
      <c r="A1" s="119" t="s">
        <v>397</v>
      </c>
      <c r="B1" s="119"/>
      <c r="C1" s="119"/>
      <c r="D1" s="119"/>
      <c r="E1" s="119"/>
      <c r="F1" s="119"/>
      <c r="G1" s="119"/>
      <c r="H1" s="119"/>
      <c r="I1" s="119"/>
    </row>
    <row r="2" spans="1:21" s="5" customFormat="1" x14ac:dyDescent="0.2">
      <c r="A2" s="129" t="s">
        <v>962</v>
      </c>
      <c r="B2" s="119"/>
      <c r="C2" s="119"/>
      <c r="D2" s="119"/>
      <c r="E2" s="119"/>
      <c r="F2" s="119"/>
      <c r="G2" s="119"/>
      <c r="H2" s="119"/>
      <c r="I2" s="119"/>
      <c r="J2" s="119"/>
      <c r="K2" s="119"/>
      <c r="L2" s="119"/>
      <c r="M2" s="119"/>
      <c r="N2" s="119"/>
      <c r="O2" s="119"/>
      <c r="P2" s="119"/>
      <c r="Q2" s="119"/>
      <c r="R2" s="119"/>
      <c r="S2" s="119"/>
      <c r="T2" s="119"/>
      <c r="U2" s="119"/>
    </row>
    <row r="3" spans="1:21" s="103" customFormat="1" ht="12.75" thickBot="1" x14ac:dyDescent="0.25">
      <c r="A3" s="8"/>
      <c r="B3" s="10"/>
      <c r="E3" s="10"/>
    </row>
    <row r="4" spans="1:21" ht="12" customHeight="1" thickBot="1" x14ac:dyDescent="0.25">
      <c r="A4" s="552" t="s">
        <v>28</v>
      </c>
      <c r="B4" s="562" t="s">
        <v>330</v>
      </c>
      <c r="C4" s="558" t="s">
        <v>398</v>
      </c>
      <c r="D4" s="563" t="s">
        <v>399</v>
      </c>
      <c r="E4" s="556" t="s">
        <v>400</v>
      </c>
      <c r="F4" s="560" t="s">
        <v>401</v>
      </c>
      <c r="G4" s="554" t="s">
        <v>331</v>
      </c>
      <c r="H4" s="556" t="s">
        <v>332</v>
      </c>
      <c r="I4" s="554" t="s">
        <v>403</v>
      </c>
      <c r="J4" s="558" t="s">
        <v>402</v>
      </c>
    </row>
    <row r="5" spans="1:21" ht="31.5" customHeight="1" thickBot="1" x14ac:dyDescent="0.25">
      <c r="A5" s="553"/>
      <c r="B5" s="553"/>
      <c r="C5" s="559"/>
      <c r="D5" s="564"/>
      <c r="E5" s="557"/>
      <c r="F5" s="561"/>
      <c r="G5" s="555"/>
      <c r="H5" s="557"/>
      <c r="I5" s="555"/>
      <c r="J5" s="559"/>
    </row>
    <row r="6" spans="1:21" ht="12.75" x14ac:dyDescent="0.2">
      <c r="A6" s="44" t="s">
        <v>955</v>
      </c>
      <c r="B6" s="464">
        <v>1995982</v>
      </c>
      <c r="C6" s="464">
        <v>2647454</v>
      </c>
      <c r="D6" s="465">
        <v>1777231</v>
      </c>
      <c r="E6" s="466">
        <v>1865538</v>
      </c>
      <c r="F6" s="464">
        <v>1878172</v>
      </c>
      <c r="G6" s="460">
        <f t="shared" ref="G6" si="0">+D6-C6</f>
        <v>-870223</v>
      </c>
      <c r="H6" s="461">
        <f t="shared" ref="H6" si="1">+(D6-B6)/B6</f>
        <v>-0.10959567771653252</v>
      </c>
      <c r="I6" s="462">
        <f t="shared" ref="I6" si="2">+F6-D6</f>
        <v>100941</v>
      </c>
      <c r="J6" s="463">
        <f t="shared" ref="J6" si="3">+(F6-D6)/D6</f>
        <v>5.6796781059974759E-2</v>
      </c>
    </row>
    <row r="7" spans="1:21" ht="12.75" x14ac:dyDescent="0.2">
      <c r="A7" s="44" t="s">
        <v>956</v>
      </c>
      <c r="B7" s="464">
        <v>899178</v>
      </c>
      <c r="C7" s="464">
        <v>721034</v>
      </c>
      <c r="D7" s="467">
        <v>984322</v>
      </c>
      <c r="E7" s="468">
        <v>673001</v>
      </c>
      <c r="F7" s="464">
        <v>481191</v>
      </c>
      <c r="G7" s="460">
        <f t="shared" ref="G7:G25" si="4">+D7-C7</f>
        <v>263288</v>
      </c>
      <c r="H7" s="461">
        <f t="shared" ref="H7:H24" si="5">+(D7-B7)/B7</f>
        <v>9.4690928826105622E-2</v>
      </c>
      <c r="I7" s="462">
        <f t="shared" ref="I7:I25" si="6">+F7-D7</f>
        <v>-503131</v>
      </c>
      <c r="J7" s="463">
        <f t="shared" ref="J7:J24" si="7">+(F7-D7)/D7</f>
        <v>-0.51114472703038238</v>
      </c>
    </row>
    <row r="8" spans="1:21" ht="12.75" x14ac:dyDescent="0.2">
      <c r="A8" s="44" t="s">
        <v>248</v>
      </c>
      <c r="B8" s="464">
        <v>2037076</v>
      </c>
      <c r="C8" s="464">
        <v>3224647</v>
      </c>
      <c r="D8" s="467">
        <v>2738615</v>
      </c>
      <c r="E8" s="468">
        <v>2302003</v>
      </c>
      <c r="F8" s="464">
        <v>71640</v>
      </c>
      <c r="G8" s="460">
        <f t="shared" si="4"/>
        <v>-486032</v>
      </c>
      <c r="H8" s="461">
        <f t="shared" si="5"/>
        <v>0.34438528557599224</v>
      </c>
      <c r="I8" s="462">
        <f t="shared" si="6"/>
        <v>-2666975</v>
      </c>
      <c r="J8" s="463">
        <f t="shared" si="7"/>
        <v>-0.97384079178708949</v>
      </c>
    </row>
    <row r="9" spans="1:21" ht="12.75" x14ac:dyDescent="0.2">
      <c r="A9" s="44" t="s">
        <v>957</v>
      </c>
      <c r="B9" s="464">
        <v>5084469</v>
      </c>
      <c r="C9" s="464">
        <v>3959510</v>
      </c>
      <c r="D9" s="467">
        <v>4950052</v>
      </c>
      <c r="E9" s="468">
        <v>3586199</v>
      </c>
      <c r="F9" s="464">
        <v>737661</v>
      </c>
      <c r="G9" s="460">
        <f t="shared" si="4"/>
        <v>990542</v>
      </c>
      <c r="H9" s="461">
        <f t="shared" si="5"/>
        <v>-2.6436782287393237E-2</v>
      </c>
      <c r="I9" s="462">
        <f t="shared" si="6"/>
        <v>-4212391</v>
      </c>
      <c r="J9" s="463">
        <f t="shared" si="7"/>
        <v>-0.85097914122922347</v>
      </c>
    </row>
    <row r="10" spans="1:21" ht="12.75" x14ac:dyDescent="0.2">
      <c r="A10" s="44" t="s">
        <v>958</v>
      </c>
      <c r="B10" s="464">
        <v>303431</v>
      </c>
      <c r="C10" s="464">
        <v>465373</v>
      </c>
      <c r="D10" s="467">
        <v>284912</v>
      </c>
      <c r="E10" s="468">
        <v>404805</v>
      </c>
      <c r="F10" s="464">
        <v>2351452</v>
      </c>
      <c r="G10" s="460">
        <f t="shared" si="4"/>
        <v>-180461</v>
      </c>
      <c r="H10" s="461">
        <f t="shared" si="5"/>
        <v>-6.1031997389851399E-2</v>
      </c>
      <c r="I10" s="462">
        <f t="shared" si="6"/>
        <v>2066540</v>
      </c>
      <c r="J10" s="463">
        <f t="shared" si="7"/>
        <v>7.2532571460661535</v>
      </c>
    </row>
    <row r="11" spans="1:21" ht="12.75" x14ac:dyDescent="0.2">
      <c r="A11" s="44" t="s">
        <v>959</v>
      </c>
      <c r="B11" s="464">
        <v>189617</v>
      </c>
      <c r="C11" s="464">
        <v>628000</v>
      </c>
      <c r="D11" s="467">
        <v>290422</v>
      </c>
      <c r="E11" s="468">
        <v>112128</v>
      </c>
      <c r="F11" s="464">
        <v>5614097</v>
      </c>
      <c r="G11" s="460">
        <f t="shared" si="4"/>
        <v>-337578</v>
      </c>
      <c r="H11" s="461">
        <f t="shared" si="5"/>
        <v>0.53162427419482428</v>
      </c>
      <c r="I11" s="462">
        <f t="shared" si="6"/>
        <v>5323675</v>
      </c>
      <c r="J11" s="463">
        <f t="shared" si="7"/>
        <v>18.330825488427184</v>
      </c>
    </row>
    <row r="12" spans="1:21" ht="12.75" x14ac:dyDescent="0.2">
      <c r="A12" s="44" t="s">
        <v>252</v>
      </c>
      <c r="B12" s="464">
        <v>3329901</v>
      </c>
      <c r="C12" s="464">
        <v>1256445</v>
      </c>
      <c r="D12" s="467">
        <v>3629619</v>
      </c>
      <c r="E12" s="468">
        <v>3434333</v>
      </c>
      <c r="F12" s="464">
        <v>592469</v>
      </c>
      <c r="G12" s="460">
        <f t="shared" si="4"/>
        <v>2373174</v>
      </c>
      <c r="H12" s="461">
        <f t="shared" si="5"/>
        <v>9.0008081321336586E-2</v>
      </c>
      <c r="I12" s="462">
        <f t="shared" si="6"/>
        <v>-3037150</v>
      </c>
      <c r="J12" s="463">
        <f t="shared" si="7"/>
        <v>-0.83676826686216932</v>
      </c>
    </row>
    <row r="13" spans="1:21" ht="12.75" x14ac:dyDescent="0.2">
      <c r="A13" s="44" t="s">
        <v>254</v>
      </c>
      <c r="B13" s="464">
        <v>3048271</v>
      </c>
      <c r="C13" s="464">
        <v>2737471</v>
      </c>
      <c r="D13" s="467">
        <v>5266071</v>
      </c>
      <c r="E13" s="468">
        <v>2580007</v>
      </c>
      <c r="F13" s="464">
        <v>167239</v>
      </c>
      <c r="G13" s="460">
        <f t="shared" si="4"/>
        <v>2528600</v>
      </c>
      <c r="H13" s="461">
        <f t="shared" si="5"/>
        <v>0.72755998400404687</v>
      </c>
      <c r="I13" s="462">
        <f t="shared" si="6"/>
        <v>-5098832</v>
      </c>
      <c r="J13" s="463">
        <f t="shared" si="7"/>
        <v>-0.96824216764263149</v>
      </c>
    </row>
    <row r="14" spans="1:21" ht="12.75" x14ac:dyDescent="0.2">
      <c r="A14" s="44" t="s">
        <v>257</v>
      </c>
      <c r="B14" s="464">
        <v>151553</v>
      </c>
      <c r="C14" s="464">
        <v>129458</v>
      </c>
      <c r="D14" s="467">
        <v>390711</v>
      </c>
      <c r="E14" s="468">
        <v>156159</v>
      </c>
      <c r="F14" s="464">
        <v>3520219</v>
      </c>
      <c r="G14" s="460">
        <f t="shared" si="4"/>
        <v>261253</v>
      </c>
      <c r="H14" s="461">
        <f t="shared" si="5"/>
        <v>1.5780486034588559</v>
      </c>
      <c r="I14" s="462">
        <f t="shared" si="6"/>
        <v>3129508</v>
      </c>
      <c r="J14" s="463">
        <f t="shared" si="7"/>
        <v>8.0097770474852261</v>
      </c>
    </row>
    <row r="15" spans="1:21" ht="12.75" x14ac:dyDescent="0.2">
      <c r="A15" s="44" t="s">
        <v>258</v>
      </c>
      <c r="B15" s="464">
        <v>106705</v>
      </c>
      <c r="C15" s="464">
        <v>242834</v>
      </c>
      <c r="D15" s="467">
        <v>50867</v>
      </c>
      <c r="E15" s="468">
        <v>91276</v>
      </c>
      <c r="F15" s="464">
        <v>602879</v>
      </c>
      <c r="G15" s="460">
        <f t="shared" si="4"/>
        <v>-191967</v>
      </c>
      <c r="H15" s="461">
        <f t="shared" si="5"/>
        <v>-0.52329319150930131</v>
      </c>
      <c r="I15" s="462">
        <f t="shared" si="6"/>
        <v>552012</v>
      </c>
      <c r="J15" s="463">
        <f t="shared" si="7"/>
        <v>10.852065189612127</v>
      </c>
    </row>
    <row r="16" spans="1:21" ht="12.75" x14ac:dyDescent="0.2">
      <c r="A16" s="44" t="s">
        <v>259</v>
      </c>
      <c r="B16" s="464">
        <v>954236</v>
      </c>
      <c r="C16" s="464">
        <v>984804</v>
      </c>
      <c r="D16" s="467">
        <v>1537937</v>
      </c>
      <c r="E16" s="468">
        <v>971873</v>
      </c>
      <c r="F16" s="464">
        <v>1413110</v>
      </c>
      <c r="G16" s="460">
        <f t="shared" si="4"/>
        <v>553133</v>
      </c>
      <c r="H16" s="461">
        <f t="shared" si="5"/>
        <v>0.61169459127511439</v>
      </c>
      <c r="I16" s="462">
        <f t="shared" si="6"/>
        <v>-124827</v>
      </c>
      <c r="J16" s="463">
        <f t="shared" si="7"/>
        <v>-8.1165223282878299E-2</v>
      </c>
    </row>
    <row r="17" spans="1:10" ht="12.75" x14ac:dyDescent="0.2">
      <c r="A17" s="44" t="s">
        <v>247</v>
      </c>
      <c r="B17" s="464">
        <v>11179240</v>
      </c>
      <c r="C17" s="464">
        <v>7943283</v>
      </c>
      <c r="D17" s="465">
        <v>7748341</v>
      </c>
      <c r="E17" s="466">
        <v>2420127</v>
      </c>
      <c r="F17" s="464">
        <v>3889458</v>
      </c>
      <c r="G17" s="460">
        <f t="shared" si="4"/>
        <v>-194942</v>
      </c>
      <c r="H17" s="461">
        <f t="shared" si="5"/>
        <v>-0.30689912731098001</v>
      </c>
      <c r="I17" s="462">
        <f t="shared" si="6"/>
        <v>-3858883</v>
      </c>
      <c r="J17" s="463">
        <f t="shared" si="7"/>
        <v>-0.49802699700490727</v>
      </c>
    </row>
    <row r="18" spans="1:10" ht="12.75" x14ac:dyDescent="0.2">
      <c r="A18" s="44" t="s">
        <v>249</v>
      </c>
      <c r="B18" s="464">
        <v>7922061</v>
      </c>
      <c r="C18" s="464">
        <v>8634924</v>
      </c>
      <c r="D18" s="467">
        <v>8784290</v>
      </c>
      <c r="E18" s="468">
        <v>8237923</v>
      </c>
      <c r="F18" s="464">
        <v>8867827</v>
      </c>
      <c r="G18" s="460">
        <f t="shared" si="4"/>
        <v>149366</v>
      </c>
      <c r="H18" s="461">
        <f t="shared" si="5"/>
        <v>0.10883897511013864</v>
      </c>
      <c r="I18" s="462">
        <f t="shared" si="6"/>
        <v>83537</v>
      </c>
      <c r="J18" s="463">
        <f t="shared" si="7"/>
        <v>9.5098180957140527E-3</v>
      </c>
    </row>
    <row r="19" spans="1:10" s="103" customFormat="1" ht="12.75" x14ac:dyDescent="0.2">
      <c r="A19" s="44" t="s">
        <v>250</v>
      </c>
      <c r="B19" s="464">
        <v>842161</v>
      </c>
      <c r="C19" s="464">
        <v>820349</v>
      </c>
      <c r="D19" s="467">
        <v>1056465</v>
      </c>
      <c r="E19" s="468">
        <v>1081844</v>
      </c>
      <c r="F19" s="464">
        <v>927447</v>
      </c>
      <c r="G19" s="460">
        <f t="shared" si="4"/>
        <v>236116</v>
      </c>
      <c r="H19" s="461">
        <f t="shared" si="5"/>
        <v>0.25446915732264969</v>
      </c>
      <c r="I19" s="462">
        <f t="shared" si="6"/>
        <v>-129018</v>
      </c>
      <c r="J19" s="463">
        <f t="shared" si="7"/>
        <v>-0.12212236089222075</v>
      </c>
    </row>
    <row r="20" spans="1:10" s="103" customFormat="1" ht="12.75" x14ac:dyDescent="0.2">
      <c r="A20" s="44" t="s">
        <v>960</v>
      </c>
      <c r="B20" s="464">
        <v>11758330</v>
      </c>
      <c r="C20" s="464">
        <v>10672350</v>
      </c>
      <c r="D20" s="467">
        <v>15570263</v>
      </c>
      <c r="E20" s="468">
        <v>15646366</v>
      </c>
      <c r="F20" s="464">
        <v>1072924</v>
      </c>
      <c r="G20" s="460">
        <f t="shared" si="4"/>
        <v>4897913</v>
      </c>
      <c r="H20" s="461">
        <f t="shared" si="5"/>
        <v>0.32418999977037555</v>
      </c>
      <c r="I20" s="462">
        <f t="shared" si="6"/>
        <v>-14497339</v>
      </c>
      <c r="J20" s="463">
        <f t="shared" si="7"/>
        <v>-0.93109146582816227</v>
      </c>
    </row>
    <row r="21" spans="1:10" s="103" customFormat="1" ht="12.75" x14ac:dyDescent="0.2">
      <c r="A21" s="44" t="s">
        <v>251</v>
      </c>
      <c r="B21" s="464">
        <v>1318056</v>
      </c>
      <c r="C21" s="464">
        <v>1835840</v>
      </c>
      <c r="D21" s="467">
        <v>1511124</v>
      </c>
      <c r="E21" s="468">
        <v>1903520</v>
      </c>
      <c r="F21" s="464">
        <v>1630300</v>
      </c>
      <c r="G21" s="460">
        <f t="shared" si="4"/>
        <v>-324716</v>
      </c>
      <c r="H21" s="461">
        <f t="shared" si="5"/>
        <v>0.14647936051275515</v>
      </c>
      <c r="I21" s="462">
        <f t="shared" si="6"/>
        <v>119176</v>
      </c>
      <c r="J21" s="463">
        <f t="shared" si="7"/>
        <v>7.8865797909370774E-2</v>
      </c>
    </row>
    <row r="22" spans="1:10" s="103" customFormat="1" ht="12.75" x14ac:dyDescent="0.2">
      <c r="A22" s="44" t="s">
        <v>253</v>
      </c>
      <c r="B22" s="464">
        <v>835354</v>
      </c>
      <c r="C22" s="464">
        <v>454075</v>
      </c>
      <c r="D22" s="467">
        <v>3554789</v>
      </c>
      <c r="E22" s="468">
        <v>400102</v>
      </c>
      <c r="F22" s="464">
        <v>3500649</v>
      </c>
      <c r="G22" s="460">
        <f t="shared" si="4"/>
        <v>3100714</v>
      </c>
      <c r="H22" s="461">
        <f t="shared" si="5"/>
        <v>3.2554282376094448</v>
      </c>
      <c r="I22" s="462">
        <f t="shared" si="6"/>
        <v>-54140</v>
      </c>
      <c r="J22" s="463">
        <f t="shared" si="7"/>
        <v>-1.5230158526989928E-2</v>
      </c>
    </row>
    <row r="23" spans="1:10" s="103" customFormat="1" ht="12.75" x14ac:dyDescent="0.2">
      <c r="A23" s="44" t="s">
        <v>255</v>
      </c>
      <c r="B23" s="464">
        <v>22793692</v>
      </c>
      <c r="C23" s="464">
        <v>21247594</v>
      </c>
      <c r="D23" s="467">
        <v>21061647</v>
      </c>
      <c r="E23" s="468">
        <v>21820222</v>
      </c>
      <c r="F23" s="464">
        <v>11528737</v>
      </c>
      <c r="G23" s="460">
        <f t="shared" si="4"/>
        <v>-185947</v>
      </c>
      <c r="H23" s="461">
        <f t="shared" si="5"/>
        <v>-7.5987909286481539E-2</v>
      </c>
      <c r="I23" s="462">
        <f t="shared" si="6"/>
        <v>-9532910</v>
      </c>
      <c r="J23" s="463">
        <f t="shared" si="7"/>
        <v>-0.45261939866336187</v>
      </c>
    </row>
    <row r="24" spans="1:10" s="103" customFormat="1" ht="12.75" x14ac:dyDescent="0.2">
      <c r="A24" s="44" t="s">
        <v>256</v>
      </c>
      <c r="B24" s="464">
        <v>82130522</v>
      </c>
      <c r="C24" s="464">
        <v>61065611</v>
      </c>
      <c r="D24" s="467">
        <v>81678540</v>
      </c>
      <c r="E24" s="468">
        <v>78061414</v>
      </c>
      <c r="F24" s="464">
        <v>69041497</v>
      </c>
      <c r="G24" s="460">
        <f t="shared" si="4"/>
        <v>20612929</v>
      </c>
      <c r="H24" s="461">
        <f t="shared" si="5"/>
        <v>-5.5032159664101486E-3</v>
      </c>
      <c r="I24" s="462">
        <f t="shared" si="6"/>
        <v>-12637043</v>
      </c>
      <c r="J24" s="463">
        <f t="shared" si="7"/>
        <v>-0.15471680811140845</v>
      </c>
    </row>
    <row r="25" spans="1:10" s="103" customFormat="1" x14ac:dyDescent="0.2">
      <c r="A25" s="44" t="s">
        <v>961</v>
      </c>
      <c r="B25" s="469"/>
      <c r="C25" s="469"/>
      <c r="D25" s="470"/>
      <c r="E25" s="471"/>
      <c r="F25" s="464">
        <v>6093000</v>
      </c>
      <c r="G25" s="460">
        <f t="shared" si="4"/>
        <v>0</v>
      </c>
      <c r="H25" s="461"/>
      <c r="I25" s="462">
        <f t="shared" si="6"/>
        <v>6093000</v>
      </c>
      <c r="J25" s="463"/>
    </row>
    <row r="26" spans="1:10" ht="12.75" thickBot="1" x14ac:dyDescent="0.25">
      <c r="A26" s="44"/>
      <c r="B26" s="25"/>
      <c r="C26" s="35"/>
      <c r="D26" s="32"/>
      <c r="E26" s="25"/>
      <c r="F26" s="459"/>
      <c r="G26" s="33"/>
      <c r="H26" s="288"/>
      <c r="I26" s="31"/>
      <c r="J26" s="34"/>
    </row>
    <row r="27" spans="1:10" ht="12.75" thickBot="1" x14ac:dyDescent="0.25">
      <c r="A27" s="26" t="s">
        <v>42</v>
      </c>
      <c r="B27" s="39"/>
      <c r="C27" s="42"/>
      <c r="D27" s="287"/>
      <c r="E27" s="40"/>
      <c r="F27" s="43"/>
      <c r="G27" s="39"/>
      <c r="H27" s="38"/>
      <c r="I27" s="37"/>
      <c r="J27" s="41"/>
    </row>
    <row r="28" spans="1:10" x14ac:dyDescent="0.2">
      <c r="A28" s="1" t="s">
        <v>44</v>
      </c>
      <c r="B28" s="2"/>
      <c r="C28" s="2"/>
      <c r="D28" s="2"/>
      <c r="E28" s="2"/>
      <c r="F28" s="2"/>
      <c r="G28" s="2"/>
      <c r="H28" s="2"/>
      <c r="I28" s="2"/>
    </row>
    <row r="29" spans="1:10" s="65" customFormat="1" x14ac:dyDescent="0.2">
      <c r="A29" s="1" t="s">
        <v>333</v>
      </c>
      <c r="B29" s="58"/>
      <c r="C29" s="58"/>
      <c r="D29" s="58"/>
      <c r="E29" s="58"/>
      <c r="F29" s="58"/>
      <c r="G29" s="58"/>
      <c r="H29" s="58"/>
      <c r="I29" s="58"/>
    </row>
    <row r="30" spans="1:10" x14ac:dyDescent="0.2">
      <c r="A30" s="1" t="s">
        <v>142</v>
      </c>
      <c r="B30" s="2"/>
      <c r="C30" s="2"/>
      <c r="D30" s="2"/>
      <c r="E30" s="2"/>
      <c r="F30" s="2"/>
      <c r="G30" s="2"/>
      <c r="H30" s="2"/>
      <c r="I30" s="2"/>
    </row>
    <row r="31" spans="1:10" x14ac:dyDescent="0.2">
      <c r="A31" s="1"/>
      <c r="B31" s="2"/>
      <c r="C31" s="2"/>
      <c r="D31" s="2"/>
      <c r="E31" s="2"/>
      <c r="F31" s="2"/>
      <c r="G31" s="2"/>
      <c r="H31" s="2"/>
      <c r="I31" s="2"/>
    </row>
  </sheetData>
  <sortState xmlns:xlrd2="http://schemas.microsoft.com/office/spreadsheetml/2017/richdata2" ref="A8:K42">
    <sortCondition ref="A8:A42"/>
  </sortState>
  <mergeCells count="10">
    <mergeCell ref="A4:A5"/>
    <mergeCell ref="G4:G5"/>
    <mergeCell ref="I4:I5"/>
    <mergeCell ref="H4:H5"/>
    <mergeCell ref="J4:J5"/>
    <mergeCell ref="C4:C5"/>
    <mergeCell ref="E4:E5"/>
    <mergeCell ref="F4:F5"/>
    <mergeCell ref="B4:B5"/>
    <mergeCell ref="D4:D5"/>
  </mergeCells>
  <phoneticPr fontId="0" type="noConversion"/>
  <printOptions horizontalCentered="1"/>
  <pageMargins left="0.25" right="0.25" top="0.75" bottom="0.75" header="0.3" footer="0.3"/>
  <pageSetup paperSize="9" scale="76"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9">
    <tabColor theme="9" tint="-0.249977111117893"/>
  </sheetPr>
  <dimension ref="A1:Y47"/>
  <sheetViews>
    <sheetView view="pageBreakPreview" zoomScale="90" zoomScaleNormal="100" zoomScaleSheetLayoutView="90" zoomScalePageLayoutView="85" workbookViewId="0">
      <selection activeCell="A5" sqref="A5:P5"/>
    </sheetView>
  </sheetViews>
  <sheetFormatPr baseColWidth="10" defaultColWidth="11.42578125" defaultRowHeight="12" x14ac:dyDescent="0.2"/>
  <cols>
    <col min="1" max="1" width="33.85546875" style="491" customWidth="1"/>
    <col min="2" max="3" width="15.5703125" style="3" customWidth="1"/>
    <col min="4" max="4" width="15.5703125" style="417" customWidth="1"/>
    <col min="5" max="5" width="15.5703125" style="91" customWidth="1"/>
    <col min="6" max="7" width="15.5703125" style="65" customWidth="1"/>
    <col min="8" max="8" width="15.5703125" style="91" customWidth="1"/>
    <col min="9" max="11" width="15.5703125" style="65" customWidth="1"/>
    <col min="12" max="12" width="15.5703125" style="3" customWidth="1"/>
    <col min="13" max="13" width="14" style="3" customWidth="1"/>
    <col min="14" max="14" width="14.28515625" style="65" customWidth="1"/>
    <col min="15" max="15" width="11.42578125" style="3"/>
    <col min="16" max="16" width="11.42578125" style="55"/>
    <col min="17" max="16384" width="11.42578125" style="3"/>
  </cols>
  <sheetData>
    <row r="1" spans="1:25" s="5" customFormat="1" ht="15.75" customHeight="1" x14ac:dyDescent="0.2">
      <c r="A1" s="485" t="s">
        <v>404</v>
      </c>
      <c r="B1" s="119"/>
      <c r="C1" s="119"/>
      <c r="D1" s="414"/>
      <c r="E1" s="119"/>
      <c r="F1" s="119"/>
      <c r="G1" s="119"/>
      <c r="H1" s="119"/>
      <c r="I1" s="119"/>
      <c r="J1" s="119"/>
      <c r="K1" s="119"/>
      <c r="L1" s="119"/>
      <c r="M1" s="119"/>
      <c r="N1" s="119"/>
      <c r="P1" s="483"/>
    </row>
    <row r="2" spans="1:25" s="5" customFormat="1" x14ac:dyDescent="0.2">
      <c r="A2" s="486" t="s">
        <v>962</v>
      </c>
      <c r="B2" s="119"/>
      <c r="C2" s="119"/>
      <c r="D2" s="414"/>
      <c r="E2" s="119"/>
      <c r="F2" s="119"/>
      <c r="G2" s="119"/>
      <c r="H2" s="119"/>
      <c r="I2" s="119"/>
      <c r="J2" s="119"/>
      <c r="K2" s="119"/>
      <c r="L2" s="119"/>
      <c r="M2" s="119"/>
      <c r="N2" s="119"/>
      <c r="O2" s="119"/>
      <c r="P2" s="484"/>
      <c r="Q2" s="119"/>
      <c r="R2" s="119"/>
      <c r="S2" s="119"/>
      <c r="T2" s="119"/>
      <c r="U2" s="119"/>
      <c r="V2" s="119"/>
      <c r="W2" s="119"/>
      <c r="X2" s="119"/>
      <c r="Y2" s="119"/>
    </row>
    <row r="3" spans="1:25" s="65" customFormat="1" x14ac:dyDescent="0.2">
      <c r="A3" s="487"/>
      <c r="B3" s="10"/>
      <c r="D3" s="417"/>
      <c r="E3" s="91"/>
      <c r="G3" s="10"/>
      <c r="H3" s="10"/>
      <c r="P3" s="55"/>
    </row>
    <row r="4" spans="1:25" ht="13.5" hidden="1" customHeight="1" x14ac:dyDescent="0.2">
      <c r="A4" s="488" t="s">
        <v>72</v>
      </c>
      <c r="B4" s="53"/>
      <c r="C4" s="48"/>
      <c r="D4" s="93"/>
      <c r="E4" s="93"/>
      <c r="F4" s="66"/>
      <c r="G4" s="66"/>
      <c r="H4" s="93"/>
      <c r="I4" s="66"/>
      <c r="J4" s="66"/>
      <c r="K4" s="66"/>
      <c r="L4" s="48"/>
      <c r="M4" s="48"/>
      <c r="N4" s="66"/>
    </row>
    <row r="5" spans="1:25" ht="57" customHeight="1" x14ac:dyDescent="0.2">
      <c r="A5" s="489" t="s">
        <v>76</v>
      </c>
      <c r="B5" s="457" t="s">
        <v>77</v>
      </c>
      <c r="C5" s="457" t="s">
        <v>78</v>
      </c>
      <c r="D5" s="457" t="s">
        <v>178</v>
      </c>
      <c r="E5" s="457" t="s">
        <v>179</v>
      </c>
      <c r="F5" s="457" t="s">
        <v>215</v>
      </c>
      <c r="G5" s="457" t="s">
        <v>143</v>
      </c>
      <c r="H5" s="457" t="s">
        <v>177</v>
      </c>
      <c r="I5" s="457" t="s">
        <v>949</v>
      </c>
      <c r="J5" s="457" t="s">
        <v>950</v>
      </c>
      <c r="K5" s="457" t="s">
        <v>951</v>
      </c>
      <c r="L5" s="457" t="s">
        <v>952</v>
      </c>
      <c r="M5" s="457" t="s">
        <v>953</v>
      </c>
      <c r="N5" s="457" t="s">
        <v>954</v>
      </c>
      <c r="O5" s="458" t="s">
        <v>145</v>
      </c>
      <c r="P5" s="457" t="s">
        <v>80</v>
      </c>
    </row>
    <row r="6" spans="1:25" ht="99.75" x14ac:dyDescent="0.2">
      <c r="A6" s="490" t="s">
        <v>834</v>
      </c>
      <c r="B6" s="405" t="str">
        <f t="shared" ref="B6:B47" si="0">LEFT(TRIM(A6),7)</f>
        <v>2056427</v>
      </c>
      <c r="C6" s="437" t="s">
        <v>698</v>
      </c>
      <c r="D6" s="451" t="s">
        <v>300</v>
      </c>
      <c r="E6" s="437" t="s">
        <v>835</v>
      </c>
      <c r="F6" s="449">
        <v>29504276.100000001</v>
      </c>
      <c r="G6" s="450">
        <v>43874</v>
      </c>
      <c r="H6" s="451">
        <v>20605509364</v>
      </c>
      <c r="I6" s="452">
        <v>240</v>
      </c>
      <c r="J6" s="450">
        <v>44034</v>
      </c>
      <c r="K6" s="450">
        <v>43908</v>
      </c>
      <c r="L6" s="451">
        <v>45</v>
      </c>
      <c r="M6" s="450">
        <f>K6+L6</f>
        <v>43953</v>
      </c>
      <c r="N6" s="450">
        <f>M6+27</f>
        <v>43980</v>
      </c>
      <c r="O6" s="450">
        <v>43980</v>
      </c>
      <c r="P6" s="452" t="s">
        <v>836</v>
      </c>
    </row>
    <row r="7" spans="1:25" ht="85.5" x14ac:dyDescent="0.2">
      <c r="A7" s="490" t="s">
        <v>837</v>
      </c>
      <c r="B7" s="405" t="str">
        <f t="shared" si="0"/>
        <v>2164917</v>
      </c>
      <c r="C7" s="437" t="s">
        <v>838</v>
      </c>
      <c r="D7" s="451" t="s">
        <v>300</v>
      </c>
      <c r="E7" s="437" t="s">
        <v>839</v>
      </c>
      <c r="F7" s="449">
        <v>25603166.27</v>
      </c>
      <c r="G7" s="450">
        <v>43871</v>
      </c>
      <c r="H7" s="451">
        <v>20605658807</v>
      </c>
      <c r="I7" s="452">
        <v>720</v>
      </c>
      <c r="J7" s="453">
        <v>43893</v>
      </c>
      <c r="K7" s="452" t="s">
        <v>840</v>
      </c>
      <c r="L7" s="451">
        <v>122</v>
      </c>
      <c r="M7" s="450">
        <v>44734</v>
      </c>
      <c r="N7" s="450">
        <v>44826</v>
      </c>
      <c r="O7" s="450">
        <v>44826</v>
      </c>
      <c r="P7" s="452" t="s">
        <v>836</v>
      </c>
    </row>
    <row r="8" spans="1:25" ht="85.5" x14ac:dyDescent="0.2">
      <c r="A8" s="490" t="s">
        <v>841</v>
      </c>
      <c r="B8" s="405" t="str">
        <f t="shared" si="0"/>
        <v>2196406</v>
      </c>
      <c r="C8" s="437" t="s">
        <v>698</v>
      </c>
      <c r="D8" s="451" t="s">
        <v>300</v>
      </c>
      <c r="E8" s="437" t="s">
        <v>842</v>
      </c>
      <c r="F8" s="449">
        <v>52092838.82</v>
      </c>
      <c r="G8" s="450">
        <v>43696</v>
      </c>
      <c r="H8" s="451">
        <v>20605096141</v>
      </c>
      <c r="I8" s="452">
        <v>600</v>
      </c>
      <c r="J8" s="453">
        <v>43740</v>
      </c>
      <c r="K8" s="452" t="s">
        <v>843</v>
      </c>
      <c r="L8" s="451">
        <v>133</v>
      </c>
      <c r="M8" s="450">
        <v>44729</v>
      </c>
      <c r="N8" s="450">
        <f>M8+27</f>
        <v>44756</v>
      </c>
      <c r="O8" s="450">
        <v>44756</v>
      </c>
      <c r="P8" s="452" t="s">
        <v>836</v>
      </c>
    </row>
    <row r="9" spans="1:25" ht="128.25" x14ac:dyDescent="0.2">
      <c r="A9" s="490" t="s">
        <v>844</v>
      </c>
      <c r="B9" s="405" t="str">
        <f t="shared" si="0"/>
        <v>2308385</v>
      </c>
      <c r="C9" s="437" t="s">
        <v>838</v>
      </c>
      <c r="D9" s="451" t="s">
        <v>300</v>
      </c>
      <c r="E9" s="437" t="s">
        <v>845</v>
      </c>
      <c r="F9" s="449" t="s">
        <v>846</v>
      </c>
      <c r="G9" s="450">
        <v>43816</v>
      </c>
      <c r="H9" s="451">
        <v>20605593012</v>
      </c>
      <c r="I9" s="452">
        <v>365</v>
      </c>
      <c r="J9" s="453">
        <v>43827</v>
      </c>
      <c r="K9" s="452" t="s">
        <v>847</v>
      </c>
      <c r="L9" s="451" t="s">
        <v>848</v>
      </c>
      <c r="M9" s="451" t="s">
        <v>848</v>
      </c>
      <c r="N9" s="451" t="s">
        <v>848</v>
      </c>
      <c r="O9" s="450" t="s">
        <v>848</v>
      </c>
      <c r="P9" s="452" t="s">
        <v>849</v>
      </c>
    </row>
    <row r="10" spans="1:25" ht="114" x14ac:dyDescent="0.2">
      <c r="A10" s="490" t="s">
        <v>850</v>
      </c>
      <c r="B10" s="405" t="str">
        <f t="shared" si="0"/>
        <v>2320101</v>
      </c>
      <c r="C10" s="437" t="s">
        <v>838</v>
      </c>
      <c r="D10" s="451" t="s">
        <v>300</v>
      </c>
      <c r="E10" s="437" t="s">
        <v>851</v>
      </c>
      <c r="F10" s="449">
        <v>14079329.189999999</v>
      </c>
      <c r="G10" s="450">
        <v>44074</v>
      </c>
      <c r="H10" s="451">
        <v>20489532981</v>
      </c>
      <c r="I10" s="452">
        <v>315</v>
      </c>
      <c r="J10" s="453">
        <v>44110</v>
      </c>
      <c r="K10" s="453">
        <f>J10+I10</f>
        <v>44425</v>
      </c>
      <c r="L10" s="451" t="s">
        <v>848</v>
      </c>
      <c r="M10" s="451" t="s">
        <v>848</v>
      </c>
      <c r="N10" s="451" t="s">
        <v>848</v>
      </c>
      <c r="O10" s="450" t="s">
        <v>848</v>
      </c>
      <c r="P10" s="452" t="s">
        <v>836</v>
      </c>
    </row>
    <row r="11" spans="1:25" ht="85.5" x14ac:dyDescent="0.2">
      <c r="A11" s="490" t="s">
        <v>852</v>
      </c>
      <c r="B11" s="405" t="str">
        <f t="shared" si="0"/>
        <v>2214487</v>
      </c>
      <c r="C11" s="437" t="s">
        <v>838</v>
      </c>
      <c r="D11" s="451" t="s">
        <v>300</v>
      </c>
      <c r="E11" s="437" t="s">
        <v>853</v>
      </c>
      <c r="F11" s="449">
        <v>15490828.82</v>
      </c>
      <c r="G11" s="450">
        <v>43871</v>
      </c>
      <c r="H11" s="451">
        <v>20605679758</v>
      </c>
      <c r="I11" s="452">
        <v>365</v>
      </c>
      <c r="J11" s="453">
        <v>43892</v>
      </c>
      <c r="K11" s="452" t="s">
        <v>854</v>
      </c>
      <c r="L11" s="451">
        <v>166</v>
      </c>
      <c r="M11" s="450">
        <v>44441</v>
      </c>
      <c r="N11" s="450">
        <f>M11+27</f>
        <v>44468</v>
      </c>
      <c r="O11" s="450">
        <v>44468</v>
      </c>
      <c r="P11" s="452" t="s">
        <v>836</v>
      </c>
    </row>
    <row r="12" spans="1:25" ht="156.75" x14ac:dyDescent="0.2">
      <c r="A12" s="490" t="s">
        <v>855</v>
      </c>
      <c r="B12" s="405" t="str">
        <f t="shared" si="0"/>
        <v>2308399</v>
      </c>
      <c r="C12" s="437" t="s">
        <v>838</v>
      </c>
      <c r="D12" s="451" t="s">
        <v>300</v>
      </c>
      <c r="E12" s="437" t="s">
        <v>856</v>
      </c>
      <c r="F12" s="449" t="s">
        <v>857</v>
      </c>
      <c r="G12" s="450">
        <v>43776</v>
      </c>
      <c r="H12" s="451">
        <v>20600683650</v>
      </c>
      <c r="I12" s="452">
        <v>540</v>
      </c>
      <c r="J12" s="453">
        <v>43794</v>
      </c>
      <c r="K12" s="452" t="s">
        <v>858</v>
      </c>
      <c r="L12" s="451">
        <v>100</v>
      </c>
      <c r="M12" s="450">
        <v>44564</v>
      </c>
      <c r="N12" s="450">
        <f>M12+27</f>
        <v>44591</v>
      </c>
      <c r="O12" s="450" t="s">
        <v>848</v>
      </c>
      <c r="P12" s="452" t="s">
        <v>836</v>
      </c>
    </row>
    <row r="13" spans="1:25" ht="99.75" x14ac:dyDescent="0.2">
      <c r="A13" s="490" t="s">
        <v>859</v>
      </c>
      <c r="B13" s="405" t="str">
        <f t="shared" si="0"/>
        <v>2324482</v>
      </c>
      <c r="C13" s="437" t="s">
        <v>698</v>
      </c>
      <c r="D13" s="451" t="s">
        <v>300</v>
      </c>
      <c r="E13" s="437" t="s">
        <v>860</v>
      </c>
      <c r="F13" s="449">
        <v>19757801.59</v>
      </c>
      <c r="G13" s="450">
        <v>43741</v>
      </c>
      <c r="H13" s="451">
        <v>20605315519</v>
      </c>
      <c r="I13" s="452">
        <v>480</v>
      </c>
      <c r="J13" s="453">
        <v>43774</v>
      </c>
      <c r="K13" s="452" t="s">
        <v>861</v>
      </c>
      <c r="L13" s="451">
        <v>45</v>
      </c>
      <c r="M13" s="450">
        <v>44418</v>
      </c>
      <c r="N13" s="450">
        <f>M13+27</f>
        <v>44445</v>
      </c>
      <c r="O13" s="450" t="s">
        <v>848</v>
      </c>
      <c r="P13" s="452" t="s">
        <v>836</v>
      </c>
    </row>
    <row r="14" spans="1:25" ht="85.5" x14ac:dyDescent="0.2">
      <c r="A14" s="490" t="s">
        <v>862</v>
      </c>
      <c r="B14" s="405" t="str">
        <f t="shared" si="0"/>
        <v>2309621</v>
      </c>
      <c r="C14" s="437" t="s">
        <v>838</v>
      </c>
      <c r="D14" s="451" t="s">
        <v>300</v>
      </c>
      <c r="E14" s="437" t="s">
        <v>863</v>
      </c>
      <c r="F14" s="449">
        <v>12443908.220000001</v>
      </c>
      <c r="G14" s="450">
        <v>43588</v>
      </c>
      <c r="H14" s="451">
        <v>20604536155</v>
      </c>
      <c r="I14" s="452">
        <v>360</v>
      </c>
      <c r="J14" s="453">
        <v>43608</v>
      </c>
      <c r="K14" s="452" t="s">
        <v>864</v>
      </c>
      <c r="L14" s="451">
        <v>124</v>
      </c>
      <c r="M14" s="450">
        <v>44323</v>
      </c>
      <c r="N14" s="450">
        <f>M14+27</f>
        <v>44350</v>
      </c>
      <c r="O14" s="450" t="s">
        <v>848</v>
      </c>
      <c r="P14" s="452" t="s">
        <v>836</v>
      </c>
    </row>
    <row r="15" spans="1:25" ht="157.5" x14ac:dyDescent="0.2">
      <c r="A15" s="490" t="s">
        <v>865</v>
      </c>
      <c r="B15" s="405" t="str">
        <f t="shared" si="0"/>
        <v>2193859</v>
      </c>
      <c r="C15" s="437" t="s">
        <v>698</v>
      </c>
      <c r="D15" s="451" t="s">
        <v>300</v>
      </c>
      <c r="E15" s="437" t="s">
        <v>866</v>
      </c>
      <c r="F15" s="449">
        <v>2112559.0699999998</v>
      </c>
      <c r="G15" s="450">
        <v>43742</v>
      </c>
      <c r="H15" s="451">
        <v>20605222324</v>
      </c>
      <c r="I15" s="452">
        <v>150</v>
      </c>
      <c r="J15" s="453">
        <v>43755</v>
      </c>
      <c r="K15" s="452" t="s">
        <v>867</v>
      </c>
      <c r="L15" s="451">
        <v>233</v>
      </c>
      <c r="M15" s="450">
        <v>44139</v>
      </c>
      <c r="N15" s="450">
        <v>44154</v>
      </c>
      <c r="O15" s="450">
        <v>44168</v>
      </c>
      <c r="P15" s="452" t="s">
        <v>836</v>
      </c>
    </row>
    <row r="16" spans="1:25" ht="158.25" x14ac:dyDescent="0.2">
      <c r="A16" s="490" t="s">
        <v>868</v>
      </c>
      <c r="B16" s="405" t="str">
        <f t="shared" si="0"/>
        <v>2193859</v>
      </c>
      <c r="C16" s="437" t="s">
        <v>698</v>
      </c>
      <c r="D16" s="451" t="s">
        <v>300</v>
      </c>
      <c r="E16" s="437" t="s">
        <v>866</v>
      </c>
      <c r="F16" s="449">
        <v>2112559.0699999998</v>
      </c>
      <c r="G16" s="450">
        <v>43742</v>
      </c>
      <c r="H16" s="451">
        <v>20605222324</v>
      </c>
      <c r="I16" s="452">
        <v>150</v>
      </c>
      <c r="J16" s="453">
        <v>43755</v>
      </c>
      <c r="K16" s="452" t="s">
        <v>867</v>
      </c>
      <c r="L16" s="451">
        <v>229</v>
      </c>
      <c r="M16" s="450">
        <v>44135</v>
      </c>
      <c r="N16" s="450">
        <v>44150</v>
      </c>
      <c r="O16" s="450" t="s">
        <v>869</v>
      </c>
      <c r="P16" s="452" t="s">
        <v>836</v>
      </c>
    </row>
    <row r="17" spans="1:16" ht="158.25" x14ac:dyDescent="0.2">
      <c r="A17" s="490" t="s">
        <v>870</v>
      </c>
      <c r="B17" s="405" t="str">
        <f t="shared" si="0"/>
        <v>2193859</v>
      </c>
      <c r="C17" s="437" t="s">
        <v>698</v>
      </c>
      <c r="D17" s="451" t="s">
        <v>300</v>
      </c>
      <c r="E17" s="437" t="s">
        <v>866</v>
      </c>
      <c r="F17" s="449">
        <v>2112559.0699999998</v>
      </c>
      <c r="G17" s="450">
        <v>43742</v>
      </c>
      <c r="H17" s="451">
        <v>20605222324</v>
      </c>
      <c r="I17" s="452">
        <v>150</v>
      </c>
      <c r="J17" s="453">
        <v>43755</v>
      </c>
      <c r="K17" s="452" t="s">
        <v>867</v>
      </c>
      <c r="L17" s="451">
        <v>229</v>
      </c>
      <c r="M17" s="450">
        <v>44135</v>
      </c>
      <c r="N17" s="450">
        <v>44150</v>
      </c>
      <c r="O17" s="450">
        <v>44165</v>
      </c>
      <c r="P17" s="452" t="s">
        <v>836</v>
      </c>
    </row>
    <row r="18" spans="1:16" ht="158.25" x14ac:dyDescent="0.2">
      <c r="A18" s="490" t="s">
        <v>871</v>
      </c>
      <c r="B18" s="405" t="str">
        <f t="shared" si="0"/>
        <v>2193859</v>
      </c>
      <c r="C18" s="437" t="s">
        <v>698</v>
      </c>
      <c r="D18" s="451" t="s">
        <v>300</v>
      </c>
      <c r="E18" s="437" t="s">
        <v>866</v>
      </c>
      <c r="F18" s="449">
        <v>2112559.0699999998</v>
      </c>
      <c r="G18" s="450">
        <v>43742</v>
      </c>
      <c r="H18" s="451">
        <v>20605222324</v>
      </c>
      <c r="I18" s="452">
        <v>150</v>
      </c>
      <c r="J18" s="453">
        <v>43770</v>
      </c>
      <c r="K18" s="452" t="s">
        <v>872</v>
      </c>
      <c r="L18" s="451">
        <v>257</v>
      </c>
      <c r="M18" s="450">
        <v>44182</v>
      </c>
      <c r="N18" s="450">
        <v>44191</v>
      </c>
      <c r="O18" s="450">
        <v>44211</v>
      </c>
      <c r="P18" s="452" t="s">
        <v>836</v>
      </c>
    </row>
    <row r="19" spans="1:16" ht="158.25" x14ac:dyDescent="0.2">
      <c r="A19" s="490" t="s">
        <v>873</v>
      </c>
      <c r="B19" s="405" t="str">
        <f t="shared" si="0"/>
        <v>2193859</v>
      </c>
      <c r="C19" s="437" t="s">
        <v>698</v>
      </c>
      <c r="D19" s="451" t="s">
        <v>300</v>
      </c>
      <c r="E19" s="437" t="s">
        <v>866</v>
      </c>
      <c r="F19" s="449">
        <v>2112559.0699999998</v>
      </c>
      <c r="G19" s="450">
        <v>43742</v>
      </c>
      <c r="H19" s="451">
        <v>20605222324</v>
      </c>
      <c r="I19" s="452">
        <v>150</v>
      </c>
      <c r="J19" s="453">
        <v>43764</v>
      </c>
      <c r="K19" s="452" t="s">
        <v>874</v>
      </c>
      <c r="L19" s="451">
        <v>228</v>
      </c>
      <c r="M19" s="450">
        <v>44147</v>
      </c>
      <c r="N19" s="450">
        <v>44162</v>
      </c>
      <c r="O19" s="450">
        <v>44180</v>
      </c>
      <c r="P19" s="452" t="s">
        <v>836</v>
      </c>
    </row>
    <row r="20" spans="1:16" ht="85.5" x14ac:dyDescent="0.2">
      <c r="A20" s="490" t="s">
        <v>875</v>
      </c>
      <c r="B20" s="405" t="str">
        <f t="shared" si="0"/>
        <v>2324286</v>
      </c>
      <c r="C20" s="437" t="s">
        <v>838</v>
      </c>
      <c r="D20" s="451" t="s">
        <v>300</v>
      </c>
      <c r="E20" s="437" t="s">
        <v>876</v>
      </c>
      <c r="F20" s="449">
        <v>13566970.84</v>
      </c>
      <c r="G20" s="450">
        <v>43788</v>
      </c>
      <c r="H20" s="451">
        <v>20605356444</v>
      </c>
      <c r="I20" s="452">
        <v>360</v>
      </c>
      <c r="J20" s="453">
        <v>43786</v>
      </c>
      <c r="K20" s="452" t="s">
        <v>877</v>
      </c>
      <c r="L20" s="451">
        <v>120</v>
      </c>
      <c r="M20" s="450">
        <v>44542</v>
      </c>
      <c r="N20" s="450">
        <f>M20+27</f>
        <v>44569</v>
      </c>
      <c r="O20" s="450">
        <v>44569</v>
      </c>
      <c r="P20" s="452" t="s">
        <v>836</v>
      </c>
    </row>
    <row r="21" spans="1:16" ht="99.75" x14ac:dyDescent="0.2">
      <c r="A21" s="490" t="s">
        <v>878</v>
      </c>
      <c r="B21" s="405" t="str">
        <f t="shared" si="0"/>
        <v>2308074</v>
      </c>
      <c r="C21" s="437" t="s">
        <v>838</v>
      </c>
      <c r="D21" s="451" t="s">
        <v>300</v>
      </c>
      <c r="E21" s="437" t="s">
        <v>879</v>
      </c>
      <c r="F21" s="454">
        <v>7632433.1600000001</v>
      </c>
      <c r="G21" s="450">
        <v>43847</v>
      </c>
      <c r="H21" s="451">
        <v>20571184151</v>
      </c>
      <c r="I21" s="452">
        <v>330</v>
      </c>
      <c r="J21" s="453">
        <v>43862</v>
      </c>
      <c r="K21" s="452" t="s">
        <v>880</v>
      </c>
      <c r="L21" s="451">
        <v>140</v>
      </c>
      <c r="M21" s="450">
        <v>43982</v>
      </c>
      <c r="N21" s="450">
        <v>44392</v>
      </c>
      <c r="O21" s="450">
        <v>44392</v>
      </c>
      <c r="P21" s="452" t="s">
        <v>836</v>
      </c>
    </row>
    <row r="22" spans="1:16" ht="85.5" x14ac:dyDescent="0.2">
      <c r="A22" s="490" t="s">
        <v>881</v>
      </c>
      <c r="B22" s="405" t="str">
        <f t="shared" si="0"/>
        <v>2324622</v>
      </c>
      <c r="C22" s="437" t="s">
        <v>882</v>
      </c>
      <c r="D22" s="451" t="s">
        <v>300</v>
      </c>
      <c r="E22" s="437" t="s">
        <v>883</v>
      </c>
      <c r="F22" s="449">
        <v>22705607.800000001</v>
      </c>
      <c r="G22" s="450">
        <v>43705</v>
      </c>
      <c r="H22" s="451">
        <v>2060509310</v>
      </c>
      <c r="I22" s="452">
        <v>540</v>
      </c>
      <c r="J22" s="453">
        <v>43731</v>
      </c>
      <c r="K22" s="452" t="s">
        <v>884</v>
      </c>
      <c r="L22" s="451">
        <v>200</v>
      </c>
      <c r="M22" s="450">
        <v>44532</v>
      </c>
      <c r="N22" s="450">
        <f>M22+27</f>
        <v>44559</v>
      </c>
      <c r="O22" s="450">
        <v>44559</v>
      </c>
      <c r="P22" s="452" t="s">
        <v>836</v>
      </c>
    </row>
    <row r="23" spans="1:16" ht="99.75" x14ac:dyDescent="0.2">
      <c r="A23" s="490" t="s">
        <v>885</v>
      </c>
      <c r="B23" s="405" t="str">
        <f t="shared" si="0"/>
        <v>2441667</v>
      </c>
      <c r="C23" s="437" t="s">
        <v>838</v>
      </c>
      <c r="D23" s="451" t="s">
        <v>300</v>
      </c>
      <c r="E23" s="437" t="s">
        <v>886</v>
      </c>
      <c r="F23" s="449">
        <v>2195180.09</v>
      </c>
      <c r="G23" s="450">
        <v>43825</v>
      </c>
      <c r="H23" s="451">
        <v>20601556791</v>
      </c>
      <c r="I23" s="452">
        <v>120</v>
      </c>
      <c r="J23" s="453">
        <v>43871</v>
      </c>
      <c r="K23" s="450">
        <v>43990</v>
      </c>
      <c r="L23" s="451">
        <v>26</v>
      </c>
      <c r="M23" s="450">
        <v>44142</v>
      </c>
      <c r="N23" s="450">
        <f>M23+27</f>
        <v>44169</v>
      </c>
      <c r="O23" s="450">
        <v>44169</v>
      </c>
      <c r="P23" s="452" t="s">
        <v>836</v>
      </c>
    </row>
    <row r="24" spans="1:16" ht="156.75" x14ac:dyDescent="0.2">
      <c r="A24" s="490" t="s">
        <v>887</v>
      </c>
      <c r="B24" s="405" t="str">
        <f t="shared" si="0"/>
        <v>2443724</v>
      </c>
      <c r="C24" s="437" t="s">
        <v>838</v>
      </c>
      <c r="D24" s="451" t="s">
        <v>300</v>
      </c>
      <c r="E24" s="437" t="s">
        <v>888</v>
      </c>
      <c r="F24" s="454">
        <v>2255869.5099999998</v>
      </c>
      <c r="G24" s="450">
        <v>43832</v>
      </c>
      <c r="H24" s="451">
        <v>20573263104</v>
      </c>
      <c r="I24" s="452">
        <v>120</v>
      </c>
      <c r="J24" s="453">
        <v>44079</v>
      </c>
      <c r="K24" s="450">
        <v>44198</v>
      </c>
      <c r="L24" s="451" t="s">
        <v>848</v>
      </c>
      <c r="M24" s="451" t="s">
        <v>848</v>
      </c>
      <c r="N24" s="451" t="s">
        <v>848</v>
      </c>
      <c r="O24" s="450" t="s">
        <v>848</v>
      </c>
      <c r="P24" s="452" t="s">
        <v>849</v>
      </c>
    </row>
    <row r="25" spans="1:16" ht="114" x14ac:dyDescent="0.2">
      <c r="A25" s="490" t="s">
        <v>889</v>
      </c>
      <c r="B25" s="405" t="str">
        <f t="shared" si="0"/>
        <v>2260586</v>
      </c>
      <c r="C25" s="437" t="s">
        <v>698</v>
      </c>
      <c r="D25" s="451" t="s">
        <v>300</v>
      </c>
      <c r="E25" s="437" t="s">
        <v>890</v>
      </c>
      <c r="F25" s="449">
        <v>2637095</v>
      </c>
      <c r="G25" s="450">
        <v>43816</v>
      </c>
      <c r="H25" s="451">
        <v>20602172571</v>
      </c>
      <c r="I25" s="452">
        <v>150</v>
      </c>
      <c r="J25" s="453">
        <v>43843</v>
      </c>
      <c r="K25" s="452" t="s">
        <v>891</v>
      </c>
      <c r="L25" s="451">
        <v>20</v>
      </c>
      <c r="M25" s="450">
        <v>44152</v>
      </c>
      <c r="N25" s="450">
        <f>M25+27</f>
        <v>44179</v>
      </c>
      <c r="O25" s="450">
        <v>44179</v>
      </c>
      <c r="P25" s="452" t="s">
        <v>836</v>
      </c>
    </row>
    <row r="26" spans="1:16" ht="114" x14ac:dyDescent="0.2">
      <c r="A26" s="490" t="s">
        <v>892</v>
      </c>
      <c r="B26" s="405" t="str">
        <f t="shared" si="0"/>
        <v>2198756</v>
      </c>
      <c r="C26" s="437" t="s">
        <v>838</v>
      </c>
      <c r="D26" s="451" t="s">
        <v>300</v>
      </c>
      <c r="E26" s="437" t="s">
        <v>893</v>
      </c>
      <c r="F26" s="449">
        <v>2707645.35</v>
      </c>
      <c r="G26" s="450">
        <v>43833</v>
      </c>
      <c r="H26" s="451">
        <v>20529286997</v>
      </c>
      <c r="I26" s="452">
        <v>210</v>
      </c>
      <c r="J26" s="453">
        <v>43862</v>
      </c>
      <c r="K26" s="452" t="s">
        <v>894</v>
      </c>
      <c r="L26" s="451">
        <v>72</v>
      </c>
      <c r="M26" s="450">
        <v>44188</v>
      </c>
      <c r="N26" s="450">
        <f>M26+27</f>
        <v>44215</v>
      </c>
      <c r="O26" s="450">
        <v>44215</v>
      </c>
      <c r="P26" s="452" t="s">
        <v>836</v>
      </c>
    </row>
    <row r="27" spans="1:16" ht="99.75" x14ac:dyDescent="0.2">
      <c r="A27" s="490" t="s">
        <v>895</v>
      </c>
      <c r="B27" s="405" t="str">
        <f t="shared" si="0"/>
        <v>2441602</v>
      </c>
      <c r="C27" s="437" t="s">
        <v>838</v>
      </c>
      <c r="D27" s="451" t="s">
        <v>300</v>
      </c>
      <c r="E27" s="437" t="s">
        <v>896</v>
      </c>
      <c r="F27" s="454">
        <v>2187717.6</v>
      </c>
      <c r="G27" s="450">
        <v>43825</v>
      </c>
      <c r="H27" s="451">
        <v>20605659943</v>
      </c>
      <c r="I27" s="452">
        <v>180</v>
      </c>
      <c r="J27" s="453">
        <v>44033</v>
      </c>
      <c r="K27" s="450">
        <v>44212</v>
      </c>
      <c r="L27" s="451" t="s">
        <v>848</v>
      </c>
      <c r="M27" s="450">
        <v>44212</v>
      </c>
      <c r="N27" s="450">
        <f>M27+27</f>
        <v>44239</v>
      </c>
      <c r="O27" s="450">
        <v>44239</v>
      </c>
      <c r="P27" s="452" t="s">
        <v>836</v>
      </c>
    </row>
    <row r="28" spans="1:16" s="65" customFormat="1" ht="114" x14ac:dyDescent="0.2">
      <c r="A28" s="490" t="s">
        <v>897</v>
      </c>
      <c r="B28" s="405" t="str">
        <f t="shared" si="0"/>
        <v>2441579</v>
      </c>
      <c r="C28" s="437" t="s">
        <v>698</v>
      </c>
      <c r="D28" s="451" t="s">
        <v>300</v>
      </c>
      <c r="E28" s="437" t="s">
        <v>898</v>
      </c>
      <c r="F28" s="454">
        <v>1614460.94</v>
      </c>
      <c r="G28" s="450">
        <v>43812</v>
      </c>
      <c r="H28" s="451">
        <v>20602450881</v>
      </c>
      <c r="I28" s="452">
        <v>60</v>
      </c>
      <c r="J28" s="453">
        <v>43827</v>
      </c>
      <c r="K28" s="452" t="s">
        <v>899</v>
      </c>
      <c r="L28" s="451">
        <v>7</v>
      </c>
      <c r="M28" s="450">
        <v>44045</v>
      </c>
      <c r="N28" s="450">
        <v>44088</v>
      </c>
      <c r="O28" s="450">
        <v>44105</v>
      </c>
      <c r="P28" s="452" t="s">
        <v>900</v>
      </c>
    </row>
    <row r="29" spans="1:16" ht="128.25" x14ac:dyDescent="0.2">
      <c r="A29" s="490" t="s">
        <v>901</v>
      </c>
      <c r="B29" s="405" t="str">
        <f t="shared" si="0"/>
        <v>2260457</v>
      </c>
      <c r="C29" s="437" t="s">
        <v>838</v>
      </c>
      <c r="D29" s="451" t="s">
        <v>300</v>
      </c>
      <c r="E29" s="437" t="s">
        <v>902</v>
      </c>
      <c r="F29" s="449">
        <v>2215187.0499999998</v>
      </c>
      <c r="G29" s="450">
        <v>43741</v>
      </c>
      <c r="H29" s="451">
        <v>20529202998</v>
      </c>
      <c r="I29" s="452">
        <v>120</v>
      </c>
      <c r="J29" s="453">
        <v>43754</v>
      </c>
      <c r="K29" s="452" t="s">
        <v>903</v>
      </c>
      <c r="L29" s="451" t="s">
        <v>848</v>
      </c>
      <c r="M29" s="450">
        <v>43893</v>
      </c>
      <c r="N29" s="450">
        <f>M29+27</f>
        <v>43920</v>
      </c>
      <c r="O29" s="450">
        <v>43920</v>
      </c>
      <c r="P29" s="452" t="s">
        <v>836</v>
      </c>
    </row>
    <row r="30" spans="1:16" ht="114" x14ac:dyDescent="0.2">
      <c r="A30" s="490" t="s">
        <v>904</v>
      </c>
      <c r="B30" s="405" t="str">
        <f t="shared" si="0"/>
        <v>2303768</v>
      </c>
      <c r="C30" s="437" t="s">
        <v>698</v>
      </c>
      <c r="D30" s="451" t="s">
        <v>300</v>
      </c>
      <c r="E30" s="437" t="s">
        <v>905</v>
      </c>
      <c r="F30" s="454">
        <v>1469244.5</v>
      </c>
      <c r="G30" s="450">
        <v>43832</v>
      </c>
      <c r="H30" s="451">
        <v>20605677925</v>
      </c>
      <c r="I30" s="452">
        <v>120</v>
      </c>
      <c r="J30" s="453">
        <v>43921</v>
      </c>
      <c r="K30" s="455" t="s">
        <v>906</v>
      </c>
      <c r="L30" s="451" t="s">
        <v>848</v>
      </c>
      <c r="M30" s="451" t="s">
        <v>848</v>
      </c>
      <c r="N30" s="450">
        <v>44220</v>
      </c>
      <c r="O30" s="450">
        <v>44220</v>
      </c>
      <c r="P30" s="452" t="s">
        <v>836</v>
      </c>
    </row>
    <row r="31" spans="1:16" ht="114" x14ac:dyDescent="0.2">
      <c r="A31" s="490" t="s">
        <v>907</v>
      </c>
      <c r="B31" s="405" t="str">
        <f t="shared" si="0"/>
        <v>2261602</v>
      </c>
      <c r="C31" s="437" t="s">
        <v>698</v>
      </c>
      <c r="D31" s="451" t="s">
        <v>300</v>
      </c>
      <c r="E31" s="437" t="s">
        <v>908</v>
      </c>
      <c r="F31" s="449">
        <v>1949041.59</v>
      </c>
      <c r="G31" s="450">
        <v>43788</v>
      </c>
      <c r="H31" s="451">
        <v>20605488880</v>
      </c>
      <c r="I31" s="452">
        <v>120</v>
      </c>
      <c r="J31" s="453">
        <v>43809</v>
      </c>
      <c r="K31" s="452" t="s">
        <v>909</v>
      </c>
      <c r="L31" s="451">
        <v>41</v>
      </c>
      <c r="M31" s="450">
        <v>44167</v>
      </c>
      <c r="N31" s="450">
        <f>M31+27</f>
        <v>44194</v>
      </c>
      <c r="O31" s="450">
        <v>44194</v>
      </c>
      <c r="P31" s="452" t="s">
        <v>836</v>
      </c>
    </row>
    <row r="32" spans="1:16" ht="114" x14ac:dyDescent="0.2">
      <c r="A32" s="490" t="s">
        <v>910</v>
      </c>
      <c r="B32" s="405" t="str">
        <f t="shared" si="0"/>
        <v>2096035</v>
      </c>
      <c r="C32" s="437"/>
      <c r="D32" s="451"/>
      <c r="E32" s="437" t="s">
        <v>911</v>
      </c>
      <c r="F32" s="449">
        <v>2394255.33</v>
      </c>
      <c r="G32" s="450">
        <v>43781</v>
      </c>
      <c r="H32" s="451">
        <v>20604347778</v>
      </c>
      <c r="I32" s="452">
        <v>180</v>
      </c>
      <c r="J32" s="453">
        <v>43797</v>
      </c>
      <c r="K32" s="452" t="s">
        <v>912</v>
      </c>
      <c r="L32" s="451" t="s">
        <v>848</v>
      </c>
      <c r="M32" s="451" t="s">
        <v>848</v>
      </c>
      <c r="N32" s="451" t="s">
        <v>848</v>
      </c>
      <c r="O32" s="450" t="s">
        <v>848</v>
      </c>
      <c r="P32" s="452" t="s">
        <v>913</v>
      </c>
    </row>
    <row r="33" spans="1:16" ht="114" x14ac:dyDescent="0.2">
      <c r="A33" s="490" t="s">
        <v>914</v>
      </c>
      <c r="B33" s="405" t="str">
        <f t="shared" si="0"/>
        <v>2367295</v>
      </c>
      <c r="C33" s="437" t="s">
        <v>698</v>
      </c>
      <c r="D33" s="451" t="s">
        <v>300</v>
      </c>
      <c r="E33" s="437" t="s">
        <v>915</v>
      </c>
      <c r="F33" s="449">
        <v>852478.29</v>
      </c>
      <c r="G33" s="450">
        <v>43887</v>
      </c>
      <c r="H33" s="451">
        <v>2060470968</v>
      </c>
      <c r="I33" s="452">
        <v>120</v>
      </c>
      <c r="J33" s="453">
        <v>43901</v>
      </c>
      <c r="K33" s="450">
        <v>44147</v>
      </c>
      <c r="L33" s="451" t="s">
        <v>848</v>
      </c>
      <c r="M33" s="451" t="s">
        <v>848</v>
      </c>
      <c r="N33" s="451" t="s">
        <v>848</v>
      </c>
      <c r="O33" s="450" t="s">
        <v>848</v>
      </c>
      <c r="P33" s="452" t="s">
        <v>836</v>
      </c>
    </row>
    <row r="34" spans="1:16" ht="99.75" x14ac:dyDescent="0.2">
      <c r="A34" s="490" t="s">
        <v>916</v>
      </c>
      <c r="B34" s="405" t="str">
        <f t="shared" si="0"/>
        <v>2186113</v>
      </c>
      <c r="C34" s="437" t="s">
        <v>698</v>
      </c>
      <c r="D34" s="451" t="s">
        <v>300</v>
      </c>
      <c r="E34" s="437" t="s">
        <v>917</v>
      </c>
      <c r="F34" s="449">
        <v>1770763.51</v>
      </c>
      <c r="G34" s="450">
        <v>43733</v>
      </c>
      <c r="H34" s="451">
        <v>20605253378</v>
      </c>
      <c r="I34" s="452">
        <v>120</v>
      </c>
      <c r="J34" s="453">
        <v>43750</v>
      </c>
      <c r="K34" s="456">
        <v>43868</v>
      </c>
      <c r="L34" s="451" t="s">
        <v>848</v>
      </c>
      <c r="M34" s="450">
        <v>43879</v>
      </c>
      <c r="N34" s="450">
        <v>44094</v>
      </c>
      <c r="O34" s="450">
        <v>44094</v>
      </c>
      <c r="P34" s="452" t="s">
        <v>900</v>
      </c>
    </row>
    <row r="35" spans="1:16" ht="185.25" x14ac:dyDescent="0.2">
      <c r="A35" s="490" t="s">
        <v>918</v>
      </c>
      <c r="B35" s="405" t="str">
        <f t="shared" si="0"/>
        <v>2441682</v>
      </c>
      <c r="C35" s="437" t="s">
        <v>698</v>
      </c>
      <c r="D35" s="451" t="s">
        <v>300</v>
      </c>
      <c r="E35" s="437" t="s">
        <v>919</v>
      </c>
      <c r="F35" s="449">
        <v>699815.74</v>
      </c>
      <c r="G35" s="450">
        <v>43817</v>
      </c>
      <c r="H35" s="451">
        <v>10805536867</v>
      </c>
      <c r="I35" s="452">
        <v>90</v>
      </c>
      <c r="J35" s="453">
        <v>43836</v>
      </c>
      <c r="K35" s="450">
        <v>43926</v>
      </c>
      <c r="L35" s="451">
        <v>33</v>
      </c>
      <c r="M35" s="450">
        <v>44123</v>
      </c>
      <c r="N35" s="450">
        <f>M35+27</f>
        <v>44150</v>
      </c>
      <c r="O35" s="450">
        <v>44150</v>
      </c>
      <c r="P35" s="452" t="s">
        <v>836</v>
      </c>
    </row>
    <row r="36" spans="1:16" ht="142.5" x14ac:dyDescent="0.2">
      <c r="A36" s="490" t="s">
        <v>920</v>
      </c>
      <c r="B36" s="405" t="str">
        <f t="shared" si="0"/>
        <v>2443566</v>
      </c>
      <c r="C36" s="437" t="s">
        <v>698</v>
      </c>
      <c r="D36" s="451" t="s">
        <v>300</v>
      </c>
      <c r="E36" s="437" t="s">
        <v>921</v>
      </c>
      <c r="F36" s="454">
        <v>688909.65</v>
      </c>
      <c r="G36" s="450">
        <v>43818</v>
      </c>
      <c r="H36" s="451">
        <v>20602889191</v>
      </c>
      <c r="I36" s="452">
        <v>60</v>
      </c>
      <c r="J36" s="453">
        <v>43855</v>
      </c>
      <c r="K36" s="450">
        <v>43915</v>
      </c>
      <c r="L36" s="451">
        <v>42</v>
      </c>
      <c r="M36" s="450">
        <v>44074</v>
      </c>
      <c r="N36" s="450">
        <f>M36+27</f>
        <v>44101</v>
      </c>
      <c r="O36" s="450">
        <v>44101</v>
      </c>
      <c r="P36" s="452" t="s">
        <v>900</v>
      </c>
    </row>
    <row r="37" spans="1:16" ht="85.5" x14ac:dyDescent="0.2">
      <c r="A37" s="490" t="s">
        <v>922</v>
      </c>
      <c r="B37" s="405" t="str">
        <f t="shared" si="0"/>
        <v>2443831</v>
      </c>
      <c r="C37" s="437" t="s">
        <v>698</v>
      </c>
      <c r="D37" s="451" t="s">
        <v>300</v>
      </c>
      <c r="E37" s="437" t="s">
        <v>923</v>
      </c>
      <c r="F37" s="449">
        <v>605209.35</v>
      </c>
      <c r="G37" s="450">
        <v>43817</v>
      </c>
      <c r="H37" s="451">
        <v>20542559854</v>
      </c>
      <c r="I37" s="452">
        <v>90</v>
      </c>
      <c r="J37" s="453">
        <v>43851</v>
      </c>
      <c r="K37" s="450">
        <v>43941</v>
      </c>
      <c r="L37" s="451">
        <v>34</v>
      </c>
      <c r="M37" s="450">
        <v>44089</v>
      </c>
      <c r="N37" s="450">
        <f>M37+27</f>
        <v>44116</v>
      </c>
      <c r="O37" s="450">
        <v>44116</v>
      </c>
      <c r="P37" s="452" t="s">
        <v>900</v>
      </c>
    </row>
    <row r="38" spans="1:16" ht="128.25" x14ac:dyDescent="0.2">
      <c r="A38" s="490" t="s">
        <v>924</v>
      </c>
      <c r="B38" s="405" t="str">
        <f t="shared" si="0"/>
        <v>2259441</v>
      </c>
      <c r="C38" s="437" t="s">
        <v>698</v>
      </c>
      <c r="D38" s="451" t="s">
        <v>300</v>
      </c>
      <c r="E38" s="437" t="s">
        <v>925</v>
      </c>
      <c r="F38" s="449">
        <v>1666516.91</v>
      </c>
      <c r="G38" s="450">
        <v>43781</v>
      </c>
      <c r="H38" s="451">
        <v>20605376704</v>
      </c>
      <c r="I38" s="452">
        <v>120</v>
      </c>
      <c r="J38" s="453">
        <v>43794</v>
      </c>
      <c r="K38" s="452" t="s">
        <v>926</v>
      </c>
      <c r="L38" s="451" t="s">
        <v>848</v>
      </c>
      <c r="M38" s="451" t="s">
        <v>848</v>
      </c>
      <c r="N38" s="451" t="s">
        <v>848</v>
      </c>
      <c r="O38" s="450" t="s">
        <v>848</v>
      </c>
      <c r="P38" s="452" t="s">
        <v>927</v>
      </c>
    </row>
    <row r="39" spans="1:16" ht="185.25" x14ac:dyDescent="0.2">
      <c r="A39" s="490" t="s">
        <v>928</v>
      </c>
      <c r="B39" s="405" t="str">
        <f t="shared" si="0"/>
        <v>2443767</v>
      </c>
      <c r="C39" s="437" t="s">
        <v>698</v>
      </c>
      <c r="D39" s="451" t="s">
        <v>300</v>
      </c>
      <c r="E39" s="437" t="s">
        <v>929</v>
      </c>
      <c r="F39" s="449">
        <v>454498.78</v>
      </c>
      <c r="G39" s="450">
        <v>43840</v>
      </c>
      <c r="H39" s="451">
        <v>10805536867</v>
      </c>
      <c r="I39" s="452">
        <v>90</v>
      </c>
      <c r="J39" s="453">
        <v>44097</v>
      </c>
      <c r="K39" s="453">
        <f>J39+I39</f>
        <v>44187</v>
      </c>
      <c r="L39" s="451" t="s">
        <v>848</v>
      </c>
      <c r="M39" s="451" t="s">
        <v>848</v>
      </c>
      <c r="N39" s="450">
        <v>44204</v>
      </c>
      <c r="O39" s="450">
        <v>44204</v>
      </c>
      <c r="P39" s="452" t="s">
        <v>836</v>
      </c>
    </row>
    <row r="40" spans="1:16" ht="71.25" x14ac:dyDescent="0.2">
      <c r="A40" s="490" t="s">
        <v>930</v>
      </c>
      <c r="B40" s="405" t="str">
        <f t="shared" si="0"/>
        <v>2105555</v>
      </c>
      <c r="C40" s="437" t="s">
        <v>698</v>
      </c>
      <c r="D40" s="451" t="s">
        <v>300</v>
      </c>
      <c r="E40" s="437" t="s">
        <v>931</v>
      </c>
      <c r="F40" s="449">
        <v>89438.8</v>
      </c>
      <c r="G40" s="450">
        <v>43819</v>
      </c>
      <c r="H40" s="451">
        <v>20601629641</v>
      </c>
      <c r="I40" s="452">
        <v>30</v>
      </c>
      <c r="J40" s="453">
        <v>43287</v>
      </c>
      <c r="K40" s="450">
        <v>43436</v>
      </c>
      <c r="L40" s="451">
        <v>78</v>
      </c>
      <c r="M40" s="450">
        <v>43716</v>
      </c>
      <c r="N40" s="451" t="s">
        <v>848</v>
      </c>
      <c r="O40" s="450" t="s">
        <v>848</v>
      </c>
      <c r="P40" s="452" t="s">
        <v>913</v>
      </c>
    </row>
    <row r="41" spans="1:16" ht="128.25" x14ac:dyDescent="0.2">
      <c r="A41" s="490" t="s">
        <v>932</v>
      </c>
      <c r="B41" s="405" t="str">
        <f t="shared" si="0"/>
        <v>2450843</v>
      </c>
      <c r="C41" s="437"/>
      <c r="D41" s="451"/>
      <c r="E41" s="437" t="s">
        <v>933</v>
      </c>
      <c r="F41" s="449">
        <v>257749.03</v>
      </c>
      <c r="G41" s="450">
        <v>43817</v>
      </c>
      <c r="H41" s="451">
        <v>20605629220</v>
      </c>
      <c r="I41" s="452">
        <v>60</v>
      </c>
      <c r="J41" s="453">
        <v>43857</v>
      </c>
      <c r="K41" s="452" t="s">
        <v>934</v>
      </c>
      <c r="L41" s="451">
        <v>7</v>
      </c>
      <c r="M41" s="450">
        <v>44093</v>
      </c>
      <c r="N41" s="451" t="s">
        <v>848</v>
      </c>
      <c r="O41" s="450" t="s">
        <v>848</v>
      </c>
      <c r="P41" s="452" t="s">
        <v>900</v>
      </c>
    </row>
    <row r="42" spans="1:16" ht="128.25" x14ac:dyDescent="0.2">
      <c r="A42" s="490" t="s">
        <v>935</v>
      </c>
      <c r="B42" s="405" t="str">
        <f t="shared" si="0"/>
        <v>2443926</v>
      </c>
      <c r="C42" s="437" t="s">
        <v>698</v>
      </c>
      <c r="D42" s="451" t="s">
        <v>300</v>
      </c>
      <c r="E42" s="437" t="s">
        <v>936</v>
      </c>
      <c r="F42" s="454">
        <v>242063.04</v>
      </c>
      <c r="G42" s="450">
        <v>43819</v>
      </c>
      <c r="H42" s="451">
        <v>20529161353</v>
      </c>
      <c r="I42" s="452">
        <v>60</v>
      </c>
      <c r="J42" s="453">
        <v>44044</v>
      </c>
      <c r="K42" s="450">
        <v>44103</v>
      </c>
      <c r="L42" s="451" t="s">
        <v>848</v>
      </c>
      <c r="M42" s="451" t="s">
        <v>848</v>
      </c>
      <c r="N42" s="451" t="s">
        <v>848</v>
      </c>
      <c r="O42" s="450">
        <v>44130</v>
      </c>
      <c r="P42" s="452" t="s">
        <v>900</v>
      </c>
    </row>
    <row r="43" spans="1:16" ht="99.75" x14ac:dyDescent="0.2">
      <c r="A43" s="490" t="s">
        <v>937</v>
      </c>
      <c r="B43" s="405" t="str">
        <f t="shared" si="0"/>
        <v>2443628</v>
      </c>
      <c r="C43" s="437" t="s">
        <v>698</v>
      </c>
      <c r="D43" s="451" t="s">
        <v>300</v>
      </c>
      <c r="E43" s="437" t="s">
        <v>938</v>
      </c>
      <c r="F43" s="454">
        <v>201611.13</v>
      </c>
      <c r="G43" s="450">
        <v>43839</v>
      </c>
      <c r="H43" s="451">
        <v>20601629641</v>
      </c>
      <c r="I43" s="452">
        <v>60</v>
      </c>
      <c r="J43" s="453">
        <v>44106</v>
      </c>
      <c r="K43" s="451" t="s">
        <v>848</v>
      </c>
      <c r="L43" s="451" t="s">
        <v>848</v>
      </c>
      <c r="M43" s="451" t="s">
        <v>848</v>
      </c>
      <c r="N43" s="451" t="s">
        <v>848</v>
      </c>
      <c r="O43" s="450" t="s">
        <v>848</v>
      </c>
      <c r="P43" s="452" t="s">
        <v>836</v>
      </c>
    </row>
    <row r="44" spans="1:16" ht="114" x14ac:dyDescent="0.2">
      <c r="A44" s="490" t="s">
        <v>939</v>
      </c>
      <c r="B44" s="405" t="str">
        <f t="shared" si="0"/>
        <v>2443641</v>
      </c>
      <c r="C44" s="437" t="s">
        <v>698</v>
      </c>
      <c r="D44" s="451" t="s">
        <v>300</v>
      </c>
      <c r="E44" s="437" t="s">
        <v>940</v>
      </c>
      <c r="F44" s="454">
        <v>163137.69</v>
      </c>
      <c r="G44" s="450">
        <v>43823</v>
      </c>
      <c r="H44" s="451">
        <v>20573247249</v>
      </c>
      <c r="I44" s="452">
        <v>45</v>
      </c>
      <c r="J44" s="453">
        <v>44054</v>
      </c>
      <c r="K44" s="450" t="s">
        <v>941</v>
      </c>
      <c r="L44" s="451" t="s">
        <v>848</v>
      </c>
      <c r="M44" s="451" t="s">
        <v>848</v>
      </c>
      <c r="N44" s="450">
        <v>44125</v>
      </c>
      <c r="O44" s="450">
        <v>44125</v>
      </c>
      <c r="P44" s="452" t="s">
        <v>836</v>
      </c>
    </row>
    <row r="45" spans="1:16" ht="114" x14ac:dyDescent="0.2">
      <c r="A45" s="490" t="s">
        <v>942</v>
      </c>
      <c r="B45" s="405" t="str">
        <f t="shared" si="0"/>
        <v>2443935</v>
      </c>
      <c r="C45" s="437" t="s">
        <v>698</v>
      </c>
      <c r="D45" s="451" t="s">
        <v>300</v>
      </c>
      <c r="E45" s="437" t="s">
        <v>943</v>
      </c>
      <c r="F45" s="449">
        <v>156879.93</v>
      </c>
      <c r="G45" s="450">
        <v>43832</v>
      </c>
      <c r="H45" s="451">
        <v>20602102727</v>
      </c>
      <c r="I45" s="452">
        <v>60</v>
      </c>
      <c r="J45" s="453">
        <v>44105</v>
      </c>
      <c r="K45" s="450">
        <v>44164</v>
      </c>
      <c r="L45" s="451" t="s">
        <v>848</v>
      </c>
      <c r="M45" s="451" t="s">
        <v>848</v>
      </c>
      <c r="N45" s="450">
        <f>K45+27</f>
        <v>44191</v>
      </c>
      <c r="O45" s="450">
        <v>44191</v>
      </c>
      <c r="P45" s="452" t="s">
        <v>836</v>
      </c>
    </row>
    <row r="46" spans="1:16" ht="128.25" x14ac:dyDescent="0.2">
      <c r="A46" s="490" t="s">
        <v>944</v>
      </c>
      <c r="B46" s="405" t="str">
        <f t="shared" si="0"/>
        <v>2443616</v>
      </c>
      <c r="C46" s="437" t="s">
        <v>698</v>
      </c>
      <c r="D46" s="451" t="s">
        <v>300</v>
      </c>
      <c r="E46" s="437" t="s">
        <v>945</v>
      </c>
      <c r="F46" s="449">
        <v>100217.22</v>
      </c>
      <c r="G46" s="450">
        <v>43823</v>
      </c>
      <c r="H46" s="451">
        <v>20510591829</v>
      </c>
      <c r="I46" s="452">
        <v>30</v>
      </c>
      <c r="J46" s="453">
        <v>43838</v>
      </c>
      <c r="K46" s="450">
        <v>43861</v>
      </c>
      <c r="L46" s="451" t="s">
        <v>848</v>
      </c>
      <c r="M46" s="451" t="s">
        <v>848</v>
      </c>
      <c r="N46" s="450">
        <f>K46+27</f>
        <v>43888</v>
      </c>
      <c r="O46" s="450">
        <v>43888</v>
      </c>
      <c r="P46" s="452" t="s">
        <v>900</v>
      </c>
    </row>
    <row r="47" spans="1:16" ht="128.25" x14ac:dyDescent="0.2">
      <c r="A47" s="490" t="s">
        <v>946</v>
      </c>
      <c r="B47" s="405" t="str">
        <f t="shared" si="0"/>
        <v>2441683</v>
      </c>
      <c r="C47" s="437" t="s">
        <v>698</v>
      </c>
      <c r="D47" s="451" t="s">
        <v>300</v>
      </c>
      <c r="E47" s="437" t="s">
        <v>947</v>
      </c>
      <c r="F47" s="454">
        <v>58987.11</v>
      </c>
      <c r="G47" s="450">
        <v>43819</v>
      </c>
      <c r="H47" s="451">
        <v>20602102727</v>
      </c>
      <c r="I47" s="452">
        <v>45</v>
      </c>
      <c r="J47" s="453">
        <v>44105</v>
      </c>
      <c r="K47" s="452" t="s">
        <v>948</v>
      </c>
      <c r="L47" s="451" t="s">
        <v>848</v>
      </c>
      <c r="M47" s="451" t="s">
        <v>848</v>
      </c>
      <c r="N47" s="450">
        <v>44176</v>
      </c>
      <c r="O47" s="450">
        <v>44176</v>
      </c>
      <c r="P47" s="452" t="s">
        <v>836</v>
      </c>
    </row>
  </sheetData>
  <phoneticPr fontId="12" type="noConversion"/>
  <printOptions horizontalCentered="1"/>
  <pageMargins left="0.23622047244094491" right="0.23622047244094491" top="0.74803149606299213" bottom="0.74803149606299213" header="0.31496062992125984" footer="0.31496062992125984"/>
  <pageSetup paperSize="9" scale="5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0">
    <tabColor theme="9" tint="-0.249977111117893"/>
    <pageSetUpPr fitToPage="1"/>
  </sheetPr>
  <dimension ref="A1:Y20"/>
  <sheetViews>
    <sheetView view="pageLayout" zoomScaleNormal="100" zoomScaleSheetLayoutView="100" workbookViewId="0">
      <selection activeCell="J5" sqref="J5"/>
    </sheetView>
  </sheetViews>
  <sheetFormatPr baseColWidth="10" defaultColWidth="11.42578125" defaultRowHeight="12" x14ac:dyDescent="0.2"/>
  <cols>
    <col min="1" max="1" width="45.7109375" style="3" customWidth="1"/>
    <col min="2" max="2" width="20.28515625" style="3" customWidth="1"/>
    <col min="3" max="3" width="20.28515625" style="91" customWidth="1"/>
    <col min="4" max="4" width="17.7109375" style="417" customWidth="1"/>
    <col min="5" max="5" width="17.7109375" style="3" customWidth="1"/>
    <col min="6" max="6" width="17.7109375" style="91" customWidth="1"/>
    <col min="7" max="7" width="17.7109375" style="3" customWidth="1"/>
    <col min="8" max="8" width="17.5703125" style="3" bestFit="1" customWidth="1"/>
    <col min="9" max="9" width="17" style="91" bestFit="1" customWidth="1"/>
    <col min="10" max="10" width="16.85546875" style="3" bestFit="1" customWidth="1"/>
    <col min="11" max="16384" width="11.42578125" style="3"/>
  </cols>
  <sheetData>
    <row r="1" spans="1:25" s="5" customFormat="1" ht="15.75" customHeight="1" x14ac:dyDescent="0.2">
      <c r="A1" s="119" t="s">
        <v>405</v>
      </c>
      <c r="B1" s="119"/>
      <c r="C1" s="119"/>
      <c r="D1" s="414"/>
      <c r="E1" s="119"/>
      <c r="F1" s="119"/>
      <c r="G1" s="119"/>
      <c r="H1" s="119"/>
      <c r="I1" s="119"/>
      <c r="J1" s="119"/>
    </row>
    <row r="2" spans="1:25" s="5" customFormat="1" x14ac:dyDescent="0.2">
      <c r="A2" s="129" t="s">
        <v>962</v>
      </c>
      <c r="B2" s="119"/>
      <c r="C2" s="119"/>
      <c r="D2" s="414"/>
      <c r="E2" s="119"/>
      <c r="F2" s="119"/>
      <c r="G2" s="119"/>
      <c r="H2" s="119"/>
      <c r="I2" s="119"/>
      <c r="J2" s="119"/>
      <c r="K2" s="119"/>
      <c r="L2" s="119"/>
      <c r="M2" s="119"/>
      <c r="N2" s="119"/>
      <c r="O2" s="119"/>
      <c r="P2" s="119"/>
      <c r="Q2" s="119"/>
      <c r="R2" s="119"/>
      <c r="S2" s="119"/>
      <c r="T2" s="119"/>
      <c r="U2" s="119"/>
      <c r="V2" s="119"/>
      <c r="W2" s="119"/>
      <c r="X2" s="119"/>
      <c r="Y2" s="119"/>
    </row>
    <row r="3" spans="1:25" ht="14.25" customHeight="1" thickBot="1" x14ac:dyDescent="0.25">
      <c r="A3" s="9"/>
      <c r="B3" s="9"/>
      <c r="C3" s="9"/>
      <c r="D3" s="415"/>
      <c r="E3" s="12"/>
      <c r="F3" s="12"/>
      <c r="G3" s="17"/>
    </row>
    <row r="4" spans="1:25" ht="13.5" hidden="1" customHeight="1" x14ac:dyDescent="0.2">
      <c r="A4" s="53" t="s">
        <v>72</v>
      </c>
      <c r="B4" s="54"/>
      <c r="C4" s="54"/>
      <c r="D4" s="95"/>
      <c r="E4" s="27"/>
      <c r="F4" s="95"/>
      <c r="G4" s="27" t="s">
        <v>29</v>
      </c>
      <c r="H4" s="27" t="s">
        <v>73</v>
      </c>
      <c r="I4" s="93"/>
      <c r="J4" s="48"/>
    </row>
    <row r="5" spans="1:25" ht="36" x14ac:dyDescent="0.2">
      <c r="A5" s="402" t="s">
        <v>79</v>
      </c>
      <c r="B5" s="195" t="s">
        <v>78</v>
      </c>
      <c r="C5" s="195" t="s">
        <v>178</v>
      </c>
      <c r="D5" s="196" t="s">
        <v>179</v>
      </c>
      <c r="E5" s="196" t="s">
        <v>2</v>
      </c>
      <c r="F5" s="196" t="s">
        <v>177</v>
      </c>
      <c r="G5" s="195" t="s">
        <v>81</v>
      </c>
      <c r="H5" s="196" t="s">
        <v>143</v>
      </c>
      <c r="I5" s="196" t="s">
        <v>144</v>
      </c>
      <c r="J5" s="196" t="s">
        <v>80</v>
      </c>
    </row>
    <row r="6" spans="1:25" ht="96" x14ac:dyDescent="0.2">
      <c r="A6" s="406" t="s">
        <v>692</v>
      </c>
      <c r="B6" s="406" t="s">
        <v>693</v>
      </c>
      <c r="C6" s="407"/>
      <c r="D6" s="408">
        <v>9</v>
      </c>
      <c r="E6" s="409">
        <v>108433.75</v>
      </c>
      <c r="F6" s="410" t="s">
        <v>694</v>
      </c>
      <c r="G6" s="411" t="s">
        <v>695</v>
      </c>
      <c r="H6" s="411"/>
      <c r="I6" s="403"/>
      <c r="J6" s="404"/>
    </row>
    <row r="7" spans="1:25" ht="76.5" x14ac:dyDescent="0.2">
      <c r="A7" s="406" t="s">
        <v>696</v>
      </c>
      <c r="B7" s="406" t="s">
        <v>693</v>
      </c>
      <c r="C7" s="407"/>
      <c r="D7" s="408">
        <v>5</v>
      </c>
      <c r="E7" s="409">
        <v>37368</v>
      </c>
      <c r="F7" s="410" t="s">
        <v>694</v>
      </c>
      <c r="G7" s="411" t="s">
        <v>695</v>
      </c>
      <c r="H7" s="411"/>
      <c r="I7" s="403"/>
      <c r="J7" s="404"/>
    </row>
    <row r="8" spans="1:25" ht="108" x14ac:dyDescent="0.2">
      <c r="A8" s="406" t="s">
        <v>697</v>
      </c>
      <c r="B8" s="406" t="s">
        <v>698</v>
      </c>
      <c r="C8" s="407"/>
      <c r="D8" s="408">
        <v>25</v>
      </c>
      <c r="E8" s="412">
        <v>64999</v>
      </c>
      <c r="F8" s="407"/>
      <c r="G8" s="411" t="s">
        <v>699</v>
      </c>
      <c r="H8" s="411"/>
      <c r="I8" s="403"/>
      <c r="J8" s="404"/>
    </row>
    <row r="9" spans="1:25" ht="96" x14ac:dyDescent="0.2">
      <c r="A9" s="406" t="s">
        <v>700</v>
      </c>
      <c r="B9" s="406" t="s">
        <v>698</v>
      </c>
      <c r="C9" s="407"/>
      <c r="D9" s="408">
        <v>29</v>
      </c>
      <c r="E9" s="412">
        <v>67340</v>
      </c>
      <c r="F9" s="407"/>
      <c r="G9" s="411" t="s">
        <v>701</v>
      </c>
      <c r="H9" s="411"/>
      <c r="I9" s="403"/>
      <c r="J9" s="404"/>
    </row>
    <row r="10" spans="1:25" ht="84" x14ac:dyDescent="0.2">
      <c r="A10" s="406" t="s">
        <v>702</v>
      </c>
      <c r="B10" s="406" t="s">
        <v>698</v>
      </c>
      <c r="C10" s="407"/>
      <c r="D10" s="408">
        <v>28</v>
      </c>
      <c r="E10" s="412">
        <v>61492</v>
      </c>
      <c r="F10" s="407"/>
      <c r="G10" s="411" t="s">
        <v>703</v>
      </c>
      <c r="H10" s="411"/>
      <c r="I10" s="403"/>
      <c r="J10" s="404"/>
    </row>
    <row r="11" spans="1:25" ht="84" x14ac:dyDescent="0.2">
      <c r="A11" s="406" t="s">
        <v>704</v>
      </c>
      <c r="B11" s="406" t="s">
        <v>698</v>
      </c>
      <c r="C11" s="407"/>
      <c r="D11" s="408">
        <v>33</v>
      </c>
      <c r="E11" s="412">
        <v>303553</v>
      </c>
      <c r="F11" s="407"/>
      <c r="G11" s="411" t="s">
        <v>699</v>
      </c>
      <c r="H11" s="411"/>
      <c r="I11" s="403"/>
      <c r="J11" s="404"/>
    </row>
    <row r="12" spans="1:25" ht="96" x14ac:dyDescent="0.2">
      <c r="A12" s="406" t="s">
        <v>705</v>
      </c>
      <c r="B12" s="406" t="s">
        <v>698</v>
      </c>
      <c r="C12" s="407"/>
      <c r="D12" s="408">
        <v>42</v>
      </c>
      <c r="E12" s="413">
        <v>76673</v>
      </c>
      <c r="F12" s="411"/>
      <c r="G12" s="411" t="s">
        <v>706</v>
      </c>
      <c r="H12" s="411"/>
      <c r="I12" s="403"/>
      <c r="J12" s="404"/>
    </row>
    <row r="13" spans="1:25" ht="96" x14ac:dyDescent="0.2">
      <c r="A13" s="406" t="s">
        <v>707</v>
      </c>
      <c r="B13" s="406" t="s">
        <v>698</v>
      </c>
      <c r="C13" s="407"/>
      <c r="D13" s="408">
        <v>41</v>
      </c>
      <c r="E13" s="413">
        <v>43600</v>
      </c>
      <c r="F13" s="407"/>
      <c r="G13" s="411" t="s">
        <v>708</v>
      </c>
      <c r="H13" s="411"/>
      <c r="I13" s="403"/>
      <c r="J13" s="404"/>
    </row>
    <row r="14" spans="1:25" ht="48.75" thickBot="1" x14ac:dyDescent="0.25">
      <c r="A14" s="406" t="s">
        <v>709</v>
      </c>
      <c r="B14" s="406" t="s">
        <v>698</v>
      </c>
      <c r="C14" s="407"/>
      <c r="D14" s="408">
        <v>36</v>
      </c>
      <c r="E14" s="413">
        <v>82638</v>
      </c>
      <c r="F14" s="407"/>
      <c r="G14" s="411" t="s">
        <v>699</v>
      </c>
      <c r="H14" s="411"/>
      <c r="I14" s="403"/>
      <c r="J14" s="404"/>
    </row>
    <row r="15" spans="1:25" ht="12.75" thickBot="1" x14ac:dyDescent="0.25">
      <c r="A15" s="96" t="s">
        <v>0</v>
      </c>
      <c r="B15" s="47"/>
      <c r="C15" s="36"/>
      <c r="D15" s="94"/>
      <c r="E15" s="92"/>
      <c r="F15" s="92"/>
      <c r="G15" s="43"/>
      <c r="H15" s="41"/>
      <c r="I15" s="41"/>
      <c r="J15" s="43"/>
    </row>
    <row r="16" spans="1:25" x14ac:dyDescent="0.2">
      <c r="A16" s="24"/>
      <c r="B16" s="24"/>
      <c r="C16" s="24"/>
      <c r="D16" s="24"/>
      <c r="E16" s="24"/>
      <c r="F16" s="24"/>
      <c r="G16" s="2"/>
    </row>
    <row r="17" spans="1:7" x14ac:dyDescent="0.2">
      <c r="A17" s="18"/>
      <c r="B17" s="18"/>
      <c r="C17" s="18"/>
      <c r="D17" s="416"/>
      <c r="E17" s="18"/>
      <c r="F17" s="18"/>
      <c r="G17" s="2"/>
    </row>
    <row r="18" spans="1:7" x14ac:dyDescent="0.2">
      <c r="A18" s="18"/>
    </row>
    <row r="19" spans="1:7" x14ac:dyDescent="0.2">
      <c r="A19" s="18"/>
    </row>
    <row r="20" spans="1:7" x14ac:dyDescent="0.2">
      <c r="A20" s="18"/>
    </row>
  </sheetData>
  <phoneticPr fontId="12" type="noConversion"/>
  <printOptions horizontalCentered="1"/>
  <pageMargins left="0.25" right="0.25" top="0.75" bottom="0.75" header="0.3" footer="0.3"/>
  <pageSetup paperSize="9" scale="5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1">
    <tabColor theme="9" tint="-0.249977111117893"/>
  </sheetPr>
  <dimension ref="A1:W32"/>
  <sheetViews>
    <sheetView view="pageBreakPreview" zoomScaleNormal="100" zoomScaleSheetLayoutView="100" zoomScalePageLayoutView="85" workbookViewId="0">
      <selection activeCell="C26" sqref="C26"/>
    </sheetView>
  </sheetViews>
  <sheetFormatPr baseColWidth="10" defaultColWidth="11.42578125" defaultRowHeight="12" x14ac:dyDescent="0.2"/>
  <cols>
    <col min="1" max="1" width="35.7109375" style="3" customWidth="1"/>
    <col min="2" max="2" width="15.28515625" style="3" customWidth="1"/>
    <col min="3" max="3" width="15.42578125" style="118" customWidth="1"/>
    <col min="4" max="4" width="15.5703125" style="3" customWidth="1"/>
    <col min="5" max="5" width="18.7109375" style="103" bestFit="1" customWidth="1"/>
    <col min="6" max="6" width="18.28515625" style="3" customWidth="1"/>
    <col min="7" max="7" width="24" style="3" customWidth="1"/>
    <col min="8" max="8" width="20" style="3" customWidth="1"/>
    <col min="9" max="16384" width="11.42578125" style="3"/>
  </cols>
  <sheetData>
    <row r="1" spans="1:23" s="5" customFormat="1" x14ac:dyDescent="0.2">
      <c r="A1" s="119" t="s">
        <v>406</v>
      </c>
      <c r="B1" s="119"/>
      <c r="C1" s="119"/>
      <c r="D1" s="119"/>
      <c r="E1" s="119"/>
      <c r="F1" s="119"/>
      <c r="G1" s="119"/>
    </row>
    <row r="2" spans="1:23" s="5" customFormat="1" x14ac:dyDescent="0.2">
      <c r="A2" s="129" t="s">
        <v>962</v>
      </c>
      <c r="B2" s="119"/>
      <c r="C2" s="119"/>
      <c r="D2" s="119"/>
      <c r="E2" s="119"/>
      <c r="F2" s="119"/>
      <c r="G2" s="119"/>
      <c r="H2" s="119"/>
      <c r="I2" s="119"/>
      <c r="J2" s="119"/>
      <c r="K2" s="119"/>
      <c r="L2" s="119"/>
      <c r="M2" s="119"/>
      <c r="N2" s="119"/>
      <c r="O2" s="119"/>
      <c r="P2" s="119"/>
      <c r="Q2" s="119"/>
      <c r="R2" s="119"/>
      <c r="S2" s="119"/>
      <c r="T2" s="119"/>
      <c r="U2" s="119"/>
      <c r="V2" s="119"/>
      <c r="W2" s="119"/>
    </row>
    <row r="3" spans="1:23" ht="12.75" thickBot="1" x14ac:dyDescent="0.25">
      <c r="A3" s="12"/>
      <c r="B3" s="12"/>
      <c r="C3" s="12"/>
      <c r="D3" s="17"/>
      <c r="E3" s="17"/>
      <c r="F3" s="17"/>
    </row>
    <row r="4" spans="1:23" s="493" customFormat="1" ht="36.75" thickBot="1" x14ac:dyDescent="0.25">
      <c r="A4" s="565" t="s">
        <v>30</v>
      </c>
      <c r="B4" s="565" t="s">
        <v>335</v>
      </c>
      <c r="C4" s="565" t="s">
        <v>336</v>
      </c>
      <c r="D4" s="492" t="s">
        <v>607</v>
      </c>
      <c r="E4" s="492" t="s">
        <v>608</v>
      </c>
      <c r="F4" s="195" t="s">
        <v>609</v>
      </c>
      <c r="G4" s="565" t="s">
        <v>45</v>
      </c>
      <c r="H4" s="565" t="s">
        <v>110</v>
      </c>
    </row>
    <row r="5" spans="1:23" s="493" customFormat="1" ht="12.75" customHeight="1" thickBot="1" x14ac:dyDescent="0.25">
      <c r="A5" s="566"/>
      <c r="B5" s="566"/>
      <c r="C5" s="566"/>
      <c r="D5" s="494" t="s">
        <v>334</v>
      </c>
      <c r="E5" s="494" t="s">
        <v>334</v>
      </c>
      <c r="F5" s="494" t="s">
        <v>334</v>
      </c>
      <c r="G5" s="567"/>
      <c r="H5" s="567"/>
    </row>
    <row r="6" spans="1:23" ht="48" x14ac:dyDescent="0.2">
      <c r="A6" s="434" t="s">
        <v>796</v>
      </c>
      <c r="B6" s="435">
        <v>20605570322</v>
      </c>
      <c r="C6" s="434" t="s">
        <v>88</v>
      </c>
      <c r="D6" s="436">
        <v>486000</v>
      </c>
      <c r="E6" s="436">
        <v>0</v>
      </c>
      <c r="F6" s="436">
        <v>1134000</v>
      </c>
      <c r="G6" s="437" t="s">
        <v>797</v>
      </c>
      <c r="H6" s="437" t="s">
        <v>798</v>
      </c>
    </row>
    <row r="7" spans="1:23" s="118" customFormat="1" ht="48" x14ac:dyDescent="0.2">
      <c r="A7" s="434" t="s">
        <v>799</v>
      </c>
      <c r="B7" s="435" t="s">
        <v>800</v>
      </c>
      <c r="C7" s="434">
        <v>10403887493</v>
      </c>
      <c r="D7" s="436">
        <v>0</v>
      </c>
      <c r="E7" s="436">
        <v>0</v>
      </c>
      <c r="F7" s="436">
        <v>437503.5</v>
      </c>
      <c r="G7" s="437" t="s">
        <v>797</v>
      </c>
      <c r="H7" s="437" t="s">
        <v>798</v>
      </c>
    </row>
    <row r="8" spans="1:23" s="118" customFormat="1" ht="48" x14ac:dyDescent="0.2">
      <c r="A8" s="434" t="s">
        <v>801</v>
      </c>
      <c r="B8" s="435">
        <v>20605088857</v>
      </c>
      <c r="C8" s="434" t="s">
        <v>88</v>
      </c>
      <c r="D8" s="436">
        <v>31860</v>
      </c>
      <c r="E8" s="436">
        <v>0</v>
      </c>
      <c r="F8" s="436">
        <v>127440</v>
      </c>
      <c r="G8" s="437" t="s">
        <v>797</v>
      </c>
      <c r="H8" s="437" t="s">
        <v>798</v>
      </c>
    </row>
    <row r="9" spans="1:23" s="118" customFormat="1" ht="48" x14ac:dyDescent="0.2">
      <c r="A9" s="434" t="s">
        <v>802</v>
      </c>
      <c r="B9" s="435">
        <v>10403887493</v>
      </c>
      <c r="C9" s="434" t="s">
        <v>88</v>
      </c>
      <c r="D9" s="436">
        <v>0</v>
      </c>
      <c r="E9" s="436">
        <v>0</v>
      </c>
      <c r="F9" s="436">
        <v>84960</v>
      </c>
      <c r="G9" s="437" t="s">
        <v>797</v>
      </c>
      <c r="H9" s="437" t="s">
        <v>798</v>
      </c>
    </row>
    <row r="10" spans="1:23" s="118" customFormat="1" ht="48" x14ac:dyDescent="0.2">
      <c r="A10" s="434" t="s">
        <v>803</v>
      </c>
      <c r="B10" s="435" t="s">
        <v>88</v>
      </c>
      <c r="C10" s="434">
        <v>10214528253</v>
      </c>
      <c r="D10" s="436">
        <v>0</v>
      </c>
      <c r="E10" s="436">
        <v>0</v>
      </c>
      <c r="F10" s="436">
        <v>127440</v>
      </c>
      <c r="G10" s="437" t="s">
        <v>797</v>
      </c>
      <c r="H10" s="437" t="s">
        <v>798</v>
      </c>
    </row>
    <row r="11" spans="1:23" s="118" customFormat="1" ht="48" x14ac:dyDescent="0.2">
      <c r="A11" s="434" t="s">
        <v>804</v>
      </c>
      <c r="B11" s="435" t="s">
        <v>800</v>
      </c>
      <c r="C11" s="434">
        <v>10403887493</v>
      </c>
      <c r="D11" s="436">
        <v>0</v>
      </c>
      <c r="E11" s="436">
        <v>0</v>
      </c>
      <c r="F11" s="436">
        <v>499999.5</v>
      </c>
      <c r="G11" s="437" t="s">
        <v>797</v>
      </c>
      <c r="H11" s="437" t="s">
        <v>798</v>
      </c>
    </row>
    <row r="12" spans="1:23" s="118" customFormat="1" ht="48" x14ac:dyDescent="0.2">
      <c r="A12" s="434" t="s">
        <v>805</v>
      </c>
      <c r="B12" s="435">
        <v>20605908960</v>
      </c>
      <c r="C12" s="434"/>
      <c r="D12" s="436">
        <v>0</v>
      </c>
      <c r="E12" s="436">
        <v>0</v>
      </c>
      <c r="F12" s="436">
        <v>558000</v>
      </c>
      <c r="G12" s="437" t="s">
        <v>797</v>
      </c>
      <c r="H12" s="437" t="s">
        <v>798</v>
      </c>
    </row>
    <row r="13" spans="1:23" s="118" customFormat="1" ht="48" x14ac:dyDescent="0.2">
      <c r="A13" s="434" t="s">
        <v>806</v>
      </c>
      <c r="B13" s="435" t="s">
        <v>800</v>
      </c>
      <c r="C13" s="434">
        <v>10403887493</v>
      </c>
      <c r="D13" s="436">
        <v>0</v>
      </c>
      <c r="E13" s="436">
        <v>0</v>
      </c>
      <c r="F13" s="436">
        <v>63000</v>
      </c>
      <c r="G13" s="437" t="s">
        <v>797</v>
      </c>
      <c r="H13" s="437" t="s">
        <v>798</v>
      </c>
    </row>
    <row r="14" spans="1:23" s="118" customFormat="1" ht="36" x14ac:dyDescent="0.2">
      <c r="A14" s="434" t="s">
        <v>807</v>
      </c>
      <c r="B14" s="435" t="s">
        <v>800</v>
      </c>
      <c r="C14" s="434" t="s">
        <v>808</v>
      </c>
      <c r="D14" s="436">
        <v>1464.63</v>
      </c>
      <c r="E14" s="436">
        <v>0</v>
      </c>
      <c r="F14" s="436">
        <v>70200</v>
      </c>
      <c r="G14" s="437" t="s">
        <v>809</v>
      </c>
      <c r="H14" s="437" t="s">
        <v>798</v>
      </c>
    </row>
    <row r="15" spans="1:23" s="118" customFormat="1" ht="24" x14ac:dyDescent="0.2">
      <c r="A15" s="434" t="s">
        <v>810</v>
      </c>
      <c r="B15" s="435">
        <v>20171133301</v>
      </c>
      <c r="C15" s="434"/>
      <c r="D15" s="436">
        <v>17150</v>
      </c>
      <c r="E15" s="436">
        <v>9000</v>
      </c>
      <c r="F15" s="436">
        <v>400000</v>
      </c>
      <c r="G15" s="437" t="s">
        <v>809</v>
      </c>
      <c r="H15" s="437" t="s">
        <v>798</v>
      </c>
    </row>
    <row r="16" spans="1:23" s="118" customFormat="1" ht="24" x14ac:dyDescent="0.2">
      <c r="A16" s="434" t="s">
        <v>811</v>
      </c>
      <c r="B16" s="435" t="s">
        <v>88</v>
      </c>
      <c r="C16" s="434">
        <v>42340332</v>
      </c>
      <c r="D16" s="436"/>
      <c r="E16" s="436">
        <v>23550</v>
      </c>
      <c r="F16" s="436">
        <v>195000</v>
      </c>
      <c r="G16" s="437" t="s">
        <v>809</v>
      </c>
      <c r="H16" s="437" t="s">
        <v>798</v>
      </c>
    </row>
    <row r="17" spans="1:8" s="118" customFormat="1" ht="36" x14ac:dyDescent="0.2">
      <c r="A17" s="434" t="s">
        <v>812</v>
      </c>
      <c r="B17" s="435">
        <v>10403887493</v>
      </c>
      <c r="C17" s="434">
        <v>40388749</v>
      </c>
      <c r="D17" s="436">
        <v>0</v>
      </c>
      <c r="E17" s="436">
        <v>202500</v>
      </c>
      <c r="F17" s="436">
        <v>172125</v>
      </c>
      <c r="G17" s="437" t="s">
        <v>809</v>
      </c>
      <c r="H17" s="437" t="s">
        <v>798</v>
      </c>
    </row>
    <row r="18" spans="1:8" s="118" customFormat="1" ht="36" x14ac:dyDescent="0.2">
      <c r="A18" s="434" t="s">
        <v>813</v>
      </c>
      <c r="B18" s="435" t="s">
        <v>88</v>
      </c>
      <c r="C18" s="434">
        <v>73669332</v>
      </c>
      <c r="D18" s="436">
        <v>0</v>
      </c>
      <c r="E18" s="436">
        <v>202500</v>
      </c>
      <c r="F18" s="436">
        <v>202500</v>
      </c>
      <c r="G18" s="437" t="s">
        <v>809</v>
      </c>
      <c r="H18" s="437" t="s">
        <v>798</v>
      </c>
    </row>
    <row r="19" spans="1:8" s="118" customFormat="1" ht="36" x14ac:dyDescent="0.2">
      <c r="A19" s="434" t="s">
        <v>814</v>
      </c>
      <c r="B19" s="435"/>
      <c r="C19" s="434">
        <v>43998878</v>
      </c>
      <c r="D19" s="436">
        <v>63720</v>
      </c>
      <c r="E19" s="436">
        <v>25488</v>
      </c>
      <c r="F19" s="436">
        <v>25488</v>
      </c>
      <c r="G19" s="437" t="s">
        <v>809</v>
      </c>
      <c r="H19" s="437" t="s">
        <v>798</v>
      </c>
    </row>
    <row r="20" spans="1:8" s="118" customFormat="1" ht="36" x14ac:dyDescent="0.2">
      <c r="A20" s="434" t="s">
        <v>815</v>
      </c>
      <c r="B20" s="435">
        <v>10403887493</v>
      </c>
      <c r="C20" s="434"/>
      <c r="D20" s="436">
        <v>28000</v>
      </c>
      <c r="E20" s="436">
        <v>28000</v>
      </c>
      <c r="F20" s="436">
        <v>0</v>
      </c>
      <c r="G20" s="437" t="s">
        <v>809</v>
      </c>
      <c r="H20" s="437" t="s">
        <v>798</v>
      </c>
    </row>
    <row r="21" spans="1:8" s="118" customFormat="1" ht="24" x14ac:dyDescent="0.2">
      <c r="A21" s="434" t="s">
        <v>816</v>
      </c>
      <c r="B21" s="435">
        <v>20493929403</v>
      </c>
      <c r="C21" s="434"/>
      <c r="D21" s="436">
        <v>0</v>
      </c>
      <c r="E21" s="436">
        <v>0</v>
      </c>
      <c r="F21" s="436">
        <v>200610</v>
      </c>
      <c r="G21" s="437" t="s">
        <v>809</v>
      </c>
      <c r="H21" s="437" t="s">
        <v>798</v>
      </c>
    </row>
    <row r="22" spans="1:8" s="118" customFormat="1" ht="120" x14ac:dyDescent="0.2">
      <c r="A22" s="434" t="s">
        <v>817</v>
      </c>
      <c r="B22" s="438" t="s">
        <v>88</v>
      </c>
      <c r="C22" s="437">
        <v>40901392</v>
      </c>
      <c r="D22" s="436">
        <v>46000</v>
      </c>
      <c r="E22" s="436"/>
      <c r="F22" s="436">
        <v>138000</v>
      </c>
      <c r="G22" s="437" t="s">
        <v>818</v>
      </c>
      <c r="H22" s="404" t="s">
        <v>819</v>
      </c>
    </row>
    <row r="23" spans="1:8" s="118" customFormat="1" ht="120" x14ac:dyDescent="0.2">
      <c r="A23" s="434" t="s">
        <v>820</v>
      </c>
      <c r="B23" s="438">
        <v>20542492091</v>
      </c>
      <c r="C23" s="437"/>
      <c r="D23" s="436">
        <v>7375</v>
      </c>
      <c r="E23" s="436">
        <v>8850</v>
      </c>
      <c r="F23" s="436">
        <v>13275</v>
      </c>
      <c r="G23" s="437" t="s">
        <v>821</v>
      </c>
      <c r="H23" s="404" t="s">
        <v>819</v>
      </c>
    </row>
    <row r="24" spans="1:8" s="118" customFormat="1" ht="132" x14ac:dyDescent="0.2">
      <c r="A24" s="434" t="s">
        <v>822</v>
      </c>
      <c r="B24" s="438" t="s">
        <v>88</v>
      </c>
      <c r="C24" s="437">
        <v>0.1316119</v>
      </c>
      <c r="D24" s="436">
        <v>113300</v>
      </c>
      <c r="E24" s="436"/>
      <c r="F24" s="436">
        <v>92700</v>
      </c>
      <c r="G24" s="437" t="s">
        <v>823</v>
      </c>
      <c r="H24" s="404" t="s">
        <v>819</v>
      </c>
    </row>
    <row r="25" spans="1:8" s="118" customFormat="1" ht="132" x14ac:dyDescent="0.2">
      <c r="A25" s="434" t="s">
        <v>820</v>
      </c>
      <c r="B25" s="438">
        <v>20542492091</v>
      </c>
      <c r="C25" s="437"/>
      <c r="D25" s="436">
        <v>16225</v>
      </c>
      <c r="E25" s="436">
        <v>5900</v>
      </c>
      <c r="F25" s="436">
        <v>7375</v>
      </c>
      <c r="G25" s="437" t="s">
        <v>824</v>
      </c>
      <c r="H25" s="404" t="s">
        <v>819</v>
      </c>
    </row>
    <row r="26" spans="1:8" s="118" customFormat="1" ht="120" x14ac:dyDescent="0.2">
      <c r="A26" s="434" t="s">
        <v>825</v>
      </c>
      <c r="B26" s="438" t="s">
        <v>88</v>
      </c>
      <c r="C26" s="437">
        <v>44182029</v>
      </c>
      <c r="D26" s="436">
        <v>101750</v>
      </c>
      <c r="E26" s="436"/>
      <c r="F26" s="436">
        <v>83250</v>
      </c>
      <c r="G26" s="437" t="s">
        <v>826</v>
      </c>
      <c r="H26" s="404" t="s">
        <v>819</v>
      </c>
    </row>
    <row r="27" spans="1:8" s="118" customFormat="1" ht="120" x14ac:dyDescent="0.2">
      <c r="A27" s="434" t="s">
        <v>820</v>
      </c>
      <c r="B27" s="438">
        <v>20542492091</v>
      </c>
      <c r="C27" s="437"/>
      <c r="D27" s="436">
        <v>16225</v>
      </c>
      <c r="E27" s="436">
        <v>5900</v>
      </c>
      <c r="F27" s="436">
        <v>7375</v>
      </c>
      <c r="G27" s="437" t="s">
        <v>827</v>
      </c>
      <c r="H27" s="404" t="s">
        <v>819</v>
      </c>
    </row>
    <row r="28" spans="1:8" s="118" customFormat="1" ht="144" x14ac:dyDescent="0.2">
      <c r="A28" s="434" t="s">
        <v>828</v>
      </c>
      <c r="B28" s="438">
        <v>20605089756</v>
      </c>
      <c r="C28" s="437" t="s">
        <v>88</v>
      </c>
      <c r="D28" s="436">
        <v>55350</v>
      </c>
      <c r="E28" s="436">
        <v>55350</v>
      </c>
      <c r="F28" s="436">
        <v>73800</v>
      </c>
      <c r="G28" s="437" t="s">
        <v>829</v>
      </c>
      <c r="H28" s="404" t="s">
        <v>819</v>
      </c>
    </row>
    <row r="29" spans="1:8" s="118" customFormat="1" ht="144.75" thickBot="1" x14ac:dyDescent="0.25">
      <c r="A29" s="434" t="s">
        <v>830</v>
      </c>
      <c r="B29" s="438">
        <v>20394018270</v>
      </c>
      <c r="C29" s="437"/>
      <c r="D29" s="436">
        <v>10800</v>
      </c>
      <c r="E29" s="436">
        <v>16200</v>
      </c>
      <c r="F29" s="436">
        <v>0</v>
      </c>
      <c r="G29" s="437" t="s">
        <v>831</v>
      </c>
      <c r="H29" s="404" t="s">
        <v>819</v>
      </c>
    </row>
    <row r="30" spans="1:8" s="118" customFormat="1" ht="12" customHeight="1" thickBot="1" x14ac:dyDescent="0.25">
      <c r="A30" s="439" t="s">
        <v>31</v>
      </c>
      <c r="B30" s="440"/>
      <c r="C30" s="47"/>
      <c r="D30" s="441">
        <f>SUM(D6:D29)</f>
        <v>995219.63</v>
      </c>
      <c r="E30" s="441">
        <f t="shared" ref="E30:F30" si="0">SUM(E6:E29)</f>
        <v>583238</v>
      </c>
      <c r="F30" s="441">
        <f t="shared" si="0"/>
        <v>4714041</v>
      </c>
      <c r="G30" s="42"/>
      <c r="H30" s="42"/>
    </row>
    <row r="31" spans="1:8" x14ac:dyDescent="0.2">
      <c r="A31" s="18" t="s">
        <v>46</v>
      </c>
      <c r="B31" s="18"/>
      <c r="C31" s="18"/>
      <c r="D31" s="2"/>
      <c r="E31" s="2"/>
      <c r="F31" s="2"/>
    </row>
    <row r="32" spans="1:8" x14ac:dyDescent="0.2">
      <c r="A32" s="1" t="s">
        <v>111</v>
      </c>
      <c r="B32" s="1"/>
      <c r="C32" s="1"/>
      <c r="D32" s="2"/>
      <c r="E32" s="2"/>
      <c r="F32" s="2"/>
    </row>
  </sheetData>
  <mergeCells count="5">
    <mergeCell ref="B4:B5"/>
    <mergeCell ref="H4:H5"/>
    <mergeCell ref="A4:A5"/>
    <mergeCell ref="G4:G5"/>
    <mergeCell ref="C4:C5"/>
  </mergeCells>
  <phoneticPr fontId="0" type="noConversion"/>
  <printOptions horizontalCentered="1"/>
  <pageMargins left="0.23622047244094491" right="0.31496062992125984" top="0.74803149606299213" bottom="0.74803149606299213" header="0.31496062992125984" footer="0.31496062992125984"/>
  <pageSetup paperSize="9" scale="7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tint="-0.249977111117893"/>
  </sheetPr>
  <dimension ref="A1:V104"/>
  <sheetViews>
    <sheetView view="pageBreakPreview" zoomScaleNormal="100" zoomScaleSheetLayoutView="100" zoomScalePageLayoutView="85" workbookViewId="0">
      <selection activeCell="A2" sqref="A2"/>
    </sheetView>
  </sheetViews>
  <sheetFormatPr baseColWidth="10" defaultColWidth="11.42578125" defaultRowHeight="12.75" x14ac:dyDescent="0.2"/>
  <cols>
    <col min="1" max="1" width="39.85546875" style="289" customWidth="1"/>
    <col min="2" max="2" width="23.5703125" style="289" customWidth="1"/>
    <col min="3" max="3" width="27.5703125" style="289" customWidth="1"/>
    <col min="4" max="5" width="15.5703125" style="289" customWidth="1"/>
    <col min="6" max="6" width="13.5703125" style="289" customWidth="1"/>
    <col min="7" max="7" width="14.28515625" style="289" customWidth="1"/>
    <col min="8" max="8" width="14.7109375" style="289" customWidth="1"/>
    <col min="9" max="9" width="11.42578125" style="364"/>
    <col min="10" max="16384" width="11.42578125" style="289"/>
  </cols>
  <sheetData>
    <row r="1" spans="1:22" s="295" customFormat="1" ht="15.75" x14ac:dyDescent="0.25">
      <c r="A1" s="296" t="s">
        <v>407</v>
      </c>
      <c r="B1" s="296"/>
      <c r="C1" s="296"/>
      <c r="D1" s="296"/>
      <c r="E1" s="296"/>
      <c r="F1" s="296"/>
      <c r="G1" s="296"/>
      <c r="H1" s="296"/>
      <c r="I1" s="363"/>
    </row>
    <row r="2" spans="1:22" s="294" customFormat="1" ht="15.75" x14ac:dyDescent="0.2">
      <c r="A2" s="129" t="s">
        <v>962</v>
      </c>
      <c r="B2" s="119"/>
      <c r="C2" s="119"/>
      <c r="D2" s="119"/>
      <c r="E2" s="119"/>
      <c r="F2" s="119"/>
      <c r="G2" s="119"/>
      <c r="H2" s="119"/>
      <c r="I2" s="285"/>
      <c r="J2" s="122"/>
      <c r="K2" s="122"/>
      <c r="L2" s="122"/>
      <c r="M2" s="122"/>
      <c r="N2" s="122"/>
      <c r="O2" s="122"/>
      <c r="P2" s="122"/>
      <c r="Q2" s="122"/>
      <c r="R2" s="122"/>
      <c r="S2" s="122"/>
      <c r="T2" s="122"/>
      <c r="U2" s="122"/>
      <c r="V2" s="122"/>
    </row>
    <row r="3" spans="1:22" ht="13.5" thickBot="1" x14ac:dyDescent="0.25"/>
    <row r="4" spans="1:22" ht="13.5" thickBot="1" x14ac:dyDescent="0.25">
      <c r="A4" s="568" t="s">
        <v>342</v>
      </c>
      <c r="B4" s="568" t="s">
        <v>90</v>
      </c>
      <c r="C4" s="574" t="s">
        <v>341</v>
      </c>
      <c r="D4" s="575"/>
      <c r="E4" s="575"/>
      <c r="F4" s="575"/>
      <c r="G4" s="575"/>
      <c r="H4" s="575"/>
    </row>
    <row r="5" spans="1:22" s="290" customFormat="1" ht="13.5" customHeight="1" thickBot="1" x14ac:dyDescent="0.25">
      <c r="A5" s="569"/>
      <c r="B5" s="569"/>
      <c r="C5" s="293" t="s">
        <v>340</v>
      </c>
      <c r="D5" s="338" t="s">
        <v>339</v>
      </c>
      <c r="E5" s="292" t="s">
        <v>338</v>
      </c>
      <c r="F5" s="291" t="s">
        <v>337</v>
      </c>
      <c r="G5" s="291" t="s">
        <v>343</v>
      </c>
      <c r="H5" s="291" t="s">
        <v>344</v>
      </c>
      <c r="I5" s="365"/>
    </row>
    <row r="6" spans="1:22" x14ac:dyDescent="0.2">
      <c r="A6" s="366" t="s">
        <v>610</v>
      </c>
      <c r="B6" s="367"/>
      <c r="C6" s="367"/>
      <c r="D6" s="368"/>
      <c r="E6" s="369"/>
      <c r="F6" s="370"/>
      <c r="G6" s="371"/>
      <c r="H6" s="371"/>
    </row>
    <row r="7" spans="1:22" x14ac:dyDescent="0.2">
      <c r="A7" s="366"/>
      <c r="B7" s="367" t="s">
        <v>611</v>
      </c>
      <c r="C7" s="367" t="s">
        <v>612</v>
      </c>
      <c r="D7" s="368" t="s">
        <v>613</v>
      </c>
      <c r="E7" s="369">
        <v>2005</v>
      </c>
      <c r="F7" s="370" t="s">
        <v>614</v>
      </c>
      <c r="G7" s="371">
        <v>0</v>
      </c>
      <c r="H7" s="371">
        <v>0</v>
      </c>
    </row>
    <row r="8" spans="1:22" x14ac:dyDescent="0.2">
      <c r="A8" s="372"/>
      <c r="B8" s="367" t="s">
        <v>615</v>
      </c>
      <c r="C8" s="367" t="s">
        <v>612</v>
      </c>
      <c r="D8" s="368" t="s">
        <v>616</v>
      </c>
      <c r="E8" s="369">
        <v>2006</v>
      </c>
      <c r="F8" s="370" t="s">
        <v>614</v>
      </c>
      <c r="G8" s="371">
        <v>0</v>
      </c>
      <c r="H8" s="371">
        <v>0</v>
      </c>
    </row>
    <row r="9" spans="1:22" x14ac:dyDescent="0.2">
      <c r="A9" s="372"/>
      <c r="B9" s="367" t="s">
        <v>617</v>
      </c>
      <c r="C9" s="367" t="s">
        <v>612</v>
      </c>
      <c r="D9" s="368" t="s">
        <v>618</v>
      </c>
      <c r="E9" s="369">
        <v>2006</v>
      </c>
      <c r="F9" s="370" t="s">
        <v>614</v>
      </c>
      <c r="G9" s="371">
        <v>0</v>
      </c>
      <c r="H9" s="371">
        <v>0</v>
      </c>
    </row>
    <row r="10" spans="1:22" x14ac:dyDescent="0.2">
      <c r="A10" s="372"/>
      <c r="B10" s="367" t="s">
        <v>619</v>
      </c>
      <c r="C10" s="367" t="s">
        <v>612</v>
      </c>
      <c r="D10" s="368" t="s">
        <v>620</v>
      </c>
      <c r="E10" s="369">
        <v>2012</v>
      </c>
      <c r="F10" s="370" t="s">
        <v>614</v>
      </c>
      <c r="G10" s="371">
        <v>0</v>
      </c>
      <c r="H10" s="371">
        <v>0</v>
      </c>
    </row>
    <row r="11" spans="1:22" x14ac:dyDescent="0.2">
      <c r="A11" s="372"/>
      <c r="B11" s="367" t="s">
        <v>621</v>
      </c>
      <c r="C11" s="367" t="s">
        <v>622</v>
      </c>
      <c r="D11" s="368" t="s">
        <v>623</v>
      </c>
      <c r="E11" s="369">
        <v>2012</v>
      </c>
      <c r="F11" s="370" t="s">
        <v>614</v>
      </c>
      <c r="G11" s="371">
        <v>0</v>
      </c>
      <c r="H11" s="371">
        <v>0</v>
      </c>
    </row>
    <row r="12" spans="1:22" x14ac:dyDescent="0.2">
      <c r="A12" s="372"/>
      <c r="B12" s="367" t="s">
        <v>624</v>
      </c>
      <c r="C12" s="367" t="s">
        <v>612</v>
      </c>
      <c r="D12" s="368" t="s">
        <v>625</v>
      </c>
      <c r="E12" s="369">
        <v>2013</v>
      </c>
      <c r="F12" s="370" t="s">
        <v>614</v>
      </c>
      <c r="G12" s="371">
        <v>0</v>
      </c>
      <c r="H12" s="371">
        <v>0</v>
      </c>
    </row>
    <row r="13" spans="1:22" x14ac:dyDescent="0.2">
      <c r="A13" s="372"/>
      <c r="B13" s="367" t="s">
        <v>626</v>
      </c>
      <c r="C13" s="367" t="s">
        <v>612</v>
      </c>
      <c r="D13" s="368" t="s">
        <v>627</v>
      </c>
      <c r="E13" s="369">
        <v>2014</v>
      </c>
      <c r="F13" s="370" t="s">
        <v>614</v>
      </c>
      <c r="G13" s="371">
        <v>0</v>
      </c>
      <c r="H13" s="371">
        <v>0</v>
      </c>
    </row>
    <row r="14" spans="1:22" x14ac:dyDescent="0.2">
      <c r="A14" s="372"/>
      <c r="B14" s="367" t="s">
        <v>628</v>
      </c>
      <c r="C14" s="367" t="s">
        <v>612</v>
      </c>
      <c r="D14" s="368" t="s">
        <v>629</v>
      </c>
      <c r="E14" s="369" t="s">
        <v>630</v>
      </c>
      <c r="F14" s="370" t="s">
        <v>614</v>
      </c>
      <c r="G14" s="371">
        <v>0</v>
      </c>
      <c r="H14" s="371">
        <v>0</v>
      </c>
    </row>
    <row r="15" spans="1:22" x14ac:dyDescent="0.2">
      <c r="A15" s="372"/>
      <c r="B15" s="367" t="s">
        <v>631</v>
      </c>
      <c r="C15" s="367" t="s">
        <v>612</v>
      </c>
      <c r="D15" s="368" t="s">
        <v>632</v>
      </c>
      <c r="E15" s="369">
        <v>2005</v>
      </c>
      <c r="F15" s="370" t="s">
        <v>614</v>
      </c>
      <c r="G15" s="371">
        <v>0</v>
      </c>
      <c r="H15" s="371">
        <v>0</v>
      </c>
    </row>
    <row r="16" spans="1:22" x14ac:dyDescent="0.2">
      <c r="A16" s="372"/>
      <c r="B16" s="367" t="s">
        <v>633</v>
      </c>
      <c r="C16" s="367" t="s">
        <v>634</v>
      </c>
      <c r="D16" s="368" t="s">
        <v>635</v>
      </c>
      <c r="E16" s="369">
        <v>2004</v>
      </c>
      <c r="F16" s="370" t="s">
        <v>614</v>
      </c>
      <c r="G16" s="371">
        <v>0</v>
      </c>
      <c r="H16" s="371">
        <v>0</v>
      </c>
    </row>
    <row r="17" spans="1:8" x14ac:dyDescent="0.2">
      <c r="A17" s="372"/>
      <c r="B17" s="367" t="s">
        <v>636</v>
      </c>
      <c r="C17" s="367" t="s">
        <v>612</v>
      </c>
      <c r="D17" s="368" t="s">
        <v>637</v>
      </c>
      <c r="E17" s="373">
        <v>38718</v>
      </c>
      <c r="F17" s="370" t="s">
        <v>614</v>
      </c>
      <c r="G17" s="371">
        <v>0</v>
      </c>
      <c r="H17" s="371">
        <v>0</v>
      </c>
    </row>
    <row r="18" spans="1:8" x14ac:dyDescent="0.2">
      <c r="A18" s="372"/>
      <c r="B18" s="367" t="s">
        <v>638</v>
      </c>
      <c r="C18" s="367" t="s">
        <v>612</v>
      </c>
      <c r="D18" s="368" t="s">
        <v>639</v>
      </c>
      <c r="E18" s="369">
        <v>39154</v>
      </c>
      <c r="F18" s="370" t="s">
        <v>614</v>
      </c>
      <c r="G18" s="371"/>
      <c r="H18" s="371"/>
    </row>
    <row r="19" spans="1:8" x14ac:dyDescent="0.2">
      <c r="A19" s="372"/>
      <c r="B19" s="367" t="s">
        <v>640</v>
      </c>
      <c r="C19" s="367" t="s">
        <v>612</v>
      </c>
      <c r="D19" s="368" t="s">
        <v>641</v>
      </c>
      <c r="E19" s="373">
        <v>41325</v>
      </c>
      <c r="F19" s="370" t="s">
        <v>614</v>
      </c>
      <c r="G19" s="371">
        <v>0</v>
      </c>
      <c r="H19" s="371">
        <v>0</v>
      </c>
    </row>
    <row r="20" spans="1:8" x14ac:dyDescent="0.2">
      <c r="A20" s="372"/>
      <c r="B20" s="367" t="s">
        <v>642</v>
      </c>
      <c r="C20" s="367" t="s">
        <v>612</v>
      </c>
      <c r="D20" s="368" t="s">
        <v>643</v>
      </c>
      <c r="E20" s="369">
        <v>2003</v>
      </c>
      <c r="F20" s="370" t="s">
        <v>614</v>
      </c>
      <c r="G20" s="371">
        <v>1188217.56</v>
      </c>
      <c r="H20" s="371">
        <v>553471.93000000005</v>
      </c>
    </row>
    <row r="21" spans="1:8" x14ac:dyDescent="0.2">
      <c r="A21" s="372"/>
      <c r="B21" s="367" t="s">
        <v>644</v>
      </c>
      <c r="C21" s="367" t="s">
        <v>645</v>
      </c>
      <c r="D21" s="368" t="s">
        <v>646</v>
      </c>
      <c r="E21" s="369">
        <v>2017</v>
      </c>
      <c r="F21" s="370" t="s">
        <v>614</v>
      </c>
      <c r="G21" s="371">
        <v>0</v>
      </c>
      <c r="H21" s="371">
        <v>0</v>
      </c>
    </row>
    <row r="22" spans="1:8" x14ac:dyDescent="0.2">
      <c r="A22" s="366"/>
      <c r="B22" s="367" t="s">
        <v>647</v>
      </c>
      <c r="C22" s="367" t="s">
        <v>612</v>
      </c>
      <c r="D22" s="368" t="s">
        <v>648</v>
      </c>
      <c r="E22" s="369">
        <v>2018</v>
      </c>
      <c r="F22" s="370" t="s">
        <v>614</v>
      </c>
      <c r="G22" s="371">
        <v>0</v>
      </c>
      <c r="H22" s="371">
        <v>0</v>
      </c>
    </row>
    <row r="23" spans="1:8" x14ac:dyDescent="0.2">
      <c r="A23" s="366" t="s">
        <v>649</v>
      </c>
      <c r="B23" s="374"/>
      <c r="C23" s="374"/>
      <c r="D23" s="375"/>
      <c r="E23" s="376"/>
      <c r="F23" s="377"/>
      <c r="G23" s="378"/>
      <c r="H23" s="378"/>
    </row>
    <row r="24" spans="1:8" x14ac:dyDescent="0.2">
      <c r="A24" s="366"/>
      <c r="B24" s="367" t="s">
        <v>611</v>
      </c>
      <c r="C24" s="367" t="s">
        <v>612</v>
      </c>
      <c r="D24" s="368" t="s">
        <v>650</v>
      </c>
      <c r="E24" s="369">
        <v>2002</v>
      </c>
      <c r="F24" s="370" t="s">
        <v>614</v>
      </c>
      <c r="G24" s="371">
        <v>81477.73</v>
      </c>
      <c r="H24" s="371">
        <v>59966.62</v>
      </c>
    </row>
    <row r="25" spans="1:8" x14ac:dyDescent="0.2">
      <c r="A25" s="372"/>
      <c r="B25" s="572" t="s">
        <v>615</v>
      </c>
      <c r="C25" s="367" t="s">
        <v>612</v>
      </c>
      <c r="D25" s="368" t="s">
        <v>616</v>
      </c>
      <c r="E25" s="369">
        <v>2013</v>
      </c>
      <c r="F25" s="370" t="s">
        <v>614</v>
      </c>
      <c r="G25" s="371">
        <v>5452.54</v>
      </c>
      <c r="H25" s="371">
        <v>25833.99</v>
      </c>
    </row>
    <row r="26" spans="1:8" x14ac:dyDescent="0.2">
      <c r="A26" s="372"/>
      <c r="B26" s="573"/>
      <c r="C26" s="367" t="s">
        <v>612</v>
      </c>
      <c r="D26" s="368" t="s">
        <v>651</v>
      </c>
      <c r="E26" s="369">
        <v>2001</v>
      </c>
      <c r="F26" s="370" t="s">
        <v>614</v>
      </c>
      <c r="G26" s="371">
        <v>3.85</v>
      </c>
      <c r="H26" s="371">
        <v>3.85</v>
      </c>
    </row>
    <row r="27" spans="1:8" x14ac:dyDescent="0.2">
      <c r="A27" s="372"/>
      <c r="B27" s="367" t="s">
        <v>617</v>
      </c>
      <c r="C27" s="367" t="s">
        <v>612</v>
      </c>
      <c r="D27" s="368" t="s">
        <v>652</v>
      </c>
      <c r="E27" s="369">
        <v>2001</v>
      </c>
      <c r="F27" s="370" t="s">
        <v>614</v>
      </c>
      <c r="G27" s="371">
        <v>23342.579999999998</v>
      </c>
      <c r="H27" s="371">
        <v>4238.95</v>
      </c>
    </row>
    <row r="28" spans="1:8" x14ac:dyDescent="0.2">
      <c r="A28" s="372"/>
      <c r="B28" s="367" t="s">
        <v>619</v>
      </c>
      <c r="C28" s="367" t="s">
        <v>612</v>
      </c>
      <c r="D28" s="368" t="s">
        <v>653</v>
      </c>
      <c r="E28" s="369">
        <v>2012</v>
      </c>
      <c r="F28" s="370" t="s">
        <v>614</v>
      </c>
      <c r="G28" s="371">
        <v>2823.72</v>
      </c>
      <c r="H28" s="371">
        <v>1798.26</v>
      </c>
    </row>
    <row r="29" spans="1:8" x14ac:dyDescent="0.2">
      <c r="A29" s="372"/>
      <c r="B29" s="367" t="s">
        <v>654</v>
      </c>
      <c r="C29" s="367" t="s">
        <v>612</v>
      </c>
      <c r="D29" s="368" t="s">
        <v>655</v>
      </c>
      <c r="E29" s="369">
        <v>2012</v>
      </c>
      <c r="F29" s="370" t="s">
        <v>614</v>
      </c>
      <c r="G29" s="371">
        <v>1563.88</v>
      </c>
      <c r="H29" s="371">
        <v>1563.88</v>
      </c>
    </row>
    <row r="30" spans="1:8" x14ac:dyDescent="0.2">
      <c r="A30" s="372"/>
      <c r="B30" s="570" t="s">
        <v>624</v>
      </c>
      <c r="C30" s="367" t="s">
        <v>612</v>
      </c>
      <c r="D30" s="368" t="s">
        <v>625</v>
      </c>
      <c r="E30" s="369">
        <v>2013</v>
      </c>
      <c r="F30" s="370" t="s">
        <v>614</v>
      </c>
      <c r="G30" s="371">
        <v>3293.71</v>
      </c>
      <c r="H30" s="371">
        <v>3313.5</v>
      </c>
    </row>
    <row r="31" spans="1:8" x14ac:dyDescent="0.2">
      <c r="A31" s="372"/>
      <c r="B31" s="571"/>
      <c r="C31" s="367" t="s">
        <v>612</v>
      </c>
      <c r="D31" s="368" t="s">
        <v>656</v>
      </c>
      <c r="E31" s="369">
        <v>2013</v>
      </c>
      <c r="F31" s="370" t="s">
        <v>614</v>
      </c>
      <c r="G31" s="371">
        <v>0</v>
      </c>
      <c r="H31" s="371">
        <v>0</v>
      </c>
    </row>
    <row r="32" spans="1:8" x14ac:dyDescent="0.2">
      <c r="A32" s="372"/>
      <c r="B32" s="367" t="s">
        <v>626</v>
      </c>
      <c r="C32" s="367" t="s">
        <v>612</v>
      </c>
      <c r="D32" s="368" t="s">
        <v>657</v>
      </c>
      <c r="E32" s="369">
        <v>2014</v>
      </c>
      <c r="F32" s="370" t="s">
        <v>614</v>
      </c>
      <c r="G32" s="371">
        <v>6123.46</v>
      </c>
      <c r="H32" s="371">
        <v>6369.06</v>
      </c>
    </row>
    <row r="33" spans="1:8" x14ac:dyDescent="0.2">
      <c r="A33" s="372"/>
      <c r="B33" s="379" t="s">
        <v>631</v>
      </c>
      <c r="C33" s="367" t="s">
        <v>612</v>
      </c>
      <c r="D33" s="379" t="s">
        <v>632</v>
      </c>
      <c r="E33" s="369">
        <v>2013</v>
      </c>
      <c r="F33" s="370" t="s">
        <v>614</v>
      </c>
      <c r="G33" s="371">
        <v>164883.24</v>
      </c>
      <c r="H33" s="371">
        <v>130711.45</v>
      </c>
    </row>
    <row r="34" spans="1:8" x14ac:dyDescent="0.2">
      <c r="A34" s="372"/>
      <c r="B34" s="367" t="s">
        <v>633</v>
      </c>
      <c r="C34" s="367" t="s">
        <v>658</v>
      </c>
      <c r="D34" s="368" t="s">
        <v>635</v>
      </c>
      <c r="E34" s="369">
        <v>2013</v>
      </c>
      <c r="F34" s="370" t="s">
        <v>614</v>
      </c>
      <c r="G34" s="371">
        <v>203589.26</v>
      </c>
      <c r="H34" s="371">
        <v>118254.71</v>
      </c>
    </row>
    <row r="35" spans="1:8" x14ac:dyDescent="0.2">
      <c r="A35" s="372"/>
      <c r="B35" s="367" t="s">
        <v>636</v>
      </c>
      <c r="C35" s="367" t="s">
        <v>612</v>
      </c>
      <c r="D35" s="368" t="s">
        <v>659</v>
      </c>
      <c r="E35" s="373">
        <v>37650</v>
      </c>
      <c r="F35" s="370" t="s">
        <v>614</v>
      </c>
      <c r="G35" s="371">
        <v>1673.19</v>
      </c>
      <c r="H35" s="371">
        <v>461.77</v>
      </c>
    </row>
    <row r="36" spans="1:8" x14ac:dyDescent="0.2">
      <c r="A36" s="372"/>
      <c r="B36" s="367" t="s">
        <v>638</v>
      </c>
      <c r="C36" s="367" t="s">
        <v>612</v>
      </c>
      <c r="D36" s="368" t="s">
        <v>660</v>
      </c>
      <c r="E36" s="369">
        <v>39154</v>
      </c>
      <c r="F36" s="370" t="s">
        <v>614</v>
      </c>
      <c r="G36" s="371">
        <v>59619.5</v>
      </c>
      <c r="H36" s="371">
        <v>11924.7</v>
      </c>
    </row>
    <row r="37" spans="1:8" x14ac:dyDescent="0.2">
      <c r="A37" s="372"/>
      <c r="B37" s="367" t="s">
        <v>640</v>
      </c>
      <c r="C37" s="367" t="s">
        <v>612</v>
      </c>
      <c r="D37" s="368" t="s">
        <v>661</v>
      </c>
      <c r="E37" s="373">
        <v>41327</v>
      </c>
      <c r="F37" s="370" t="s">
        <v>614</v>
      </c>
      <c r="G37" s="371">
        <v>14466.39</v>
      </c>
      <c r="H37" s="371">
        <v>2834.5</v>
      </c>
    </row>
    <row r="38" spans="1:8" x14ac:dyDescent="0.2">
      <c r="A38" s="372"/>
      <c r="B38" s="367" t="s">
        <v>642</v>
      </c>
      <c r="C38" s="367" t="s">
        <v>612</v>
      </c>
      <c r="D38" s="379" t="s">
        <v>643</v>
      </c>
      <c r="E38" s="373">
        <v>2013</v>
      </c>
      <c r="F38" s="370" t="s">
        <v>614</v>
      </c>
      <c r="G38" s="371">
        <v>34477.31</v>
      </c>
      <c r="H38" s="371">
        <v>10394.35</v>
      </c>
    </row>
    <row r="39" spans="1:8" x14ac:dyDescent="0.2">
      <c r="A39" s="372"/>
      <c r="B39" s="367" t="s">
        <v>644</v>
      </c>
      <c r="C39" s="367" t="s">
        <v>645</v>
      </c>
      <c r="D39" s="368" t="s">
        <v>646</v>
      </c>
      <c r="E39" s="369">
        <v>2017</v>
      </c>
      <c r="F39" s="370" t="s">
        <v>614</v>
      </c>
      <c r="G39" s="371">
        <v>2557.7199999999998</v>
      </c>
      <c r="H39" s="371">
        <v>670.71</v>
      </c>
    </row>
    <row r="40" spans="1:8" x14ac:dyDescent="0.2">
      <c r="A40" s="372"/>
      <c r="B40" s="367" t="s">
        <v>662</v>
      </c>
      <c r="C40" s="367" t="s">
        <v>612</v>
      </c>
      <c r="D40" s="372" t="s">
        <v>663</v>
      </c>
      <c r="E40" s="373">
        <v>43205</v>
      </c>
      <c r="F40" s="370" t="s">
        <v>614</v>
      </c>
      <c r="G40" s="371">
        <v>5556.37</v>
      </c>
      <c r="H40" s="371">
        <v>544.5</v>
      </c>
    </row>
    <row r="41" spans="1:8" x14ac:dyDescent="0.2">
      <c r="A41" s="372"/>
      <c r="B41" s="367" t="s">
        <v>647</v>
      </c>
      <c r="C41" s="367" t="s">
        <v>612</v>
      </c>
      <c r="D41" s="368" t="s">
        <v>648</v>
      </c>
      <c r="E41" s="369">
        <v>2018</v>
      </c>
      <c r="F41" s="370" t="s">
        <v>614</v>
      </c>
      <c r="G41" s="371">
        <v>277725.14</v>
      </c>
      <c r="H41" s="371">
        <v>75882.69</v>
      </c>
    </row>
    <row r="42" spans="1:8" x14ac:dyDescent="0.2">
      <c r="A42" s="366" t="s">
        <v>664</v>
      </c>
      <c r="B42" s="380"/>
      <c r="C42" s="367"/>
      <c r="D42" s="368"/>
      <c r="E42" s="369"/>
      <c r="F42" s="370"/>
      <c r="G42" s="371"/>
      <c r="H42" s="371"/>
    </row>
    <row r="43" spans="1:8" x14ac:dyDescent="0.2">
      <c r="A43" s="366"/>
      <c r="B43" s="367" t="s">
        <v>611</v>
      </c>
      <c r="C43" s="368" t="s">
        <v>612</v>
      </c>
      <c r="D43" s="369" t="s">
        <v>613</v>
      </c>
      <c r="E43" s="370">
        <v>2013</v>
      </c>
      <c r="F43" s="370" t="s">
        <v>614</v>
      </c>
      <c r="G43" s="371">
        <v>675301.9</v>
      </c>
      <c r="H43" s="381">
        <v>811093.9</v>
      </c>
    </row>
    <row r="44" spans="1:8" x14ac:dyDescent="0.2">
      <c r="A44" s="372"/>
      <c r="B44" s="379" t="s">
        <v>654</v>
      </c>
      <c r="C44" s="367" t="s">
        <v>612</v>
      </c>
      <c r="D44" s="368" t="s">
        <v>623</v>
      </c>
      <c r="E44" s="369">
        <v>2013</v>
      </c>
      <c r="F44" s="370" t="s">
        <v>614</v>
      </c>
      <c r="G44" s="371">
        <v>854.19</v>
      </c>
      <c r="H44" s="371">
        <v>859.29</v>
      </c>
    </row>
    <row r="45" spans="1:8" x14ac:dyDescent="0.2">
      <c r="A45" s="372"/>
      <c r="B45" s="367" t="s">
        <v>628</v>
      </c>
      <c r="C45" s="367" t="s">
        <v>612</v>
      </c>
      <c r="D45" s="368" t="s">
        <v>629</v>
      </c>
      <c r="E45" s="369">
        <v>2013</v>
      </c>
      <c r="F45" s="370" t="s">
        <v>614</v>
      </c>
      <c r="G45" s="371">
        <v>408314.47</v>
      </c>
      <c r="H45" s="371">
        <v>243487.59</v>
      </c>
    </row>
    <row r="46" spans="1:8" x14ac:dyDescent="0.2">
      <c r="A46" s="372"/>
      <c r="B46" s="379" t="s">
        <v>631</v>
      </c>
      <c r="C46" s="367" t="s">
        <v>612</v>
      </c>
      <c r="D46" s="368" t="s">
        <v>665</v>
      </c>
      <c r="E46" s="369">
        <v>2013</v>
      </c>
      <c r="F46" s="370" t="s">
        <v>614</v>
      </c>
      <c r="G46" s="371">
        <v>68294.03</v>
      </c>
      <c r="H46" s="371">
        <v>1110.94</v>
      </c>
    </row>
    <row r="47" spans="1:8" x14ac:dyDescent="0.2">
      <c r="A47" s="372"/>
      <c r="B47" s="367" t="s">
        <v>636</v>
      </c>
      <c r="C47" s="367" t="s">
        <v>612</v>
      </c>
      <c r="D47" s="368" t="s">
        <v>637</v>
      </c>
      <c r="E47" s="373">
        <v>41275</v>
      </c>
      <c r="F47" s="370" t="s">
        <v>614</v>
      </c>
      <c r="G47" s="371">
        <v>30982.07</v>
      </c>
      <c r="H47" s="371">
        <v>32178.400000000001</v>
      </c>
    </row>
    <row r="48" spans="1:8" x14ac:dyDescent="0.2">
      <c r="A48" s="372"/>
      <c r="B48" s="367" t="s">
        <v>662</v>
      </c>
      <c r="C48" s="367" t="s">
        <v>612</v>
      </c>
      <c r="D48" s="368" t="s">
        <v>666</v>
      </c>
      <c r="E48" s="373">
        <v>43205</v>
      </c>
      <c r="F48" s="370" t="s">
        <v>614</v>
      </c>
      <c r="G48" s="371">
        <v>8151.28</v>
      </c>
      <c r="H48" s="371">
        <v>16183.2</v>
      </c>
    </row>
    <row r="49" spans="1:8" x14ac:dyDescent="0.2">
      <c r="A49" s="366" t="s">
        <v>667</v>
      </c>
      <c r="B49" s="380"/>
      <c r="C49" s="367"/>
      <c r="D49" s="368"/>
      <c r="E49" s="369"/>
      <c r="F49" s="370"/>
      <c r="G49" s="371"/>
      <c r="H49" s="371"/>
    </row>
    <row r="50" spans="1:8" x14ac:dyDescent="0.2">
      <c r="A50" s="372"/>
      <c r="B50" s="379" t="s">
        <v>631</v>
      </c>
      <c r="C50" s="367"/>
      <c r="D50" s="368" t="s">
        <v>668</v>
      </c>
      <c r="E50" s="369">
        <v>2001</v>
      </c>
      <c r="F50" s="370" t="s">
        <v>614</v>
      </c>
      <c r="G50" s="371">
        <v>5234.21</v>
      </c>
      <c r="H50" s="371">
        <v>50678.17</v>
      </c>
    </row>
    <row r="51" spans="1:8" x14ac:dyDescent="0.2">
      <c r="A51" s="366" t="s">
        <v>669</v>
      </c>
      <c r="B51" s="379"/>
      <c r="C51" s="367"/>
      <c r="D51" s="368"/>
      <c r="E51" s="369"/>
      <c r="F51" s="370"/>
      <c r="G51" s="371"/>
      <c r="H51" s="371"/>
    </row>
    <row r="52" spans="1:8" x14ac:dyDescent="0.2">
      <c r="A52" s="372"/>
      <c r="B52" s="367" t="s">
        <v>628</v>
      </c>
      <c r="C52" s="367" t="s">
        <v>612</v>
      </c>
      <c r="D52" s="368" t="s">
        <v>670</v>
      </c>
      <c r="E52" s="369">
        <v>2002</v>
      </c>
      <c r="F52" s="370" t="s">
        <v>614</v>
      </c>
      <c r="G52" s="371">
        <v>290306.17</v>
      </c>
      <c r="H52" s="371">
        <v>255571.1</v>
      </c>
    </row>
    <row r="53" spans="1:8" x14ac:dyDescent="0.2">
      <c r="A53" s="372"/>
      <c r="B53" s="379" t="s">
        <v>631</v>
      </c>
      <c r="C53" s="367" t="s">
        <v>612</v>
      </c>
      <c r="D53" s="368" t="s">
        <v>671</v>
      </c>
      <c r="E53" s="369">
        <v>2003</v>
      </c>
      <c r="F53" s="370" t="s">
        <v>614</v>
      </c>
      <c r="G53" s="371">
        <v>91355</v>
      </c>
      <c r="H53" s="371">
        <v>78922.34</v>
      </c>
    </row>
    <row r="54" spans="1:8" x14ac:dyDescent="0.2">
      <c r="A54" s="366" t="s">
        <v>672</v>
      </c>
      <c r="B54" s="374"/>
      <c r="C54" s="367"/>
      <c r="D54" s="368"/>
      <c r="E54" s="369"/>
      <c r="F54" s="370"/>
      <c r="G54" s="371"/>
      <c r="H54" s="371"/>
    </row>
    <row r="55" spans="1:8" x14ac:dyDescent="0.2">
      <c r="A55" s="372"/>
      <c r="B55" s="367" t="s">
        <v>628</v>
      </c>
      <c r="C55" s="367" t="s">
        <v>612</v>
      </c>
      <c r="D55" s="368" t="s">
        <v>629</v>
      </c>
      <c r="E55" s="369">
        <v>2013</v>
      </c>
      <c r="F55" s="370" t="s">
        <v>614</v>
      </c>
      <c r="G55" s="371">
        <v>408314.47</v>
      </c>
      <c r="H55" s="371">
        <v>243487.59</v>
      </c>
    </row>
    <row r="56" spans="1:8" x14ac:dyDescent="0.2">
      <c r="A56" s="366" t="s">
        <v>673</v>
      </c>
      <c r="B56" s="374"/>
      <c r="C56" s="374"/>
      <c r="D56" s="375"/>
      <c r="E56" s="376"/>
      <c r="F56" s="377"/>
      <c r="G56" s="378"/>
      <c r="H56" s="378"/>
    </row>
    <row r="57" spans="1:8" x14ac:dyDescent="0.2">
      <c r="A57" s="372"/>
      <c r="B57" s="367" t="s">
        <v>631</v>
      </c>
      <c r="C57" s="367" t="s">
        <v>612</v>
      </c>
      <c r="D57" s="368" t="s">
        <v>632</v>
      </c>
      <c r="E57" s="369">
        <v>2020</v>
      </c>
      <c r="F57" s="370" t="s">
        <v>614</v>
      </c>
      <c r="G57" s="371">
        <v>0</v>
      </c>
      <c r="H57" s="371">
        <v>20132</v>
      </c>
    </row>
    <row r="58" spans="1:8" x14ac:dyDescent="0.2">
      <c r="A58" s="372"/>
      <c r="B58" s="367" t="s">
        <v>633</v>
      </c>
      <c r="C58" s="367" t="s">
        <v>658</v>
      </c>
      <c r="D58" s="368" t="s">
        <v>635</v>
      </c>
      <c r="E58" s="369"/>
      <c r="F58" s="370"/>
      <c r="G58" s="371"/>
      <c r="H58" s="371"/>
    </row>
    <row r="59" spans="1:8" x14ac:dyDescent="0.2">
      <c r="A59" s="372"/>
      <c r="B59" s="367" t="s">
        <v>636</v>
      </c>
      <c r="C59" s="367" t="s">
        <v>612</v>
      </c>
      <c r="D59" s="368" t="s">
        <v>637</v>
      </c>
      <c r="E59" s="373">
        <v>44075</v>
      </c>
      <c r="F59" s="370" t="s">
        <v>614</v>
      </c>
      <c r="G59" s="371">
        <v>0</v>
      </c>
      <c r="H59" s="371">
        <v>0</v>
      </c>
    </row>
    <row r="60" spans="1:8" x14ac:dyDescent="0.2">
      <c r="A60" s="372"/>
      <c r="B60" s="367" t="s">
        <v>644</v>
      </c>
      <c r="C60" s="367" t="s">
        <v>645</v>
      </c>
      <c r="D60" s="368" t="s">
        <v>646</v>
      </c>
      <c r="E60" s="369">
        <v>2020</v>
      </c>
      <c r="F60" s="370" t="s">
        <v>614</v>
      </c>
      <c r="G60" s="371">
        <v>0</v>
      </c>
      <c r="H60" s="371">
        <v>9015</v>
      </c>
    </row>
    <row r="61" spans="1:8" x14ac:dyDescent="0.2">
      <c r="A61" s="372"/>
      <c r="B61" s="367" t="s">
        <v>662</v>
      </c>
      <c r="C61" s="367" t="s">
        <v>612</v>
      </c>
      <c r="D61" s="368" t="s">
        <v>674</v>
      </c>
      <c r="E61" s="373">
        <v>43983</v>
      </c>
      <c r="F61" s="370" t="s">
        <v>614</v>
      </c>
      <c r="G61" s="371">
        <v>0</v>
      </c>
      <c r="H61" s="371">
        <v>86343</v>
      </c>
    </row>
    <row r="62" spans="1:8" x14ac:dyDescent="0.2">
      <c r="A62" s="366" t="s">
        <v>675</v>
      </c>
      <c r="B62" s="367"/>
      <c r="C62" s="367"/>
      <c r="D62" s="368"/>
      <c r="E62" s="369"/>
      <c r="F62" s="370"/>
      <c r="G62" s="371"/>
      <c r="H62" s="371"/>
    </row>
    <row r="63" spans="1:8" x14ac:dyDescent="0.2">
      <c r="A63" s="372"/>
      <c r="B63" s="367" t="s">
        <v>642</v>
      </c>
      <c r="C63" s="367" t="s">
        <v>645</v>
      </c>
      <c r="D63" s="368" t="s">
        <v>643</v>
      </c>
      <c r="E63" s="369">
        <v>2020</v>
      </c>
      <c r="F63" s="370" t="s">
        <v>614</v>
      </c>
      <c r="G63" s="371">
        <v>0</v>
      </c>
      <c r="H63" s="371">
        <v>28040</v>
      </c>
    </row>
    <row r="64" spans="1:8" x14ac:dyDescent="0.2">
      <c r="A64" s="372"/>
      <c r="B64" s="367" t="s">
        <v>647</v>
      </c>
      <c r="C64" s="367" t="s">
        <v>612</v>
      </c>
      <c r="D64" s="368" t="s">
        <v>648</v>
      </c>
      <c r="E64" s="369">
        <v>2020</v>
      </c>
      <c r="F64" s="370" t="s">
        <v>614</v>
      </c>
      <c r="G64" s="371">
        <v>0</v>
      </c>
      <c r="H64" s="371">
        <v>0</v>
      </c>
    </row>
    <row r="65" spans="1:8" x14ac:dyDescent="0.2">
      <c r="A65" s="366" t="s">
        <v>676</v>
      </c>
      <c r="B65" s="367"/>
      <c r="C65" s="367"/>
      <c r="D65" s="367"/>
      <c r="E65" s="367"/>
      <c r="F65" s="367"/>
      <c r="G65" s="367"/>
      <c r="H65" s="370"/>
    </row>
    <row r="66" spans="1:8" x14ac:dyDescent="0.2">
      <c r="A66" s="366"/>
      <c r="B66" s="367" t="s">
        <v>611</v>
      </c>
      <c r="C66" s="367" t="s">
        <v>612</v>
      </c>
      <c r="D66" s="367" t="s">
        <v>613</v>
      </c>
      <c r="E66" s="367">
        <v>2020</v>
      </c>
      <c r="F66" s="370" t="s">
        <v>614</v>
      </c>
      <c r="G66" s="367">
        <v>0</v>
      </c>
      <c r="H66" s="370">
        <v>728626.12</v>
      </c>
    </row>
    <row r="67" spans="1:8" x14ac:dyDescent="0.2">
      <c r="A67" s="372"/>
      <c r="B67" s="367" t="s">
        <v>615</v>
      </c>
      <c r="C67" s="367" t="s">
        <v>612</v>
      </c>
      <c r="D67" s="368" t="s">
        <v>616</v>
      </c>
      <c r="E67" s="369">
        <v>2017</v>
      </c>
      <c r="F67" s="370" t="s">
        <v>614</v>
      </c>
      <c r="G67" s="371">
        <v>70353</v>
      </c>
      <c r="H67" s="371">
        <v>70353.429999999993</v>
      </c>
    </row>
    <row r="68" spans="1:8" x14ac:dyDescent="0.2">
      <c r="A68" s="372"/>
      <c r="B68" s="367" t="s">
        <v>631</v>
      </c>
      <c r="C68" s="367" t="s">
        <v>612</v>
      </c>
      <c r="D68" s="368" t="s">
        <v>632</v>
      </c>
      <c r="E68" s="369">
        <v>2017</v>
      </c>
      <c r="F68" s="370" t="s">
        <v>614</v>
      </c>
      <c r="G68" s="371">
        <v>576486.46</v>
      </c>
      <c r="H68" s="371">
        <v>1116511.67</v>
      </c>
    </row>
    <row r="69" spans="1:8" x14ac:dyDescent="0.2">
      <c r="A69" s="372"/>
      <c r="B69" s="367" t="s">
        <v>633</v>
      </c>
      <c r="C69" s="367" t="s">
        <v>658</v>
      </c>
      <c r="D69" s="368" t="s">
        <v>635</v>
      </c>
      <c r="E69" s="369">
        <v>2017</v>
      </c>
      <c r="F69" s="370" t="s">
        <v>614</v>
      </c>
      <c r="G69" s="371">
        <v>262325.93</v>
      </c>
      <c r="H69" s="371">
        <v>2202521.1800000002</v>
      </c>
    </row>
    <row r="70" spans="1:8" x14ac:dyDescent="0.2">
      <c r="A70" s="372"/>
      <c r="B70" s="367" t="s">
        <v>636</v>
      </c>
      <c r="C70" s="367" t="s">
        <v>612</v>
      </c>
      <c r="D70" s="368" t="s">
        <v>637</v>
      </c>
      <c r="E70" s="373">
        <v>42825</v>
      </c>
      <c r="F70" s="370" t="s">
        <v>614</v>
      </c>
      <c r="G70" s="371">
        <v>251125.59</v>
      </c>
      <c r="H70" s="371">
        <v>862942.89</v>
      </c>
    </row>
    <row r="71" spans="1:8" x14ac:dyDescent="0.2">
      <c r="A71" s="372"/>
      <c r="B71" s="367" t="s">
        <v>638</v>
      </c>
      <c r="C71" s="367" t="s">
        <v>612</v>
      </c>
      <c r="D71" s="368" t="s">
        <v>677</v>
      </c>
      <c r="E71" s="369">
        <v>39154</v>
      </c>
      <c r="F71" s="370" t="s">
        <v>614</v>
      </c>
      <c r="G71" s="371">
        <v>5299.06</v>
      </c>
      <c r="H71" s="371">
        <v>5299.06</v>
      </c>
    </row>
    <row r="72" spans="1:8" x14ac:dyDescent="0.2">
      <c r="A72" s="372"/>
      <c r="B72" s="367" t="s">
        <v>640</v>
      </c>
      <c r="C72" s="367" t="s">
        <v>612</v>
      </c>
      <c r="D72" s="368" t="s">
        <v>678</v>
      </c>
      <c r="E72" s="373">
        <v>41365</v>
      </c>
      <c r="F72" s="370" t="s">
        <v>614</v>
      </c>
      <c r="G72" s="371">
        <v>92</v>
      </c>
      <c r="H72" s="371">
        <v>0</v>
      </c>
    </row>
    <row r="73" spans="1:8" x14ac:dyDescent="0.2">
      <c r="A73" s="372"/>
      <c r="B73" s="367" t="s">
        <v>644</v>
      </c>
      <c r="C73" s="367" t="s">
        <v>645</v>
      </c>
      <c r="D73" s="368" t="s">
        <v>646</v>
      </c>
      <c r="E73" s="369">
        <v>2017</v>
      </c>
      <c r="F73" s="370" t="s">
        <v>614</v>
      </c>
      <c r="G73" s="371">
        <v>0</v>
      </c>
      <c r="H73" s="371">
        <v>0</v>
      </c>
    </row>
    <row r="74" spans="1:8" x14ac:dyDescent="0.2">
      <c r="A74" s="372"/>
      <c r="B74" s="572" t="s">
        <v>642</v>
      </c>
      <c r="C74" s="367" t="s">
        <v>645</v>
      </c>
      <c r="D74" s="368" t="s">
        <v>643</v>
      </c>
      <c r="E74" s="369">
        <v>2017</v>
      </c>
      <c r="F74" s="370" t="s">
        <v>614</v>
      </c>
      <c r="G74" s="371">
        <v>399288.87</v>
      </c>
      <c r="H74" s="371">
        <v>601635.41</v>
      </c>
    </row>
    <row r="75" spans="1:8" x14ac:dyDescent="0.2">
      <c r="A75" s="372"/>
      <c r="B75" s="573"/>
      <c r="C75" s="367" t="s">
        <v>645</v>
      </c>
      <c r="D75" s="368" t="s">
        <v>643</v>
      </c>
      <c r="E75" s="369">
        <v>2017</v>
      </c>
      <c r="F75" s="370" t="s">
        <v>614</v>
      </c>
      <c r="G75" s="371">
        <v>3100</v>
      </c>
      <c r="H75" s="371">
        <v>3100</v>
      </c>
    </row>
    <row r="76" spans="1:8" x14ac:dyDescent="0.2">
      <c r="A76" s="372"/>
      <c r="B76" s="367" t="s">
        <v>662</v>
      </c>
      <c r="C76" s="367" t="s">
        <v>612</v>
      </c>
      <c r="D76" s="368" t="s">
        <v>679</v>
      </c>
      <c r="E76" s="373">
        <v>43327</v>
      </c>
      <c r="F76" s="370" t="s">
        <v>614</v>
      </c>
      <c r="G76" s="371">
        <v>191146.84</v>
      </c>
      <c r="H76" s="371">
        <v>115659.49</v>
      </c>
    </row>
    <row r="77" spans="1:8" x14ac:dyDescent="0.2">
      <c r="A77" s="372"/>
      <c r="B77" s="367" t="s">
        <v>647</v>
      </c>
      <c r="C77" s="367" t="s">
        <v>612</v>
      </c>
      <c r="D77" s="368" t="s">
        <v>648</v>
      </c>
      <c r="E77" s="369">
        <v>2018</v>
      </c>
      <c r="F77" s="370" t="s">
        <v>614</v>
      </c>
      <c r="G77" s="371">
        <v>5034</v>
      </c>
      <c r="H77" s="371">
        <v>20106</v>
      </c>
    </row>
    <row r="78" spans="1:8" x14ac:dyDescent="0.2">
      <c r="A78" s="366" t="s">
        <v>680</v>
      </c>
      <c r="B78" s="367"/>
      <c r="C78" s="367"/>
      <c r="D78" s="368"/>
      <c r="E78" s="369"/>
      <c r="F78" s="370"/>
      <c r="G78" s="371"/>
      <c r="H78" s="371"/>
    </row>
    <row r="79" spans="1:8" x14ac:dyDescent="0.2">
      <c r="A79" s="372"/>
      <c r="B79" s="367" t="s">
        <v>628</v>
      </c>
      <c r="C79" s="367" t="s">
        <v>612</v>
      </c>
      <c r="D79" s="368" t="s">
        <v>681</v>
      </c>
      <c r="E79" s="369">
        <v>2002</v>
      </c>
      <c r="F79" s="370" t="s">
        <v>614</v>
      </c>
      <c r="G79" s="371">
        <v>7427.53</v>
      </c>
      <c r="H79" s="371">
        <v>0.53</v>
      </c>
    </row>
    <row r="80" spans="1:8" x14ac:dyDescent="0.2">
      <c r="A80" s="366" t="s">
        <v>474</v>
      </c>
      <c r="B80" s="374"/>
      <c r="C80" s="374"/>
      <c r="D80" s="375"/>
      <c r="E80" s="376"/>
      <c r="F80" s="377"/>
      <c r="G80" s="378"/>
      <c r="H80" s="378"/>
    </row>
    <row r="81" spans="1:8" x14ac:dyDescent="0.2">
      <c r="A81" s="372"/>
      <c r="B81" s="367" t="s">
        <v>624</v>
      </c>
      <c r="C81" s="367" t="s">
        <v>612</v>
      </c>
      <c r="D81" s="368" t="s">
        <v>625</v>
      </c>
      <c r="E81" s="369">
        <v>2014</v>
      </c>
      <c r="F81" s="370" t="s">
        <v>614</v>
      </c>
      <c r="G81" s="371">
        <v>21775.96</v>
      </c>
      <c r="H81" s="371">
        <v>7735.75</v>
      </c>
    </row>
    <row r="82" spans="1:8" x14ac:dyDescent="0.2">
      <c r="A82" s="372"/>
      <c r="B82" s="367" t="s">
        <v>631</v>
      </c>
      <c r="C82" s="367" t="s">
        <v>612</v>
      </c>
      <c r="D82" s="368" t="s">
        <v>632</v>
      </c>
      <c r="E82" s="369">
        <v>2014</v>
      </c>
      <c r="F82" s="370" t="s">
        <v>614</v>
      </c>
      <c r="G82" s="371">
        <v>28136.94</v>
      </c>
      <c r="H82" s="371">
        <v>2659.44</v>
      </c>
    </row>
    <row r="83" spans="1:8" x14ac:dyDescent="0.2">
      <c r="A83" s="372"/>
      <c r="B83" s="367" t="s">
        <v>633</v>
      </c>
      <c r="C83" s="367" t="s">
        <v>658</v>
      </c>
      <c r="D83" s="368" t="s">
        <v>635</v>
      </c>
      <c r="E83" s="369">
        <v>2014</v>
      </c>
      <c r="F83" s="370" t="s">
        <v>614</v>
      </c>
      <c r="G83" s="371">
        <v>1398.44</v>
      </c>
      <c r="H83" s="371">
        <v>1398.44</v>
      </c>
    </row>
    <row r="84" spans="1:8" x14ac:dyDescent="0.2">
      <c r="A84" s="372"/>
      <c r="B84" s="367" t="s">
        <v>644</v>
      </c>
      <c r="C84" s="367" t="s">
        <v>645</v>
      </c>
      <c r="D84" s="368" t="s">
        <v>646</v>
      </c>
      <c r="E84" s="369">
        <v>2017</v>
      </c>
      <c r="F84" s="370" t="s">
        <v>614</v>
      </c>
      <c r="G84" s="371">
        <v>20741.2</v>
      </c>
      <c r="H84" s="371">
        <v>1746.24</v>
      </c>
    </row>
    <row r="85" spans="1:8" x14ac:dyDescent="0.2">
      <c r="A85" s="372"/>
      <c r="B85" s="367" t="s">
        <v>662</v>
      </c>
      <c r="C85" s="367" t="s">
        <v>612</v>
      </c>
      <c r="D85" s="368" t="s">
        <v>682</v>
      </c>
      <c r="E85" s="373">
        <v>43205</v>
      </c>
      <c r="F85" s="370" t="s">
        <v>614</v>
      </c>
      <c r="G85" s="371">
        <v>30460.41</v>
      </c>
      <c r="H85" s="371">
        <v>12950.48</v>
      </c>
    </row>
    <row r="86" spans="1:8" x14ac:dyDescent="0.2">
      <c r="A86" s="372"/>
      <c r="B86" s="367"/>
      <c r="C86" s="367"/>
      <c r="D86" s="368"/>
      <c r="E86" s="369"/>
      <c r="F86" s="370"/>
      <c r="G86" s="371"/>
      <c r="H86" s="371"/>
    </row>
    <row r="87" spans="1:8" x14ac:dyDescent="0.2">
      <c r="A87" s="366" t="s">
        <v>683</v>
      </c>
      <c r="B87" s="367"/>
      <c r="C87" s="367"/>
      <c r="D87" s="368"/>
      <c r="E87" s="369"/>
      <c r="F87" s="370"/>
      <c r="G87" s="371"/>
      <c r="H87" s="371"/>
    </row>
    <row r="88" spans="1:8" x14ac:dyDescent="0.2">
      <c r="A88" s="366"/>
      <c r="B88" s="367" t="s">
        <v>611</v>
      </c>
      <c r="C88" s="367" t="s">
        <v>612</v>
      </c>
      <c r="D88" s="368" t="s">
        <v>613</v>
      </c>
      <c r="E88" s="369">
        <v>2018</v>
      </c>
      <c r="F88" s="370" t="s">
        <v>614</v>
      </c>
      <c r="G88" s="371">
        <v>275204.18</v>
      </c>
      <c r="H88" s="371">
        <v>255767.1</v>
      </c>
    </row>
    <row r="89" spans="1:8" x14ac:dyDescent="0.2">
      <c r="A89" s="372"/>
      <c r="B89" s="367" t="s">
        <v>615</v>
      </c>
      <c r="C89" s="367" t="s">
        <v>612</v>
      </c>
      <c r="D89" s="368" t="s">
        <v>616</v>
      </c>
      <c r="E89" s="369">
        <v>2014</v>
      </c>
      <c r="F89" s="370" t="s">
        <v>614</v>
      </c>
      <c r="G89" s="371">
        <v>153201.73000000001</v>
      </c>
      <c r="H89" s="371">
        <v>42602.6</v>
      </c>
    </row>
    <row r="90" spans="1:8" x14ac:dyDescent="0.2">
      <c r="A90" s="372"/>
      <c r="B90" s="367" t="s">
        <v>617</v>
      </c>
      <c r="C90" s="367" t="s">
        <v>612</v>
      </c>
      <c r="D90" s="368" t="s">
        <v>684</v>
      </c>
      <c r="E90" s="369">
        <v>2014</v>
      </c>
      <c r="F90" s="370" t="s">
        <v>614</v>
      </c>
      <c r="G90" s="371">
        <v>37023.65</v>
      </c>
      <c r="H90" s="371">
        <v>37023.65</v>
      </c>
    </row>
    <row r="91" spans="1:8" x14ac:dyDescent="0.2">
      <c r="A91" s="372"/>
      <c r="B91" s="367" t="s">
        <v>619</v>
      </c>
      <c r="C91" s="367" t="s">
        <v>612</v>
      </c>
      <c r="D91" s="368" t="s">
        <v>620</v>
      </c>
      <c r="E91" s="369">
        <v>2014</v>
      </c>
      <c r="F91" s="370" t="s">
        <v>614</v>
      </c>
      <c r="G91" s="371">
        <v>28343.99</v>
      </c>
      <c r="H91" s="371">
        <v>19146.810000000001</v>
      </c>
    </row>
    <row r="92" spans="1:8" x14ac:dyDescent="0.2">
      <c r="A92" s="372"/>
      <c r="B92" s="367" t="s">
        <v>654</v>
      </c>
      <c r="C92" s="367" t="s">
        <v>612</v>
      </c>
      <c r="D92" s="368" t="s">
        <v>623</v>
      </c>
      <c r="E92" s="369">
        <v>2014</v>
      </c>
      <c r="F92" s="370" t="s">
        <v>614</v>
      </c>
      <c r="G92" s="371">
        <v>34012.300000000003</v>
      </c>
      <c r="H92" s="371">
        <v>6035.3</v>
      </c>
    </row>
    <row r="93" spans="1:8" x14ac:dyDescent="0.2">
      <c r="A93" s="372"/>
      <c r="B93" s="367" t="s">
        <v>685</v>
      </c>
      <c r="C93" s="367" t="s">
        <v>612</v>
      </c>
      <c r="D93" s="368" t="s">
        <v>627</v>
      </c>
      <c r="E93" s="369">
        <v>2014</v>
      </c>
      <c r="F93" s="370" t="s">
        <v>614</v>
      </c>
      <c r="G93" s="371">
        <v>269918.77</v>
      </c>
      <c r="H93" s="371">
        <v>80780.66</v>
      </c>
    </row>
    <row r="94" spans="1:8" x14ac:dyDescent="0.2">
      <c r="A94" s="372"/>
      <c r="B94" s="367" t="s">
        <v>628</v>
      </c>
      <c r="C94" s="367" t="s">
        <v>612</v>
      </c>
      <c r="D94" s="368" t="s">
        <v>629</v>
      </c>
      <c r="E94" s="369">
        <v>2006</v>
      </c>
      <c r="F94" s="370" t="s">
        <v>614</v>
      </c>
      <c r="G94" s="371">
        <v>313955</v>
      </c>
      <c r="H94" s="371">
        <v>11211.79</v>
      </c>
    </row>
    <row r="95" spans="1:8" x14ac:dyDescent="0.2">
      <c r="A95" s="372"/>
      <c r="B95" s="367" t="s">
        <v>636</v>
      </c>
      <c r="C95" s="367" t="s">
        <v>612</v>
      </c>
      <c r="D95" s="368" t="s">
        <v>637</v>
      </c>
      <c r="E95" s="373">
        <v>41640</v>
      </c>
      <c r="F95" s="370" t="s">
        <v>614</v>
      </c>
      <c r="G95" s="371">
        <v>121369.72</v>
      </c>
      <c r="H95" s="371">
        <v>52251.93</v>
      </c>
    </row>
    <row r="96" spans="1:8" x14ac:dyDescent="0.2">
      <c r="A96" s="372"/>
      <c r="B96" s="367" t="s">
        <v>640</v>
      </c>
      <c r="C96" s="367" t="s">
        <v>612</v>
      </c>
      <c r="D96" s="368" t="s">
        <v>641</v>
      </c>
      <c r="E96" s="373">
        <v>41295</v>
      </c>
      <c r="F96" s="370" t="s">
        <v>614</v>
      </c>
      <c r="G96" s="371">
        <v>51320.13</v>
      </c>
      <c r="H96" s="371">
        <v>2474.9</v>
      </c>
    </row>
    <row r="97" spans="1:8" x14ac:dyDescent="0.2">
      <c r="A97" s="372"/>
      <c r="B97" s="367" t="s">
        <v>642</v>
      </c>
      <c r="C97" s="367" t="s">
        <v>612</v>
      </c>
      <c r="D97" s="368" t="s">
        <v>643</v>
      </c>
      <c r="E97" s="369">
        <v>2014</v>
      </c>
      <c r="F97" s="370" t="s">
        <v>614</v>
      </c>
      <c r="G97" s="371">
        <v>51279.12</v>
      </c>
      <c r="H97" s="371">
        <v>21512.12</v>
      </c>
    </row>
    <row r="98" spans="1:8" x14ac:dyDescent="0.2">
      <c r="A98" s="372"/>
      <c r="B98" s="367" t="s">
        <v>647</v>
      </c>
      <c r="C98" s="367" t="s">
        <v>612</v>
      </c>
      <c r="D98" s="368" t="s">
        <v>648</v>
      </c>
      <c r="E98" s="369">
        <v>2018</v>
      </c>
      <c r="F98" s="370" t="s">
        <v>614</v>
      </c>
      <c r="G98" s="371">
        <v>100916.36</v>
      </c>
      <c r="H98" s="371">
        <v>46990.3</v>
      </c>
    </row>
    <row r="99" spans="1:8" x14ac:dyDescent="0.2">
      <c r="A99" s="372"/>
      <c r="B99" s="367"/>
      <c r="C99" s="367"/>
      <c r="D99" s="368"/>
      <c r="E99" s="369"/>
      <c r="F99" s="370"/>
      <c r="G99" s="371"/>
      <c r="H99" s="371"/>
    </row>
    <row r="100" spans="1:8" x14ac:dyDescent="0.2">
      <c r="A100" s="366" t="s">
        <v>686</v>
      </c>
      <c r="B100" s="367"/>
      <c r="C100" s="367"/>
      <c r="D100" s="368"/>
      <c r="E100" s="369"/>
      <c r="F100" s="370"/>
      <c r="G100" s="371"/>
      <c r="H100" s="371"/>
    </row>
    <row r="101" spans="1:8" x14ac:dyDescent="0.2">
      <c r="A101" s="372"/>
      <c r="B101" s="367" t="s">
        <v>628</v>
      </c>
      <c r="C101" s="367" t="s">
        <v>612</v>
      </c>
      <c r="D101" s="368" t="s">
        <v>629</v>
      </c>
      <c r="E101" s="369">
        <v>2006</v>
      </c>
      <c r="F101" s="370" t="s">
        <v>614</v>
      </c>
      <c r="G101" s="371">
        <v>13362.79</v>
      </c>
      <c r="H101" s="371">
        <v>3915</v>
      </c>
    </row>
    <row r="102" spans="1:8" x14ac:dyDescent="0.2">
      <c r="A102" s="366" t="s">
        <v>687</v>
      </c>
      <c r="B102" s="367" t="s">
        <v>685</v>
      </c>
      <c r="C102" s="367" t="s">
        <v>612</v>
      </c>
      <c r="D102" s="368" t="s">
        <v>627</v>
      </c>
      <c r="E102" s="369">
        <v>2015</v>
      </c>
      <c r="F102" s="370" t="s">
        <v>614</v>
      </c>
      <c r="G102" s="371">
        <v>8641.6</v>
      </c>
      <c r="H102" s="371">
        <v>25056.93</v>
      </c>
    </row>
    <row r="103" spans="1:8" x14ac:dyDescent="0.2">
      <c r="A103" s="366" t="s">
        <v>688</v>
      </c>
      <c r="B103" s="367" t="s">
        <v>685</v>
      </c>
      <c r="C103" s="367" t="s">
        <v>612</v>
      </c>
      <c r="D103" s="368" t="s">
        <v>689</v>
      </c>
      <c r="E103" s="369">
        <v>2018</v>
      </c>
      <c r="F103" s="370" t="s">
        <v>614</v>
      </c>
      <c r="G103" s="371">
        <v>0</v>
      </c>
      <c r="H103" s="371">
        <v>0</v>
      </c>
    </row>
    <row r="104" spans="1:8" x14ac:dyDescent="0.2">
      <c r="A104" s="366" t="s">
        <v>690</v>
      </c>
      <c r="B104" s="367" t="s">
        <v>685</v>
      </c>
      <c r="C104" s="367" t="s">
        <v>612</v>
      </c>
      <c r="D104" s="368" t="s">
        <v>691</v>
      </c>
      <c r="E104" s="369">
        <v>2020</v>
      </c>
      <c r="F104" s="370" t="s">
        <v>614</v>
      </c>
      <c r="G104" s="371">
        <v>0</v>
      </c>
      <c r="H104" s="371">
        <v>16.649999999999999</v>
      </c>
    </row>
  </sheetData>
  <mergeCells count="6">
    <mergeCell ref="A4:A5"/>
    <mergeCell ref="B30:B31"/>
    <mergeCell ref="B25:B26"/>
    <mergeCell ref="B74:B75"/>
    <mergeCell ref="C4:H4"/>
    <mergeCell ref="B4:B5"/>
  </mergeCells>
  <printOptions horizontalCentered="1"/>
  <pageMargins left="0.23622047244094491" right="0.23622047244094491" top="0.74803149606299213" bottom="0.74803149606299213" header="0.31496062992125984" footer="0.31496062992125984"/>
  <pageSetup paperSize="9" scale="70"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8"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249977111117893"/>
    <pageSetUpPr fitToPage="1"/>
  </sheetPr>
  <dimension ref="A1:S49"/>
  <sheetViews>
    <sheetView view="pageBreakPreview" zoomScaleNormal="100" zoomScaleSheetLayoutView="100" zoomScalePageLayoutView="85" workbookViewId="0">
      <selection activeCell="C3" sqref="C3"/>
    </sheetView>
  </sheetViews>
  <sheetFormatPr baseColWidth="10" defaultColWidth="11.42578125" defaultRowHeight="12" x14ac:dyDescent="0.2"/>
  <cols>
    <col min="1" max="4" width="18.7109375" style="118" customWidth="1"/>
    <col min="5" max="5" width="18.7109375" style="118" hidden="1" customWidth="1"/>
    <col min="6" max="6" width="18.7109375" style="118" customWidth="1"/>
    <col min="7" max="8" width="6.7109375" style="51" customWidth="1"/>
    <col min="9" max="9" width="6.7109375" style="118" customWidth="1"/>
    <col min="10" max="12" width="18.7109375" style="118" customWidth="1"/>
    <col min="13" max="13" width="18.28515625" style="118" hidden="1" customWidth="1"/>
    <col min="14" max="14" width="20.42578125" style="118" hidden="1" customWidth="1"/>
    <col min="15" max="16384" width="11.42578125" style="118"/>
  </cols>
  <sheetData>
    <row r="1" spans="1:19" s="98" customFormat="1" x14ac:dyDescent="0.2">
      <c r="A1" s="120" t="s">
        <v>408</v>
      </c>
      <c r="B1" s="120"/>
      <c r="C1" s="120"/>
      <c r="D1" s="120"/>
      <c r="E1" s="120"/>
      <c r="F1" s="120"/>
      <c r="G1" s="120"/>
      <c r="H1" s="120"/>
      <c r="J1" s="120"/>
      <c r="K1" s="120"/>
      <c r="L1" s="120"/>
      <c r="M1" s="120"/>
      <c r="N1" s="120"/>
    </row>
    <row r="2" spans="1:19" s="5" customFormat="1" x14ac:dyDescent="0.2">
      <c r="A2" s="129" t="s">
        <v>962</v>
      </c>
      <c r="B2" s="119"/>
      <c r="C2" s="119"/>
      <c r="D2" s="119"/>
      <c r="E2" s="119"/>
      <c r="F2" s="119"/>
      <c r="G2" s="119"/>
      <c r="H2" s="119"/>
      <c r="I2" s="119"/>
      <c r="J2" s="119"/>
      <c r="K2" s="119"/>
      <c r="L2" s="119"/>
      <c r="M2" s="119"/>
      <c r="N2" s="119"/>
      <c r="O2" s="119"/>
      <c r="P2" s="119"/>
      <c r="Q2" s="119"/>
      <c r="R2" s="119"/>
      <c r="S2" s="119"/>
    </row>
    <row r="3" spans="1:19" ht="12.75" thickBot="1" x14ac:dyDescent="0.25"/>
    <row r="4" spans="1:19" s="60" customFormat="1" ht="12.75" customHeight="1" thickBot="1" x14ac:dyDescent="0.25">
      <c r="A4" s="579" t="s">
        <v>295</v>
      </c>
      <c r="B4" s="580"/>
      <c r="C4" s="578" t="s">
        <v>296</v>
      </c>
      <c r="D4" s="578"/>
      <c r="E4" s="581" t="s">
        <v>299</v>
      </c>
      <c r="F4" s="582"/>
      <c r="G4" s="582"/>
      <c r="H4" s="582"/>
      <c r="I4" s="583"/>
      <c r="J4" s="578" t="s">
        <v>300</v>
      </c>
      <c r="K4" s="578"/>
      <c r="L4" s="580"/>
      <c r="M4" s="536" t="s">
        <v>345</v>
      </c>
      <c r="N4" s="576" t="s">
        <v>346</v>
      </c>
    </row>
    <row r="5" spans="1:19" s="61" customFormat="1" ht="86.25" customHeight="1" thickBot="1" x14ac:dyDescent="0.25">
      <c r="A5" s="213" t="s">
        <v>89</v>
      </c>
      <c r="B5" s="216" t="s">
        <v>90</v>
      </c>
      <c r="C5" s="214" t="s">
        <v>298</v>
      </c>
      <c r="D5" s="217" t="s">
        <v>297</v>
      </c>
      <c r="E5" s="213" t="s">
        <v>303</v>
      </c>
      <c r="F5" s="215" t="s">
        <v>304</v>
      </c>
      <c r="G5" s="218" t="s">
        <v>305</v>
      </c>
      <c r="H5" s="218" t="s">
        <v>306</v>
      </c>
      <c r="I5" s="219" t="s">
        <v>23</v>
      </c>
      <c r="J5" s="213" t="s">
        <v>301</v>
      </c>
      <c r="K5" s="214" t="s">
        <v>302</v>
      </c>
      <c r="L5" s="220" t="s">
        <v>307</v>
      </c>
      <c r="M5" s="537"/>
      <c r="N5" s="577"/>
    </row>
    <row r="6" spans="1:19" x14ac:dyDescent="0.2">
      <c r="A6" s="442" t="s">
        <v>832</v>
      </c>
      <c r="B6" s="442"/>
      <c r="C6" s="407" t="s">
        <v>710</v>
      </c>
      <c r="D6" s="407"/>
      <c r="E6" s="442"/>
      <c r="F6" s="442"/>
      <c r="G6" s="442"/>
      <c r="H6" s="442"/>
      <c r="I6" s="442"/>
      <c r="J6" s="443">
        <v>43500</v>
      </c>
      <c r="K6" s="444">
        <v>500</v>
      </c>
      <c r="L6" s="442" t="s">
        <v>833</v>
      </c>
      <c r="M6" s="442">
        <f>K6*12</f>
        <v>6000</v>
      </c>
      <c r="N6" s="442">
        <f>M6</f>
        <v>6000</v>
      </c>
    </row>
    <row r="7" spans="1:19" x14ac:dyDescent="0.2">
      <c r="A7" s="442" t="s">
        <v>832</v>
      </c>
      <c r="B7" s="442"/>
      <c r="C7" s="442" t="s">
        <v>711</v>
      </c>
      <c r="D7" s="442"/>
      <c r="E7" s="442"/>
      <c r="F7" s="442"/>
      <c r="G7" s="442"/>
      <c r="H7" s="442"/>
      <c r="I7" s="442"/>
      <c r="J7" s="443">
        <v>43507</v>
      </c>
      <c r="K7" s="445">
        <v>3600</v>
      </c>
      <c r="L7" s="442" t="s">
        <v>833</v>
      </c>
      <c r="M7" s="442">
        <f t="shared" ref="M7:M47" si="0">K7*12</f>
        <v>43200</v>
      </c>
      <c r="N7" s="442">
        <f t="shared" ref="N7:N47" si="1">M7</f>
        <v>43200</v>
      </c>
    </row>
    <row r="8" spans="1:19" x14ac:dyDescent="0.2">
      <c r="A8" s="442" t="s">
        <v>832</v>
      </c>
      <c r="B8" s="442"/>
      <c r="C8" s="442" t="s">
        <v>712</v>
      </c>
      <c r="D8" s="442"/>
      <c r="E8" s="442"/>
      <c r="F8" s="446"/>
      <c r="G8" s="446"/>
      <c r="H8" s="446"/>
      <c r="I8" s="446"/>
      <c r="J8" s="443">
        <v>43511</v>
      </c>
      <c r="K8" s="445">
        <v>12500</v>
      </c>
      <c r="L8" s="442" t="s">
        <v>833</v>
      </c>
      <c r="M8" s="442">
        <f t="shared" si="0"/>
        <v>150000</v>
      </c>
      <c r="N8" s="442">
        <f t="shared" si="1"/>
        <v>150000</v>
      </c>
    </row>
    <row r="9" spans="1:19" x14ac:dyDescent="0.2">
      <c r="A9" s="442" t="s">
        <v>832</v>
      </c>
      <c r="B9" s="442"/>
      <c r="C9" s="442" t="s">
        <v>713</v>
      </c>
      <c r="D9" s="442"/>
      <c r="E9" s="442"/>
      <c r="F9" s="442"/>
      <c r="G9" s="442"/>
      <c r="H9" s="442"/>
      <c r="I9" s="442"/>
      <c r="J9" s="443">
        <v>43511</v>
      </c>
      <c r="K9" s="445">
        <v>15000</v>
      </c>
      <c r="L9" s="442" t="s">
        <v>833</v>
      </c>
      <c r="M9" s="442">
        <f t="shared" si="0"/>
        <v>180000</v>
      </c>
      <c r="N9" s="442">
        <f t="shared" si="1"/>
        <v>180000</v>
      </c>
    </row>
    <row r="10" spans="1:19" x14ac:dyDescent="0.2">
      <c r="A10" s="442" t="s">
        <v>832</v>
      </c>
      <c r="B10" s="442"/>
      <c r="C10" s="446" t="s">
        <v>714</v>
      </c>
      <c r="D10" s="446"/>
      <c r="E10" s="446"/>
      <c r="F10" s="442"/>
      <c r="G10" s="442"/>
      <c r="H10" s="442"/>
      <c r="I10" s="442"/>
      <c r="J10" s="443">
        <v>43516</v>
      </c>
      <c r="K10" s="445">
        <v>4600</v>
      </c>
      <c r="L10" s="442" t="s">
        <v>833</v>
      </c>
      <c r="M10" s="442">
        <f t="shared" si="0"/>
        <v>55200</v>
      </c>
      <c r="N10" s="442">
        <f t="shared" si="1"/>
        <v>55200</v>
      </c>
    </row>
    <row r="11" spans="1:19" x14ac:dyDescent="0.2">
      <c r="A11" s="442" t="s">
        <v>832</v>
      </c>
      <c r="B11" s="442"/>
      <c r="C11" s="442" t="s">
        <v>715</v>
      </c>
      <c r="D11" s="442"/>
      <c r="E11" s="442"/>
      <c r="F11" s="442"/>
      <c r="G11" s="442"/>
      <c r="H11" s="442"/>
      <c r="I11" s="442"/>
      <c r="J11" s="443">
        <v>43543</v>
      </c>
      <c r="K11" s="445">
        <v>18000</v>
      </c>
      <c r="L11" s="442" t="s">
        <v>833</v>
      </c>
      <c r="M11" s="442">
        <f t="shared" si="0"/>
        <v>216000</v>
      </c>
      <c r="N11" s="442">
        <f t="shared" si="1"/>
        <v>216000</v>
      </c>
    </row>
    <row r="12" spans="1:19" x14ac:dyDescent="0.2">
      <c r="A12" s="442" t="s">
        <v>832</v>
      </c>
      <c r="B12" s="442"/>
      <c r="C12" s="442" t="s">
        <v>716</v>
      </c>
      <c r="D12" s="442"/>
      <c r="E12" s="442"/>
      <c r="F12" s="442"/>
      <c r="G12" s="442"/>
      <c r="H12" s="442"/>
      <c r="I12" s="442"/>
      <c r="J12" s="443">
        <v>43543</v>
      </c>
      <c r="K12" s="445">
        <v>6000</v>
      </c>
      <c r="L12" s="442" t="s">
        <v>833</v>
      </c>
      <c r="M12" s="442">
        <f t="shared" si="0"/>
        <v>72000</v>
      </c>
      <c r="N12" s="442">
        <f t="shared" si="1"/>
        <v>72000</v>
      </c>
    </row>
    <row r="13" spans="1:19" x14ac:dyDescent="0.2">
      <c r="A13" s="442" t="s">
        <v>832</v>
      </c>
      <c r="B13" s="442"/>
      <c r="C13" s="442" t="s">
        <v>717</v>
      </c>
      <c r="D13" s="442"/>
      <c r="E13" s="442"/>
      <c r="F13" s="442"/>
      <c r="G13" s="442"/>
      <c r="H13" s="442"/>
      <c r="I13" s="442"/>
      <c r="J13" s="443">
        <v>43543</v>
      </c>
      <c r="K13" s="445">
        <v>4000</v>
      </c>
      <c r="L13" s="442" t="s">
        <v>833</v>
      </c>
      <c r="M13" s="442">
        <f t="shared" si="0"/>
        <v>48000</v>
      </c>
      <c r="N13" s="442">
        <f t="shared" si="1"/>
        <v>48000</v>
      </c>
    </row>
    <row r="14" spans="1:19" x14ac:dyDescent="0.2">
      <c r="A14" s="442" t="s">
        <v>832</v>
      </c>
      <c r="B14" s="442"/>
      <c r="C14" s="442" t="s">
        <v>718</v>
      </c>
      <c r="D14" s="442"/>
      <c r="E14" s="442"/>
      <c r="F14" s="446"/>
      <c r="G14" s="446"/>
      <c r="H14" s="446"/>
      <c r="I14" s="446"/>
      <c r="J14" s="443">
        <v>43559</v>
      </c>
      <c r="K14" s="445">
        <v>1500</v>
      </c>
      <c r="L14" s="442" t="s">
        <v>833</v>
      </c>
      <c r="M14" s="442">
        <f t="shared" si="0"/>
        <v>18000</v>
      </c>
      <c r="N14" s="442">
        <f t="shared" si="1"/>
        <v>18000</v>
      </c>
    </row>
    <row r="15" spans="1:19" x14ac:dyDescent="0.2">
      <c r="A15" s="442" t="s">
        <v>832</v>
      </c>
      <c r="B15" s="442"/>
      <c r="C15" s="442" t="s">
        <v>719</v>
      </c>
      <c r="D15" s="442"/>
      <c r="E15" s="442"/>
      <c r="F15" s="442"/>
      <c r="G15" s="442"/>
      <c r="H15" s="442"/>
      <c r="I15" s="442"/>
      <c r="J15" s="443">
        <v>43565</v>
      </c>
      <c r="K15" s="445">
        <v>3800</v>
      </c>
      <c r="L15" s="442" t="s">
        <v>833</v>
      </c>
      <c r="M15" s="442">
        <f t="shared" si="0"/>
        <v>45600</v>
      </c>
      <c r="N15" s="442">
        <f t="shared" si="1"/>
        <v>45600</v>
      </c>
    </row>
    <row r="16" spans="1:19" x14ac:dyDescent="0.2">
      <c r="A16" s="442" t="s">
        <v>832</v>
      </c>
      <c r="B16" s="442"/>
      <c r="C16" s="442" t="s">
        <v>720</v>
      </c>
      <c r="D16" s="442"/>
      <c r="E16" s="442"/>
      <c r="F16" s="442"/>
      <c r="G16" s="442"/>
      <c r="H16" s="442"/>
      <c r="I16" s="442"/>
      <c r="J16" s="443">
        <v>43556</v>
      </c>
      <c r="K16" s="445">
        <v>24000</v>
      </c>
      <c r="L16" s="442" t="s">
        <v>833</v>
      </c>
      <c r="M16" s="442">
        <f t="shared" si="0"/>
        <v>288000</v>
      </c>
      <c r="N16" s="442">
        <f t="shared" si="1"/>
        <v>288000</v>
      </c>
    </row>
    <row r="17" spans="1:14" x14ac:dyDescent="0.2">
      <c r="A17" s="442" t="s">
        <v>832</v>
      </c>
      <c r="B17" s="442"/>
      <c r="C17" s="442" t="s">
        <v>721</v>
      </c>
      <c r="D17" s="442"/>
      <c r="E17" s="442"/>
      <c r="F17" s="442"/>
      <c r="G17" s="442"/>
      <c r="H17" s="442"/>
      <c r="I17" s="442"/>
      <c r="J17" s="443">
        <v>43564</v>
      </c>
      <c r="K17" s="445">
        <v>3325</v>
      </c>
      <c r="L17" s="442" t="s">
        <v>833</v>
      </c>
      <c r="M17" s="442">
        <f t="shared" si="0"/>
        <v>39900</v>
      </c>
      <c r="N17" s="442">
        <f t="shared" si="1"/>
        <v>39900</v>
      </c>
    </row>
    <row r="18" spans="1:14" x14ac:dyDescent="0.2">
      <c r="A18" s="442" t="s">
        <v>832</v>
      </c>
      <c r="B18" s="442"/>
      <c r="C18" s="442" t="s">
        <v>722</v>
      </c>
      <c r="D18" s="442"/>
      <c r="E18" s="442"/>
      <c r="F18" s="442"/>
      <c r="G18" s="442"/>
      <c r="H18" s="442"/>
      <c r="I18" s="442"/>
      <c r="J18" s="443">
        <v>43580</v>
      </c>
      <c r="K18" s="445">
        <v>4000</v>
      </c>
      <c r="L18" s="442" t="s">
        <v>833</v>
      </c>
      <c r="M18" s="442">
        <f t="shared" si="0"/>
        <v>48000</v>
      </c>
      <c r="N18" s="442">
        <f t="shared" si="1"/>
        <v>48000</v>
      </c>
    </row>
    <row r="19" spans="1:14" x14ac:dyDescent="0.2">
      <c r="A19" s="442" t="s">
        <v>832</v>
      </c>
      <c r="B19" s="442"/>
      <c r="C19" s="442" t="s">
        <v>723</v>
      </c>
      <c r="D19" s="442"/>
      <c r="E19" s="442"/>
      <c r="F19" s="442"/>
      <c r="G19" s="442"/>
      <c r="H19" s="442"/>
      <c r="I19" s="442"/>
      <c r="J19" s="443">
        <v>43607</v>
      </c>
      <c r="K19" s="445">
        <v>9000</v>
      </c>
      <c r="L19" s="442" t="s">
        <v>833</v>
      </c>
      <c r="M19" s="442">
        <f t="shared" si="0"/>
        <v>108000</v>
      </c>
      <c r="N19" s="442">
        <f t="shared" si="1"/>
        <v>108000</v>
      </c>
    </row>
    <row r="20" spans="1:14" x14ac:dyDescent="0.2">
      <c r="A20" s="442" t="s">
        <v>832</v>
      </c>
      <c r="B20" s="442"/>
      <c r="C20" s="442" t="s">
        <v>724</v>
      </c>
      <c r="D20" s="442"/>
      <c r="E20" s="442"/>
      <c r="F20" s="442"/>
      <c r="G20" s="442"/>
      <c r="H20" s="442"/>
      <c r="I20" s="442"/>
      <c r="J20" s="443">
        <v>43592</v>
      </c>
      <c r="K20" s="445">
        <v>7200</v>
      </c>
      <c r="L20" s="442" t="s">
        <v>833</v>
      </c>
      <c r="M20" s="442">
        <f t="shared" si="0"/>
        <v>86400</v>
      </c>
      <c r="N20" s="442">
        <f t="shared" si="1"/>
        <v>86400</v>
      </c>
    </row>
    <row r="21" spans="1:14" x14ac:dyDescent="0.2">
      <c r="A21" s="442" t="s">
        <v>832</v>
      </c>
      <c r="B21" s="442"/>
      <c r="C21" s="442" t="s">
        <v>725</v>
      </c>
      <c r="D21" s="442"/>
      <c r="E21" s="442"/>
      <c r="F21" s="442"/>
      <c r="G21" s="442"/>
      <c r="H21" s="442"/>
      <c r="I21" s="442"/>
      <c r="J21" s="443">
        <v>43628</v>
      </c>
      <c r="K21" s="445">
        <v>10150</v>
      </c>
      <c r="L21" s="442" t="s">
        <v>833</v>
      </c>
      <c r="M21" s="442">
        <f t="shared" si="0"/>
        <v>121800</v>
      </c>
      <c r="N21" s="442">
        <f t="shared" si="1"/>
        <v>121800</v>
      </c>
    </row>
    <row r="22" spans="1:14" x14ac:dyDescent="0.2">
      <c r="A22" s="442" t="s">
        <v>832</v>
      </c>
      <c r="B22" s="442"/>
      <c r="C22" s="442" t="s">
        <v>726</v>
      </c>
      <c r="D22" s="442"/>
      <c r="E22" s="442"/>
      <c r="F22" s="442"/>
      <c r="G22" s="442"/>
      <c r="H22" s="442"/>
      <c r="I22" s="442"/>
      <c r="J22" s="443">
        <v>43644</v>
      </c>
      <c r="K22" s="445">
        <v>6964</v>
      </c>
      <c r="L22" s="442" t="s">
        <v>833</v>
      </c>
      <c r="M22" s="442">
        <f t="shared" si="0"/>
        <v>83568</v>
      </c>
      <c r="N22" s="442">
        <f t="shared" si="1"/>
        <v>83568</v>
      </c>
    </row>
    <row r="23" spans="1:14" x14ac:dyDescent="0.2">
      <c r="A23" s="442" t="s">
        <v>832</v>
      </c>
      <c r="B23" s="442"/>
      <c r="C23" s="442" t="s">
        <v>727</v>
      </c>
      <c r="D23" s="442"/>
      <c r="E23" s="442"/>
      <c r="F23" s="442"/>
      <c r="G23" s="442"/>
      <c r="H23" s="442"/>
      <c r="I23" s="442"/>
      <c r="J23" s="443">
        <v>43658</v>
      </c>
      <c r="K23" s="445">
        <v>18000</v>
      </c>
      <c r="L23" s="442" t="s">
        <v>833</v>
      </c>
      <c r="M23" s="442">
        <f t="shared" si="0"/>
        <v>216000</v>
      </c>
      <c r="N23" s="442">
        <f t="shared" si="1"/>
        <v>216000</v>
      </c>
    </row>
    <row r="24" spans="1:14" x14ac:dyDescent="0.2">
      <c r="A24" s="442" t="s">
        <v>832</v>
      </c>
      <c r="B24" s="442"/>
      <c r="C24" s="442" t="s">
        <v>728</v>
      </c>
      <c r="D24" s="442"/>
      <c r="E24" s="442"/>
      <c r="F24" s="442"/>
      <c r="G24" s="442"/>
      <c r="H24" s="442"/>
      <c r="I24" s="442"/>
      <c r="J24" s="443">
        <v>43670</v>
      </c>
      <c r="K24" s="445">
        <v>200</v>
      </c>
      <c r="L24" s="442" t="s">
        <v>833</v>
      </c>
      <c r="M24" s="442">
        <f t="shared" si="0"/>
        <v>2400</v>
      </c>
      <c r="N24" s="442">
        <f t="shared" si="1"/>
        <v>2400</v>
      </c>
    </row>
    <row r="25" spans="1:14" x14ac:dyDescent="0.2">
      <c r="A25" s="442" t="s">
        <v>832</v>
      </c>
      <c r="B25" s="442"/>
      <c r="C25" s="442" t="s">
        <v>729</v>
      </c>
      <c r="D25" s="442"/>
      <c r="E25" s="442"/>
      <c r="F25" s="442"/>
      <c r="G25" s="442"/>
      <c r="H25" s="442"/>
      <c r="I25" s="442"/>
      <c r="J25" s="443">
        <v>43698</v>
      </c>
      <c r="K25" s="445">
        <v>12800</v>
      </c>
      <c r="L25" s="442" t="s">
        <v>833</v>
      </c>
      <c r="M25" s="442">
        <f t="shared" si="0"/>
        <v>153600</v>
      </c>
      <c r="N25" s="442">
        <f t="shared" si="1"/>
        <v>153600</v>
      </c>
    </row>
    <row r="26" spans="1:14" x14ac:dyDescent="0.2">
      <c r="A26" s="442" t="s">
        <v>832</v>
      </c>
      <c r="B26" s="442"/>
      <c r="C26" s="442" t="s">
        <v>730</v>
      </c>
      <c r="D26" s="442"/>
      <c r="E26" s="442"/>
      <c r="F26" s="442"/>
      <c r="G26" s="442"/>
      <c r="H26" s="442"/>
      <c r="I26" s="442"/>
      <c r="J26" s="443">
        <v>43705</v>
      </c>
      <c r="K26" s="445">
        <v>6000</v>
      </c>
      <c r="L26" s="442" t="s">
        <v>833</v>
      </c>
      <c r="M26" s="442">
        <f t="shared" si="0"/>
        <v>72000</v>
      </c>
      <c r="N26" s="442">
        <f t="shared" si="1"/>
        <v>72000</v>
      </c>
    </row>
    <row r="27" spans="1:14" x14ac:dyDescent="0.2">
      <c r="A27" s="442" t="s">
        <v>832</v>
      </c>
      <c r="B27" s="442"/>
      <c r="C27" s="442" t="s">
        <v>731</v>
      </c>
      <c r="D27" s="442"/>
      <c r="E27" s="442"/>
      <c r="F27" s="442"/>
      <c r="G27" s="442"/>
      <c r="H27" s="442"/>
      <c r="I27" s="442"/>
      <c r="J27" s="443">
        <v>43756</v>
      </c>
      <c r="K27" s="445">
        <v>500</v>
      </c>
      <c r="L27" s="442" t="s">
        <v>833</v>
      </c>
      <c r="M27" s="442">
        <f t="shared" si="0"/>
        <v>6000</v>
      </c>
      <c r="N27" s="442">
        <f t="shared" si="1"/>
        <v>6000</v>
      </c>
    </row>
    <row r="28" spans="1:14" x14ac:dyDescent="0.2">
      <c r="A28" s="442" t="s">
        <v>832</v>
      </c>
      <c r="B28" s="442"/>
      <c r="C28" s="442" t="s">
        <v>732</v>
      </c>
      <c r="D28" s="442"/>
      <c r="E28" s="442"/>
      <c r="F28" s="442"/>
      <c r="G28" s="442"/>
      <c r="H28" s="442"/>
      <c r="I28" s="442"/>
      <c r="J28" s="443">
        <v>43767</v>
      </c>
      <c r="K28" s="445">
        <v>1200</v>
      </c>
      <c r="L28" s="442" t="s">
        <v>833</v>
      </c>
      <c r="M28" s="442">
        <f t="shared" si="0"/>
        <v>14400</v>
      </c>
      <c r="N28" s="442">
        <f t="shared" si="1"/>
        <v>14400</v>
      </c>
    </row>
    <row r="29" spans="1:14" x14ac:dyDescent="0.2">
      <c r="A29" s="442" t="s">
        <v>832</v>
      </c>
      <c r="B29" s="442"/>
      <c r="C29" s="442" t="s">
        <v>733</v>
      </c>
      <c r="D29" s="442"/>
      <c r="E29" s="442"/>
      <c r="F29" s="442"/>
      <c r="G29" s="442"/>
      <c r="H29" s="442"/>
      <c r="I29" s="442"/>
      <c r="J29" s="443">
        <v>43804</v>
      </c>
      <c r="K29" s="445">
        <v>2700</v>
      </c>
      <c r="L29" s="442" t="s">
        <v>833</v>
      </c>
      <c r="M29" s="442">
        <f t="shared" si="0"/>
        <v>32400</v>
      </c>
      <c r="N29" s="442">
        <f t="shared" si="1"/>
        <v>32400</v>
      </c>
    </row>
    <row r="30" spans="1:14" x14ac:dyDescent="0.2">
      <c r="A30" s="442" t="s">
        <v>832</v>
      </c>
      <c r="B30" s="442"/>
      <c r="C30" s="442" t="s">
        <v>734</v>
      </c>
      <c r="D30" s="442"/>
      <c r="E30" s="442"/>
      <c r="F30" s="442"/>
      <c r="G30" s="442"/>
      <c r="H30" s="442"/>
      <c r="I30" s="442"/>
      <c r="J30" s="443">
        <v>43804</v>
      </c>
      <c r="K30" s="445">
        <v>5000</v>
      </c>
      <c r="L30" s="442" t="s">
        <v>833</v>
      </c>
      <c r="M30" s="442">
        <f t="shared" si="0"/>
        <v>60000</v>
      </c>
      <c r="N30" s="442">
        <f t="shared" si="1"/>
        <v>60000</v>
      </c>
    </row>
    <row r="31" spans="1:14" x14ac:dyDescent="0.2">
      <c r="A31" s="442" t="s">
        <v>832</v>
      </c>
      <c r="B31" s="442"/>
      <c r="C31" s="367" t="s">
        <v>711</v>
      </c>
      <c r="D31" s="442"/>
      <c r="E31" s="442"/>
      <c r="F31" s="442"/>
      <c r="G31" s="442"/>
      <c r="H31" s="442"/>
      <c r="I31" s="442"/>
      <c r="J31" s="443">
        <v>43860</v>
      </c>
      <c r="K31" s="445">
        <v>3600</v>
      </c>
      <c r="L31" s="442" t="s">
        <v>833</v>
      </c>
      <c r="M31" s="442">
        <f t="shared" si="0"/>
        <v>43200</v>
      </c>
      <c r="N31" s="442">
        <f t="shared" si="1"/>
        <v>43200</v>
      </c>
    </row>
    <row r="32" spans="1:14" x14ac:dyDescent="0.2">
      <c r="A32" s="442" t="s">
        <v>832</v>
      </c>
      <c r="B32" s="442"/>
      <c r="C32" s="367" t="s">
        <v>735</v>
      </c>
      <c r="D32" s="442"/>
      <c r="E32" s="442"/>
      <c r="F32" s="442"/>
      <c r="G32" s="442"/>
      <c r="H32" s="442"/>
      <c r="I32" s="442"/>
      <c r="J32" s="443">
        <v>43858</v>
      </c>
      <c r="K32" s="445">
        <v>30000</v>
      </c>
      <c r="L32" s="442" t="s">
        <v>833</v>
      </c>
      <c r="M32" s="442">
        <f t="shared" si="0"/>
        <v>360000</v>
      </c>
      <c r="N32" s="442">
        <f t="shared" si="1"/>
        <v>360000</v>
      </c>
    </row>
    <row r="33" spans="1:14" x14ac:dyDescent="0.2">
      <c r="A33" s="442" t="s">
        <v>832</v>
      </c>
      <c r="B33" s="367"/>
      <c r="C33" s="367" t="s">
        <v>736</v>
      </c>
      <c r="D33" s="367"/>
      <c r="E33" s="367"/>
      <c r="F33" s="367"/>
      <c r="G33" s="367"/>
      <c r="H33" s="367"/>
      <c r="I33" s="367"/>
      <c r="J33" s="447">
        <v>43861</v>
      </c>
      <c r="K33" s="448">
        <v>30000</v>
      </c>
      <c r="L33" s="442" t="s">
        <v>833</v>
      </c>
      <c r="M33" s="442">
        <f t="shared" si="0"/>
        <v>360000</v>
      </c>
      <c r="N33" s="442">
        <f t="shared" si="1"/>
        <v>360000</v>
      </c>
    </row>
    <row r="34" spans="1:14" x14ac:dyDescent="0.2">
      <c r="A34" s="442" t="s">
        <v>832</v>
      </c>
      <c r="B34" s="367"/>
      <c r="C34" s="368" t="s">
        <v>737</v>
      </c>
      <c r="D34" s="367"/>
      <c r="E34" s="367"/>
      <c r="F34" s="367"/>
      <c r="G34" s="367"/>
      <c r="H34" s="367"/>
      <c r="I34" s="367"/>
      <c r="J34" s="447">
        <v>43860</v>
      </c>
      <c r="K34" s="448">
        <v>4000</v>
      </c>
      <c r="L34" s="442" t="s">
        <v>833</v>
      </c>
      <c r="M34" s="442">
        <f t="shared" si="0"/>
        <v>48000</v>
      </c>
      <c r="N34" s="442">
        <f t="shared" si="1"/>
        <v>48000</v>
      </c>
    </row>
    <row r="35" spans="1:14" x14ac:dyDescent="0.2">
      <c r="A35" s="442" t="s">
        <v>832</v>
      </c>
      <c r="B35" s="367"/>
      <c r="C35" s="367" t="s">
        <v>718</v>
      </c>
      <c r="D35" s="367"/>
      <c r="E35" s="367"/>
      <c r="F35" s="367"/>
      <c r="G35" s="367"/>
      <c r="H35" s="367"/>
      <c r="I35" s="367"/>
      <c r="J35" s="447">
        <v>43867</v>
      </c>
      <c r="K35" s="448">
        <v>6000</v>
      </c>
      <c r="L35" s="442" t="s">
        <v>833</v>
      </c>
      <c r="M35" s="442">
        <f t="shared" si="0"/>
        <v>72000</v>
      </c>
      <c r="N35" s="442">
        <f t="shared" si="1"/>
        <v>72000</v>
      </c>
    </row>
    <row r="36" spans="1:14" x14ac:dyDescent="0.2">
      <c r="A36" s="442" t="s">
        <v>832</v>
      </c>
      <c r="B36" s="367"/>
      <c r="C36" s="367" t="s">
        <v>730</v>
      </c>
      <c r="D36" s="367"/>
      <c r="E36" s="367"/>
      <c r="F36" s="367"/>
      <c r="G36" s="367"/>
      <c r="H36" s="367"/>
      <c r="I36" s="367"/>
      <c r="J36" s="447">
        <v>43880</v>
      </c>
      <c r="K36" s="448">
        <v>6000</v>
      </c>
      <c r="L36" s="442" t="s">
        <v>833</v>
      </c>
      <c r="M36" s="442">
        <f t="shared" si="0"/>
        <v>72000</v>
      </c>
      <c r="N36" s="442">
        <f t="shared" si="1"/>
        <v>72000</v>
      </c>
    </row>
    <row r="37" spans="1:14" x14ac:dyDescent="0.2">
      <c r="A37" s="442" t="s">
        <v>832</v>
      </c>
      <c r="B37" s="367"/>
      <c r="C37" s="367" t="s">
        <v>713</v>
      </c>
      <c r="D37" s="367"/>
      <c r="E37" s="367"/>
      <c r="F37" s="367"/>
      <c r="G37" s="367"/>
      <c r="H37" s="367"/>
      <c r="I37" s="367"/>
      <c r="J37" s="447">
        <v>43867</v>
      </c>
      <c r="K37" s="448">
        <v>42000</v>
      </c>
      <c r="L37" s="442" t="s">
        <v>833</v>
      </c>
      <c r="M37" s="442">
        <f t="shared" si="0"/>
        <v>504000</v>
      </c>
      <c r="N37" s="442">
        <f t="shared" si="1"/>
        <v>504000</v>
      </c>
    </row>
    <row r="38" spans="1:14" x14ac:dyDescent="0.2">
      <c r="A38" s="442" t="s">
        <v>832</v>
      </c>
      <c r="B38" s="367"/>
      <c r="C38" s="367" t="s">
        <v>714</v>
      </c>
      <c r="D38" s="367"/>
      <c r="E38" s="367"/>
      <c r="F38" s="367"/>
      <c r="G38" s="367"/>
      <c r="H38" s="367"/>
      <c r="I38" s="367"/>
      <c r="J38" s="447">
        <v>43867</v>
      </c>
      <c r="K38" s="448">
        <v>60000</v>
      </c>
      <c r="L38" s="442" t="s">
        <v>833</v>
      </c>
      <c r="M38" s="442">
        <f t="shared" si="0"/>
        <v>720000</v>
      </c>
      <c r="N38" s="442">
        <f t="shared" si="1"/>
        <v>720000</v>
      </c>
    </row>
    <row r="39" spans="1:14" x14ac:dyDescent="0.2">
      <c r="A39" s="442" t="s">
        <v>832</v>
      </c>
      <c r="B39" s="367"/>
      <c r="C39" s="367" t="s">
        <v>738</v>
      </c>
      <c r="D39" s="367"/>
      <c r="E39" s="367"/>
      <c r="F39" s="367"/>
      <c r="G39" s="367"/>
      <c r="H39" s="367"/>
      <c r="I39" s="367"/>
      <c r="J39" s="447">
        <v>43868</v>
      </c>
      <c r="K39" s="448">
        <v>7800</v>
      </c>
      <c r="L39" s="442" t="s">
        <v>833</v>
      </c>
      <c r="M39" s="442">
        <f t="shared" si="0"/>
        <v>93600</v>
      </c>
      <c r="N39" s="442">
        <f t="shared" si="1"/>
        <v>93600</v>
      </c>
    </row>
    <row r="40" spans="1:14" x14ac:dyDescent="0.2">
      <c r="A40" s="442" t="s">
        <v>832</v>
      </c>
      <c r="B40" s="367"/>
      <c r="C40" s="367" t="s">
        <v>715</v>
      </c>
      <c r="D40" s="367"/>
      <c r="E40" s="367"/>
      <c r="F40" s="367"/>
      <c r="G40" s="367"/>
      <c r="H40" s="367"/>
      <c r="I40" s="367"/>
      <c r="J40" s="447">
        <v>43887</v>
      </c>
      <c r="K40" s="448">
        <v>6000</v>
      </c>
      <c r="L40" s="442" t="s">
        <v>833</v>
      </c>
      <c r="M40" s="442">
        <f t="shared" si="0"/>
        <v>72000</v>
      </c>
      <c r="N40" s="442">
        <f t="shared" si="1"/>
        <v>72000</v>
      </c>
    </row>
    <row r="41" spans="1:14" x14ac:dyDescent="0.2">
      <c r="A41" s="442" t="s">
        <v>832</v>
      </c>
      <c r="B41" s="367"/>
      <c r="C41" s="367" t="s">
        <v>719</v>
      </c>
      <c r="D41" s="367"/>
      <c r="E41" s="367"/>
      <c r="F41" s="367"/>
      <c r="G41" s="367"/>
      <c r="H41" s="367"/>
      <c r="I41" s="367"/>
      <c r="J41" s="447">
        <v>43868</v>
      </c>
      <c r="K41" s="448">
        <v>7600</v>
      </c>
      <c r="L41" s="442" t="s">
        <v>833</v>
      </c>
      <c r="M41" s="442">
        <f t="shared" si="0"/>
        <v>91200</v>
      </c>
      <c r="N41" s="442">
        <f t="shared" si="1"/>
        <v>91200</v>
      </c>
    </row>
    <row r="42" spans="1:14" x14ac:dyDescent="0.2">
      <c r="A42" s="442" t="s">
        <v>832</v>
      </c>
      <c r="B42" s="367"/>
      <c r="C42" s="367" t="s">
        <v>739</v>
      </c>
      <c r="D42" s="367"/>
      <c r="E42" s="367"/>
      <c r="F42" s="367"/>
      <c r="G42" s="367"/>
      <c r="H42" s="367"/>
      <c r="I42" s="367"/>
      <c r="J42" s="447">
        <v>43868</v>
      </c>
      <c r="K42" s="448">
        <v>27000</v>
      </c>
      <c r="L42" s="442" t="s">
        <v>833</v>
      </c>
      <c r="M42" s="442">
        <f t="shared" si="0"/>
        <v>324000</v>
      </c>
      <c r="N42" s="442">
        <f t="shared" si="1"/>
        <v>324000</v>
      </c>
    </row>
    <row r="43" spans="1:14" x14ac:dyDescent="0.2">
      <c r="A43" s="442" t="s">
        <v>832</v>
      </c>
      <c r="B43" s="367"/>
      <c r="C43" s="367" t="s">
        <v>725</v>
      </c>
      <c r="D43" s="367"/>
      <c r="E43" s="367"/>
      <c r="F43" s="367"/>
      <c r="G43" s="367"/>
      <c r="H43" s="367"/>
      <c r="I43" s="367"/>
      <c r="J43" s="447">
        <v>43893</v>
      </c>
      <c r="K43" s="448">
        <v>21600</v>
      </c>
      <c r="L43" s="442" t="s">
        <v>833</v>
      </c>
      <c r="M43" s="442">
        <f t="shared" si="0"/>
        <v>259200</v>
      </c>
      <c r="N43" s="442">
        <f t="shared" si="1"/>
        <v>259200</v>
      </c>
    </row>
    <row r="44" spans="1:14" x14ac:dyDescent="0.2">
      <c r="A44" s="442" t="s">
        <v>832</v>
      </c>
      <c r="B44" s="367"/>
      <c r="C44" s="367" t="s">
        <v>740</v>
      </c>
      <c r="D44" s="367"/>
      <c r="E44" s="367"/>
      <c r="F44" s="367"/>
      <c r="G44" s="367"/>
      <c r="H44" s="367"/>
      <c r="I44" s="367"/>
      <c r="J44" s="447">
        <v>43894</v>
      </c>
      <c r="K44" s="448">
        <v>14400</v>
      </c>
      <c r="L44" s="442" t="s">
        <v>833</v>
      </c>
      <c r="M44" s="442">
        <f t="shared" si="0"/>
        <v>172800</v>
      </c>
      <c r="N44" s="442">
        <f t="shared" si="1"/>
        <v>172800</v>
      </c>
    </row>
    <row r="45" spans="1:14" x14ac:dyDescent="0.2">
      <c r="A45" s="442" t="s">
        <v>832</v>
      </c>
      <c r="B45" s="367"/>
      <c r="C45" s="367" t="s">
        <v>741</v>
      </c>
      <c r="D45" s="367"/>
      <c r="E45" s="367"/>
      <c r="F45" s="367"/>
      <c r="G45" s="367"/>
      <c r="H45" s="367"/>
      <c r="I45" s="367"/>
      <c r="J45" s="447">
        <v>43893</v>
      </c>
      <c r="K45" s="448">
        <v>2000</v>
      </c>
      <c r="L45" s="442" t="s">
        <v>833</v>
      </c>
      <c r="M45" s="442">
        <f t="shared" si="0"/>
        <v>24000</v>
      </c>
      <c r="N45" s="442">
        <f t="shared" si="1"/>
        <v>24000</v>
      </c>
    </row>
    <row r="46" spans="1:14" x14ac:dyDescent="0.2">
      <c r="A46" s="442" t="s">
        <v>832</v>
      </c>
      <c r="B46" s="367"/>
      <c r="C46" s="367" t="s">
        <v>726</v>
      </c>
      <c r="D46" s="367"/>
      <c r="E46" s="367"/>
      <c r="F46" s="367"/>
      <c r="G46" s="367"/>
      <c r="H46" s="367"/>
      <c r="I46" s="367"/>
      <c r="J46" s="447">
        <v>43983</v>
      </c>
      <c r="K46" s="448">
        <v>40500</v>
      </c>
      <c r="L46" s="442" t="s">
        <v>833</v>
      </c>
      <c r="M46" s="442">
        <f t="shared" si="0"/>
        <v>486000</v>
      </c>
      <c r="N46" s="442">
        <f t="shared" si="1"/>
        <v>486000</v>
      </c>
    </row>
    <row r="47" spans="1:14" ht="12.75" thickBot="1" x14ac:dyDescent="0.25">
      <c r="A47" s="442" t="s">
        <v>832</v>
      </c>
      <c r="B47" s="367"/>
      <c r="C47" s="367" t="s">
        <v>742</v>
      </c>
      <c r="D47" s="367"/>
      <c r="E47" s="367"/>
      <c r="F47" s="367"/>
      <c r="G47" s="367"/>
      <c r="H47" s="367"/>
      <c r="I47" s="367"/>
      <c r="J47" s="447">
        <v>44085</v>
      </c>
      <c r="K47" s="448">
        <v>2900</v>
      </c>
      <c r="L47" s="442" t="s">
        <v>833</v>
      </c>
      <c r="M47" s="442">
        <f t="shared" si="0"/>
        <v>34800</v>
      </c>
      <c r="N47" s="442">
        <f t="shared" si="1"/>
        <v>34800</v>
      </c>
    </row>
    <row r="48" spans="1:14" ht="12.75" thickBot="1" x14ac:dyDescent="0.25">
      <c r="A48" s="59"/>
      <c r="B48" s="161"/>
      <c r="C48" s="52"/>
      <c r="D48" s="163"/>
      <c r="E48" s="164"/>
      <c r="F48" s="50"/>
      <c r="G48" s="50"/>
      <c r="H48" s="50"/>
      <c r="I48" s="162"/>
      <c r="J48" s="15"/>
      <c r="K48" s="52"/>
      <c r="L48" s="16"/>
      <c r="M48" s="16"/>
      <c r="N48" s="16"/>
    </row>
    <row r="49" spans="1:1" x14ac:dyDescent="0.2">
      <c r="A49" s="118" t="s">
        <v>409</v>
      </c>
    </row>
  </sheetData>
  <mergeCells count="6">
    <mergeCell ref="M4:M5"/>
    <mergeCell ref="N4:N5"/>
    <mergeCell ref="C4:D4"/>
    <mergeCell ref="A4:B4"/>
    <mergeCell ref="J4:L4"/>
    <mergeCell ref="E4:I4"/>
  </mergeCells>
  <printOptions horizontalCentered="1"/>
  <pageMargins left="0.25" right="0.25" top="0.75" bottom="0.75" header="0.3" footer="0.3"/>
  <pageSetup paperSize="9" scale="7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N27"/>
  <sheetViews>
    <sheetView view="pageLayout" zoomScaleNormal="100" zoomScaleSheetLayoutView="100" workbookViewId="0">
      <selection activeCell="N5" sqref="N5"/>
    </sheetView>
  </sheetViews>
  <sheetFormatPr baseColWidth="10" defaultColWidth="2" defaultRowHeight="11.25" x14ac:dyDescent="0.2"/>
  <cols>
    <col min="1" max="1" width="12.42578125" style="63" customWidth="1"/>
    <col min="2" max="2" width="16.85546875" style="63" customWidth="1"/>
    <col min="3" max="3" width="24" style="63" customWidth="1"/>
    <col min="4" max="4" width="18.7109375" style="63" customWidth="1"/>
    <col min="5" max="5" width="8.140625" style="63" customWidth="1"/>
    <col min="6" max="6" width="6.28515625" style="63" bestFit="1" customWidth="1"/>
    <col min="7" max="7" width="20.7109375" style="63" customWidth="1"/>
    <col min="8" max="8" width="22.28515625" style="63" customWidth="1"/>
    <col min="9" max="9" width="4.85546875" style="63" hidden="1" customWidth="1"/>
    <col min="10" max="10" width="7.85546875" style="63" hidden="1" customWidth="1"/>
    <col min="11" max="11" width="6.28515625" style="63" bestFit="1" customWidth="1"/>
    <col min="12" max="12" width="8.85546875" style="63" bestFit="1" customWidth="1"/>
    <col min="13" max="14" width="6.140625" style="63" bestFit="1" customWidth="1"/>
    <col min="15" max="15" width="8.7109375" style="63" customWidth="1"/>
    <col min="16" max="16384" width="2" style="63"/>
  </cols>
  <sheetData>
    <row r="1" spans="1:14" s="128" customFormat="1" ht="12.75" x14ac:dyDescent="0.2">
      <c r="A1" s="127" t="s">
        <v>320</v>
      </c>
      <c r="B1" s="168"/>
      <c r="C1" s="127"/>
    </row>
    <row r="2" spans="1:14" s="128" customFormat="1" ht="12" thickBot="1" x14ac:dyDescent="0.25">
      <c r="A2" s="129" t="s">
        <v>962</v>
      </c>
      <c r="B2" s="129"/>
      <c r="C2" s="129"/>
    </row>
    <row r="3" spans="1:14" s="62" customFormat="1" ht="22.5" customHeight="1" x14ac:dyDescent="0.2">
      <c r="A3" s="503" t="s">
        <v>283</v>
      </c>
      <c r="B3" s="503" t="s">
        <v>286</v>
      </c>
      <c r="C3" s="503" t="s">
        <v>285</v>
      </c>
      <c r="D3" s="505" t="s">
        <v>284</v>
      </c>
      <c r="E3" s="505" t="s">
        <v>261</v>
      </c>
      <c r="F3" s="505" t="s">
        <v>262</v>
      </c>
      <c r="G3" s="505" t="s">
        <v>118</v>
      </c>
      <c r="H3" s="505" t="s">
        <v>263</v>
      </c>
      <c r="I3" s="501">
        <v>2018</v>
      </c>
      <c r="J3" s="502"/>
      <c r="K3" s="501">
        <v>2019</v>
      </c>
      <c r="L3" s="502"/>
      <c r="M3" s="177">
        <v>2020</v>
      </c>
      <c r="N3" s="177">
        <v>2021</v>
      </c>
    </row>
    <row r="4" spans="1:14" s="62" customFormat="1" ht="22.5" x14ac:dyDescent="0.2">
      <c r="A4" s="504"/>
      <c r="B4" s="504"/>
      <c r="C4" s="504"/>
      <c r="D4" s="506"/>
      <c r="E4" s="506"/>
      <c r="F4" s="506"/>
      <c r="G4" s="506"/>
      <c r="H4" s="506"/>
      <c r="I4" s="178" t="s">
        <v>266</v>
      </c>
      <c r="J4" s="178" t="s">
        <v>264</v>
      </c>
      <c r="K4" s="178" t="s">
        <v>266</v>
      </c>
      <c r="L4" s="178" t="s">
        <v>265</v>
      </c>
      <c r="M4" s="178" t="s">
        <v>266</v>
      </c>
      <c r="N4" s="178" t="s">
        <v>266</v>
      </c>
    </row>
    <row r="5" spans="1:14" s="132" customFormat="1" ht="45" x14ac:dyDescent="0.2">
      <c r="A5" s="130"/>
      <c r="B5" s="339" t="s">
        <v>515</v>
      </c>
      <c r="C5" s="131" t="s">
        <v>516</v>
      </c>
      <c r="D5" s="131" t="s">
        <v>517</v>
      </c>
      <c r="E5" s="131" t="s">
        <v>518</v>
      </c>
      <c r="F5" s="340">
        <v>0.6</v>
      </c>
      <c r="G5" s="131" t="s">
        <v>519</v>
      </c>
      <c r="H5" s="131" t="s">
        <v>519</v>
      </c>
      <c r="I5" s="131"/>
      <c r="J5" s="131"/>
      <c r="K5" s="340">
        <v>0.5</v>
      </c>
      <c r="L5" s="341">
        <v>0</v>
      </c>
      <c r="M5" s="340">
        <v>0.55000000000000004</v>
      </c>
      <c r="N5" s="340">
        <v>0.6</v>
      </c>
    </row>
    <row r="6" spans="1:14" s="132" customFormat="1" ht="56.25" x14ac:dyDescent="0.2">
      <c r="A6" s="130"/>
      <c r="B6" s="339" t="s">
        <v>515</v>
      </c>
      <c r="C6" s="131" t="s">
        <v>520</v>
      </c>
      <c r="D6" s="131" t="s">
        <v>521</v>
      </c>
      <c r="E6" s="131" t="s">
        <v>522</v>
      </c>
      <c r="F6" s="340">
        <v>0.96</v>
      </c>
      <c r="G6" s="131" t="s">
        <v>523</v>
      </c>
      <c r="H6" s="131" t="s">
        <v>523</v>
      </c>
      <c r="I6" s="131"/>
      <c r="J6" s="131"/>
      <c r="K6" s="340">
        <v>0.94</v>
      </c>
      <c r="L6" s="341">
        <v>0.22500000000000001</v>
      </c>
      <c r="M6" s="340">
        <v>0.95</v>
      </c>
      <c r="N6" s="340">
        <v>0.96</v>
      </c>
    </row>
    <row r="7" spans="1:14" s="132" customFormat="1" ht="67.5" x14ac:dyDescent="0.2">
      <c r="A7" s="130"/>
      <c r="B7" s="339" t="s">
        <v>524</v>
      </c>
      <c r="C7" s="131" t="s">
        <v>525</v>
      </c>
      <c r="D7" s="131" t="s">
        <v>526</v>
      </c>
      <c r="E7" s="131" t="s">
        <v>527</v>
      </c>
      <c r="F7" s="340">
        <v>0.64</v>
      </c>
      <c r="G7" s="342" t="s">
        <v>528</v>
      </c>
      <c r="H7" s="342" t="s">
        <v>528</v>
      </c>
      <c r="I7" s="131"/>
      <c r="J7" s="131"/>
      <c r="K7" s="340">
        <v>0.61</v>
      </c>
      <c r="L7" s="341">
        <v>0.59</v>
      </c>
      <c r="M7" s="340">
        <v>0.62</v>
      </c>
      <c r="N7" s="340">
        <v>0.64</v>
      </c>
    </row>
    <row r="8" spans="1:14" s="132" customFormat="1" ht="27" customHeight="1" x14ac:dyDescent="0.2">
      <c r="A8" s="130"/>
      <c r="B8" s="498" t="s">
        <v>524</v>
      </c>
      <c r="C8" s="499" t="s">
        <v>529</v>
      </c>
      <c r="D8" s="342" t="s">
        <v>530</v>
      </c>
      <c r="E8" s="343" t="s">
        <v>531</v>
      </c>
      <c r="F8" s="344">
        <v>0.79</v>
      </c>
      <c r="G8" s="342" t="s">
        <v>532</v>
      </c>
      <c r="H8" s="342" t="s">
        <v>532</v>
      </c>
      <c r="I8" s="131"/>
      <c r="J8" s="131"/>
      <c r="K8" s="344">
        <v>0.77</v>
      </c>
      <c r="L8" s="341">
        <v>0.77</v>
      </c>
      <c r="M8" s="344">
        <v>0.78</v>
      </c>
      <c r="N8" s="344">
        <v>0.79</v>
      </c>
    </row>
    <row r="9" spans="1:14" s="132" customFormat="1" ht="78.75" x14ac:dyDescent="0.2">
      <c r="A9" s="130"/>
      <c r="B9" s="498"/>
      <c r="C9" s="499"/>
      <c r="D9" s="342" t="s">
        <v>533</v>
      </c>
      <c r="E9" s="343" t="s">
        <v>534</v>
      </c>
      <c r="F9" s="344">
        <v>0.89</v>
      </c>
      <c r="G9" s="342" t="s">
        <v>532</v>
      </c>
      <c r="H9" s="342" t="s">
        <v>532</v>
      </c>
      <c r="I9" s="131"/>
      <c r="J9" s="131"/>
      <c r="K9" s="344">
        <v>0.87</v>
      </c>
      <c r="L9" s="341">
        <v>0.85</v>
      </c>
      <c r="M9" s="344">
        <v>0.88</v>
      </c>
      <c r="N9" s="344">
        <v>0.89</v>
      </c>
    </row>
    <row r="10" spans="1:14" s="132" customFormat="1" ht="56.25" x14ac:dyDescent="0.2">
      <c r="A10" s="130"/>
      <c r="B10" s="498" t="s">
        <v>535</v>
      </c>
      <c r="C10" s="499" t="s">
        <v>536</v>
      </c>
      <c r="D10" s="342" t="s">
        <v>537</v>
      </c>
      <c r="E10" s="342" t="s">
        <v>538</v>
      </c>
      <c r="F10" s="342" t="s">
        <v>539</v>
      </c>
      <c r="G10" s="342" t="s">
        <v>540</v>
      </c>
      <c r="H10" s="342" t="s">
        <v>540</v>
      </c>
      <c r="I10" s="343"/>
      <c r="J10" s="343"/>
      <c r="K10" s="342" t="s">
        <v>541</v>
      </c>
      <c r="L10" s="345">
        <v>0.26700000000000002</v>
      </c>
      <c r="M10" s="342" t="s">
        <v>542</v>
      </c>
      <c r="N10" s="342" t="s">
        <v>539</v>
      </c>
    </row>
    <row r="11" spans="1:14" s="132" customFormat="1" ht="56.25" x14ac:dyDescent="0.2">
      <c r="A11" s="130"/>
      <c r="B11" s="498"/>
      <c r="C11" s="499"/>
      <c r="D11" s="342" t="s">
        <v>543</v>
      </c>
      <c r="E11" s="342" t="s">
        <v>544</v>
      </c>
      <c r="F11" s="342" t="s">
        <v>545</v>
      </c>
      <c r="G11" s="342" t="s">
        <v>540</v>
      </c>
      <c r="H11" s="342" t="s">
        <v>540</v>
      </c>
      <c r="I11" s="343"/>
      <c r="J11" s="343"/>
      <c r="K11" s="342" t="s">
        <v>546</v>
      </c>
      <c r="L11" s="345">
        <v>0.29599999999999999</v>
      </c>
      <c r="M11" s="342" t="s">
        <v>547</v>
      </c>
      <c r="N11" s="342" t="s">
        <v>545</v>
      </c>
    </row>
    <row r="12" spans="1:14" s="132" customFormat="1" ht="56.25" x14ac:dyDescent="0.2">
      <c r="A12" s="130"/>
      <c r="B12" s="346" t="s">
        <v>548</v>
      </c>
      <c r="C12" s="342" t="s">
        <v>549</v>
      </c>
      <c r="D12" s="342" t="s">
        <v>550</v>
      </c>
      <c r="E12" s="343" t="s">
        <v>551</v>
      </c>
      <c r="F12" s="344">
        <v>0.6</v>
      </c>
      <c r="G12" s="342" t="s">
        <v>552</v>
      </c>
      <c r="H12" s="342" t="s">
        <v>552</v>
      </c>
      <c r="I12" s="131"/>
      <c r="J12" s="131"/>
      <c r="K12" s="344">
        <v>0.2</v>
      </c>
      <c r="L12" s="344">
        <v>0</v>
      </c>
      <c r="M12" s="344">
        <v>0.4</v>
      </c>
      <c r="N12" s="344">
        <v>0.6</v>
      </c>
    </row>
    <row r="13" spans="1:14" s="132" customFormat="1" ht="33.75" x14ac:dyDescent="0.2">
      <c r="A13" s="130"/>
      <c r="B13" s="498" t="s">
        <v>548</v>
      </c>
      <c r="C13" s="500" t="s">
        <v>553</v>
      </c>
      <c r="D13" s="342" t="s">
        <v>554</v>
      </c>
      <c r="E13" s="343" t="s">
        <v>555</v>
      </c>
      <c r="F13" s="344">
        <v>0.15</v>
      </c>
      <c r="G13" s="342" t="s">
        <v>552</v>
      </c>
      <c r="H13" s="342" t="s">
        <v>552</v>
      </c>
      <c r="I13" s="131"/>
      <c r="J13" s="131"/>
      <c r="K13" s="344">
        <v>0.05</v>
      </c>
      <c r="L13" s="344">
        <v>0.64</v>
      </c>
      <c r="M13" s="344">
        <v>0.1</v>
      </c>
      <c r="N13" s="344">
        <v>0.15</v>
      </c>
    </row>
    <row r="14" spans="1:14" s="132" customFormat="1" ht="56.25" x14ac:dyDescent="0.2">
      <c r="A14" s="130"/>
      <c r="B14" s="498"/>
      <c r="C14" s="500"/>
      <c r="D14" s="342" t="s">
        <v>556</v>
      </c>
      <c r="E14" s="343" t="s">
        <v>555</v>
      </c>
      <c r="F14" s="344">
        <v>0.8</v>
      </c>
      <c r="G14" s="342" t="s">
        <v>552</v>
      </c>
      <c r="H14" s="342" t="s">
        <v>552</v>
      </c>
      <c r="I14" s="131"/>
      <c r="J14" s="131"/>
      <c r="K14" s="344">
        <v>0.25</v>
      </c>
      <c r="L14" s="344">
        <v>0.64</v>
      </c>
      <c r="M14" s="344">
        <v>0.5</v>
      </c>
      <c r="N14" s="344">
        <v>0.8</v>
      </c>
    </row>
    <row r="15" spans="1:14" s="132" customFormat="1" ht="67.5" x14ac:dyDescent="0.2">
      <c r="A15" s="130"/>
      <c r="B15" s="346" t="s">
        <v>557</v>
      </c>
      <c r="C15" s="347" t="s">
        <v>558</v>
      </c>
      <c r="D15" s="342" t="s">
        <v>559</v>
      </c>
      <c r="E15" s="343" t="s">
        <v>560</v>
      </c>
      <c r="F15" s="344">
        <v>0.9</v>
      </c>
      <c r="G15" s="342" t="s">
        <v>561</v>
      </c>
      <c r="H15" s="342" t="s">
        <v>561</v>
      </c>
      <c r="I15" s="131"/>
      <c r="J15" s="131"/>
      <c r="K15" s="344">
        <v>0.8</v>
      </c>
      <c r="L15" s="344">
        <v>0.44440000000000002</v>
      </c>
      <c r="M15" s="344">
        <v>0.85</v>
      </c>
      <c r="N15" s="344">
        <v>0.9</v>
      </c>
    </row>
    <row r="16" spans="1:14" s="132" customFormat="1" ht="33.75" x14ac:dyDescent="0.2">
      <c r="A16" s="130"/>
      <c r="B16" s="498" t="s">
        <v>557</v>
      </c>
      <c r="C16" s="499" t="s">
        <v>562</v>
      </c>
      <c r="D16" s="342" t="s">
        <v>563</v>
      </c>
      <c r="E16" s="348" t="s">
        <v>564</v>
      </c>
      <c r="F16" s="344">
        <v>0.7</v>
      </c>
      <c r="G16" s="342" t="s">
        <v>565</v>
      </c>
      <c r="H16" s="342" t="s">
        <v>565</v>
      </c>
      <c r="I16" s="131"/>
      <c r="J16" s="131"/>
      <c r="K16" s="344">
        <v>0.45</v>
      </c>
      <c r="L16" s="349">
        <v>0.2833</v>
      </c>
      <c r="M16" s="344">
        <v>0.6</v>
      </c>
      <c r="N16" s="344">
        <v>0.7</v>
      </c>
    </row>
    <row r="17" spans="1:14" s="132" customFormat="1" ht="45" x14ac:dyDescent="0.2">
      <c r="A17" s="130"/>
      <c r="B17" s="498"/>
      <c r="C17" s="499"/>
      <c r="D17" s="342" t="s">
        <v>566</v>
      </c>
      <c r="E17" s="348" t="s">
        <v>567</v>
      </c>
      <c r="F17" s="344">
        <v>0.6</v>
      </c>
      <c r="G17" s="342" t="s">
        <v>568</v>
      </c>
      <c r="H17" s="342" t="s">
        <v>568</v>
      </c>
      <c r="I17" s="131"/>
      <c r="J17" s="131"/>
      <c r="K17" s="344">
        <v>0.4</v>
      </c>
      <c r="L17" s="344">
        <v>0.30759999999999998</v>
      </c>
      <c r="M17" s="344">
        <v>0.5</v>
      </c>
      <c r="N17" s="344">
        <v>0.6</v>
      </c>
    </row>
    <row r="18" spans="1:14" s="132" customFormat="1" ht="34.5" thickBot="1" x14ac:dyDescent="0.25">
      <c r="A18" s="133"/>
      <c r="B18" s="498"/>
      <c r="C18" s="499"/>
      <c r="D18" s="342" t="s">
        <v>569</v>
      </c>
      <c r="E18" s="348" t="s">
        <v>567</v>
      </c>
      <c r="F18" s="344">
        <v>0.6</v>
      </c>
      <c r="G18" s="342" t="s">
        <v>570</v>
      </c>
      <c r="H18" s="342" t="s">
        <v>570</v>
      </c>
      <c r="I18" s="131"/>
      <c r="J18" s="131"/>
      <c r="K18" s="344">
        <v>0.4</v>
      </c>
      <c r="L18" s="344">
        <v>0.4</v>
      </c>
      <c r="M18" s="344">
        <v>0.5</v>
      </c>
      <c r="N18" s="344">
        <v>0.6</v>
      </c>
    </row>
    <row r="19" spans="1:14" ht="67.5" x14ac:dyDescent="0.2">
      <c r="B19" s="350" t="s">
        <v>571</v>
      </c>
      <c r="C19" s="131" t="s">
        <v>572</v>
      </c>
      <c r="D19" s="131" t="s">
        <v>573</v>
      </c>
      <c r="E19" s="341" t="s">
        <v>574</v>
      </c>
      <c r="F19" s="344">
        <v>0.12</v>
      </c>
      <c r="G19" s="342" t="s">
        <v>575</v>
      </c>
      <c r="H19" s="342" t="s">
        <v>575</v>
      </c>
      <c r="I19" s="131"/>
      <c r="J19" s="131"/>
      <c r="K19" s="344">
        <v>7.0000000000000007E-2</v>
      </c>
      <c r="L19" s="344">
        <v>4.9299999999999997E-2</v>
      </c>
      <c r="M19" s="344">
        <v>0.1</v>
      </c>
      <c r="N19" s="344">
        <v>0.12</v>
      </c>
    </row>
    <row r="20" spans="1:14" ht="78.75" x14ac:dyDescent="0.2">
      <c r="B20" s="350" t="s">
        <v>571</v>
      </c>
      <c r="C20" s="131" t="s">
        <v>576</v>
      </c>
      <c r="D20" s="131" t="s">
        <v>577</v>
      </c>
      <c r="E20" s="347" t="s">
        <v>578</v>
      </c>
      <c r="F20" s="341">
        <v>0.08</v>
      </c>
      <c r="G20" s="342" t="s">
        <v>579</v>
      </c>
      <c r="H20" s="342" t="s">
        <v>579</v>
      </c>
      <c r="I20" s="131"/>
      <c r="J20" s="131"/>
      <c r="K20" s="341">
        <v>0.03</v>
      </c>
      <c r="L20" s="349">
        <v>5.57E-2</v>
      </c>
      <c r="M20" s="341">
        <v>0.05</v>
      </c>
      <c r="N20" s="344">
        <v>0.08</v>
      </c>
    </row>
    <row r="21" spans="1:14" ht="45" x14ac:dyDescent="0.2">
      <c r="B21" s="350" t="s">
        <v>580</v>
      </c>
      <c r="C21" s="131" t="s">
        <v>581</v>
      </c>
      <c r="D21" s="131" t="s">
        <v>582</v>
      </c>
      <c r="E21" s="351" t="s">
        <v>583</v>
      </c>
      <c r="F21" s="352">
        <v>0.83199999999999996</v>
      </c>
      <c r="G21" s="342" t="s">
        <v>584</v>
      </c>
      <c r="H21" s="342" t="s">
        <v>584</v>
      </c>
      <c r="I21" s="131"/>
      <c r="J21" s="131"/>
      <c r="K21" s="352">
        <v>0.78700000000000003</v>
      </c>
      <c r="L21" s="349">
        <v>0.86529999999999996</v>
      </c>
      <c r="M21" s="352">
        <v>0.81100000000000005</v>
      </c>
      <c r="N21" s="344">
        <v>0.83199999999999996</v>
      </c>
    </row>
    <row r="22" spans="1:14" ht="45" x14ac:dyDescent="0.2">
      <c r="B22" s="498" t="s">
        <v>580</v>
      </c>
      <c r="C22" s="499" t="s">
        <v>585</v>
      </c>
      <c r="D22" s="131" t="s">
        <v>586</v>
      </c>
      <c r="E22" s="341" t="s">
        <v>587</v>
      </c>
      <c r="F22" s="341">
        <v>0.83199999999999996</v>
      </c>
      <c r="G22" s="342" t="s">
        <v>584</v>
      </c>
      <c r="H22" s="342" t="s">
        <v>584</v>
      </c>
      <c r="I22" s="131"/>
      <c r="J22" s="131"/>
      <c r="K22" s="341">
        <v>0.78700000000000003</v>
      </c>
      <c r="L22" s="349">
        <v>0.86529999999999996</v>
      </c>
      <c r="M22" s="341">
        <v>0.81100000000000005</v>
      </c>
      <c r="N22" s="341">
        <v>0.83199999999999996</v>
      </c>
    </row>
    <row r="23" spans="1:14" ht="45" x14ac:dyDescent="0.2">
      <c r="B23" s="498"/>
      <c r="C23" s="499"/>
      <c r="D23" s="131" t="s">
        <v>588</v>
      </c>
      <c r="E23" s="347" t="s">
        <v>589</v>
      </c>
      <c r="F23" s="341">
        <v>0.5</v>
      </c>
      <c r="G23" s="342" t="s">
        <v>584</v>
      </c>
      <c r="H23" s="342" t="s">
        <v>584</v>
      </c>
      <c r="I23" s="131"/>
      <c r="J23" s="131"/>
      <c r="K23" s="341">
        <v>0.3</v>
      </c>
      <c r="L23" s="344">
        <v>0</v>
      </c>
      <c r="M23" s="341">
        <v>0.4</v>
      </c>
      <c r="N23" s="341">
        <v>0.5</v>
      </c>
    </row>
    <row r="24" spans="1:14" ht="56.25" x14ac:dyDescent="0.2">
      <c r="B24" s="350" t="s">
        <v>590</v>
      </c>
      <c r="C24" s="131" t="s">
        <v>591</v>
      </c>
      <c r="D24" s="131" t="s">
        <v>592</v>
      </c>
      <c r="E24" s="347" t="s">
        <v>593</v>
      </c>
      <c r="F24" s="353">
        <v>0.47399999999999998</v>
      </c>
      <c r="G24" s="131" t="s">
        <v>594</v>
      </c>
      <c r="H24" s="131" t="s">
        <v>594</v>
      </c>
      <c r="I24" s="131"/>
      <c r="J24" s="131"/>
      <c r="K24" s="353">
        <v>0.32400000000000001</v>
      </c>
      <c r="L24" s="349">
        <v>0.1275</v>
      </c>
      <c r="M24" s="353">
        <v>0.45600000000000002</v>
      </c>
      <c r="N24" s="353">
        <v>0.47399999999999998</v>
      </c>
    </row>
    <row r="25" spans="1:14" ht="67.5" x14ac:dyDescent="0.2">
      <c r="B25" s="350" t="s">
        <v>590</v>
      </c>
      <c r="C25" s="131" t="s">
        <v>595</v>
      </c>
      <c r="D25" s="131" t="s">
        <v>596</v>
      </c>
      <c r="E25" s="347" t="s">
        <v>597</v>
      </c>
      <c r="F25" s="353">
        <v>1.9099999999999999E-2</v>
      </c>
      <c r="G25" s="131" t="s">
        <v>598</v>
      </c>
      <c r="H25" s="131" t="s">
        <v>598</v>
      </c>
      <c r="I25" s="131"/>
      <c r="J25" s="131"/>
      <c r="K25" s="354">
        <v>1.8499999999999999E-2</v>
      </c>
      <c r="L25" s="349">
        <v>8.0000000000000004E-4</v>
      </c>
      <c r="M25" s="353">
        <v>1.9E-2</v>
      </c>
      <c r="N25" s="354">
        <v>1.9099999999999999E-2</v>
      </c>
    </row>
    <row r="26" spans="1:14" ht="63.75" x14ac:dyDescent="0.2">
      <c r="B26" s="350" t="s">
        <v>599</v>
      </c>
      <c r="C26" s="355" t="s">
        <v>600</v>
      </c>
      <c r="D26" s="355" t="s">
        <v>601</v>
      </c>
      <c r="E26" s="351" t="s">
        <v>602</v>
      </c>
      <c r="F26" s="341">
        <v>0.28000000000000003</v>
      </c>
      <c r="G26" s="131" t="s">
        <v>603</v>
      </c>
      <c r="H26" s="131" t="s">
        <v>603</v>
      </c>
      <c r="I26" s="131"/>
      <c r="J26" s="131"/>
      <c r="K26" s="354">
        <v>0.26</v>
      </c>
      <c r="L26" s="344">
        <v>0.52</v>
      </c>
      <c r="M26" s="353">
        <v>0.27</v>
      </c>
      <c r="N26" s="341">
        <v>0.28000000000000003</v>
      </c>
    </row>
    <row r="27" spans="1:14" ht="67.5" x14ac:dyDescent="0.2">
      <c r="B27" s="350" t="s">
        <v>599</v>
      </c>
      <c r="C27" s="131" t="s">
        <v>604</v>
      </c>
      <c r="D27" s="131" t="s">
        <v>605</v>
      </c>
      <c r="E27" s="356" t="s">
        <v>606</v>
      </c>
      <c r="F27" s="341">
        <v>1</v>
      </c>
      <c r="G27" s="131" t="s">
        <v>603</v>
      </c>
      <c r="H27" s="131" t="s">
        <v>603</v>
      </c>
      <c r="I27" s="131"/>
      <c r="J27" s="131"/>
      <c r="K27" s="354">
        <v>0.8</v>
      </c>
      <c r="L27" s="357">
        <v>0.60599999999999998</v>
      </c>
      <c r="M27" s="353">
        <v>0.9</v>
      </c>
      <c r="N27" s="341">
        <v>1</v>
      </c>
    </row>
  </sheetData>
  <mergeCells count="20">
    <mergeCell ref="I3:J3"/>
    <mergeCell ref="K3:L3"/>
    <mergeCell ref="C3:C4"/>
    <mergeCell ref="B3:B4"/>
    <mergeCell ref="A3:A4"/>
    <mergeCell ref="D3:D4"/>
    <mergeCell ref="E3:E4"/>
    <mergeCell ref="F3:F4"/>
    <mergeCell ref="G3:G4"/>
    <mergeCell ref="H3:H4"/>
    <mergeCell ref="B16:B18"/>
    <mergeCell ref="C16:C18"/>
    <mergeCell ref="B22:B23"/>
    <mergeCell ref="C22:C23"/>
    <mergeCell ref="B8:B9"/>
    <mergeCell ref="C8:C9"/>
    <mergeCell ref="B10:B11"/>
    <mergeCell ref="C10:C11"/>
    <mergeCell ref="B13:B14"/>
    <mergeCell ref="C13:C14"/>
  </mergeCells>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&amp;C&amp;"Arial,Negrita"&amp;18PROYECTO DE PRESUPUESTO 2021</oddHeader>
    <oddFooter>&amp;L&amp;"Arial,Negrita"&amp;8PROYECTO DE PRESUPUESTO PARA EL AÑO FISCAL 2020
INFORMACIÓN PARA LA COMISIÓN DE PRESUPUESTO Y CUENTA GENERAL DE LA REPÚBLICA DEL CONGRESO DE LA REPÚBLICA</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
  <sheetViews>
    <sheetView workbookViewId="0"/>
  </sheetViews>
  <sheetFormatPr baseColWidth="10" defaultColWidth="10.7109375"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249977111117893"/>
  </sheetPr>
  <dimension ref="A1:D23"/>
  <sheetViews>
    <sheetView view="pageLayout" zoomScale="115" zoomScaleNormal="100" zoomScalePageLayoutView="115" workbookViewId="0">
      <selection activeCell="A2" sqref="A2"/>
    </sheetView>
  </sheetViews>
  <sheetFormatPr baseColWidth="10" defaultColWidth="11.28515625" defaultRowHeight="12.75" x14ac:dyDescent="0.2"/>
  <cols>
    <col min="1" max="1" width="49.42578125" customWidth="1"/>
    <col min="2" max="2" width="15.28515625" customWidth="1"/>
    <col min="3" max="3" width="13.140625" customWidth="1"/>
    <col min="4" max="4" width="13.7109375" customWidth="1"/>
  </cols>
  <sheetData>
    <row r="1" spans="1:4" x14ac:dyDescent="0.2">
      <c r="A1" s="127" t="s">
        <v>371</v>
      </c>
    </row>
    <row r="2" spans="1:4" x14ac:dyDescent="0.2">
      <c r="A2" s="129" t="s">
        <v>962</v>
      </c>
    </row>
    <row r="3" spans="1:4" s="165" customFormat="1" ht="28.35" customHeight="1" x14ac:dyDescent="0.2">
      <c r="A3" s="175" t="s">
        <v>314</v>
      </c>
      <c r="B3" s="176">
        <v>2019</v>
      </c>
      <c r="C3" s="176">
        <v>2020</v>
      </c>
      <c r="D3" s="176">
        <v>2021</v>
      </c>
    </row>
    <row r="4" spans="1:4" s="168" customFormat="1" x14ac:dyDescent="0.2">
      <c r="A4" s="167" t="s">
        <v>311</v>
      </c>
      <c r="B4" s="306">
        <v>163608570</v>
      </c>
      <c r="C4" s="309">
        <v>152350033</v>
      </c>
      <c r="D4" s="306">
        <v>100279898</v>
      </c>
    </row>
    <row r="5" spans="1:4" s="168" customFormat="1" x14ac:dyDescent="0.2">
      <c r="A5" s="167" t="s">
        <v>312</v>
      </c>
      <c r="B5" s="306">
        <v>272885264</v>
      </c>
      <c r="C5" s="309">
        <v>172126268</v>
      </c>
      <c r="D5" s="306">
        <v>193294063</v>
      </c>
    </row>
    <row r="6" spans="1:4" s="168" customFormat="1" x14ac:dyDescent="0.2">
      <c r="A6" s="167" t="s">
        <v>313</v>
      </c>
      <c r="B6" s="306">
        <v>692441277</v>
      </c>
      <c r="C6" s="306">
        <v>826602773</v>
      </c>
      <c r="D6" s="306">
        <v>906219688</v>
      </c>
    </row>
    <row r="7" spans="1:4" s="172" customFormat="1" ht="28.35" customHeight="1" x14ac:dyDescent="0.2">
      <c r="A7" s="173" t="s">
        <v>308</v>
      </c>
      <c r="B7" s="307">
        <f t="shared" ref="B7:C7" si="0">SUM(B4:B6)</f>
        <v>1128935111</v>
      </c>
      <c r="C7" s="307">
        <f t="shared" si="0"/>
        <v>1151079074</v>
      </c>
      <c r="D7" s="307">
        <f>SUM(D4:D6)</f>
        <v>1199793649</v>
      </c>
    </row>
    <row r="9" spans="1:4" s="165" customFormat="1" ht="28.35" customHeight="1" x14ac:dyDescent="0.2">
      <c r="A9" s="175" t="s">
        <v>315</v>
      </c>
      <c r="B9" s="176">
        <v>2019</v>
      </c>
      <c r="C9" s="176" t="s">
        <v>372</v>
      </c>
      <c r="D9" s="176" t="s">
        <v>373</v>
      </c>
    </row>
    <row r="10" spans="1:4" s="168" customFormat="1" x14ac:dyDescent="0.2">
      <c r="A10" s="167" t="s">
        <v>311</v>
      </c>
      <c r="B10" s="306">
        <v>164853794</v>
      </c>
      <c r="C10" s="309">
        <v>136346332</v>
      </c>
      <c r="D10" s="306">
        <v>100279898</v>
      </c>
    </row>
    <row r="11" spans="1:4" s="168" customFormat="1" x14ac:dyDescent="0.2">
      <c r="A11" s="167" t="s">
        <v>312</v>
      </c>
      <c r="B11" s="306">
        <v>312662152</v>
      </c>
      <c r="C11" s="309">
        <v>306310332</v>
      </c>
      <c r="D11" s="306">
        <v>193294063</v>
      </c>
    </row>
    <row r="12" spans="1:4" s="168" customFormat="1" x14ac:dyDescent="0.2">
      <c r="A12" s="167" t="s">
        <v>313</v>
      </c>
      <c r="B12" s="306">
        <v>929073209</v>
      </c>
      <c r="C12" s="306">
        <v>995503748</v>
      </c>
      <c r="D12" s="306">
        <v>906219688</v>
      </c>
    </row>
    <row r="13" spans="1:4" s="172" customFormat="1" ht="28.35" customHeight="1" x14ac:dyDescent="0.2">
      <c r="A13" s="173" t="s">
        <v>309</v>
      </c>
      <c r="B13" s="307">
        <f t="shared" ref="B13:C13" si="1">SUM(B10:B12)</f>
        <v>1406589155</v>
      </c>
      <c r="C13" s="307">
        <f t="shared" si="1"/>
        <v>1438160412</v>
      </c>
      <c r="D13" s="307">
        <f>SUM(D10:D12)</f>
        <v>1199793649</v>
      </c>
    </row>
    <row r="15" spans="1:4" s="165" customFormat="1" ht="28.35" customHeight="1" x14ac:dyDescent="0.2">
      <c r="A15" s="175" t="s">
        <v>316</v>
      </c>
      <c r="B15" s="176">
        <v>2019</v>
      </c>
      <c r="C15" s="176" t="s">
        <v>372</v>
      </c>
      <c r="D15" s="176" t="s">
        <v>373</v>
      </c>
    </row>
    <row r="16" spans="1:4" s="168" customFormat="1" x14ac:dyDescent="0.2">
      <c r="A16" s="167" t="s">
        <v>311</v>
      </c>
      <c r="B16" s="310">
        <v>155962554.66999999</v>
      </c>
      <c r="C16" s="309">
        <v>136346332</v>
      </c>
      <c r="D16" s="306">
        <v>100279898</v>
      </c>
    </row>
    <row r="17" spans="1:4" s="168" customFormat="1" x14ac:dyDescent="0.2">
      <c r="A17" s="167" t="s">
        <v>312</v>
      </c>
      <c r="B17" s="310">
        <v>272482137.26999998</v>
      </c>
      <c r="C17" s="309">
        <v>306310332</v>
      </c>
      <c r="D17" s="306">
        <v>193294063</v>
      </c>
    </row>
    <row r="18" spans="1:4" s="168" customFormat="1" x14ac:dyDescent="0.2">
      <c r="A18" s="167" t="s">
        <v>313</v>
      </c>
      <c r="B18" s="304">
        <v>890437826.60000002</v>
      </c>
      <c r="C18" s="311">
        <v>995503748</v>
      </c>
      <c r="D18" s="306">
        <v>906219688</v>
      </c>
    </row>
    <row r="19" spans="1:4" s="172" customFormat="1" ht="28.35" customHeight="1" x14ac:dyDescent="0.2">
      <c r="A19" s="173" t="s">
        <v>310</v>
      </c>
      <c r="B19" s="305">
        <f>SUM(B16:B18)</f>
        <v>1318882518.54</v>
      </c>
      <c r="C19" s="312">
        <f>SUM(C16:C18)</f>
        <v>1438160412</v>
      </c>
      <c r="D19" s="307">
        <f>SUM(D16:D18)</f>
        <v>1199793649</v>
      </c>
    </row>
    <row r="20" spans="1:4" x14ac:dyDescent="0.2">
      <c r="A20" s="301" t="s">
        <v>374</v>
      </c>
    </row>
    <row r="21" spans="1:4" x14ac:dyDescent="0.2">
      <c r="A21" s="302" t="s">
        <v>375</v>
      </c>
      <c r="C21" s="308"/>
    </row>
    <row r="22" spans="1:4" x14ac:dyDescent="0.2">
      <c r="B22" s="308"/>
      <c r="C22" s="309"/>
    </row>
    <row r="23" spans="1:4" x14ac:dyDescent="0.2">
      <c r="B23" s="309"/>
    </row>
  </sheetData>
  <printOptions horizontalCentered="1"/>
  <pageMargins left="0.70866141732283472" right="0.51181102362204722" top="0.94488188976377963" bottom="0.74803149606299213" header="0.31496062992125984" footer="0.31496062992125984"/>
  <pageSetup paperSize="9" scale="80" orientation="portrait" r:id="rId1"/>
  <headerFooter>
    <oddHeader xml:space="preserve">&amp;L&amp;"Arial,Negrita"&amp;14
&amp;C&amp;"Arial,Negrita"&amp;18PROYECTO DE PRESUPUESTO 2021&amp;R&amp;"Arial,Negrita"&amp;14 </oddHeader>
    <oddFooter>&amp;L&amp;"Arial,Negrita"&amp;8PROYECTO DE PRESUPUESTO PARA EL AÑO FISCAL 2020
INFORMACIÓN PARA LA COMISIÓN DE PRESUPUESTO Y CUENTA GENERAL DE LA REPÚBLICA DEL CONGRESO DE LA REPÚBLICA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D256"/>
  <sheetViews>
    <sheetView view="pageLayout" topLeftCell="A235" zoomScaleNormal="100" workbookViewId="0">
      <selection activeCell="A207" sqref="A207:XFD208"/>
    </sheetView>
  </sheetViews>
  <sheetFormatPr baseColWidth="10" defaultColWidth="11.28515625" defaultRowHeight="12.75" x14ac:dyDescent="0.2"/>
  <cols>
    <col min="1" max="1" width="49" customWidth="1"/>
    <col min="2" max="2" width="13.7109375" bestFit="1" customWidth="1"/>
    <col min="3" max="4" width="13.28515625" bestFit="1" customWidth="1"/>
  </cols>
  <sheetData>
    <row r="1" spans="1:4" x14ac:dyDescent="0.2">
      <c r="A1" s="127" t="s">
        <v>376</v>
      </c>
    </row>
    <row r="2" spans="1:4" x14ac:dyDescent="0.2">
      <c r="A2" s="129" t="s">
        <v>962</v>
      </c>
    </row>
    <row r="3" spans="1:4" s="165" customFormat="1" ht="38.25" x14ac:dyDescent="0.2">
      <c r="A3" s="175" t="s">
        <v>431</v>
      </c>
      <c r="B3" s="176">
        <v>2019</v>
      </c>
      <c r="C3" s="176">
        <v>2020</v>
      </c>
      <c r="D3" s="176">
        <v>2021</v>
      </c>
    </row>
    <row r="4" spans="1:4" s="170" customFormat="1" x14ac:dyDescent="0.2">
      <c r="A4" s="169" t="s">
        <v>106</v>
      </c>
      <c r="B4" s="313">
        <f>SUM(B5:B10)</f>
        <v>858867254</v>
      </c>
      <c r="C4" s="313">
        <f t="shared" ref="C4:D4" si="0">SUM(C5:C10)</f>
        <v>932961615</v>
      </c>
      <c r="D4" s="313">
        <f t="shared" si="0"/>
        <v>952756602</v>
      </c>
    </row>
    <row r="5" spans="1:4" s="168" customFormat="1" x14ac:dyDescent="0.2">
      <c r="A5" s="166" t="s">
        <v>95</v>
      </c>
      <c r="B5" s="306"/>
      <c r="C5" s="306"/>
      <c r="D5" s="306"/>
    </row>
    <row r="6" spans="1:4" s="168" customFormat="1" x14ac:dyDescent="0.2">
      <c r="A6" s="166" t="s">
        <v>96</v>
      </c>
      <c r="B6" s="306">
        <v>654531345</v>
      </c>
      <c r="C6" s="306">
        <v>726499203</v>
      </c>
      <c r="D6" s="306">
        <v>787551983</v>
      </c>
    </row>
    <row r="7" spans="1:4" s="168" customFormat="1" x14ac:dyDescent="0.2">
      <c r="A7" s="166" t="s">
        <v>97</v>
      </c>
      <c r="B7" s="306">
        <v>51812176</v>
      </c>
      <c r="C7" s="306">
        <v>53284179</v>
      </c>
      <c r="D7" s="306">
        <v>46988048</v>
      </c>
    </row>
    <row r="8" spans="1:4" s="168" customFormat="1" x14ac:dyDescent="0.2">
      <c r="A8" s="166" t="s">
        <v>98</v>
      </c>
      <c r="B8" s="306">
        <v>149108401</v>
      </c>
      <c r="C8" s="306">
        <v>150068283</v>
      </c>
      <c r="D8" s="306">
        <v>115106621</v>
      </c>
    </row>
    <row r="9" spans="1:4" s="168" customFormat="1" x14ac:dyDescent="0.2">
      <c r="A9" s="166" t="s">
        <v>120</v>
      </c>
      <c r="B9" s="306"/>
      <c r="C9" s="306"/>
      <c r="D9" s="306"/>
    </row>
    <row r="10" spans="1:4" s="168" customFormat="1" x14ac:dyDescent="0.2">
      <c r="A10" s="166" t="s">
        <v>121</v>
      </c>
      <c r="B10" s="309">
        <v>3415332</v>
      </c>
      <c r="C10" s="309">
        <v>3109950</v>
      </c>
      <c r="D10" s="306">
        <v>3109950</v>
      </c>
    </row>
    <row r="11" spans="1:4" s="168" customFormat="1" x14ac:dyDescent="0.2">
      <c r="A11" s="169" t="s">
        <v>94</v>
      </c>
      <c r="B11" s="313">
        <f>SUM(B12:B15)</f>
        <v>173868175</v>
      </c>
      <c r="C11" s="313">
        <f t="shared" ref="C11:D11" si="1">SUM(C12:C15)</f>
        <v>200220750</v>
      </c>
      <c r="D11" s="313">
        <f t="shared" si="1"/>
        <v>66387250</v>
      </c>
    </row>
    <row r="12" spans="1:4" s="168" customFormat="1" x14ac:dyDescent="0.2">
      <c r="A12" s="166" t="s">
        <v>119</v>
      </c>
      <c r="B12" s="306"/>
      <c r="C12" s="309"/>
      <c r="D12" s="306"/>
    </row>
    <row r="13" spans="1:4" s="168" customFormat="1" x14ac:dyDescent="0.2">
      <c r="A13" s="166" t="s">
        <v>122</v>
      </c>
      <c r="B13" s="306"/>
      <c r="C13" s="306"/>
      <c r="D13" s="306"/>
    </row>
    <row r="14" spans="1:4" s="168" customFormat="1" x14ac:dyDescent="0.2">
      <c r="A14" s="166" t="s">
        <v>103</v>
      </c>
      <c r="B14" s="309">
        <v>173868175</v>
      </c>
      <c r="C14" s="309">
        <v>199817750</v>
      </c>
      <c r="D14" s="306">
        <v>65778876</v>
      </c>
    </row>
    <row r="15" spans="1:4" s="168" customFormat="1" x14ac:dyDescent="0.2">
      <c r="A15" s="166" t="s">
        <v>104</v>
      </c>
      <c r="B15" s="306"/>
      <c r="C15" s="309">
        <v>403000</v>
      </c>
      <c r="D15" s="306">
        <v>608374</v>
      </c>
    </row>
    <row r="16" spans="1:4" s="168" customFormat="1" x14ac:dyDescent="0.2">
      <c r="A16" s="169" t="s">
        <v>84</v>
      </c>
      <c r="B16" s="313">
        <f>B17</f>
        <v>0</v>
      </c>
      <c r="C16" s="313">
        <f t="shared" ref="C16:D16" si="2">C17</f>
        <v>0</v>
      </c>
      <c r="D16" s="313">
        <f t="shared" si="2"/>
        <v>0</v>
      </c>
    </row>
    <row r="17" spans="1:4" s="168" customFormat="1" x14ac:dyDescent="0.2">
      <c r="A17" s="166" t="s">
        <v>105</v>
      </c>
      <c r="B17" s="306"/>
      <c r="C17" s="306"/>
      <c r="D17" s="306"/>
    </row>
    <row r="18" spans="1:4" s="172" customFormat="1" ht="18" customHeight="1" x14ac:dyDescent="0.2">
      <c r="A18" s="171" t="s">
        <v>308</v>
      </c>
      <c r="B18" s="307">
        <f>B16+B11+B4</f>
        <v>1032735429</v>
      </c>
      <c r="C18" s="307">
        <f t="shared" ref="C18:D18" si="3">C16+C11+C4</f>
        <v>1133182365</v>
      </c>
      <c r="D18" s="307">
        <f t="shared" si="3"/>
        <v>1019143852</v>
      </c>
    </row>
    <row r="20" spans="1:4" s="165" customFormat="1" ht="38.25" x14ac:dyDescent="0.2">
      <c r="A20" s="175" t="s">
        <v>432</v>
      </c>
      <c r="B20" s="176">
        <v>2019</v>
      </c>
      <c r="C20" s="176">
        <v>2020</v>
      </c>
      <c r="D20" s="176">
        <v>2021</v>
      </c>
    </row>
    <row r="21" spans="1:4" s="170" customFormat="1" x14ac:dyDescent="0.2">
      <c r="A21" s="169" t="s">
        <v>106</v>
      </c>
      <c r="B21" s="313">
        <f t="shared" ref="B21" si="4">SUM(B22:B27)</f>
        <v>1001526439</v>
      </c>
      <c r="C21" s="313">
        <f t="shared" ref="C21:D21" si="5">SUM(C22:C27)</f>
        <v>1064981792</v>
      </c>
      <c r="D21" s="313">
        <f t="shared" si="5"/>
        <v>952756602</v>
      </c>
    </row>
    <row r="22" spans="1:4" s="168" customFormat="1" x14ac:dyDescent="0.2">
      <c r="A22" s="166" t="s">
        <v>95</v>
      </c>
      <c r="B22" s="306"/>
      <c r="C22" s="306"/>
      <c r="D22" s="306"/>
    </row>
    <row r="23" spans="1:4" s="168" customFormat="1" x14ac:dyDescent="0.2">
      <c r="A23" s="166" t="s">
        <v>96</v>
      </c>
      <c r="B23" s="306">
        <v>732674396</v>
      </c>
      <c r="C23" s="306">
        <v>821737468</v>
      </c>
      <c r="D23" s="306">
        <v>787551983</v>
      </c>
    </row>
    <row r="24" spans="1:4" s="168" customFormat="1" x14ac:dyDescent="0.2">
      <c r="A24" s="166" t="s">
        <v>97</v>
      </c>
      <c r="B24" s="306">
        <v>48562234</v>
      </c>
      <c r="C24" s="306">
        <v>47241281</v>
      </c>
      <c r="D24" s="306">
        <v>46988048</v>
      </c>
    </row>
    <row r="25" spans="1:4" s="168" customFormat="1" x14ac:dyDescent="0.2">
      <c r="A25" s="166" t="s">
        <v>98</v>
      </c>
      <c r="B25" s="306">
        <v>161498201</v>
      </c>
      <c r="C25" s="306">
        <v>183738675</v>
      </c>
      <c r="D25" s="306">
        <v>115106621</v>
      </c>
    </row>
    <row r="26" spans="1:4" s="168" customFormat="1" x14ac:dyDescent="0.2">
      <c r="A26" s="166" t="s">
        <v>120</v>
      </c>
      <c r="B26" s="306">
        <v>383424</v>
      </c>
      <c r="C26" s="306">
        <v>141975</v>
      </c>
      <c r="D26" s="306"/>
    </row>
    <row r="27" spans="1:4" s="168" customFormat="1" x14ac:dyDescent="0.2">
      <c r="A27" s="166" t="s">
        <v>121</v>
      </c>
      <c r="B27" s="306">
        <v>58408184</v>
      </c>
      <c r="C27" s="306">
        <v>12122393</v>
      </c>
      <c r="D27" s="306">
        <v>3109950</v>
      </c>
    </row>
    <row r="28" spans="1:4" s="168" customFormat="1" x14ac:dyDescent="0.2">
      <c r="A28" s="169" t="s">
        <v>94</v>
      </c>
      <c r="B28" s="313">
        <f t="shared" ref="B28" si="6">SUM(B29:B32)</f>
        <v>190107738</v>
      </c>
      <c r="C28" s="313">
        <f t="shared" ref="C28:D28" si="7">SUM(C29:C32)</f>
        <v>263784027</v>
      </c>
      <c r="D28" s="313">
        <f t="shared" si="7"/>
        <v>66387250</v>
      </c>
    </row>
    <row r="29" spans="1:4" s="168" customFormat="1" x14ac:dyDescent="0.2">
      <c r="A29" s="166" t="s">
        <v>119</v>
      </c>
      <c r="B29" s="309">
        <v>990703</v>
      </c>
      <c r="C29" s="306"/>
      <c r="D29" s="306"/>
    </row>
    <row r="30" spans="1:4" s="168" customFormat="1" x14ac:dyDescent="0.2">
      <c r="A30" s="166" t="s">
        <v>122</v>
      </c>
      <c r="B30" s="306"/>
      <c r="C30" s="306"/>
      <c r="D30" s="306"/>
    </row>
    <row r="31" spans="1:4" s="168" customFormat="1" x14ac:dyDescent="0.2">
      <c r="A31" s="166" t="s">
        <v>103</v>
      </c>
      <c r="B31" s="309">
        <v>189117035</v>
      </c>
      <c r="C31" s="309">
        <v>263381027</v>
      </c>
      <c r="D31" s="306">
        <v>65778876</v>
      </c>
    </row>
    <row r="32" spans="1:4" s="168" customFormat="1" x14ac:dyDescent="0.2">
      <c r="A32" s="166" t="s">
        <v>104</v>
      </c>
      <c r="B32" s="306"/>
      <c r="C32" s="309">
        <v>403000</v>
      </c>
      <c r="D32" s="306">
        <v>608374</v>
      </c>
    </row>
    <row r="33" spans="1:4" s="168" customFormat="1" x14ac:dyDescent="0.2">
      <c r="A33" s="169" t="s">
        <v>84</v>
      </c>
      <c r="B33" s="313">
        <f>B34</f>
        <v>0</v>
      </c>
      <c r="C33" s="313">
        <f t="shared" ref="C33:D33" si="8">C34</f>
        <v>0</v>
      </c>
      <c r="D33" s="313">
        <f t="shared" si="8"/>
        <v>0</v>
      </c>
    </row>
    <row r="34" spans="1:4" s="168" customFormat="1" x14ac:dyDescent="0.2">
      <c r="A34" s="166" t="s">
        <v>105</v>
      </c>
      <c r="B34" s="306"/>
      <c r="C34" s="306"/>
      <c r="D34" s="306"/>
    </row>
    <row r="35" spans="1:4" s="172" customFormat="1" ht="18" customHeight="1" x14ac:dyDescent="0.2">
      <c r="A35" s="171" t="s">
        <v>309</v>
      </c>
      <c r="B35" s="307">
        <f>B33+B28+B21</f>
        <v>1191634177</v>
      </c>
      <c r="C35" s="307">
        <f t="shared" ref="C35:D35" si="9">C33+C28+C21</f>
        <v>1328765819</v>
      </c>
      <c r="D35" s="307">
        <f t="shared" si="9"/>
        <v>1019143852</v>
      </c>
    </row>
    <row r="37" spans="1:4" s="165" customFormat="1" ht="38.25" x14ac:dyDescent="0.2">
      <c r="A37" s="175" t="s">
        <v>433</v>
      </c>
      <c r="B37" s="176">
        <v>2019</v>
      </c>
      <c r="C37" s="176">
        <v>2020</v>
      </c>
      <c r="D37" s="176">
        <v>2021</v>
      </c>
    </row>
    <row r="38" spans="1:4" s="170" customFormat="1" x14ac:dyDescent="0.2">
      <c r="A38" s="169" t="s">
        <v>106</v>
      </c>
      <c r="B38" s="313">
        <f>SUM(B39:B44)</f>
        <v>990400193.35000002</v>
      </c>
      <c r="C38" s="313">
        <f t="shared" ref="C38:D38" si="10">SUM(C39:C44)</f>
        <v>1064981792</v>
      </c>
      <c r="D38" s="313">
        <f t="shared" si="10"/>
        <v>952756602</v>
      </c>
    </row>
    <row r="39" spans="1:4" s="168" customFormat="1" x14ac:dyDescent="0.2">
      <c r="A39" s="166" t="s">
        <v>95</v>
      </c>
      <c r="B39" s="306"/>
      <c r="C39" s="306"/>
      <c r="D39" s="306"/>
    </row>
    <row r="40" spans="1:4" s="168" customFormat="1" x14ac:dyDescent="0.2">
      <c r="A40" s="166" t="s">
        <v>96</v>
      </c>
      <c r="B40" s="310">
        <v>729439532.13999999</v>
      </c>
      <c r="C40" s="306">
        <v>821737468</v>
      </c>
      <c r="D40" s="306">
        <v>787551983</v>
      </c>
    </row>
    <row r="41" spans="1:4" s="168" customFormat="1" x14ac:dyDescent="0.2">
      <c r="A41" s="166" t="s">
        <v>97</v>
      </c>
      <c r="B41" s="310">
        <v>48399199.090000004</v>
      </c>
      <c r="C41" s="306">
        <v>47241281</v>
      </c>
      <c r="D41" s="306">
        <v>46988048</v>
      </c>
    </row>
    <row r="42" spans="1:4" s="168" customFormat="1" x14ac:dyDescent="0.2">
      <c r="A42" s="166" t="s">
        <v>98</v>
      </c>
      <c r="B42" s="306">
        <v>154159394.24000001</v>
      </c>
      <c r="C42" s="306">
        <v>183738675</v>
      </c>
      <c r="D42" s="306">
        <v>115106621</v>
      </c>
    </row>
    <row r="43" spans="1:4" s="168" customFormat="1" x14ac:dyDescent="0.2">
      <c r="A43" s="166" t="s">
        <v>120</v>
      </c>
      <c r="B43" s="306">
        <v>383424</v>
      </c>
      <c r="C43" s="306">
        <v>141975</v>
      </c>
      <c r="D43" s="306"/>
    </row>
    <row r="44" spans="1:4" s="168" customFormat="1" x14ac:dyDescent="0.2">
      <c r="A44" s="166" t="s">
        <v>121</v>
      </c>
      <c r="B44" s="310">
        <v>58018643.880000003</v>
      </c>
      <c r="C44" s="306">
        <v>12122393</v>
      </c>
      <c r="D44" s="306">
        <v>3109950</v>
      </c>
    </row>
    <row r="45" spans="1:4" s="168" customFormat="1" x14ac:dyDescent="0.2">
      <c r="A45" s="169" t="s">
        <v>94</v>
      </c>
      <c r="B45" s="313">
        <f>SUM(B46:B49)</f>
        <v>174660456.75999999</v>
      </c>
      <c r="C45" s="313">
        <f t="shared" ref="C45:D45" si="11">SUM(C46:C49)</f>
        <v>263784027</v>
      </c>
      <c r="D45" s="313">
        <f t="shared" si="11"/>
        <v>66387250</v>
      </c>
    </row>
    <row r="46" spans="1:4" s="168" customFormat="1" x14ac:dyDescent="0.2">
      <c r="A46" s="166" t="s">
        <v>119</v>
      </c>
      <c r="B46" s="310">
        <v>990703</v>
      </c>
      <c r="C46" s="306"/>
      <c r="D46" s="306"/>
    </row>
    <row r="47" spans="1:4" s="168" customFormat="1" x14ac:dyDescent="0.2">
      <c r="A47" s="166" t="s">
        <v>122</v>
      </c>
      <c r="B47" s="306"/>
      <c r="C47" s="306"/>
      <c r="D47" s="306"/>
    </row>
    <row r="48" spans="1:4" s="168" customFormat="1" x14ac:dyDescent="0.2">
      <c r="A48" s="166" t="s">
        <v>103</v>
      </c>
      <c r="B48" s="310">
        <v>173669753.75999999</v>
      </c>
      <c r="C48" s="309">
        <v>263381027</v>
      </c>
      <c r="D48" s="306">
        <v>65778876</v>
      </c>
    </row>
    <row r="49" spans="1:4" s="168" customFormat="1" x14ac:dyDescent="0.2">
      <c r="A49" s="166" t="s">
        <v>104</v>
      </c>
      <c r="B49" s="306"/>
      <c r="C49" s="309">
        <v>403000</v>
      </c>
      <c r="D49" s="306">
        <v>608374</v>
      </c>
    </row>
    <row r="50" spans="1:4" s="168" customFormat="1" x14ac:dyDescent="0.2">
      <c r="A50" s="169" t="s">
        <v>84</v>
      </c>
      <c r="B50" s="313">
        <f>B51</f>
        <v>0</v>
      </c>
      <c r="C50" s="313">
        <f t="shared" ref="C50:D50" si="12">C51</f>
        <v>0</v>
      </c>
      <c r="D50" s="313">
        <f t="shared" si="12"/>
        <v>0</v>
      </c>
    </row>
    <row r="51" spans="1:4" s="168" customFormat="1" x14ac:dyDescent="0.2">
      <c r="A51" s="166" t="s">
        <v>105</v>
      </c>
      <c r="B51" s="306"/>
      <c r="C51" s="306"/>
      <c r="D51" s="306"/>
    </row>
    <row r="52" spans="1:4" s="172" customFormat="1" ht="18" customHeight="1" x14ac:dyDescent="0.2">
      <c r="A52" s="300" t="s">
        <v>310</v>
      </c>
      <c r="B52" s="307">
        <f>B50+B45+B38</f>
        <v>1165060650.1100001</v>
      </c>
      <c r="C52" s="307">
        <f t="shared" ref="C52:D52" si="13">C50+C45+C38</f>
        <v>1328765819</v>
      </c>
      <c r="D52" s="307">
        <f t="shared" si="13"/>
        <v>1019143852</v>
      </c>
    </row>
    <row r="54" spans="1:4" ht="36" x14ac:dyDescent="0.2">
      <c r="A54" s="314" t="s">
        <v>434</v>
      </c>
      <c r="B54" s="176">
        <v>2019</v>
      </c>
      <c r="C54" s="176">
        <v>2020</v>
      </c>
      <c r="D54" s="176">
        <v>2021</v>
      </c>
    </row>
    <row r="55" spans="1:4" x14ac:dyDescent="0.2">
      <c r="A55" s="169" t="s">
        <v>106</v>
      </c>
      <c r="B55" s="313">
        <f>SUM(B56:B61)</f>
        <v>6153196</v>
      </c>
      <c r="C55" s="313">
        <f t="shared" ref="C55" si="14">SUM(C56:C61)</f>
        <v>10316344</v>
      </c>
      <c r="D55" s="313">
        <f t="shared" ref="D55" si="15">SUM(D56:D61)</f>
        <v>7465367</v>
      </c>
    </row>
    <row r="56" spans="1:4" x14ac:dyDescent="0.2">
      <c r="A56" s="166" t="s">
        <v>95</v>
      </c>
      <c r="B56" s="306"/>
      <c r="C56" s="306"/>
      <c r="D56" s="306"/>
    </row>
    <row r="57" spans="1:4" x14ac:dyDescent="0.2">
      <c r="A57" s="166" t="s">
        <v>96</v>
      </c>
      <c r="B57" s="306"/>
      <c r="C57" s="306"/>
      <c r="D57" s="306"/>
    </row>
    <row r="58" spans="1:4" x14ac:dyDescent="0.2">
      <c r="A58" s="166" t="s">
        <v>97</v>
      </c>
      <c r="C58" s="306"/>
      <c r="D58" s="306"/>
    </row>
    <row r="59" spans="1:4" x14ac:dyDescent="0.2">
      <c r="A59" s="166" t="s">
        <v>98</v>
      </c>
      <c r="B59" s="309">
        <v>6117896</v>
      </c>
      <c r="C59" s="309">
        <v>10281044</v>
      </c>
      <c r="D59" s="306">
        <v>7430067</v>
      </c>
    </row>
    <row r="60" spans="1:4" x14ac:dyDescent="0.2">
      <c r="A60" s="166" t="s">
        <v>120</v>
      </c>
      <c r="B60" s="306"/>
      <c r="C60" s="306"/>
      <c r="D60" s="306"/>
    </row>
    <row r="61" spans="1:4" x14ac:dyDescent="0.2">
      <c r="A61" s="166" t="s">
        <v>121</v>
      </c>
      <c r="B61" s="309">
        <v>35300</v>
      </c>
      <c r="C61" s="309">
        <v>35300</v>
      </c>
      <c r="D61" s="306">
        <v>35300</v>
      </c>
    </row>
    <row r="62" spans="1:4" x14ac:dyDescent="0.2">
      <c r="A62" s="169" t="s">
        <v>94</v>
      </c>
      <c r="B62" s="313">
        <f>SUM(B63:B66)</f>
        <v>12972830</v>
      </c>
      <c r="C62" s="313">
        <f t="shared" ref="C62" si="16">SUM(C63:C66)</f>
        <v>1744962</v>
      </c>
      <c r="D62" s="313">
        <f t="shared" ref="D62" si="17">SUM(D63:D66)</f>
        <v>0</v>
      </c>
    </row>
    <row r="63" spans="1:4" x14ac:dyDescent="0.2">
      <c r="A63" s="166" t="s">
        <v>119</v>
      </c>
      <c r="B63" s="306"/>
      <c r="C63" s="306"/>
      <c r="D63" s="306"/>
    </row>
    <row r="64" spans="1:4" x14ac:dyDescent="0.2">
      <c r="A64" s="166" t="s">
        <v>122</v>
      </c>
      <c r="B64" s="306"/>
      <c r="C64" s="306"/>
      <c r="D64" s="306"/>
    </row>
    <row r="65" spans="1:4" x14ac:dyDescent="0.2">
      <c r="A65" s="166" t="s">
        <v>103</v>
      </c>
      <c r="B65" s="309">
        <v>12537577</v>
      </c>
      <c r="C65" s="309">
        <v>1744962</v>
      </c>
      <c r="D65" s="306"/>
    </row>
    <row r="66" spans="1:4" x14ac:dyDescent="0.2">
      <c r="A66" s="166" t="s">
        <v>104</v>
      </c>
      <c r="B66" s="309">
        <v>435253</v>
      </c>
      <c r="C66" s="306"/>
      <c r="D66" s="306"/>
    </row>
    <row r="67" spans="1:4" x14ac:dyDescent="0.2">
      <c r="A67" s="169" t="s">
        <v>84</v>
      </c>
      <c r="B67" s="313">
        <f>B68</f>
        <v>0</v>
      </c>
      <c r="C67" s="313">
        <f t="shared" ref="C67" si="18">C68</f>
        <v>0</v>
      </c>
      <c r="D67" s="313">
        <f t="shared" ref="D67" si="19">D68</f>
        <v>0</v>
      </c>
    </row>
    <row r="68" spans="1:4" x14ac:dyDescent="0.2">
      <c r="A68" s="166" t="s">
        <v>105</v>
      </c>
      <c r="B68" s="306"/>
      <c r="C68" s="306"/>
      <c r="D68" s="306"/>
    </row>
    <row r="69" spans="1:4" x14ac:dyDescent="0.2">
      <c r="A69" s="171" t="s">
        <v>308</v>
      </c>
      <c r="B69" s="307">
        <f>B67+B62+B55</f>
        <v>19126026</v>
      </c>
      <c r="C69" s="307">
        <f t="shared" ref="C69:D69" si="20">C67+C62+C55</f>
        <v>12061306</v>
      </c>
      <c r="D69" s="307">
        <f t="shared" si="20"/>
        <v>7465367</v>
      </c>
    </row>
    <row r="71" spans="1:4" ht="36" x14ac:dyDescent="0.2">
      <c r="A71" s="314" t="s">
        <v>435</v>
      </c>
      <c r="B71" s="176">
        <v>2019</v>
      </c>
      <c r="C71" s="176">
        <v>2020</v>
      </c>
      <c r="D71" s="176">
        <v>2021</v>
      </c>
    </row>
    <row r="72" spans="1:4" x14ac:dyDescent="0.2">
      <c r="A72" s="169" t="s">
        <v>106</v>
      </c>
      <c r="B72" s="313">
        <f>SUM(B73:B78)</f>
        <v>10505480</v>
      </c>
      <c r="C72" s="313">
        <f t="shared" ref="C72" si="21">SUM(C73:C78)</f>
        <v>11679014</v>
      </c>
      <c r="D72" s="313">
        <f t="shared" ref="D72" si="22">SUM(D73:D78)</f>
        <v>7465367</v>
      </c>
    </row>
    <row r="73" spans="1:4" x14ac:dyDescent="0.2">
      <c r="A73" s="166" t="s">
        <v>95</v>
      </c>
      <c r="B73" s="306"/>
      <c r="C73" s="306"/>
      <c r="D73" s="306"/>
    </row>
    <row r="74" spans="1:4" x14ac:dyDescent="0.2">
      <c r="A74" s="166" t="s">
        <v>96</v>
      </c>
      <c r="B74" s="306"/>
      <c r="C74" s="306"/>
      <c r="D74" s="306"/>
    </row>
    <row r="75" spans="1:4" x14ac:dyDescent="0.2">
      <c r="A75" s="166" t="s">
        <v>97</v>
      </c>
      <c r="B75" s="309"/>
      <c r="C75" s="306"/>
      <c r="D75" s="306"/>
    </row>
    <row r="76" spans="1:4" x14ac:dyDescent="0.2">
      <c r="A76" s="166" t="s">
        <v>98</v>
      </c>
      <c r="B76" s="309">
        <v>10450185</v>
      </c>
      <c r="C76" s="309">
        <v>11523947</v>
      </c>
      <c r="D76" s="306">
        <v>7430067</v>
      </c>
    </row>
    <row r="77" spans="1:4" x14ac:dyDescent="0.2">
      <c r="A77" s="166" t="s">
        <v>120</v>
      </c>
      <c r="B77" s="306"/>
      <c r="C77" s="306"/>
      <c r="D77" s="306"/>
    </row>
    <row r="78" spans="1:4" x14ac:dyDescent="0.2">
      <c r="A78" s="166" t="s">
        <v>121</v>
      </c>
      <c r="B78" s="309">
        <v>55295</v>
      </c>
      <c r="C78" s="309">
        <v>155067</v>
      </c>
      <c r="D78" s="306">
        <v>35300</v>
      </c>
    </row>
    <row r="79" spans="1:4" x14ac:dyDescent="0.2">
      <c r="A79" s="169" t="s">
        <v>94</v>
      </c>
      <c r="B79" s="313">
        <f>SUM(B80:B83)</f>
        <v>13151192</v>
      </c>
      <c r="C79" s="313">
        <f t="shared" ref="C79" si="23">SUM(C80:C83)</f>
        <v>3496707</v>
      </c>
      <c r="D79" s="313">
        <f t="shared" ref="D79" si="24">SUM(D80:D83)</f>
        <v>0</v>
      </c>
    </row>
    <row r="80" spans="1:4" x14ac:dyDescent="0.2">
      <c r="A80" s="166" t="s">
        <v>119</v>
      </c>
      <c r="B80" s="306"/>
      <c r="C80" s="306"/>
      <c r="D80" s="306"/>
    </row>
    <row r="81" spans="1:4" x14ac:dyDescent="0.2">
      <c r="A81" s="166" t="s">
        <v>122</v>
      </c>
      <c r="B81" s="306"/>
      <c r="C81" s="306"/>
      <c r="D81" s="306"/>
    </row>
    <row r="82" spans="1:4" x14ac:dyDescent="0.2">
      <c r="A82" s="166" t="s">
        <v>103</v>
      </c>
      <c r="B82" s="309">
        <v>12715939</v>
      </c>
      <c r="C82" s="309">
        <v>2950707</v>
      </c>
      <c r="D82" s="306"/>
    </row>
    <row r="83" spans="1:4" x14ac:dyDescent="0.2">
      <c r="A83" s="166" t="s">
        <v>104</v>
      </c>
      <c r="B83" s="309">
        <v>435253</v>
      </c>
      <c r="C83" s="309">
        <v>546000</v>
      </c>
      <c r="D83" s="306"/>
    </row>
    <row r="84" spans="1:4" x14ac:dyDescent="0.2">
      <c r="A84" s="169" t="s">
        <v>84</v>
      </c>
      <c r="B84" s="313">
        <f>B85</f>
        <v>0</v>
      </c>
      <c r="C84" s="313">
        <f t="shared" ref="C84" si="25">C85</f>
        <v>0</v>
      </c>
      <c r="D84" s="313">
        <f t="shared" ref="D84" si="26">D85</f>
        <v>0</v>
      </c>
    </row>
    <row r="85" spans="1:4" x14ac:dyDescent="0.2">
      <c r="A85" s="166" t="s">
        <v>105</v>
      </c>
      <c r="B85" s="306"/>
      <c r="C85" s="306"/>
      <c r="D85" s="306"/>
    </row>
    <row r="86" spans="1:4" x14ac:dyDescent="0.2">
      <c r="A86" s="171" t="s">
        <v>309</v>
      </c>
      <c r="B86" s="307">
        <f>B84+B79+B72</f>
        <v>23656672</v>
      </c>
      <c r="C86" s="307">
        <f t="shared" ref="C86:D86" si="27">C84+C79+C72</f>
        <v>15175721</v>
      </c>
      <c r="D86" s="307">
        <f t="shared" si="27"/>
        <v>7465367</v>
      </c>
    </row>
    <row r="88" spans="1:4" ht="36" x14ac:dyDescent="0.2">
      <c r="A88" s="314" t="s">
        <v>436</v>
      </c>
      <c r="B88" s="176">
        <v>2019</v>
      </c>
      <c r="C88" s="176">
        <v>2020</v>
      </c>
      <c r="D88" s="176">
        <v>2021</v>
      </c>
    </row>
    <row r="89" spans="1:4" x14ac:dyDescent="0.2">
      <c r="A89" s="169" t="s">
        <v>106</v>
      </c>
      <c r="B89" s="313">
        <f>SUM(B90:B95)</f>
        <v>8403743.9600000009</v>
      </c>
      <c r="C89" s="313">
        <f t="shared" ref="C89" si="28">SUM(C90:C95)</f>
        <v>11679014</v>
      </c>
      <c r="D89" s="313">
        <f t="shared" ref="D89" si="29">SUM(D90:D95)</f>
        <v>7465367</v>
      </c>
    </row>
    <row r="90" spans="1:4" x14ac:dyDescent="0.2">
      <c r="A90" s="166" t="s">
        <v>95</v>
      </c>
      <c r="B90" s="306"/>
      <c r="C90" s="306"/>
      <c r="D90" s="306"/>
    </row>
    <row r="91" spans="1:4" x14ac:dyDescent="0.2">
      <c r="A91" s="166" t="s">
        <v>96</v>
      </c>
      <c r="B91" s="306"/>
      <c r="C91" s="306"/>
      <c r="D91" s="306"/>
    </row>
    <row r="92" spans="1:4" x14ac:dyDescent="0.2">
      <c r="A92" s="166" t="s">
        <v>97</v>
      </c>
      <c r="B92" s="306"/>
      <c r="C92" s="306"/>
      <c r="D92" s="306"/>
    </row>
    <row r="93" spans="1:4" x14ac:dyDescent="0.2">
      <c r="A93" s="166" t="s">
        <v>98</v>
      </c>
      <c r="B93" s="310">
        <v>8374795.1600000001</v>
      </c>
      <c r="C93" s="309">
        <v>11523947</v>
      </c>
      <c r="D93" s="306">
        <v>7430067</v>
      </c>
    </row>
    <row r="94" spans="1:4" x14ac:dyDescent="0.2">
      <c r="A94" s="166" t="s">
        <v>120</v>
      </c>
      <c r="B94" s="306"/>
      <c r="C94" s="306"/>
      <c r="D94" s="306"/>
    </row>
    <row r="95" spans="1:4" x14ac:dyDescent="0.2">
      <c r="A95" s="166" t="s">
        <v>121</v>
      </c>
      <c r="B95" s="310">
        <v>28948.799999999999</v>
      </c>
      <c r="C95" s="309">
        <v>155067</v>
      </c>
      <c r="D95" s="306">
        <v>35300</v>
      </c>
    </row>
    <row r="96" spans="1:4" x14ac:dyDescent="0.2">
      <c r="A96" s="169" t="s">
        <v>94</v>
      </c>
      <c r="B96" s="313">
        <f>SUM(B97:B100)</f>
        <v>3780568.92</v>
      </c>
      <c r="C96" s="313">
        <f t="shared" ref="C96" si="30">SUM(C97:C100)</f>
        <v>3496707</v>
      </c>
      <c r="D96" s="313">
        <f t="shared" ref="D96" si="31">SUM(D97:D100)</f>
        <v>0</v>
      </c>
    </row>
    <row r="97" spans="1:4" x14ac:dyDescent="0.2">
      <c r="A97" s="166" t="s">
        <v>119</v>
      </c>
      <c r="B97" s="306"/>
      <c r="C97" s="306"/>
      <c r="D97" s="306"/>
    </row>
    <row r="98" spans="1:4" x14ac:dyDescent="0.2">
      <c r="A98" s="166" t="s">
        <v>122</v>
      </c>
      <c r="B98" s="310"/>
      <c r="C98" s="306"/>
      <c r="D98" s="306"/>
    </row>
    <row r="99" spans="1:4" x14ac:dyDescent="0.2">
      <c r="A99" s="166" t="s">
        <v>103</v>
      </c>
      <c r="B99" s="310">
        <v>3780568.92</v>
      </c>
      <c r="C99" s="309">
        <v>2950707</v>
      </c>
      <c r="D99" s="306"/>
    </row>
    <row r="100" spans="1:4" x14ac:dyDescent="0.2">
      <c r="A100" s="166" t="s">
        <v>104</v>
      </c>
      <c r="B100" s="306"/>
      <c r="C100" s="309">
        <v>546000</v>
      </c>
      <c r="D100" s="306"/>
    </row>
    <row r="101" spans="1:4" x14ac:dyDescent="0.2">
      <c r="A101" s="169" t="s">
        <v>84</v>
      </c>
      <c r="B101" s="313">
        <f>B102</f>
        <v>0</v>
      </c>
      <c r="C101" s="313">
        <f t="shared" ref="C101" si="32">C102</f>
        <v>0</v>
      </c>
      <c r="D101" s="313">
        <f t="shared" ref="D101" si="33">D102</f>
        <v>0</v>
      </c>
    </row>
    <row r="102" spans="1:4" x14ac:dyDescent="0.2">
      <c r="A102" s="166" t="s">
        <v>105</v>
      </c>
      <c r="B102" s="306"/>
      <c r="C102" s="306"/>
      <c r="D102" s="306"/>
    </row>
    <row r="103" spans="1:4" x14ac:dyDescent="0.2">
      <c r="A103" s="300" t="s">
        <v>310</v>
      </c>
      <c r="B103" s="305">
        <f>B101+B96+B89</f>
        <v>12184312.880000001</v>
      </c>
      <c r="C103" s="307">
        <f t="shared" ref="C103:D103" si="34">C101+C96+C89</f>
        <v>15175721</v>
      </c>
      <c r="D103" s="307">
        <f t="shared" si="34"/>
        <v>7465367</v>
      </c>
    </row>
    <row r="105" spans="1:4" ht="38.25" x14ac:dyDescent="0.2">
      <c r="A105" s="175" t="s">
        <v>437</v>
      </c>
      <c r="B105" s="176">
        <v>2019</v>
      </c>
      <c r="C105" s="176">
        <v>2020</v>
      </c>
      <c r="D105" s="176">
        <v>2021</v>
      </c>
    </row>
    <row r="106" spans="1:4" x14ac:dyDescent="0.2">
      <c r="A106" s="169" t="s">
        <v>106</v>
      </c>
      <c r="B106" s="313">
        <f>SUM(B107:B112)</f>
        <v>0</v>
      </c>
      <c r="C106" s="313">
        <f t="shared" ref="C106" si="35">SUM(C107:C112)</f>
        <v>781548</v>
      </c>
      <c r="D106" s="313">
        <f t="shared" ref="D106" si="36">SUM(D107:D112)</f>
        <v>555687</v>
      </c>
    </row>
    <row r="107" spans="1:4" x14ac:dyDescent="0.2">
      <c r="A107" s="166" t="s">
        <v>95</v>
      </c>
      <c r="B107" s="306"/>
      <c r="C107" s="306"/>
      <c r="D107" s="306"/>
    </row>
    <row r="108" spans="1:4" x14ac:dyDescent="0.2">
      <c r="A108" s="166" t="s">
        <v>96</v>
      </c>
      <c r="B108" s="306"/>
      <c r="C108" s="306"/>
      <c r="D108" s="306"/>
    </row>
    <row r="109" spans="1:4" x14ac:dyDescent="0.2">
      <c r="A109" s="166" t="s">
        <v>97</v>
      </c>
      <c r="B109" s="306"/>
      <c r="C109" s="306"/>
      <c r="D109" s="306"/>
    </row>
    <row r="110" spans="1:4" x14ac:dyDescent="0.2">
      <c r="A110" s="166" t="s">
        <v>98</v>
      </c>
      <c r="B110" s="306"/>
      <c r="C110" s="309">
        <v>781548</v>
      </c>
      <c r="D110" s="306">
        <v>555687</v>
      </c>
    </row>
    <row r="111" spans="1:4" x14ac:dyDescent="0.2">
      <c r="A111" s="166" t="s">
        <v>120</v>
      </c>
      <c r="B111" s="306"/>
      <c r="C111" s="306"/>
      <c r="D111" s="306"/>
    </row>
    <row r="112" spans="1:4" x14ac:dyDescent="0.2">
      <c r="A112" s="166" t="s">
        <v>121</v>
      </c>
      <c r="B112" s="306"/>
      <c r="C112" s="306"/>
      <c r="D112" s="306"/>
    </row>
    <row r="113" spans="1:4" x14ac:dyDescent="0.2">
      <c r="A113" s="169" t="s">
        <v>94</v>
      </c>
      <c r="B113" s="313">
        <f>SUM(B114:B117)</f>
        <v>0</v>
      </c>
      <c r="C113" s="313">
        <f t="shared" ref="C113" si="37">SUM(C114:C117)</f>
        <v>0</v>
      </c>
      <c r="D113" s="313">
        <f t="shared" ref="D113" si="38">SUM(D114:D117)</f>
        <v>0</v>
      </c>
    </row>
    <row r="114" spans="1:4" x14ac:dyDescent="0.2">
      <c r="A114" s="166" t="s">
        <v>119</v>
      </c>
      <c r="B114" s="306"/>
      <c r="C114" s="306"/>
      <c r="D114" s="306"/>
    </row>
    <row r="115" spans="1:4" x14ac:dyDescent="0.2">
      <c r="A115" s="166" t="s">
        <v>122</v>
      </c>
      <c r="B115" s="306"/>
      <c r="C115" s="306"/>
      <c r="D115" s="306"/>
    </row>
    <row r="116" spans="1:4" x14ac:dyDescent="0.2">
      <c r="A116" s="166" t="s">
        <v>103</v>
      </c>
      <c r="B116" s="306"/>
      <c r="C116" s="306"/>
      <c r="D116" s="306"/>
    </row>
    <row r="117" spans="1:4" x14ac:dyDescent="0.2">
      <c r="A117" s="166" t="s">
        <v>104</v>
      </c>
      <c r="B117" s="306"/>
      <c r="C117" s="306"/>
      <c r="D117" s="306"/>
    </row>
    <row r="118" spans="1:4" x14ac:dyDescent="0.2">
      <c r="A118" s="169" t="s">
        <v>84</v>
      </c>
      <c r="B118" s="313">
        <f>B119</f>
        <v>0</v>
      </c>
      <c r="C118" s="313">
        <f t="shared" ref="C118" si="39">C119</f>
        <v>0</v>
      </c>
      <c r="D118" s="313">
        <f t="shared" ref="D118" si="40">D119</f>
        <v>0</v>
      </c>
    </row>
    <row r="119" spans="1:4" x14ac:dyDescent="0.2">
      <c r="A119" s="166" t="s">
        <v>105</v>
      </c>
      <c r="B119" s="306"/>
      <c r="C119" s="306"/>
      <c r="D119" s="306"/>
    </row>
    <row r="120" spans="1:4" x14ac:dyDescent="0.2">
      <c r="A120" s="171" t="s">
        <v>308</v>
      </c>
      <c r="B120" s="307">
        <f>B118+B113+B106</f>
        <v>0</v>
      </c>
      <c r="C120" s="307">
        <f t="shared" ref="C120:D120" si="41">C118+C113+C106</f>
        <v>781548</v>
      </c>
      <c r="D120" s="307">
        <f t="shared" si="41"/>
        <v>555687</v>
      </c>
    </row>
    <row r="122" spans="1:4" ht="38.25" x14ac:dyDescent="0.2">
      <c r="A122" s="175" t="s">
        <v>438</v>
      </c>
      <c r="B122" s="176">
        <v>2019</v>
      </c>
      <c r="C122" s="176">
        <v>2020</v>
      </c>
      <c r="D122" s="176">
        <v>2021</v>
      </c>
    </row>
    <row r="123" spans="1:4" x14ac:dyDescent="0.2">
      <c r="A123" s="169" t="s">
        <v>106</v>
      </c>
      <c r="B123" s="313">
        <f>SUM(B124:B129)</f>
        <v>35823326</v>
      </c>
      <c r="C123" s="313">
        <f t="shared" ref="C123" si="42">SUM(C124:C129)</f>
        <v>36960097</v>
      </c>
      <c r="D123" s="313">
        <f t="shared" ref="D123" si="43">SUM(D124:D129)</f>
        <v>555687</v>
      </c>
    </row>
    <row r="124" spans="1:4" x14ac:dyDescent="0.2">
      <c r="A124" s="166" t="s">
        <v>95</v>
      </c>
      <c r="B124" s="306"/>
      <c r="C124" s="306"/>
      <c r="D124" s="306"/>
    </row>
    <row r="125" spans="1:4" x14ac:dyDescent="0.2">
      <c r="A125" s="166" t="s">
        <v>96</v>
      </c>
      <c r="B125" s="306"/>
      <c r="C125" s="309">
        <v>305646</v>
      </c>
      <c r="D125" s="306"/>
    </row>
    <row r="126" spans="1:4" x14ac:dyDescent="0.2">
      <c r="A126" s="166" t="s">
        <v>97</v>
      </c>
      <c r="B126" s="306"/>
      <c r="C126" s="306"/>
      <c r="D126" s="306"/>
    </row>
    <row r="127" spans="1:4" x14ac:dyDescent="0.2">
      <c r="A127" s="166" t="s">
        <v>98</v>
      </c>
      <c r="B127" s="309">
        <v>31066234</v>
      </c>
      <c r="C127" s="309">
        <v>32211742</v>
      </c>
      <c r="D127" s="306">
        <v>555687</v>
      </c>
    </row>
    <row r="128" spans="1:4" x14ac:dyDescent="0.2">
      <c r="A128" s="166" t="s">
        <v>120</v>
      </c>
      <c r="B128" s="306"/>
      <c r="C128" s="306"/>
      <c r="D128" s="306"/>
    </row>
    <row r="129" spans="1:4" x14ac:dyDescent="0.2">
      <c r="A129" s="166" t="s">
        <v>121</v>
      </c>
      <c r="B129" s="309">
        <v>4757092</v>
      </c>
      <c r="C129" s="309">
        <v>4442709</v>
      </c>
      <c r="D129" s="306"/>
    </row>
    <row r="130" spans="1:4" x14ac:dyDescent="0.2">
      <c r="A130" s="169" t="s">
        <v>94</v>
      </c>
      <c r="B130" s="313">
        <f>SUM(B131:B134)</f>
        <v>1919183</v>
      </c>
      <c r="C130" s="313">
        <f t="shared" ref="C130" si="44">SUM(C131:C134)</f>
        <v>3935388</v>
      </c>
      <c r="D130" s="313">
        <f t="shared" ref="D130" si="45">SUM(D131:D134)</f>
        <v>0</v>
      </c>
    </row>
    <row r="131" spans="1:4" x14ac:dyDescent="0.2">
      <c r="A131" s="166" t="s">
        <v>119</v>
      </c>
      <c r="B131" s="306"/>
      <c r="C131" s="306"/>
      <c r="D131" s="306"/>
    </row>
    <row r="132" spans="1:4" x14ac:dyDescent="0.2">
      <c r="A132" s="166" t="s">
        <v>122</v>
      </c>
      <c r="B132" s="306"/>
      <c r="C132" s="306"/>
      <c r="D132" s="306"/>
    </row>
    <row r="133" spans="1:4" x14ac:dyDescent="0.2">
      <c r="A133" s="166" t="s">
        <v>103</v>
      </c>
      <c r="B133" s="309">
        <v>1919183</v>
      </c>
      <c r="C133" s="309">
        <v>3935388</v>
      </c>
      <c r="D133" s="306"/>
    </row>
    <row r="134" spans="1:4" x14ac:dyDescent="0.2">
      <c r="A134" s="166" t="s">
        <v>104</v>
      </c>
      <c r="B134" s="306"/>
      <c r="C134" s="306"/>
      <c r="D134" s="306"/>
    </row>
    <row r="135" spans="1:4" x14ac:dyDescent="0.2">
      <c r="A135" s="169" t="s">
        <v>84</v>
      </c>
      <c r="B135" s="313">
        <f>B136</f>
        <v>0</v>
      </c>
      <c r="C135" s="313">
        <f t="shared" ref="C135" si="46">C136</f>
        <v>0</v>
      </c>
      <c r="D135" s="313">
        <f t="shared" ref="D135" si="47">D136</f>
        <v>0</v>
      </c>
    </row>
    <row r="136" spans="1:4" x14ac:dyDescent="0.2">
      <c r="A136" s="166" t="s">
        <v>105</v>
      </c>
      <c r="B136" s="306"/>
      <c r="C136" s="306"/>
      <c r="D136" s="306"/>
    </row>
    <row r="137" spans="1:4" x14ac:dyDescent="0.2">
      <c r="A137" s="171" t="s">
        <v>309</v>
      </c>
      <c r="B137" s="307">
        <f>B135+B130+B123</f>
        <v>37742509</v>
      </c>
      <c r="C137" s="307">
        <f t="shared" ref="C137:D137" si="48">C135+C130+C123</f>
        <v>40895485</v>
      </c>
      <c r="D137" s="307">
        <f t="shared" si="48"/>
        <v>555687</v>
      </c>
    </row>
    <row r="139" spans="1:4" ht="38.25" x14ac:dyDescent="0.2">
      <c r="A139" s="175" t="s">
        <v>439</v>
      </c>
      <c r="B139" s="176">
        <v>2019</v>
      </c>
      <c r="C139" s="176">
        <v>2020</v>
      </c>
      <c r="D139" s="176">
        <v>2021</v>
      </c>
    </row>
    <row r="140" spans="1:4" x14ac:dyDescent="0.2">
      <c r="A140" s="169" t="s">
        <v>106</v>
      </c>
      <c r="B140" s="313">
        <f>SUM(B141:B146)</f>
        <v>32339592.059999999</v>
      </c>
      <c r="C140" s="313">
        <f t="shared" ref="C140" si="49">SUM(C141:C146)</f>
        <v>22758897.419999998</v>
      </c>
      <c r="D140" s="313">
        <f t="shared" ref="D140" si="50">SUM(D141:D146)</f>
        <v>555687</v>
      </c>
    </row>
    <row r="141" spans="1:4" x14ac:dyDescent="0.2">
      <c r="A141" s="166" t="s">
        <v>95</v>
      </c>
      <c r="B141" s="306"/>
      <c r="C141" s="306"/>
      <c r="D141" s="306"/>
    </row>
    <row r="142" spans="1:4" x14ac:dyDescent="0.2">
      <c r="A142" s="166" t="s">
        <v>96</v>
      </c>
      <c r="B142" s="306"/>
      <c r="C142" s="310">
        <v>111974</v>
      </c>
      <c r="D142" s="306"/>
    </row>
    <row r="143" spans="1:4" x14ac:dyDescent="0.2">
      <c r="A143" s="166" t="s">
        <v>97</v>
      </c>
      <c r="B143" s="306"/>
      <c r="C143" s="306"/>
      <c r="D143" s="306"/>
    </row>
    <row r="144" spans="1:4" x14ac:dyDescent="0.2">
      <c r="A144" s="166" t="s">
        <v>98</v>
      </c>
      <c r="B144" s="310">
        <v>27630886.059999999</v>
      </c>
      <c r="C144" s="310">
        <v>18865790.539999999</v>
      </c>
      <c r="D144" s="306">
        <v>555687</v>
      </c>
    </row>
    <row r="145" spans="1:4" x14ac:dyDescent="0.2">
      <c r="A145" s="166" t="s">
        <v>120</v>
      </c>
      <c r="B145" s="306"/>
      <c r="C145" s="306"/>
      <c r="D145" s="306"/>
    </row>
    <row r="146" spans="1:4" x14ac:dyDescent="0.2">
      <c r="A146" s="166" t="s">
        <v>121</v>
      </c>
      <c r="B146" s="310">
        <v>4708706</v>
      </c>
      <c r="C146" s="310">
        <v>3781132.88</v>
      </c>
      <c r="D146" s="306"/>
    </row>
    <row r="147" spans="1:4" x14ac:dyDescent="0.2">
      <c r="A147" s="169" t="s">
        <v>94</v>
      </c>
      <c r="B147" s="313">
        <f>SUM(B148:B151)</f>
        <v>1761102.47</v>
      </c>
      <c r="C147" s="313">
        <f t="shared" ref="C147" si="51">SUM(C148:C151)</f>
        <v>712129.38</v>
      </c>
      <c r="D147" s="313">
        <f t="shared" ref="D147" si="52">SUM(D148:D151)</f>
        <v>0</v>
      </c>
    </row>
    <row r="148" spans="1:4" x14ac:dyDescent="0.2">
      <c r="A148" s="166" t="s">
        <v>119</v>
      </c>
      <c r="B148" s="306"/>
      <c r="C148" s="306"/>
      <c r="D148" s="306"/>
    </row>
    <row r="149" spans="1:4" x14ac:dyDescent="0.2">
      <c r="A149" s="166" t="s">
        <v>122</v>
      </c>
      <c r="B149" s="306"/>
      <c r="C149" s="306"/>
      <c r="D149" s="306"/>
    </row>
    <row r="150" spans="1:4" x14ac:dyDescent="0.2">
      <c r="A150" s="166" t="s">
        <v>103</v>
      </c>
      <c r="B150" s="310">
        <v>1761102.47</v>
      </c>
      <c r="C150" s="310">
        <v>712129.38</v>
      </c>
      <c r="D150" s="306"/>
    </row>
    <row r="151" spans="1:4" x14ac:dyDescent="0.2">
      <c r="A151" s="166" t="s">
        <v>104</v>
      </c>
      <c r="B151" s="306"/>
      <c r="C151" s="306"/>
      <c r="D151" s="306"/>
    </row>
    <row r="152" spans="1:4" x14ac:dyDescent="0.2">
      <c r="A152" s="169" t="s">
        <v>84</v>
      </c>
      <c r="B152" s="313">
        <f>B153</f>
        <v>0</v>
      </c>
      <c r="C152" s="313">
        <f t="shared" ref="C152" si="53">C153</f>
        <v>0</v>
      </c>
      <c r="D152" s="313">
        <f t="shared" ref="D152" si="54">D153</f>
        <v>0</v>
      </c>
    </row>
    <row r="153" spans="1:4" x14ac:dyDescent="0.2">
      <c r="A153" s="166" t="s">
        <v>105</v>
      </c>
      <c r="B153" s="306"/>
      <c r="C153" s="306"/>
      <c r="D153" s="306"/>
    </row>
    <row r="154" spans="1:4" x14ac:dyDescent="0.2">
      <c r="A154" s="300" t="s">
        <v>310</v>
      </c>
      <c r="B154" s="305">
        <f>B152+B147+B140</f>
        <v>34100694.530000001</v>
      </c>
      <c r="C154" s="307">
        <f t="shared" ref="C154:D154" si="55">C152+C147+C140</f>
        <v>23471026.799999997</v>
      </c>
      <c r="D154" s="307">
        <f t="shared" si="55"/>
        <v>555687</v>
      </c>
    </row>
    <row r="156" spans="1:4" ht="36" x14ac:dyDescent="0.2">
      <c r="A156" s="315" t="s">
        <v>440</v>
      </c>
      <c r="B156" s="176">
        <v>2019</v>
      </c>
      <c r="C156" s="176">
        <v>2020</v>
      </c>
      <c r="D156" s="176">
        <v>2021</v>
      </c>
    </row>
    <row r="157" spans="1:4" x14ac:dyDescent="0.2">
      <c r="A157" s="169" t="s">
        <v>106</v>
      </c>
      <c r="B157" s="313">
        <f>SUM(B158:B163)</f>
        <v>1178283</v>
      </c>
      <c r="C157" s="313">
        <f t="shared" ref="C157" si="56">SUM(C158:C163)</f>
        <v>1735343</v>
      </c>
      <c r="D157" s="313">
        <f t="shared" ref="D157" si="57">SUM(D158:D163)</f>
        <v>889593</v>
      </c>
    </row>
    <row r="158" spans="1:4" x14ac:dyDescent="0.2">
      <c r="A158" s="166" t="s">
        <v>95</v>
      </c>
      <c r="B158" s="306"/>
      <c r="C158" s="306"/>
      <c r="D158" s="306"/>
    </row>
    <row r="159" spans="1:4" x14ac:dyDescent="0.2">
      <c r="A159" s="166" t="s">
        <v>96</v>
      </c>
      <c r="B159" s="306"/>
      <c r="C159" s="306"/>
      <c r="D159" s="306"/>
    </row>
    <row r="160" spans="1:4" x14ac:dyDescent="0.2">
      <c r="A160" s="166" t="s">
        <v>97</v>
      </c>
      <c r="B160" s="306"/>
      <c r="C160" s="306"/>
      <c r="D160" s="306"/>
    </row>
    <row r="161" spans="1:4" x14ac:dyDescent="0.2">
      <c r="A161" s="166" t="s">
        <v>98</v>
      </c>
      <c r="B161" s="309">
        <v>1178283</v>
      </c>
      <c r="C161" s="309">
        <v>1735343</v>
      </c>
      <c r="D161" s="306">
        <v>889593</v>
      </c>
    </row>
    <row r="162" spans="1:4" x14ac:dyDescent="0.2">
      <c r="A162" s="166" t="s">
        <v>120</v>
      </c>
      <c r="B162" s="306"/>
      <c r="C162" s="306"/>
      <c r="D162" s="306"/>
    </row>
    <row r="163" spans="1:4" x14ac:dyDescent="0.2">
      <c r="A163" s="166" t="s">
        <v>121</v>
      </c>
      <c r="B163" s="306"/>
      <c r="C163" s="306"/>
      <c r="D163" s="306"/>
    </row>
    <row r="164" spans="1:4" x14ac:dyDescent="0.2">
      <c r="A164" s="169" t="s">
        <v>94</v>
      </c>
      <c r="B164" s="313">
        <f>SUM(B165:B168)</f>
        <v>6871554</v>
      </c>
      <c r="C164" s="313">
        <f t="shared" ref="C164" si="58">SUM(C165:C168)</f>
        <v>3318512</v>
      </c>
      <c r="D164" s="313">
        <f t="shared" ref="D164" si="59">SUM(D165:D168)</f>
        <v>3234448</v>
      </c>
    </row>
    <row r="165" spans="1:4" x14ac:dyDescent="0.2">
      <c r="A165" s="166" t="s">
        <v>119</v>
      </c>
      <c r="B165" s="306"/>
      <c r="C165" s="306"/>
      <c r="D165" s="306"/>
    </row>
    <row r="166" spans="1:4" x14ac:dyDescent="0.2">
      <c r="A166" s="166" t="s">
        <v>122</v>
      </c>
      <c r="B166" s="306"/>
      <c r="C166" s="306"/>
      <c r="D166" s="306"/>
    </row>
    <row r="167" spans="1:4" x14ac:dyDescent="0.2">
      <c r="A167" s="166" t="s">
        <v>103</v>
      </c>
      <c r="B167" s="309">
        <v>6871554</v>
      </c>
      <c r="C167" s="309">
        <v>3318512</v>
      </c>
      <c r="D167" s="306">
        <v>3234448</v>
      </c>
    </row>
    <row r="168" spans="1:4" x14ac:dyDescent="0.2">
      <c r="A168" s="166" t="s">
        <v>104</v>
      </c>
      <c r="B168" s="306"/>
      <c r="C168" s="306"/>
      <c r="D168" s="306"/>
    </row>
    <row r="169" spans="1:4" x14ac:dyDescent="0.2">
      <c r="A169" s="169" t="s">
        <v>84</v>
      </c>
      <c r="B169" s="313">
        <f>B170</f>
        <v>0</v>
      </c>
      <c r="C169" s="313">
        <f t="shared" ref="C169" si="60">C170</f>
        <v>0</v>
      </c>
      <c r="D169" s="313">
        <f t="shared" ref="D169" si="61">D170</f>
        <v>0</v>
      </c>
    </row>
    <row r="170" spans="1:4" x14ac:dyDescent="0.2">
      <c r="A170" s="166" t="s">
        <v>105</v>
      </c>
      <c r="B170" s="306"/>
      <c r="C170" s="306"/>
      <c r="D170" s="306"/>
    </row>
    <row r="171" spans="1:4" x14ac:dyDescent="0.2">
      <c r="A171" s="171" t="s">
        <v>308</v>
      </c>
      <c r="B171" s="307">
        <f>B169+B164+B157</f>
        <v>8049837</v>
      </c>
      <c r="C171" s="307">
        <f t="shared" ref="C171:D171" si="62">C169+C164+C157</f>
        <v>5053855</v>
      </c>
      <c r="D171" s="307">
        <f t="shared" si="62"/>
        <v>4124041</v>
      </c>
    </row>
    <row r="173" spans="1:4" ht="36" x14ac:dyDescent="0.2">
      <c r="A173" s="315" t="s">
        <v>441</v>
      </c>
      <c r="B173" s="176">
        <v>2019</v>
      </c>
      <c r="C173" s="176">
        <v>2020</v>
      </c>
      <c r="D173" s="176">
        <v>2021</v>
      </c>
    </row>
    <row r="174" spans="1:4" x14ac:dyDescent="0.2">
      <c r="A174" s="169" t="s">
        <v>106</v>
      </c>
      <c r="B174" s="313">
        <f>SUM(B175:B180)</f>
        <v>5474759</v>
      </c>
      <c r="C174" s="313">
        <f t="shared" ref="C174:D174" si="63">SUM(C175:C180)</f>
        <v>1660120</v>
      </c>
      <c r="D174" s="313">
        <f t="shared" si="63"/>
        <v>889593</v>
      </c>
    </row>
    <row r="175" spans="1:4" x14ac:dyDescent="0.2">
      <c r="A175" s="166" t="s">
        <v>95</v>
      </c>
      <c r="B175" s="306"/>
      <c r="C175" s="306"/>
      <c r="D175" s="306"/>
    </row>
    <row r="176" spans="1:4" x14ac:dyDescent="0.2">
      <c r="A176" s="166" t="s">
        <v>96</v>
      </c>
      <c r="B176" s="306"/>
      <c r="C176" s="306"/>
      <c r="D176" s="306"/>
    </row>
    <row r="177" spans="1:4" x14ac:dyDescent="0.2">
      <c r="A177" s="166" t="s">
        <v>97</v>
      </c>
      <c r="B177" s="306"/>
      <c r="C177" s="306"/>
      <c r="D177" s="306"/>
    </row>
    <row r="178" spans="1:4" x14ac:dyDescent="0.2">
      <c r="A178" s="166" t="s">
        <v>98</v>
      </c>
      <c r="B178" s="309">
        <v>5474759</v>
      </c>
      <c r="C178" s="309">
        <v>1660120</v>
      </c>
      <c r="D178" s="306">
        <v>889593</v>
      </c>
    </row>
    <row r="179" spans="1:4" x14ac:dyDescent="0.2">
      <c r="A179" s="166" t="s">
        <v>120</v>
      </c>
      <c r="B179" s="306"/>
      <c r="C179" s="306"/>
      <c r="D179" s="306"/>
    </row>
    <row r="180" spans="1:4" x14ac:dyDescent="0.2">
      <c r="A180" s="166" t="s">
        <v>121</v>
      </c>
      <c r="B180" s="306"/>
      <c r="C180" s="306"/>
      <c r="D180" s="306"/>
    </row>
    <row r="181" spans="1:4" x14ac:dyDescent="0.2">
      <c r="A181" s="169" t="s">
        <v>94</v>
      </c>
      <c r="B181" s="313">
        <f>SUM(B182:B185)</f>
        <v>11207323</v>
      </c>
      <c r="C181" s="313">
        <f t="shared" ref="C181:D181" si="64">SUM(C182:C185)</f>
        <v>3094265</v>
      </c>
      <c r="D181" s="313">
        <f t="shared" si="64"/>
        <v>3234448</v>
      </c>
    </row>
    <row r="182" spans="1:4" x14ac:dyDescent="0.2">
      <c r="A182" s="166" t="s">
        <v>119</v>
      </c>
      <c r="B182" s="306"/>
      <c r="C182" s="306"/>
      <c r="D182" s="306"/>
    </row>
    <row r="183" spans="1:4" x14ac:dyDescent="0.2">
      <c r="A183" s="166" t="s">
        <v>122</v>
      </c>
      <c r="B183" s="306"/>
      <c r="C183" s="306"/>
      <c r="D183" s="306"/>
    </row>
    <row r="184" spans="1:4" x14ac:dyDescent="0.2">
      <c r="A184" s="166" t="s">
        <v>103</v>
      </c>
      <c r="B184" s="309">
        <v>11207323</v>
      </c>
      <c r="C184" s="309">
        <v>3094265</v>
      </c>
      <c r="D184" s="306">
        <v>3234448</v>
      </c>
    </row>
    <row r="185" spans="1:4" x14ac:dyDescent="0.2">
      <c r="A185" s="166" t="s">
        <v>104</v>
      </c>
      <c r="B185" s="306"/>
      <c r="C185" s="306"/>
      <c r="D185" s="306"/>
    </row>
    <row r="186" spans="1:4" x14ac:dyDescent="0.2">
      <c r="A186" s="169" t="s">
        <v>84</v>
      </c>
      <c r="B186" s="313">
        <f>B187</f>
        <v>0</v>
      </c>
      <c r="C186" s="313">
        <f t="shared" ref="C186:D186" si="65">C187</f>
        <v>0</v>
      </c>
      <c r="D186" s="313">
        <f t="shared" si="65"/>
        <v>0</v>
      </c>
    </row>
    <row r="187" spans="1:4" x14ac:dyDescent="0.2">
      <c r="A187" s="166" t="s">
        <v>105</v>
      </c>
      <c r="B187" s="306"/>
      <c r="C187" s="306"/>
      <c r="D187" s="306"/>
    </row>
    <row r="188" spans="1:4" x14ac:dyDescent="0.2">
      <c r="A188" s="171" t="s">
        <v>309</v>
      </c>
      <c r="B188" s="307">
        <f>B186+B181+B174</f>
        <v>16682082</v>
      </c>
      <c r="C188" s="307">
        <f t="shared" ref="C188:D188" si="66">C186+C181+C174</f>
        <v>4754385</v>
      </c>
      <c r="D188" s="307">
        <f t="shared" si="66"/>
        <v>4124041</v>
      </c>
    </row>
    <row r="190" spans="1:4" ht="36" x14ac:dyDescent="0.2">
      <c r="A190" s="315" t="s">
        <v>444</v>
      </c>
      <c r="B190" s="176">
        <v>2019</v>
      </c>
      <c r="C190" s="176">
        <v>2020</v>
      </c>
      <c r="D190" s="176">
        <v>2021</v>
      </c>
    </row>
    <row r="191" spans="1:4" x14ac:dyDescent="0.2">
      <c r="A191" s="169" t="s">
        <v>106</v>
      </c>
      <c r="B191" s="313">
        <f>SUM(B192:B197)</f>
        <v>3318770.76</v>
      </c>
      <c r="C191" s="313">
        <f t="shared" ref="C191:D191" si="67">SUM(C192:C197)</f>
        <v>1660120</v>
      </c>
      <c r="D191" s="313">
        <f t="shared" si="67"/>
        <v>889593</v>
      </c>
    </row>
    <row r="192" spans="1:4" x14ac:dyDescent="0.2">
      <c r="A192" s="166" t="s">
        <v>95</v>
      </c>
      <c r="B192" s="306"/>
      <c r="C192" s="306"/>
      <c r="D192" s="306"/>
    </row>
    <row r="193" spans="1:4" x14ac:dyDescent="0.2">
      <c r="A193" s="166" t="s">
        <v>96</v>
      </c>
      <c r="B193" s="306"/>
      <c r="C193" s="306"/>
      <c r="D193" s="306"/>
    </row>
    <row r="194" spans="1:4" x14ac:dyDescent="0.2">
      <c r="A194" s="166" t="s">
        <v>97</v>
      </c>
      <c r="B194" s="306"/>
      <c r="C194" s="306"/>
      <c r="D194" s="306"/>
    </row>
    <row r="195" spans="1:4" x14ac:dyDescent="0.2">
      <c r="A195" s="166" t="s">
        <v>98</v>
      </c>
      <c r="B195" s="310">
        <v>3318770.76</v>
      </c>
      <c r="C195" s="309">
        <v>1660120</v>
      </c>
      <c r="D195" s="306">
        <v>889593</v>
      </c>
    </row>
    <row r="196" spans="1:4" x14ac:dyDescent="0.2">
      <c r="A196" s="166" t="s">
        <v>120</v>
      </c>
      <c r="B196" s="306"/>
      <c r="C196" s="306"/>
      <c r="D196" s="306"/>
    </row>
    <row r="197" spans="1:4" x14ac:dyDescent="0.2">
      <c r="A197" s="166" t="s">
        <v>121</v>
      </c>
      <c r="B197" s="306"/>
      <c r="C197" s="306"/>
      <c r="D197" s="306"/>
    </row>
    <row r="198" spans="1:4" x14ac:dyDescent="0.2">
      <c r="A198" s="169" t="s">
        <v>94</v>
      </c>
      <c r="B198" s="313">
        <f>SUM(B199:B202)</f>
        <v>7375615.6600000001</v>
      </c>
      <c r="C198" s="313">
        <f t="shared" ref="C198:D198" si="68">SUM(C199:C202)</f>
        <v>3094265</v>
      </c>
      <c r="D198" s="313">
        <f t="shared" si="68"/>
        <v>3234448</v>
      </c>
    </row>
    <row r="199" spans="1:4" x14ac:dyDescent="0.2">
      <c r="A199" s="166" t="s">
        <v>119</v>
      </c>
      <c r="B199" s="306"/>
      <c r="C199" s="306"/>
      <c r="D199" s="306"/>
    </row>
    <row r="200" spans="1:4" x14ac:dyDescent="0.2">
      <c r="A200" s="166" t="s">
        <v>122</v>
      </c>
      <c r="B200" s="306"/>
      <c r="C200" s="306"/>
      <c r="D200" s="306"/>
    </row>
    <row r="201" spans="1:4" x14ac:dyDescent="0.2">
      <c r="A201" s="166" t="s">
        <v>103</v>
      </c>
      <c r="B201" s="310">
        <v>7375615.6600000001</v>
      </c>
      <c r="C201" s="309">
        <v>3094265</v>
      </c>
      <c r="D201" s="306">
        <v>3234448</v>
      </c>
    </row>
    <row r="202" spans="1:4" x14ac:dyDescent="0.2">
      <c r="A202" s="166" t="s">
        <v>104</v>
      </c>
      <c r="B202" s="306"/>
      <c r="C202" s="306"/>
      <c r="D202" s="306"/>
    </row>
    <row r="203" spans="1:4" x14ac:dyDescent="0.2">
      <c r="A203" s="169" t="s">
        <v>84</v>
      </c>
      <c r="B203" s="313">
        <f>B204</f>
        <v>0</v>
      </c>
      <c r="C203" s="313">
        <f t="shared" ref="C203:D203" si="69">C204</f>
        <v>0</v>
      </c>
      <c r="D203" s="313">
        <f t="shared" si="69"/>
        <v>0</v>
      </c>
    </row>
    <row r="204" spans="1:4" x14ac:dyDescent="0.2">
      <c r="A204" s="166" t="s">
        <v>105</v>
      </c>
      <c r="B204" s="306"/>
      <c r="C204" s="306"/>
      <c r="D204" s="306"/>
    </row>
    <row r="205" spans="1:4" x14ac:dyDescent="0.2">
      <c r="A205" s="300" t="s">
        <v>310</v>
      </c>
      <c r="B205" s="307">
        <f>B203+B198+B191</f>
        <v>10694386.42</v>
      </c>
      <c r="C205" s="307">
        <f t="shared" ref="C205:D205" si="70">C203+C198+C191</f>
        <v>4754385</v>
      </c>
      <c r="D205" s="307">
        <f t="shared" si="70"/>
        <v>4124041</v>
      </c>
    </row>
    <row r="207" spans="1:4" ht="38.25" x14ac:dyDescent="0.2">
      <c r="A207" s="175" t="s">
        <v>443</v>
      </c>
      <c r="B207" s="176">
        <v>2019</v>
      </c>
      <c r="C207" s="176">
        <v>2020</v>
      </c>
      <c r="D207" s="176">
        <v>2021</v>
      </c>
    </row>
    <row r="208" spans="1:4" x14ac:dyDescent="0.2">
      <c r="A208" s="169" t="s">
        <v>106</v>
      </c>
      <c r="B208" s="313">
        <f>SUM(B209:B214)</f>
        <v>0</v>
      </c>
      <c r="C208" s="313">
        <f t="shared" ref="C208" si="71">SUM(C209:C214)</f>
        <v>0</v>
      </c>
      <c r="D208" s="313">
        <f t="shared" ref="D208" si="72">SUM(D209:D214)</f>
        <v>0</v>
      </c>
    </row>
    <row r="209" spans="1:4" x14ac:dyDescent="0.2">
      <c r="A209" s="166" t="s">
        <v>95</v>
      </c>
      <c r="B209" s="306"/>
      <c r="C209" s="306"/>
      <c r="D209" s="306"/>
    </row>
    <row r="210" spans="1:4" x14ac:dyDescent="0.2">
      <c r="A210" s="166" t="s">
        <v>96</v>
      </c>
      <c r="B210" s="306"/>
      <c r="C210" s="306"/>
      <c r="D210" s="306"/>
    </row>
    <row r="211" spans="1:4" x14ac:dyDescent="0.2">
      <c r="A211" s="166" t="s">
        <v>97</v>
      </c>
      <c r="B211" s="306"/>
      <c r="C211" s="306"/>
      <c r="D211" s="306"/>
    </row>
    <row r="212" spans="1:4" x14ac:dyDescent="0.2">
      <c r="A212" s="166" t="s">
        <v>98</v>
      </c>
      <c r="B212" s="306"/>
      <c r="C212" s="306"/>
      <c r="D212" s="306"/>
    </row>
    <row r="213" spans="1:4" x14ac:dyDescent="0.2">
      <c r="A213" s="166" t="s">
        <v>120</v>
      </c>
      <c r="B213" s="306"/>
      <c r="C213" s="306"/>
      <c r="D213" s="306"/>
    </row>
    <row r="214" spans="1:4" x14ac:dyDescent="0.2">
      <c r="A214" s="166" t="s">
        <v>121</v>
      </c>
      <c r="B214" s="306"/>
      <c r="C214" s="306"/>
      <c r="D214" s="306"/>
    </row>
    <row r="215" spans="1:4" x14ac:dyDescent="0.2">
      <c r="A215" s="169" t="s">
        <v>94</v>
      </c>
      <c r="B215" s="313">
        <f>SUM(B216:B219)</f>
        <v>69023819</v>
      </c>
      <c r="C215" s="313">
        <f t="shared" ref="C215" si="73">SUM(C216:C219)</f>
        <v>0</v>
      </c>
      <c r="D215" s="313">
        <f t="shared" ref="D215" si="74">SUM(D216:D219)</f>
        <v>168504702</v>
      </c>
    </row>
    <row r="216" spans="1:4" x14ac:dyDescent="0.2">
      <c r="A216" s="166" t="s">
        <v>119</v>
      </c>
      <c r="B216" s="306"/>
      <c r="C216" s="306"/>
      <c r="D216" s="306"/>
    </row>
    <row r="217" spans="1:4" x14ac:dyDescent="0.2">
      <c r="A217" s="166" t="s">
        <v>122</v>
      </c>
      <c r="B217" s="306"/>
      <c r="C217" s="306"/>
      <c r="D217" s="306"/>
    </row>
    <row r="218" spans="1:4" x14ac:dyDescent="0.2">
      <c r="A218" s="166" t="s">
        <v>103</v>
      </c>
      <c r="B218" s="309">
        <v>69023819</v>
      </c>
      <c r="C218" s="306"/>
      <c r="D218" s="306">
        <v>168504702</v>
      </c>
    </row>
    <row r="219" spans="1:4" x14ac:dyDescent="0.2">
      <c r="A219" s="166" t="s">
        <v>104</v>
      </c>
      <c r="B219" s="306"/>
      <c r="C219" s="306"/>
      <c r="D219" s="306"/>
    </row>
    <row r="220" spans="1:4" x14ac:dyDescent="0.2">
      <c r="A220" s="169" t="s">
        <v>84</v>
      </c>
      <c r="B220" s="313">
        <f>B221</f>
        <v>0</v>
      </c>
      <c r="C220" s="313">
        <f t="shared" ref="C220" si="75">C221</f>
        <v>0</v>
      </c>
      <c r="D220" s="313">
        <f t="shared" ref="D220" si="76">D221</f>
        <v>0</v>
      </c>
    </row>
    <row r="221" spans="1:4" x14ac:dyDescent="0.2">
      <c r="A221" s="166" t="s">
        <v>105</v>
      </c>
      <c r="B221" s="306"/>
      <c r="C221" s="306"/>
      <c r="D221" s="306"/>
    </row>
    <row r="222" spans="1:4" x14ac:dyDescent="0.2">
      <c r="A222" s="171" t="s">
        <v>308</v>
      </c>
      <c r="B222" s="307">
        <f>B220+B215+B208</f>
        <v>69023819</v>
      </c>
      <c r="C222" s="307">
        <f t="shared" ref="C222:D222" si="77">C220+C215+C208</f>
        <v>0</v>
      </c>
      <c r="D222" s="307">
        <f t="shared" si="77"/>
        <v>168504702</v>
      </c>
    </row>
    <row r="224" spans="1:4" ht="38.25" x14ac:dyDescent="0.2">
      <c r="A224" s="175" t="s">
        <v>441</v>
      </c>
      <c r="B224" s="176">
        <v>2019</v>
      </c>
      <c r="C224" s="176">
        <v>2020</v>
      </c>
      <c r="D224" s="176">
        <v>2021</v>
      </c>
    </row>
    <row r="225" spans="1:4" x14ac:dyDescent="0.2">
      <c r="A225" s="169" t="s">
        <v>106</v>
      </c>
      <c r="B225" s="313">
        <f>SUM(B226:B231)</f>
        <v>0</v>
      </c>
      <c r="C225" s="313">
        <f t="shared" ref="C225" si="78">SUM(C226:C231)</f>
        <v>8711885</v>
      </c>
      <c r="D225" s="313">
        <f t="shared" ref="D225" si="79">SUM(D226:D231)</f>
        <v>0</v>
      </c>
    </row>
    <row r="226" spans="1:4" x14ac:dyDescent="0.2">
      <c r="A226" s="166" t="s">
        <v>95</v>
      </c>
      <c r="B226" s="306"/>
      <c r="C226" s="306"/>
      <c r="D226" s="306"/>
    </row>
    <row r="227" spans="1:4" x14ac:dyDescent="0.2">
      <c r="A227" s="166" t="s">
        <v>96</v>
      </c>
      <c r="B227" s="306"/>
      <c r="C227" s="309">
        <v>2290533</v>
      </c>
      <c r="D227" s="306"/>
    </row>
    <row r="228" spans="1:4" x14ac:dyDescent="0.2">
      <c r="A228" s="166" t="s">
        <v>97</v>
      </c>
      <c r="B228" s="306"/>
      <c r="C228" s="306"/>
      <c r="D228" s="306"/>
    </row>
    <row r="229" spans="1:4" x14ac:dyDescent="0.2">
      <c r="A229" s="166" t="s">
        <v>98</v>
      </c>
      <c r="B229" s="306"/>
      <c r="C229" s="309">
        <v>6421352</v>
      </c>
      <c r="D229" s="306"/>
    </row>
    <row r="230" spans="1:4" x14ac:dyDescent="0.2">
      <c r="A230" s="166" t="s">
        <v>120</v>
      </c>
      <c r="B230" s="306"/>
      <c r="C230" s="306"/>
      <c r="D230" s="306"/>
    </row>
    <row r="231" spans="1:4" x14ac:dyDescent="0.2">
      <c r="A231" s="166" t="s">
        <v>121</v>
      </c>
      <c r="B231" s="306"/>
      <c r="C231" s="306"/>
      <c r="D231" s="306"/>
    </row>
    <row r="232" spans="1:4" x14ac:dyDescent="0.2">
      <c r="A232" s="169" t="s">
        <v>94</v>
      </c>
      <c r="B232" s="313">
        <f>SUM(B233:B236)</f>
        <v>136873715</v>
      </c>
      <c r="C232" s="313">
        <f t="shared" ref="C232" si="80">SUM(C233:C236)</f>
        <v>39857117</v>
      </c>
      <c r="D232" s="313">
        <f t="shared" ref="D232" si="81">SUM(D233:D236)</f>
        <v>168504702</v>
      </c>
    </row>
    <row r="233" spans="1:4" x14ac:dyDescent="0.2">
      <c r="A233" s="166" t="s">
        <v>119</v>
      </c>
      <c r="B233" s="306"/>
      <c r="C233" s="306"/>
      <c r="D233" s="306"/>
    </row>
    <row r="234" spans="1:4" x14ac:dyDescent="0.2">
      <c r="A234" s="166" t="s">
        <v>122</v>
      </c>
      <c r="B234" s="306"/>
      <c r="C234" s="306"/>
      <c r="D234" s="306"/>
    </row>
    <row r="235" spans="1:4" x14ac:dyDescent="0.2">
      <c r="A235" s="166" t="s">
        <v>103</v>
      </c>
      <c r="B235" s="309">
        <v>136873715</v>
      </c>
      <c r="C235" s="309">
        <v>39857117</v>
      </c>
      <c r="D235" s="306">
        <v>168504702</v>
      </c>
    </row>
    <row r="236" spans="1:4" x14ac:dyDescent="0.2">
      <c r="A236" s="166" t="s">
        <v>104</v>
      </c>
      <c r="B236" s="306"/>
      <c r="C236" s="306"/>
      <c r="D236" s="306"/>
    </row>
    <row r="237" spans="1:4" x14ac:dyDescent="0.2">
      <c r="A237" s="169" t="s">
        <v>84</v>
      </c>
      <c r="B237" s="313">
        <f>B238</f>
        <v>0</v>
      </c>
      <c r="C237" s="313">
        <f t="shared" ref="C237" si="82">C238</f>
        <v>0</v>
      </c>
      <c r="D237" s="313">
        <f t="shared" ref="D237" si="83">D238</f>
        <v>0</v>
      </c>
    </row>
    <row r="238" spans="1:4" x14ac:dyDescent="0.2">
      <c r="A238" s="166" t="s">
        <v>105</v>
      </c>
      <c r="B238" s="306"/>
      <c r="C238" s="306"/>
      <c r="D238" s="306"/>
    </row>
    <row r="239" spans="1:4" x14ac:dyDescent="0.2">
      <c r="A239" s="171" t="s">
        <v>309</v>
      </c>
      <c r="B239" s="307">
        <f>B237+B232+B225</f>
        <v>136873715</v>
      </c>
      <c r="C239" s="307">
        <f t="shared" ref="C239:D239" si="84">C237+C232+C225</f>
        <v>48569002</v>
      </c>
      <c r="D239" s="307">
        <f t="shared" si="84"/>
        <v>168504702</v>
      </c>
    </row>
    <row r="241" spans="1:4" ht="38.25" x14ac:dyDescent="0.2">
      <c r="A241" s="175" t="s">
        <v>442</v>
      </c>
      <c r="B241" s="176">
        <v>2019</v>
      </c>
      <c r="C241" s="176">
        <v>2020</v>
      </c>
      <c r="D241" s="176">
        <v>2021</v>
      </c>
    </row>
    <row r="242" spans="1:4" x14ac:dyDescent="0.2">
      <c r="A242" s="169" t="s">
        <v>106</v>
      </c>
      <c r="B242" s="313">
        <f>SUM(B243:B248)</f>
        <v>0</v>
      </c>
      <c r="C242" s="313">
        <f t="shared" ref="C242" si="85">SUM(C243:C248)</f>
        <v>8711885</v>
      </c>
      <c r="D242" s="313">
        <f t="shared" ref="D242" si="86">SUM(D243:D248)</f>
        <v>0</v>
      </c>
    </row>
    <row r="243" spans="1:4" x14ac:dyDescent="0.2">
      <c r="A243" s="166" t="s">
        <v>95</v>
      </c>
      <c r="B243" s="306"/>
      <c r="C243" s="306"/>
      <c r="D243" s="306"/>
    </row>
    <row r="244" spans="1:4" x14ac:dyDescent="0.2">
      <c r="A244" s="166" t="s">
        <v>96</v>
      </c>
      <c r="B244" s="306"/>
      <c r="C244" s="309">
        <v>2290533</v>
      </c>
      <c r="D244" s="306"/>
    </row>
    <row r="245" spans="1:4" x14ac:dyDescent="0.2">
      <c r="A245" s="166" t="s">
        <v>97</v>
      </c>
      <c r="B245" s="306"/>
      <c r="C245" s="306"/>
      <c r="D245" s="306"/>
    </row>
    <row r="246" spans="1:4" x14ac:dyDescent="0.2">
      <c r="A246" s="166" t="s">
        <v>98</v>
      </c>
      <c r="B246" s="306"/>
      <c r="C246" s="309">
        <v>6421352</v>
      </c>
      <c r="D246" s="306"/>
    </row>
    <row r="247" spans="1:4" x14ac:dyDescent="0.2">
      <c r="A247" s="166" t="s">
        <v>120</v>
      </c>
      <c r="B247" s="306"/>
      <c r="C247" s="306"/>
      <c r="D247" s="306"/>
    </row>
    <row r="248" spans="1:4" x14ac:dyDescent="0.2">
      <c r="A248" s="166" t="s">
        <v>121</v>
      </c>
      <c r="B248" s="306"/>
      <c r="C248" s="306"/>
      <c r="D248" s="306"/>
    </row>
    <row r="249" spans="1:4" x14ac:dyDescent="0.2">
      <c r="A249" s="169" t="s">
        <v>94</v>
      </c>
      <c r="B249" s="313">
        <f>SUM(B250:B253)</f>
        <v>96842474.590000004</v>
      </c>
      <c r="C249" s="313">
        <f t="shared" ref="C249" si="87">SUM(C250:C253)</f>
        <v>39857117</v>
      </c>
      <c r="D249" s="313">
        <f t="shared" ref="D249" si="88">SUM(D250:D253)</f>
        <v>168504702</v>
      </c>
    </row>
    <row r="250" spans="1:4" x14ac:dyDescent="0.2">
      <c r="A250" s="166" t="s">
        <v>119</v>
      </c>
      <c r="B250" s="306"/>
      <c r="C250" s="306"/>
      <c r="D250" s="306"/>
    </row>
    <row r="251" spans="1:4" x14ac:dyDescent="0.2">
      <c r="A251" s="166" t="s">
        <v>122</v>
      </c>
      <c r="B251" s="306"/>
      <c r="C251" s="306"/>
      <c r="D251" s="306"/>
    </row>
    <row r="252" spans="1:4" x14ac:dyDescent="0.2">
      <c r="A252" s="166" t="s">
        <v>103</v>
      </c>
      <c r="B252" s="310">
        <v>96842474.590000004</v>
      </c>
      <c r="C252" s="309">
        <v>39857117</v>
      </c>
      <c r="D252" s="306">
        <v>168504702</v>
      </c>
    </row>
    <row r="253" spans="1:4" x14ac:dyDescent="0.2">
      <c r="A253" s="166" t="s">
        <v>104</v>
      </c>
      <c r="B253" s="306"/>
      <c r="C253" s="306"/>
      <c r="D253" s="306"/>
    </row>
    <row r="254" spans="1:4" x14ac:dyDescent="0.2">
      <c r="A254" s="169" t="s">
        <v>84</v>
      </c>
      <c r="B254" s="313">
        <f>B255</f>
        <v>0</v>
      </c>
      <c r="C254" s="313">
        <f t="shared" ref="C254" si="89">C255</f>
        <v>0</v>
      </c>
      <c r="D254" s="313">
        <f t="shared" ref="D254" si="90">D255</f>
        <v>0</v>
      </c>
    </row>
    <row r="255" spans="1:4" x14ac:dyDescent="0.2">
      <c r="A255" s="166" t="s">
        <v>105</v>
      </c>
      <c r="B255" s="306"/>
      <c r="C255" s="306"/>
      <c r="D255" s="306"/>
    </row>
    <row r="256" spans="1:4" x14ac:dyDescent="0.2">
      <c r="A256" s="300" t="s">
        <v>310</v>
      </c>
      <c r="B256" s="307">
        <f>B254+B249+B242</f>
        <v>96842474.590000004</v>
      </c>
      <c r="C256" s="307">
        <f t="shared" ref="C256:D256" si="91">C254+C249+C242</f>
        <v>48569002</v>
      </c>
      <c r="D256" s="307">
        <f t="shared" si="91"/>
        <v>168504702</v>
      </c>
    </row>
  </sheetData>
  <printOptions horizontalCentered="1"/>
  <pageMargins left="0.70866141732283472" right="0.51181102362204722" top="0.74803149606299213" bottom="0.74803149606299213" header="0.31496062992125984" footer="0.31496062992125984"/>
  <pageSetup paperSize="9" scale="80"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8">
    <tabColor theme="9" tint="-0.249977111117893"/>
  </sheetPr>
  <dimension ref="A1:W74"/>
  <sheetViews>
    <sheetView view="pageLayout" zoomScaleNormal="100" zoomScaleSheetLayoutView="100" workbookViewId="0">
      <selection activeCell="A2" sqref="A2"/>
    </sheetView>
  </sheetViews>
  <sheetFormatPr baseColWidth="10" defaultColWidth="11.28515625" defaultRowHeight="11.25" x14ac:dyDescent="0.2"/>
  <cols>
    <col min="1" max="1" width="9.85546875" style="138" customWidth="1"/>
    <col min="2" max="2" width="27.5703125" style="138" customWidth="1"/>
    <col min="3" max="3" width="5" style="138" customWidth="1"/>
    <col min="4" max="4" width="11.7109375" style="138" bestFit="1" customWidth="1"/>
    <col min="5" max="5" width="10.85546875" style="138" bestFit="1" customWidth="1"/>
    <col min="6" max="6" width="11.7109375" style="138" bestFit="1" customWidth="1"/>
    <col min="7" max="7" width="5" style="138" customWidth="1"/>
    <col min="8" max="8" width="10" style="138" bestFit="1" customWidth="1"/>
    <col min="9" max="9" width="11.7109375" style="138" bestFit="1" customWidth="1"/>
    <col min="10" max="11" width="5" style="138" customWidth="1"/>
    <col min="12" max="12" width="11.7109375" style="138" bestFit="1" customWidth="1"/>
    <col min="13" max="13" width="8.7109375" style="138" bestFit="1" customWidth="1"/>
    <col min="14" max="14" width="11.7109375" style="138" bestFit="1" customWidth="1"/>
    <col min="15" max="16" width="5" style="138" customWidth="1"/>
    <col min="17" max="17" width="13" style="138" bestFit="1" customWidth="1"/>
    <col min="18" max="18" width="5.7109375" style="174" bestFit="1" customWidth="1"/>
    <col min="19" max="16384" width="11.28515625" style="138"/>
  </cols>
  <sheetData>
    <row r="1" spans="1:23" s="137" customFormat="1" x14ac:dyDescent="0.2">
      <c r="A1" s="127" t="s">
        <v>377</v>
      </c>
      <c r="B1" s="127"/>
      <c r="C1" s="221"/>
      <c r="D1" s="221"/>
      <c r="E1" s="221"/>
      <c r="F1" s="221"/>
      <c r="G1" s="221"/>
      <c r="H1" s="222"/>
      <c r="I1" s="222"/>
      <c r="J1" s="222"/>
      <c r="K1" s="222"/>
      <c r="L1" s="222"/>
      <c r="M1" s="222"/>
      <c r="N1" s="222"/>
      <c r="O1" s="222"/>
      <c r="P1" s="222"/>
      <c r="Q1" s="222"/>
      <c r="R1" s="222"/>
    </row>
    <row r="2" spans="1:23" s="137" customFormat="1" ht="12" thickBot="1" x14ac:dyDescent="0.25">
      <c r="A2" s="129" t="s">
        <v>962</v>
      </c>
      <c r="B2" s="129"/>
      <c r="C2" s="129"/>
      <c r="D2" s="129"/>
      <c r="E2" s="129"/>
      <c r="F2" s="129"/>
      <c r="G2" s="129"/>
      <c r="H2" s="129"/>
      <c r="I2" s="129"/>
      <c r="J2" s="129"/>
      <c r="K2" s="129"/>
      <c r="L2" s="129"/>
      <c r="M2" s="129"/>
      <c r="N2" s="129"/>
      <c r="O2" s="129"/>
      <c r="P2" s="129"/>
      <c r="Q2" s="129"/>
      <c r="R2" s="129"/>
      <c r="S2" s="136"/>
      <c r="T2" s="136"/>
      <c r="U2" s="136"/>
      <c r="V2" s="136"/>
      <c r="W2" s="136"/>
    </row>
    <row r="3" spans="1:23" s="141" customFormat="1" ht="28.35" customHeight="1" thickBot="1" x14ac:dyDescent="0.25">
      <c r="A3" s="507" t="s">
        <v>282</v>
      </c>
      <c r="B3" s="507" t="s">
        <v>267</v>
      </c>
      <c r="C3" s="509" t="s">
        <v>106</v>
      </c>
      <c r="D3" s="510"/>
      <c r="E3" s="510"/>
      <c r="F3" s="510"/>
      <c r="G3" s="510"/>
      <c r="H3" s="510"/>
      <c r="I3" s="511"/>
      <c r="J3" s="509" t="s">
        <v>94</v>
      </c>
      <c r="K3" s="510"/>
      <c r="L3" s="510"/>
      <c r="M3" s="510"/>
      <c r="N3" s="511"/>
      <c r="O3" s="509" t="s">
        <v>84</v>
      </c>
      <c r="P3" s="511"/>
      <c r="Q3" s="509" t="s">
        <v>0</v>
      </c>
      <c r="R3" s="511"/>
    </row>
    <row r="4" spans="1:23" s="142" customFormat="1" ht="109.5" customHeight="1" thickBot="1" x14ac:dyDescent="0.25">
      <c r="A4" s="508"/>
      <c r="B4" s="508"/>
      <c r="C4" s="223" t="s">
        <v>95</v>
      </c>
      <c r="D4" s="224" t="s">
        <v>96</v>
      </c>
      <c r="E4" s="224" t="s">
        <v>97</v>
      </c>
      <c r="F4" s="224" t="s">
        <v>98</v>
      </c>
      <c r="G4" s="224" t="s">
        <v>99</v>
      </c>
      <c r="H4" s="224" t="s">
        <v>100</v>
      </c>
      <c r="I4" s="225" t="s">
        <v>91</v>
      </c>
      <c r="J4" s="223" t="s">
        <v>101</v>
      </c>
      <c r="K4" s="224" t="s">
        <v>102</v>
      </c>
      <c r="L4" s="224" t="s">
        <v>103</v>
      </c>
      <c r="M4" s="224" t="s">
        <v>104</v>
      </c>
      <c r="N4" s="225" t="s">
        <v>92</v>
      </c>
      <c r="O4" s="223" t="s">
        <v>105</v>
      </c>
      <c r="P4" s="225" t="s">
        <v>93</v>
      </c>
      <c r="Q4" s="226" t="s">
        <v>123</v>
      </c>
      <c r="R4" s="227" t="s">
        <v>82</v>
      </c>
    </row>
    <row r="5" spans="1:23" ht="13.5" customHeight="1" x14ac:dyDescent="0.2">
      <c r="A5" s="512" t="s">
        <v>470</v>
      </c>
      <c r="B5" s="513"/>
      <c r="C5" s="322"/>
      <c r="D5" s="323">
        <f>SUM(D6:D30)</f>
        <v>787551983</v>
      </c>
      <c r="E5" s="323">
        <f t="shared" ref="E5:Q5" si="0">SUM(E6:E30)</f>
        <v>46988048</v>
      </c>
      <c r="F5" s="323">
        <f t="shared" si="0"/>
        <v>115106621</v>
      </c>
      <c r="G5" s="323">
        <f t="shared" si="0"/>
        <v>0</v>
      </c>
      <c r="H5" s="323">
        <f t="shared" si="0"/>
        <v>3109950</v>
      </c>
      <c r="I5" s="323">
        <f t="shared" si="0"/>
        <v>952756602</v>
      </c>
      <c r="J5" s="323">
        <f t="shared" si="0"/>
        <v>0</v>
      </c>
      <c r="K5" s="323">
        <f t="shared" si="0"/>
        <v>0</v>
      </c>
      <c r="L5" s="323">
        <f t="shared" si="0"/>
        <v>65778876</v>
      </c>
      <c r="M5" s="323">
        <f t="shared" si="0"/>
        <v>608374</v>
      </c>
      <c r="N5" s="323">
        <f t="shared" si="0"/>
        <v>66387250</v>
      </c>
      <c r="O5" s="323">
        <f t="shared" si="0"/>
        <v>0</v>
      </c>
      <c r="P5" s="323">
        <f t="shared" si="0"/>
        <v>0</v>
      </c>
      <c r="Q5" s="323">
        <f t="shared" si="0"/>
        <v>1019143852</v>
      </c>
      <c r="R5" s="324">
        <f>Q5/$Q$73*100</f>
        <v>84.943261105727018</v>
      </c>
    </row>
    <row r="6" spans="1:23" s="174" customFormat="1" x14ac:dyDescent="0.2">
      <c r="A6" s="321"/>
      <c r="B6" s="321" t="s">
        <v>445</v>
      </c>
      <c r="C6" s="228"/>
      <c r="D6" s="229">
        <v>10820015</v>
      </c>
      <c r="E6" s="229">
        <v>1482626</v>
      </c>
      <c r="F6" s="229">
        <v>19071615</v>
      </c>
      <c r="G6" s="229"/>
      <c r="H6" s="229"/>
      <c r="I6" s="230">
        <f>SUM(C6:H6)</f>
        <v>31374256</v>
      </c>
      <c r="J6" s="228"/>
      <c r="K6" s="229"/>
      <c r="L6" s="229">
        <v>61417204</v>
      </c>
      <c r="M6" s="229">
        <v>608374</v>
      </c>
      <c r="N6" s="230">
        <f>SUM(J6:M6)</f>
        <v>62025578</v>
      </c>
      <c r="O6" s="228"/>
      <c r="P6" s="230"/>
      <c r="Q6" s="228">
        <f>N6+I6</f>
        <v>93399834</v>
      </c>
      <c r="R6" s="325">
        <f>Q6/$Q$73*100</f>
        <v>7.7846581433271114</v>
      </c>
    </row>
    <row r="7" spans="1:23" x14ac:dyDescent="0.2">
      <c r="A7" s="231"/>
      <c r="B7" s="231" t="s">
        <v>446</v>
      </c>
      <c r="C7" s="232"/>
      <c r="D7" s="233">
        <v>4615071</v>
      </c>
      <c r="E7" s="233">
        <v>2124748</v>
      </c>
      <c r="F7" s="233">
        <v>4058906</v>
      </c>
      <c r="G7" s="233"/>
      <c r="H7" s="233"/>
      <c r="I7" s="230">
        <f t="shared" ref="I7:I72" si="1">SUM(C7:H7)</f>
        <v>10798725</v>
      </c>
      <c r="J7" s="232"/>
      <c r="K7" s="233"/>
      <c r="L7" s="233">
        <v>2421110</v>
      </c>
      <c r="M7" s="233"/>
      <c r="N7" s="230">
        <f t="shared" ref="N7:N72" si="2">SUM(J7:M7)</f>
        <v>2421110</v>
      </c>
      <c r="O7" s="232"/>
      <c r="P7" s="234"/>
      <c r="Q7" s="228">
        <f t="shared" ref="Q7:Q72" si="3">N7+I7</f>
        <v>13219835</v>
      </c>
      <c r="R7" s="325">
        <f t="shared" ref="R7:R72" si="4">Q7/$Q$73*100</f>
        <v>1.1018423885656023</v>
      </c>
    </row>
    <row r="8" spans="1:23" x14ac:dyDescent="0.2">
      <c r="A8" s="231"/>
      <c r="B8" s="231" t="s">
        <v>447</v>
      </c>
      <c r="C8" s="235"/>
      <c r="D8" s="236">
        <v>3221924</v>
      </c>
      <c r="E8" s="237">
        <v>642751</v>
      </c>
      <c r="F8" s="237">
        <v>1260791</v>
      </c>
      <c r="G8" s="237"/>
      <c r="H8" s="237"/>
      <c r="I8" s="230">
        <f t="shared" si="1"/>
        <v>5125466</v>
      </c>
      <c r="J8" s="235"/>
      <c r="K8" s="236"/>
      <c r="L8" s="236">
        <v>1850962</v>
      </c>
      <c r="M8" s="236"/>
      <c r="N8" s="230">
        <f t="shared" si="2"/>
        <v>1850962</v>
      </c>
      <c r="O8" s="235"/>
      <c r="P8" s="238"/>
      <c r="Q8" s="228">
        <f t="shared" si="3"/>
        <v>6976428</v>
      </c>
      <c r="R8" s="325">
        <f t="shared" si="4"/>
        <v>0.58146898892277765</v>
      </c>
    </row>
    <row r="9" spans="1:23" x14ac:dyDescent="0.2">
      <c r="A9" s="231"/>
      <c r="B9" s="231" t="s">
        <v>448</v>
      </c>
      <c r="C9" s="235"/>
      <c r="D9" s="236">
        <v>21252464</v>
      </c>
      <c r="E9" s="237">
        <v>31678816</v>
      </c>
      <c r="F9" s="237">
        <v>2595258</v>
      </c>
      <c r="G9" s="237"/>
      <c r="H9" s="237"/>
      <c r="I9" s="230">
        <f t="shared" si="1"/>
        <v>55526538</v>
      </c>
      <c r="J9" s="235"/>
      <c r="K9" s="236"/>
      <c r="L9" s="236"/>
      <c r="M9" s="236"/>
      <c r="N9" s="230">
        <f t="shared" si="2"/>
        <v>0</v>
      </c>
      <c r="O9" s="235"/>
      <c r="P9" s="238"/>
      <c r="Q9" s="228">
        <f t="shared" si="3"/>
        <v>55526538</v>
      </c>
      <c r="R9" s="325">
        <f t="shared" si="4"/>
        <v>4.6280073282834993</v>
      </c>
    </row>
    <row r="10" spans="1:23" x14ac:dyDescent="0.2">
      <c r="A10" s="231"/>
      <c r="B10" s="231" t="s">
        <v>449</v>
      </c>
      <c r="C10" s="232"/>
      <c r="D10" s="233">
        <v>28046575</v>
      </c>
      <c r="E10" s="233">
        <v>722885</v>
      </c>
      <c r="F10" s="233">
        <v>864121</v>
      </c>
      <c r="G10" s="233"/>
      <c r="H10" s="233"/>
      <c r="I10" s="230">
        <f t="shared" si="1"/>
        <v>29633581</v>
      </c>
      <c r="J10" s="232"/>
      <c r="K10" s="233"/>
      <c r="L10" s="233"/>
      <c r="M10" s="233"/>
      <c r="N10" s="230">
        <f t="shared" si="2"/>
        <v>0</v>
      </c>
      <c r="O10" s="232"/>
      <c r="P10" s="234"/>
      <c r="Q10" s="228">
        <f t="shared" si="3"/>
        <v>29633581</v>
      </c>
      <c r="R10" s="325">
        <f t="shared" si="4"/>
        <v>2.4698898035257062</v>
      </c>
    </row>
    <row r="11" spans="1:23" x14ac:dyDescent="0.2">
      <c r="A11" s="231"/>
      <c r="B11" s="231" t="s">
        <v>450</v>
      </c>
      <c r="C11" s="239"/>
      <c r="D11" s="240">
        <v>84433029</v>
      </c>
      <c r="E11" s="240">
        <v>3200487</v>
      </c>
      <c r="F11" s="240">
        <v>1803999</v>
      </c>
      <c r="G11" s="240"/>
      <c r="H11" s="240"/>
      <c r="I11" s="230">
        <f t="shared" si="1"/>
        <v>89437515</v>
      </c>
      <c r="J11" s="239"/>
      <c r="K11" s="240"/>
      <c r="L11" s="240"/>
      <c r="M11" s="240"/>
      <c r="N11" s="230">
        <f t="shared" si="2"/>
        <v>0</v>
      </c>
      <c r="O11" s="239"/>
      <c r="P11" s="241"/>
      <c r="Q11" s="228">
        <f t="shared" si="3"/>
        <v>89437515</v>
      </c>
      <c r="R11" s="325">
        <f t="shared" si="4"/>
        <v>7.4544081038055241</v>
      </c>
    </row>
    <row r="12" spans="1:23" x14ac:dyDescent="0.2">
      <c r="A12" s="231"/>
      <c r="B12" s="231" t="s">
        <v>451</v>
      </c>
      <c r="C12" s="239"/>
      <c r="D12" s="240">
        <v>38129931</v>
      </c>
      <c r="E12" s="240">
        <v>96000</v>
      </c>
      <c r="F12" s="240">
        <v>1234145</v>
      </c>
      <c r="G12" s="240"/>
      <c r="H12" s="240"/>
      <c r="I12" s="230">
        <f t="shared" si="1"/>
        <v>39460076</v>
      </c>
      <c r="J12" s="239"/>
      <c r="K12" s="240"/>
      <c r="L12" s="240"/>
      <c r="M12" s="240"/>
      <c r="N12" s="230">
        <f t="shared" si="2"/>
        <v>0</v>
      </c>
      <c r="O12" s="242"/>
      <c r="P12" s="241"/>
      <c r="Q12" s="228">
        <f t="shared" si="3"/>
        <v>39460076</v>
      </c>
      <c r="R12" s="325">
        <f t="shared" si="4"/>
        <v>3.2889052240682433</v>
      </c>
    </row>
    <row r="13" spans="1:23" s="174" customFormat="1" x14ac:dyDescent="0.2">
      <c r="A13" s="316"/>
      <c r="B13" s="316" t="s">
        <v>452</v>
      </c>
      <c r="C13" s="317"/>
      <c r="D13" s="318">
        <v>46920864</v>
      </c>
      <c r="E13" s="318">
        <v>72000</v>
      </c>
      <c r="F13" s="318">
        <v>1001210</v>
      </c>
      <c r="G13" s="318"/>
      <c r="H13" s="318"/>
      <c r="I13" s="230">
        <f t="shared" si="1"/>
        <v>47994074</v>
      </c>
      <c r="J13" s="317"/>
      <c r="K13" s="318"/>
      <c r="L13" s="318"/>
      <c r="M13" s="318"/>
      <c r="N13" s="230">
        <f t="shared" si="2"/>
        <v>0</v>
      </c>
      <c r="O13" s="320"/>
      <c r="P13" s="319"/>
      <c r="Q13" s="228">
        <f t="shared" si="3"/>
        <v>47994074</v>
      </c>
      <c r="R13" s="325">
        <f t="shared" si="4"/>
        <v>4.0001940366997228</v>
      </c>
    </row>
    <row r="14" spans="1:23" s="174" customFormat="1" x14ac:dyDescent="0.2">
      <c r="A14" s="316"/>
      <c r="B14" s="316" t="s">
        <v>453</v>
      </c>
      <c r="C14" s="317"/>
      <c r="D14" s="318">
        <v>48412671</v>
      </c>
      <c r="E14" s="318">
        <v>63000</v>
      </c>
      <c r="F14" s="318">
        <v>1228624</v>
      </c>
      <c r="G14" s="318"/>
      <c r="H14" s="318"/>
      <c r="I14" s="230">
        <f t="shared" si="1"/>
        <v>49704295</v>
      </c>
      <c r="J14" s="317"/>
      <c r="K14" s="318"/>
      <c r="L14" s="318"/>
      <c r="M14" s="318"/>
      <c r="N14" s="230">
        <f t="shared" si="2"/>
        <v>0</v>
      </c>
      <c r="O14" s="320"/>
      <c r="P14" s="319"/>
      <c r="Q14" s="228">
        <f t="shared" si="3"/>
        <v>49704295</v>
      </c>
      <c r="R14" s="325">
        <f t="shared" si="4"/>
        <v>4.1427369649295418</v>
      </c>
    </row>
    <row r="15" spans="1:23" s="174" customFormat="1" x14ac:dyDescent="0.2">
      <c r="A15" s="316"/>
      <c r="B15" s="316" t="s">
        <v>454</v>
      </c>
      <c r="C15" s="317"/>
      <c r="D15" s="318">
        <v>33307814</v>
      </c>
      <c r="E15" s="318">
        <v>48000</v>
      </c>
      <c r="F15" s="318">
        <v>1223950</v>
      </c>
      <c r="G15" s="318"/>
      <c r="H15" s="318"/>
      <c r="I15" s="230">
        <f t="shared" si="1"/>
        <v>34579764</v>
      </c>
      <c r="J15" s="317"/>
      <c r="K15" s="318"/>
      <c r="L15" s="318"/>
      <c r="M15" s="318"/>
      <c r="N15" s="230">
        <f t="shared" si="2"/>
        <v>0</v>
      </c>
      <c r="O15" s="320"/>
      <c r="P15" s="319"/>
      <c r="Q15" s="228">
        <f t="shared" si="3"/>
        <v>34579764</v>
      </c>
      <c r="R15" s="325">
        <f t="shared" si="4"/>
        <v>2.8821426108415751</v>
      </c>
    </row>
    <row r="16" spans="1:23" s="174" customFormat="1" x14ac:dyDescent="0.2">
      <c r="A16" s="316"/>
      <c r="B16" s="316" t="s">
        <v>455</v>
      </c>
      <c r="C16" s="317"/>
      <c r="D16" s="318">
        <v>21718470</v>
      </c>
      <c r="E16" s="318">
        <v>12000</v>
      </c>
      <c r="F16" s="318">
        <v>766933</v>
      </c>
      <c r="G16" s="318"/>
      <c r="H16" s="318"/>
      <c r="I16" s="230">
        <f t="shared" si="1"/>
        <v>22497403</v>
      </c>
      <c r="J16" s="317"/>
      <c r="K16" s="318"/>
      <c r="L16" s="318"/>
      <c r="M16" s="318"/>
      <c r="N16" s="230">
        <f t="shared" si="2"/>
        <v>0</v>
      </c>
      <c r="O16" s="320"/>
      <c r="P16" s="319"/>
      <c r="Q16" s="228">
        <f t="shared" si="3"/>
        <v>22497403</v>
      </c>
      <c r="R16" s="325">
        <f t="shared" si="4"/>
        <v>1.8751060250028044</v>
      </c>
    </row>
    <row r="17" spans="1:18" s="174" customFormat="1" x14ac:dyDescent="0.2">
      <c r="A17" s="316"/>
      <c r="B17" s="316" t="s">
        <v>456</v>
      </c>
      <c r="C17" s="317"/>
      <c r="D17" s="318">
        <v>42856955</v>
      </c>
      <c r="E17" s="318">
        <v>119352</v>
      </c>
      <c r="F17" s="318">
        <v>829004</v>
      </c>
      <c r="G17" s="318"/>
      <c r="H17" s="318"/>
      <c r="I17" s="230">
        <f t="shared" si="1"/>
        <v>43805311</v>
      </c>
      <c r="J17" s="317"/>
      <c r="K17" s="318"/>
      <c r="L17" s="318"/>
      <c r="M17" s="318"/>
      <c r="N17" s="230">
        <f t="shared" si="2"/>
        <v>0</v>
      </c>
      <c r="O17" s="320"/>
      <c r="P17" s="319"/>
      <c r="Q17" s="228">
        <f t="shared" si="3"/>
        <v>43805311</v>
      </c>
      <c r="R17" s="325">
        <f t="shared" si="4"/>
        <v>3.6510704183599163</v>
      </c>
    </row>
    <row r="18" spans="1:18" s="174" customFormat="1" x14ac:dyDescent="0.2">
      <c r="A18" s="316"/>
      <c r="B18" s="316" t="s">
        <v>457</v>
      </c>
      <c r="C18" s="317"/>
      <c r="D18" s="318">
        <v>25173024</v>
      </c>
      <c r="E18" s="318">
        <v>36000</v>
      </c>
      <c r="F18" s="318">
        <v>770924</v>
      </c>
      <c r="G18" s="318"/>
      <c r="H18" s="318"/>
      <c r="I18" s="230">
        <f t="shared" si="1"/>
        <v>25979948</v>
      </c>
      <c r="J18" s="317"/>
      <c r="K18" s="318"/>
      <c r="L18" s="318"/>
      <c r="M18" s="318"/>
      <c r="N18" s="230">
        <f t="shared" si="2"/>
        <v>0</v>
      </c>
      <c r="O18" s="320"/>
      <c r="P18" s="319"/>
      <c r="Q18" s="228">
        <f t="shared" si="3"/>
        <v>25979948</v>
      </c>
      <c r="R18" s="325">
        <f t="shared" si="4"/>
        <v>2.1653680215471782</v>
      </c>
    </row>
    <row r="19" spans="1:18" s="174" customFormat="1" x14ac:dyDescent="0.2">
      <c r="A19" s="316"/>
      <c r="B19" s="316" t="s">
        <v>458</v>
      </c>
      <c r="C19" s="317"/>
      <c r="D19" s="318">
        <v>30527574</v>
      </c>
      <c r="E19" s="318">
        <v>42000</v>
      </c>
      <c r="F19" s="318">
        <v>637462</v>
      </c>
      <c r="G19" s="318"/>
      <c r="H19" s="318"/>
      <c r="I19" s="230">
        <f t="shared" si="1"/>
        <v>31207036</v>
      </c>
      <c r="J19" s="317"/>
      <c r="K19" s="318"/>
      <c r="L19" s="318"/>
      <c r="M19" s="318"/>
      <c r="N19" s="230">
        <f t="shared" si="2"/>
        <v>0</v>
      </c>
      <c r="O19" s="320"/>
      <c r="P19" s="319"/>
      <c r="Q19" s="228">
        <f t="shared" si="3"/>
        <v>31207036</v>
      </c>
      <c r="R19" s="325">
        <f t="shared" si="4"/>
        <v>2.6010336049045049</v>
      </c>
    </row>
    <row r="20" spans="1:18" s="174" customFormat="1" x14ac:dyDescent="0.2">
      <c r="A20" s="316"/>
      <c r="B20" s="316" t="s">
        <v>459</v>
      </c>
      <c r="C20" s="317"/>
      <c r="D20" s="318">
        <v>158338089</v>
      </c>
      <c r="E20" s="318">
        <v>536564</v>
      </c>
      <c r="F20" s="318">
        <v>3313743</v>
      </c>
      <c r="G20" s="318"/>
      <c r="H20" s="318"/>
      <c r="I20" s="230">
        <f t="shared" si="1"/>
        <v>162188396</v>
      </c>
      <c r="J20" s="317"/>
      <c r="K20" s="318"/>
      <c r="L20" s="318"/>
      <c r="M20" s="318"/>
      <c r="N20" s="230">
        <f t="shared" si="2"/>
        <v>0</v>
      </c>
      <c r="O20" s="320"/>
      <c r="P20" s="319"/>
      <c r="Q20" s="228">
        <f t="shared" si="3"/>
        <v>162188396</v>
      </c>
      <c r="R20" s="325">
        <f t="shared" si="4"/>
        <v>13.518024214845632</v>
      </c>
    </row>
    <row r="21" spans="1:18" s="174" customFormat="1" x14ac:dyDescent="0.2">
      <c r="A21" s="316"/>
      <c r="B21" s="316" t="s">
        <v>460</v>
      </c>
      <c r="C21" s="317"/>
      <c r="D21" s="318">
        <v>8016696</v>
      </c>
      <c r="E21" s="318">
        <v>4353432</v>
      </c>
      <c r="F21" s="318">
        <v>6691678</v>
      </c>
      <c r="G21" s="318"/>
      <c r="H21" s="318">
        <v>3109950</v>
      </c>
      <c r="I21" s="230">
        <f t="shared" si="1"/>
        <v>22171756</v>
      </c>
      <c r="J21" s="317"/>
      <c r="K21" s="318"/>
      <c r="L21" s="318"/>
      <c r="M21" s="318"/>
      <c r="N21" s="230">
        <f t="shared" si="2"/>
        <v>0</v>
      </c>
      <c r="O21" s="320"/>
      <c r="P21" s="319"/>
      <c r="Q21" s="228">
        <f t="shared" si="3"/>
        <v>22171756</v>
      </c>
      <c r="R21" s="325">
        <f t="shared" si="4"/>
        <v>1.8479641077013234</v>
      </c>
    </row>
    <row r="22" spans="1:18" s="174" customFormat="1" x14ac:dyDescent="0.2">
      <c r="A22" s="316"/>
      <c r="B22" s="316" t="s">
        <v>461</v>
      </c>
      <c r="C22" s="317"/>
      <c r="D22" s="318">
        <v>22412464</v>
      </c>
      <c r="E22" s="318">
        <v>1757387</v>
      </c>
      <c r="F22" s="318">
        <v>5081821</v>
      </c>
      <c r="G22" s="318"/>
      <c r="H22" s="318"/>
      <c r="I22" s="230">
        <f t="shared" si="1"/>
        <v>29251672</v>
      </c>
      <c r="J22" s="317"/>
      <c r="K22" s="318"/>
      <c r="L22" s="318"/>
      <c r="M22" s="318"/>
      <c r="N22" s="230">
        <f t="shared" si="2"/>
        <v>0</v>
      </c>
      <c r="O22" s="320"/>
      <c r="P22" s="319"/>
      <c r="Q22" s="228">
        <f t="shared" si="3"/>
        <v>29251672</v>
      </c>
      <c r="R22" s="325">
        <f t="shared" si="4"/>
        <v>2.4380585798550096</v>
      </c>
    </row>
    <row r="23" spans="1:18" s="174" customFormat="1" x14ac:dyDescent="0.2">
      <c r="A23" s="316"/>
      <c r="B23" s="316" t="s">
        <v>462</v>
      </c>
      <c r="C23" s="317"/>
      <c r="D23" s="318">
        <v>28146425</v>
      </c>
      <c r="E23" s="318"/>
      <c r="F23" s="318">
        <v>7045471</v>
      </c>
      <c r="G23" s="318"/>
      <c r="H23" s="318"/>
      <c r="I23" s="230">
        <f t="shared" si="1"/>
        <v>35191896</v>
      </c>
      <c r="J23" s="317"/>
      <c r="K23" s="318"/>
      <c r="L23" s="318"/>
      <c r="M23" s="318"/>
      <c r="N23" s="230">
        <f t="shared" si="2"/>
        <v>0</v>
      </c>
      <c r="O23" s="320"/>
      <c r="P23" s="319"/>
      <c r="Q23" s="228">
        <f t="shared" si="3"/>
        <v>35191896</v>
      </c>
      <c r="R23" s="325">
        <f t="shared" si="4"/>
        <v>2.933162384159278</v>
      </c>
    </row>
    <row r="24" spans="1:18" s="174" customFormat="1" x14ac:dyDescent="0.2">
      <c r="A24" s="316"/>
      <c r="B24" s="316" t="s">
        <v>463</v>
      </c>
      <c r="C24" s="317"/>
      <c r="D24" s="318">
        <v>28027986</v>
      </c>
      <c r="E24" s="318"/>
      <c r="F24" s="318">
        <v>11780221</v>
      </c>
      <c r="G24" s="318"/>
      <c r="H24" s="318"/>
      <c r="I24" s="230">
        <f t="shared" si="1"/>
        <v>39808207</v>
      </c>
      <c r="J24" s="317"/>
      <c r="K24" s="318"/>
      <c r="L24" s="318"/>
      <c r="M24" s="318"/>
      <c r="N24" s="230">
        <f t="shared" si="2"/>
        <v>0</v>
      </c>
      <c r="O24" s="320"/>
      <c r="P24" s="319"/>
      <c r="Q24" s="228">
        <f t="shared" si="3"/>
        <v>39808207</v>
      </c>
      <c r="R24" s="325">
        <f t="shared" si="4"/>
        <v>3.3179211302859635</v>
      </c>
    </row>
    <row r="25" spans="1:18" s="174" customFormat="1" x14ac:dyDescent="0.2">
      <c r="A25" s="316"/>
      <c r="B25" s="316" t="s">
        <v>464</v>
      </c>
      <c r="C25" s="317"/>
      <c r="D25" s="318">
        <v>43516591</v>
      </c>
      <c r="E25" s="318"/>
      <c r="F25" s="318">
        <v>15500217</v>
      </c>
      <c r="G25" s="318"/>
      <c r="H25" s="318"/>
      <c r="I25" s="230">
        <f t="shared" si="1"/>
        <v>59016808</v>
      </c>
      <c r="J25" s="317"/>
      <c r="K25" s="318"/>
      <c r="L25" s="318">
        <v>67200</v>
      </c>
      <c r="M25" s="318"/>
      <c r="N25" s="230">
        <f t="shared" si="2"/>
        <v>67200</v>
      </c>
      <c r="O25" s="320"/>
      <c r="P25" s="319"/>
      <c r="Q25" s="228">
        <f t="shared" si="3"/>
        <v>59084008</v>
      </c>
      <c r="R25" s="325">
        <f t="shared" si="4"/>
        <v>4.9245141486825785</v>
      </c>
    </row>
    <row r="26" spans="1:18" s="174" customFormat="1" x14ac:dyDescent="0.2">
      <c r="A26" s="316"/>
      <c r="B26" s="316" t="s">
        <v>465</v>
      </c>
      <c r="C26" s="317"/>
      <c r="D26" s="318">
        <v>13321066</v>
      </c>
      <c r="E26" s="318"/>
      <c r="F26" s="318">
        <v>6981132</v>
      </c>
      <c r="G26" s="318"/>
      <c r="H26" s="318"/>
      <c r="I26" s="230">
        <f t="shared" si="1"/>
        <v>20302198</v>
      </c>
      <c r="J26" s="317"/>
      <c r="K26" s="318"/>
      <c r="L26" s="318"/>
      <c r="M26" s="318"/>
      <c r="N26" s="230">
        <f t="shared" si="2"/>
        <v>0</v>
      </c>
      <c r="O26" s="320"/>
      <c r="P26" s="319"/>
      <c r="Q26" s="228">
        <f t="shared" si="3"/>
        <v>20302198</v>
      </c>
      <c r="R26" s="325">
        <f t="shared" si="4"/>
        <v>1.6921408124573261</v>
      </c>
    </row>
    <row r="27" spans="1:18" s="174" customFormat="1" x14ac:dyDescent="0.2">
      <c r="A27" s="316"/>
      <c r="B27" s="316" t="s">
        <v>466</v>
      </c>
      <c r="C27" s="317"/>
      <c r="D27" s="318">
        <v>19775954</v>
      </c>
      <c r="E27" s="318"/>
      <c r="F27" s="318">
        <v>7450273</v>
      </c>
      <c r="G27" s="318"/>
      <c r="H27" s="318"/>
      <c r="I27" s="230">
        <f t="shared" si="1"/>
        <v>27226227</v>
      </c>
      <c r="J27" s="317"/>
      <c r="K27" s="318"/>
      <c r="L27" s="318"/>
      <c r="M27" s="318"/>
      <c r="N27" s="230">
        <f t="shared" si="2"/>
        <v>0</v>
      </c>
      <c r="O27" s="320"/>
      <c r="P27" s="319"/>
      <c r="Q27" s="228">
        <f t="shared" si="3"/>
        <v>27226227</v>
      </c>
      <c r="R27" s="325">
        <f t="shared" si="4"/>
        <v>2.2692424670435973</v>
      </c>
    </row>
    <row r="28" spans="1:18" s="174" customFormat="1" x14ac:dyDescent="0.2">
      <c r="A28" s="316"/>
      <c r="B28" s="316" t="s">
        <v>467</v>
      </c>
      <c r="C28" s="317"/>
      <c r="D28" s="318">
        <v>7308295</v>
      </c>
      <c r="E28" s="318"/>
      <c r="F28" s="318">
        <v>4588875</v>
      </c>
      <c r="G28" s="318"/>
      <c r="H28" s="318"/>
      <c r="I28" s="230">
        <f t="shared" si="1"/>
        <v>11897170</v>
      </c>
      <c r="J28" s="317"/>
      <c r="K28" s="318"/>
      <c r="L28" s="318"/>
      <c r="M28" s="318"/>
      <c r="N28" s="230">
        <f t="shared" si="2"/>
        <v>0</v>
      </c>
      <c r="O28" s="320"/>
      <c r="P28" s="319"/>
      <c r="Q28" s="228">
        <f t="shared" si="3"/>
        <v>11897170</v>
      </c>
      <c r="R28" s="325">
        <f t="shared" si="4"/>
        <v>0.99160134827484814</v>
      </c>
    </row>
    <row r="29" spans="1:18" s="174" customFormat="1" x14ac:dyDescent="0.2">
      <c r="A29" s="316"/>
      <c r="B29" s="316" t="s">
        <v>468</v>
      </c>
      <c r="C29" s="317"/>
      <c r="D29" s="318">
        <v>12257745</v>
      </c>
      <c r="E29" s="318"/>
      <c r="F29" s="318">
        <v>4485635</v>
      </c>
      <c r="G29" s="318"/>
      <c r="H29" s="318"/>
      <c r="I29" s="230">
        <f t="shared" si="1"/>
        <v>16743380</v>
      </c>
      <c r="J29" s="317"/>
      <c r="K29" s="318"/>
      <c r="L29" s="318"/>
      <c r="M29" s="318"/>
      <c r="N29" s="230">
        <f t="shared" si="2"/>
        <v>0</v>
      </c>
      <c r="O29" s="320"/>
      <c r="P29" s="319"/>
      <c r="Q29" s="228">
        <f t="shared" si="3"/>
        <v>16743380</v>
      </c>
      <c r="R29" s="325">
        <f t="shared" si="4"/>
        <v>1.3955216394048442</v>
      </c>
    </row>
    <row r="30" spans="1:18" s="174" customFormat="1" ht="12" thickBot="1" x14ac:dyDescent="0.25">
      <c r="A30" s="316"/>
      <c r="B30" s="316" t="s">
        <v>469</v>
      </c>
      <c r="C30" s="317"/>
      <c r="D30" s="318">
        <v>6994291</v>
      </c>
      <c r="E30" s="318"/>
      <c r="F30" s="318">
        <v>4840613</v>
      </c>
      <c r="G30" s="318"/>
      <c r="H30" s="318"/>
      <c r="I30" s="230">
        <f t="shared" si="1"/>
        <v>11834904</v>
      </c>
      <c r="J30" s="317"/>
      <c r="K30" s="318"/>
      <c r="L30" s="318">
        <v>22400</v>
      </c>
      <c r="M30" s="318"/>
      <c r="N30" s="230">
        <f t="shared" si="2"/>
        <v>22400</v>
      </c>
      <c r="O30" s="320"/>
      <c r="P30" s="319"/>
      <c r="Q30" s="228">
        <f t="shared" si="3"/>
        <v>11857304</v>
      </c>
      <c r="R30" s="325">
        <f t="shared" si="4"/>
        <v>0.98827861023291685</v>
      </c>
    </row>
    <row r="31" spans="1:18" s="174" customFormat="1" x14ac:dyDescent="0.2">
      <c r="A31" s="512" t="s">
        <v>471</v>
      </c>
      <c r="B31" s="513"/>
      <c r="C31" s="322"/>
      <c r="D31" s="323">
        <f>SUM(D32:D56)</f>
        <v>0</v>
      </c>
      <c r="E31" s="323">
        <f t="shared" ref="E31" si="5">SUM(E32:E56)</f>
        <v>0</v>
      </c>
      <c r="F31" s="323">
        <f t="shared" ref="F31" si="6">SUM(F32:F56)</f>
        <v>7430067</v>
      </c>
      <c r="G31" s="323">
        <f t="shared" ref="G31" si="7">SUM(G32:G56)</f>
        <v>0</v>
      </c>
      <c r="H31" s="323">
        <f t="shared" ref="H31" si="8">SUM(H32:H56)</f>
        <v>35300</v>
      </c>
      <c r="I31" s="323">
        <f t="shared" ref="I31" si="9">SUM(I32:I56)</f>
        <v>7465367</v>
      </c>
      <c r="J31" s="323">
        <f t="shared" ref="J31" si="10">SUM(J32:J56)</f>
        <v>0</v>
      </c>
      <c r="K31" s="323">
        <f t="shared" ref="K31" si="11">SUM(K32:K56)</f>
        <v>0</v>
      </c>
      <c r="L31" s="323">
        <f t="shared" ref="L31" si="12">SUM(L32:L56)</f>
        <v>0</v>
      </c>
      <c r="M31" s="323">
        <f t="shared" ref="M31" si="13">SUM(M32:M56)</f>
        <v>0</v>
      </c>
      <c r="N31" s="323">
        <f t="shared" ref="N31" si="14">SUM(N32:N56)</f>
        <v>0</v>
      </c>
      <c r="O31" s="323">
        <f t="shared" ref="O31" si="15">SUM(O32:O56)</f>
        <v>0</v>
      </c>
      <c r="P31" s="323">
        <f t="shared" ref="P31" si="16">SUM(P32:P56)</f>
        <v>0</v>
      </c>
      <c r="Q31" s="323">
        <f t="shared" ref="Q31" si="17">SUM(Q32:Q56)</f>
        <v>7465367</v>
      </c>
      <c r="R31" s="324">
        <f>Q31/$Q$73*100</f>
        <v>0.62222091325639284</v>
      </c>
    </row>
    <row r="32" spans="1:18" s="174" customFormat="1" x14ac:dyDescent="0.2">
      <c r="A32" s="316"/>
      <c r="B32" s="316" t="s">
        <v>445</v>
      </c>
      <c r="C32" s="317"/>
      <c r="D32" s="318"/>
      <c r="E32" s="318"/>
      <c r="F32" s="318">
        <v>2165456</v>
      </c>
      <c r="G32" s="318"/>
      <c r="H32" s="318">
        <v>35300</v>
      </c>
      <c r="I32" s="230">
        <f t="shared" si="1"/>
        <v>2200756</v>
      </c>
      <c r="J32" s="317"/>
      <c r="K32" s="318"/>
      <c r="L32" s="318"/>
      <c r="M32" s="318"/>
      <c r="N32" s="230">
        <f t="shared" si="2"/>
        <v>0</v>
      </c>
      <c r="O32" s="320"/>
      <c r="P32" s="319"/>
      <c r="Q32" s="228">
        <f t="shared" si="3"/>
        <v>2200756</v>
      </c>
      <c r="R32" s="325">
        <f t="shared" si="4"/>
        <v>0.18342787543793707</v>
      </c>
    </row>
    <row r="33" spans="1:18" s="174" customFormat="1" x14ac:dyDescent="0.2">
      <c r="A33" s="316"/>
      <c r="B33" s="316" t="s">
        <v>446</v>
      </c>
      <c r="C33" s="317"/>
      <c r="D33" s="318"/>
      <c r="E33" s="318"/>
      <c r="F33" s="318">
        <v>1116221</v>
      </c>
      <c r="G33" s="318"/>
      <c r="H33" s="318"/>
      <c r="I33" s="230">
        <f t="shared" si="1"/>
        <v>1116221</v>
      </c>
      <c r="J33" s="317"/>
      <c r="K33" s="318"/>
      <c r="L33" s="318"/>
      <c r="M33" s="318"/>
      <c r="N33" s="230">
        <f t="shared" si="2"/>
        <v>0</v>
      </c>
      <c r="O33" s="320"/>
      <c r="P33" s="319"/>
      <c r="Q33" s="228">
        <f t="shared" si="3"/>
        <v>1116221</v>
      </c>
      <c r="R33" s="325">
        <f t="shared" si="4"/>
        <v>9.303441478710478E-2</v>
      </c>
    </row>
    <row r="34" spans="1:18" s="174" customFormat="1" x14ac:dyDescent="0.2">
      <c r="A34" s="316"/>
      <c r="B34" s="316" t="s">
        <v>447</v>
      </c>
      <c r="C34" s="317"/>
      <c r="D34" s="318"/>
      <c r="E34" s="318"/>
      <c r="F34" s="318">
        <v>898749</v>
      </c>
      <c r="G34" s="318"/>
      <c r="H34" s="318"/>
      <c r="I34" s="230">
        <f t="shared" si="1"/>
        <v>898749</v>
      </c>
      <c r="J34" s="317"/>
      <c r="K34" s="318"/>
      <c r="L34" s="318"/>
      <c r="M34" s="318"/>
      <c r="N34" s="230">
        <f t="shared" si="2"/>
        <v>0</v>
      </c>
      <c r="O34" s="320"/>
      <c r="P34" s="319"/>
      <c r="Q34" s="228">
        <f t="shared" si="3"/>
        <v>898749</v>
      </c>
      <c r="R34" s="325">
        <f t="shared" si="4"/>
        <v>7.4908631225801728E-2</v>
      </c>
    </row>
    <row r="35" spans="1:18" s="174" customFormat="1" x14ac:dyDescent="0.2">
      <c r="A35" s="316"/>
      <c r="B35" s="316" t="s">
        <v>448</v>
      </c>
      <c r="C35" s="317"/>
      <c r="D35" s="318"/>
      <c r="E35" s="318"/>
      <c r="F35" s="318">
        <v>71387</v>
      </c>
      <c r="G35" s="318"/>
      <c r="H35" s="318"/>
      <c r="I35" s="230">
        <f t="shared" si="1"/>
        <v>71387</v>
      </c>
      <c r="J35" s="317"/>
      <c r="K35" s="318"/>
      <c r="L35" s="318"/>
      <c r="M35" s="318"/>
      <c r="N35" s="230">
        <f t="shared" si="2"/>
        <v>0</v>
      </c>
      <c r="O35" s="320"/>
      <c r="P35" s="319"/>
      <c r="Q35" s="228">
        <f t="shared" si="3"/>
        <v>71387</v>
      </c>
      <c r="R35" s="325">
        <f t="shared" si="4"/>
        <v>5.9499398133586881E-3</v>
      </c>
    </row>
    <row r="36" spans="1:18" s="174" customFormat="1" x14ac:dyDescent="0.2">
      <c r="A36" s="316"/>
      <c r="B36" s="316" t="s">
        <v>449</v>
      </c>
      <c r="C36" s="317"/>
      <c r="D36" s="318"/>
      <c r="E36" s="318"/>
      <c r="F36" s="318">
        <v>7829</v>
      </c>
      <c r="G36" s="318"/>
      <c r="H36" s="318"/>
      <c r="I36" s="230">
        <f t="shared" si="1"/>
        <v>7829</v>
      </c>
      <c r="J36" s="317"/>
      <c r="K36" s="318"/>
      <c r="L36" s="318"/>
      <c r="M36" s="318"/>
      <c r="N36" s="230">
        <f t="shared" si="2"/>
        <v>0</v>
      </c>
      <c r="O36" s="320"/>
      <c r="P36" s="319"/>
      <c r="Q36" s="228">
        <f t="shared" si="3"/>
        <v>7829</v>
      </c>
      <c r="R36" s="325">
        <f t="shared" si="4"/>
        <v>6.525288749882356E-4</v>
      </c>
    </row>
    <row r="37" spans="1:18" s="174" customFormat="1" x14ac:dyDescent="0.2">
      <c r="A37" s="316"/>
      <c r="B37" s="316" t="s">
        <v>450</v>
      </c>
      <c r="C37" s="317"/>
      <c r="D37" s="318"/>
      <c r="E37" s="318"/>
      <c r="F37" s="318">
        <v>150189</v>
      </c>
      <c r="G37" s="318"/>
      <c r="H37" s="318"/>
      <c r="I37" s="230">
        <f t="shared" si="1"/>
        <v>150189</v>
      </c>
      <c r="J37" s="317"/>
      <c r="K37" s="318"/>
      <c r="L37" s="318"/>
      <c r="M37" s="318"/>
      <c r="N37" s="230">
        <f t="shared" si="2"/>
        <v>0</v>
      </c>
      <c r="O37" s="320"/>
      <c r="P37" s="319"/>
      <c r="Q37" s="228">
        <f t="shared" si="3"/>
        <v>150189</v>
      </c>
      <c r="R37" s="325">
        <f t="shared" si="4"/>
        <v>1.2517902568094024E-2</v>
      </c>
    </row>
    <row r="38" spans="1:18" s="174" customFormat="1" x14ac:dyDescent="0.2">
      <c r="A38" s="316"/>
      <c r="B38" s="316" t="s">
        <v>451</v>
      </c>
      <c r="C38" s="317"/>
      <c r="D38" s="318"/>
      <c r="E38" s="318"/>
      <c r="F38" s="318">
        <v>10150</v>
      </c>
      <c r="G38" s="318"/>
      <c r="H38" s="318"/>
      <c r="I38" s="230">
        <f t="shared" si="1"/>
        <v>10150</v>
      </c>
      <c r="J38" s="317"/>
      <c r="K38" s="318"/>
      <c r="L38" s="318"/>
      <c r="M38" s="318"/>
      <c r="N38" s="230">
        <f t="shared" si="2"/>
        <v>0</v>
      </c>
      <c r="O38" s="320"/>
      <c r="P38" s="319"/>
      <c r="Q38" s="228">
        <f t="shared" si="3"/>
        <v>10150</v>
      </c>
      <c r="R38" s="325">
        <f t="shared" si="4"/>
        <v>8.4597880714402756E-4</v>
      </c>
    </row>
    <row r="39" spans="1:18" s="174" customFormat="1" x14ac:dyDescent="0.2">
      <c r="A39" s="316"/>
      <c r="B39" s="316" t="s">
        <v>452</v>
      </c>
      <c r="C39" s="317"/>
      <c r="D39" s="318"/>
      <c r="E39" s="318"/>
      <c r="F39" s="318">
        <v>9901</v>
      </c>
      <c r="G39" s="318"/>
      <c r="H39" s="318"/>
      <c r="I39" s="230">
        <f t="shared" si="1"/>
        <v>9901</v>
      </c>
      <c r="J39" s="317"/>
      <c r="K39" s="318"/>
      <c r="L39" s="318"/>
      <c r="M39" s="318"/>
      <c r="N39" s="230">
        <f t="shared" si="2"/>
        <v>0</v>
      </c>
      <c r="O39" s="320"/>
      <c r="P39" s="319"/>
      <c r="Q39" s="228">
        <f t="shared" si="3"/>
        <v>9901</v>
      </c>
      <c r="R39" s="325">
        <f t="shared" si="4"/>
        <v>8.2522523837763703E-4</v>
      </c>
    </row>
    <row r="40" spans="1:18" s="174" customFormat="1" x14ac:dyDescent="0.2">
      <c r="A40" s="316"/>
      <c r="B40" s="316" t="s">
        <v>453</v>
      </c>
      <c r="C40" s="317"/>
      <c r="D40" s="318"/>
      <c r="E40" s="318"/>
      <c r="F40" s="318">
        <v>10278</v>
      </c>
      <c r="G40" s="318"/>
      <c r="H40" s="318"/>
      <c r="I40" s="230">
        <f t="shared" si="1"/>
        <v>10278</v>
      </c>
      <c r="J40" s="317"/>
      <c r="K40" s="318"/>
      <c r="L40" s="318"/>
      <c r="M40" s="318"/>
      <c r="N40" s="230">
        <f t="shared" si="2"/>
        <v>0</v>
      </c>
      <c r="O40" s="320"/>
      <c r="P40" s="319"/>
      <c r="Q40" s="228">
        <f t="shared" si="3"/>
        <v>10278</v>
      </c>
      <c r="R40" s="325">
        <f t="shared" si="4"/>
        <v>8.5664730835727243E-4</v>
      </c>
    </row>
    <row r="41" spans="1:18" s="174" customFormat="1" x14ac:dyDescent="0.2">
      <c r="A41" s="316"/>
      <c r="B41" s="316" t="s">
        <v>454</v>
      </c>
      <c r="C41" s="317"/>
      <c r="D41" s="318"/>
      <c r="E41" s="318"/>
      <c r="F41" s="318">
        <v>2741</v>
      </c>
      <c r="G41" s="318"/>
      <c r="H41" s="318"/>
      <c r="I41" s="230">
        <f t="shared" si="1"/>
        <v>2741</v>
      </c>
      <c r="J41" s="317"/>
      <c r="K41" s="318"/>
      <c r="L41" s="318"/>
      <c r="M41" s="318"/>
      <c r="N41" s="230">
        <f t="shared" si="2"/>
        <v>0</v>
      </c>
      <c r="O41" s="320"/>
      <c r="P41" s="319"/>
      <c r="Q41" s="228">
        <f t="shared" si="3"/>
        <v>2741</v>
      </c>
      <c r="R41" s="325">
        <f t="shared" si="4"/>
        <v>2.2845595176175168E-4</v>
      </c>
    </row>
    <row r="42" spans="1:18" s="174" customFormat="1" x14ac:dyDescent="0.2">
      <c r="A42" s="316"/>
      <c r="B42" s="316" t="s">
        <v>455</v>
      </c>
      <c r="C42" s="317"/>
      <c r="D42" s="318"/>
      <c r="E42" s="318"/>
      <c r="F42" s="318">
        <v>6271</v>
      </c>
      <c r="G42" s="318"/>
      <c r="H42" s="318"/>
      <c r="I42" s="230">
        <f t="shared" si="1"/>
        <v>6271</v>
      </c>
      <c r="J42" s="317"/>
      <c r="K42" s="318"/>
      <c r="L42" s="318"/>
      <c r="M42" s="318"/>
      <c r="N42" s="230">
        <f t="shared" si="2"/>
        <v>0</v>
      </c>
      <c r="O42" s="320"/>
      <c r="P42" s="319"/>
      <c r="Q42" s="228">
        <f t="shared" si="3"/>
        <v>6271</v>
      </c>
      <c r="R42" s="325">
        <f t="shared" si="4"/>
        <v>5.2267321178327058E-4</v>
      </c>
    </row>
    <row r="43" spans="1:18" s="174" customFormat="1" x14ac:dyDescent="0.2">
      <c r="A43" s="316"/>
      <c r="B43" s="316" t="s">
        <v>456</v>
      </c>
      <c r="C43" s="317"/>
      <c r="D43" s="318"/>
      <c r="E43" s="318"/>
      <c r="F43" s="318">
        <v>7228</v>
      </c>
      <c r="G43" s="318"/>
      <c r="H43" s="318"/>
      <c r="I43" s="230">
        <f t="shared" si="1"/>
        <v>7228</v>
      </c>
      <c r="J43" s="317"/>
      <c r="K43" s="318"/>
      <c r="L43" s="318"/>
      <c r="M43" s="318"/>
      <c r="N43" s="230">
        <f t="shared" si="2"/>
        <v>0</v>
      </c>
      <c r="O43" s="320"/>
      <c r="P43" s="319"/>
      <c r="Q43" s="228">
        <f t="shared" si="3"/>
        <v>7228</v>
      </c>
      <c r="R43" s="325">
        <f t="shared" si="4"/>
        <v>6.0243692788542174E-4</v>
      </c>
    </row>
    <row r="44" spans="1:18" s="174" customFormat="1" x14ac:dyDescent="0.2">
      <c r="A44" s="316"/>
      <c r="B44" s="316" t="s">
        <v>457</v>
      </c>
      <c r="C44" s="317"/>
      <c r="D44" s="318"/>
      <c r="E44" s="318"/>
      <c r="F44" s="318">
        <v>4368</v>
      </c>
      <c r="G44" s="318"/>
      <c r="H44" s="318"/>
      <c r="I44" s="230">
        <f t="shared" si="1"/>
        <v>4368</v>
      </c>
      <c r="J44" s="317"/>
      <c r="K44" s="318"/>
      <c r="L44" s="318"/>
      <c r="M44" s="318"/>
      <c r="N44" s="230">
        <f t="shared" si="2"/>
        <v>0</v>
      </c>
      <c r="O44" s="320"/>
      <c r="P44" s="319"/>
      <c r="Q44" s="228">
        <f t="shared" si="3"/>
        <v>4368</v>
      </c>
      <c r="R44" s="325">
        <f t="shared" si="4"/>
        <v>3.6406260390198149E-4</v>
      </c>
    </row>
    <row r="45" spans="1:18" s="174" customFormat="1" x14ac:dyDescent="0.2">
      <c r="A45" s="316"/>
      <c r="B45" s="316" t="s">
        <v>458</v>
      </c>
      <c r="C45" s="317"/>
      <c r="D45" s="318"/>
      <c r="E45" s="318"/>
      <c r="F45" s="318">
        <v>7311</v>
      </c>
      <c r="G45" s="318"/>
      <c r="H45" s="318"/>
      <c r="I45" s="230">
        <f t="shared" si="1"/>
        <v>7311</v>
      </c>
      <c r="J45" s="317"/>
      <c r="K45" s="318"/>
      <c r="L45" s="318"/>
      <c r="M45" s="318"/>
      <c r="N45" s="230">
        <f t="shared" si="2"/>
        <v>0</v>
      </c>
      <c r="O45" s="320"/>
      <c r="P45" s="319"/>
      <c r="Q45" s="228">
        <f t="shared" si="3"/>
        <v>7311</v>
      </c>
      <c r="R45" s="325">
        <f t="shared" si="4"/>
        <v>6.0935478414088525E-4</v>
      </c>
    </row>
    <row r="46" spans="1:18" s="174" customFormat="1" x14ac:dyDescent="0.2">
      <c r="A46" s="316"/>
      <c r="B46" s="316" t="s">
        <v>459</v>
      </c>
      <c r="C46" s="317"/>
      <c r="D46" s="318"/>
      <c r="E46" s="318"/>
      <c r="F46" s="318">
        <v>55781</v>
      </c>
      <c r="G46" s="318"/>
      <c r="H46" s="318"/>
      <c r="I46" s="230">
        <f t="shared" si="1"/>
        <v>55781</v>
      </c>
      <c r="J46" s="317"/>
      <c r="K46" s="318"/>
      <c r="L46" s="318"/>
      <c r="M46" s="318"/>
      <c r="N46" s="230">
        <f t="shared" si="2"/>
        <v>0</v>
      </c>
      <c r="O46" s="320"/>
      <c r="P46" s="319"/>
      <c r="Q46" s="228">
        <f t="shared" si="3"/>
        <v>55781</v>
      </c>
      <c r="R46" s="325">
        <f t="shared" si="4"/>
        <v>4.6492161420000986E-3</v>
      </c>
    </row>
    <row r="47" spans="1:18" s="174" customFormat="1" x14ac:dyDescent="0.2">
      <c r="A47" s="316"/>
      <c r="B47" s="316" t="s">
        <v>460</v>
      </c>
      <c r="C47" s="317"/>
      <c r="D47" s="318"/>
      <c r="E47" s="318"/>
      <c r="F47" s="318">
        <v>638478</v>
      </c>
      <c r="G47" s="318"/>
      <c r="H47" s="318"/>
      <c r="I47" s="230">
        <f t="shared" si="1"/>
        <v>638478</v>
      </c>
      <c r="J47" s="317"/>
      <c r="K47" s="318"/>
      <c r="L47" s="318"/>
      <c r="M47" s="318"/>
      <c r="N47" s="230">
        <f t="shared" si="2"/>
        <v>0</v>
      </c>
      <c r="O47" s="320"/>
      <c r="P47" s="319"/>
      <c r="Q47" s="228">
        <f t="shared" si="3"/>
        <v>638478</v>
      </c>
      <c r="R47" s="325">
        <f t="shared" si="4"/>
        <v>5.3215650918985648E-2</v>
      </c>
    </row>
    <row r="48" spans="1:18" s="174" customFormat="1" x14ac:dyDescent="0.2">
      <c r="A48" s="316"/>
      <c r="B48" s="316" t="s">
        <v>461</v>
      </c>
      <c r="C48" s="317"/>
      <c r="D48" s="318"/>
      <c r="E48" s="318"/>
      <c r="F48" s="318">
        <v>772666</v>
      </c>
      <c r="G48" s="318"/>
      <c r="H48" s="318"/>
      <c r="I48" s="230">
        <f t="shared" si="1"/>
        <v>772666</v>
      </c>
      <c r="J48" s="317"/>
      <c r="K48" s="318"/>
      <c r="L48" s="318"/>
      <c r="M48" s="318"/>
      <c r="N48" s="230">
        <f t="shared" si="2"/>
        <v>0</v>
      </c>
      <c r="O48" s="320"/>
      <c r="P48" s="319"/>
      <c r="Q48" s="228">
        <f t="shared" si="3"/>
        <v>772666</v>
      </c>
      <c r="R48" s="325">
        <f t="shared" si="4"/>
        <v>6.439990748775834E-2</v>
      </c>
    </row>
    <row r="49" spans="1:18" s="174" customFormat="1" x14ac:dyDescent="0.2">
      <c r="A49" s="316"/>
      <c r="B49" s="316" t="s">
        <v>462</v>
      </c>
      <c r="C49" s="317"/>
      <c r="D49" s="318"/>
      <c r="E49" s="318"/>
      <c r="F49" s="318">
        <v>1004306</v>
      </c>
      <c r="G49" s="318"/>
      <c r="H49" s="318"/>
      <c r="I49" s="230">
        <f t="shared" si="1"/>
        <v>1004306</v>
      </c>
      <c r="J49" s="317"/>
      <c r="K49" s="318"/>
      <c r="L49" s="318"/>
      <c r="M49" s="318"/>
      <c r="N49" s="230">
        <f t="shared" si="2"/>
        <v>0</v>
      </c>
      <c r="O49" s="320"/>
      <c r="P49" s="319"/>
      <c r="Q49" s="228">
        <f t="shared" si="3"/>
        <v>1004306</v>
      </c>
      <c r="R49" s="325">
        <f t="shared" si="4"/>
        <v>8.3706560777102423E-2</v>
      </c>
    </row>
    <row r="50" spans="1:18" s="174" customFormat="1" x14ac:dyDescent="0.2">
      <c r="A50" s="316"/>
      <c r="B50" s="316" t="s">
        <v>463</v>
      </c>
      <c r="C50" s="317"/>
      <c r="D50" s="318"/>
      <c r="E50" s="318"/>
      <c r="F50" s="318">
        <v>66861</v>
      </c>
      <c r="G50" s="318"/>
      <c r="H50" s="318"/>
      <c r="I50" s="230">
        <f t="shared" si="1"/>
        <v>66861</v>
      </c>
      <c r="J50" s="317"/>
      <c r="K50" s="318"/>
      <c r="L50" s="318"/>
      <c r="M50" s="318"/>
      <c r="N50" s="230">
        <f t="shared" si="2"/>
        <v>0</v>
      </c>
      <c r="O50" s="320"/>
      <c r="P50" s="319"/>
      <c r="Q50" s="228">
        <f t="shared" si="3"/>
        <v>66861</v>
      </c>
      <c r="R50" s="325">
        <f t="shared" si="4"/>
        <v>5.572708278271608E-3</v>
      </c>
    </row>
    <row r="51" spans="1:18" s="174" customFormat="1" x14ac:dyDescent="0.2">
      <c r="A51" s="316"/>
      <c r="B51" s="316" t="s">
        <v>464</v>
      </c>
      <c r="C51" s="317"/>
      <c r="D51" s="318"/>
      <c r="E51" s="318"/>
      <c r="F51" s="318">
        <v>205893</v>
      </c>
      <c r="G51" s="318"/>
      <c r="H51" s="318"/>
      <c r="I51" s="230">
        <f t="shared" si="1"/>
        <v>205893</v>
      </c>
      <c r="J51" s="317"/>
      <c r="K51" s="318"/>
      <c r="L51" s="318"/>
      <c r="M51" s="318"/>
      <c r="N51" s="230">
        <f t="shared" si="2"/>
        <v>0</v>
      </c>
      <c r="O51" s="320"/>
      <c r="P51" s="319"/>
      <c r="Q51" s="228">
        <f t="shared" si="3"/>
        <v>205893</v>
      </c>
      <c r="R51" s="325">
        <f t="shared" si="4"/>
        <v>1.7160700939833028E-2</v>
      </c>
    </row>
    <row r="52" spans="1:18" s="174" customFormat="1" x14ac:dyDescent="0.2">
      <c r="A52" s="316"/>
      <c r="B52" s="316" t="s">
        <v>465</v>
      </c>
      <c r="C52" s="317"/>
      <c r="D52" s="318"/>
      <c r="E52" s="318"/>
      <c r="F52" s="318">
        <v>50135</v>
      </c>
      <c r="G52" s="318"/>
      <c r="H52" s="318"/>
      <c r="I52" s="230">
        <f t="shared" si="1"/>
        <v>50135</v>
      </c>
      <c r="J52" s="317"/>
      <c r="K52" s="318"/>
      <c r="L52" s="318"/>
      <c r="M52" s="318"/>
      <c r="N52" s="230">
        <f t="shared" si="2"/>
        <v>0</v>
      </c>
      <c r="O52" s="320"/>
      <c r="P52" s="319"/>
      <c r="Q52" s="228">
        <f t="shared" si="3"/>
        <v>50135</v>
      </c>
      <c r="R52" s="325">
        <f t="shared" si="4"/>
        <v>4.1786352212971247E-3</v>
      </c>
    </row>
    <row r="53" spans="1:18" s="174" customFormat="1" x14ac:dyDescent="0.2">
      <c r="A53" s="316"/>
      <c r="B53" s="316" t="s">
        <v>466</v>
      </c>
      <c r="C53" s="317"/>
      <c r="D53" s="318"/>
      <c r="E53" s="318"/>
      <c r="F53" s="318">
        <v>62732</v>
      </c>
      <c r="G53" s="318"/>
      <c r="H53" s="318"/>
      <c r="I53" s="230">
        <f t="shared" si="1"/>
        <v>62732</v>
      </c>
      <c r="J53" s="317"/>
      <c r="K53" s="318"/>
      <c r="L53" s="318"/>
      <c r="M53" s="318"/>
      <c r="N53" s="230">
        <f t="shared" si="2"/>
        <v>0</v>
      </c>
      <c r="O53" s="320"/>
      <c r="P53" s="319"/>
      <c r="Q53" s="228">
        <f t="shared" si="3"/>
        <v>62732</v>
      </c>
      <c r="R53" s="325">
        <f t="shared" si="4"/>
        <v>5.2285657664787322E-3</v>
      </c>
    </row>
    <row r="54" spans="1:18" s="174" customFormat="1" x14ac:dyDescent="0.2">
      <c r="A54" s="316"/>
      <c r="B54" s="316" t="s">
        <v>467</v>
      </c>
      <c r="C54" s="317"/>
      <c r="D54" s="318"/>
      <c r="E54" s="318"/>
      <c r="F54" s="318">
        <v>11423</v>
      </c>
      <c r="G54" s="318"/>
      <c r="H54" s="318"/>
      <c r="I54" s="230">
        <f t="shared" si="1"/>
        <v>11423</v>
      </c>
      <c r="J54" s="317"/>
      <c r="K54" s="318"/>
      <c r="L54" s="318"/>
      <c r="M54" s="318"/>
      <c r="N54" s="230">
        <f t="shared" si="2"/>
        <v>0</v>
      </c>
      <c r="O54" s="320"/>
      <c r="P54" s="319"/>
      <c r="Q54" s="228">
        <f t="shared" si="3"/>
        <v>11423</v>
      </c>
      <c r="R54" s="325">
        <f t="shared" si="4"/>
        <v>9.5208038561637694E-4</v>
      </c>
    </row>
    <row r="55" spans="1:18" s="174" customFormat="1" x14ac:dyDescent="0.2">
      <c r="A55" s="316"/>
      <c r="B55" s="316" t="s">
        <v>468</v>
      </c>
      <c r="C55" s="317"/>
      <c r="D55" s="318"/>
      <c r="E55" s="318"/>
      <c r="F55" s="318">
        <v>58776</v>
      </c>
      <c r="G55" s="318"/>
      <c r="H55" s="318"/>
      <c r="I55" s="230">
        <f t="shared" si="1"/>
        <v>58776</v>
      </c>
      <c r="J55" s="317"/>
      <c r="K55" s="318"/>
      <c r="L55" s="318"/>
      <c r="M55" s="318"/>
      <c r="N55" s="230">
        <f t="shared" si="2"/>
        <v>0</v>
      </c>
      <c r="O55" s="320"/>
      <c r="P55" s="319"/>
      <c r="Q55" s="228">
        <f t="shared" si="3"/>
        <v>58776</v>
      </c>
      <c r="R55" s="325">
        <f t="shared" si="4"/>
        <v>4.8988424008568829E-3</v>
      </c>
    </row>
    <row r="56" spans="1:18" s="174" customFormat="1" ht="12" thickBot="1" x14ac:dyDescent="0.25">
      <c r="A56" s="316"/>
      <c r="B56" s="316" t="s">
        <v>469</v>
      </c>
      <c r="C56" s="317"/>
      <c r="D56" s="318"/>
      <c r="E56" s="318"/>
      <c r="F56" s="318">
        <v>34937</v>
      </c>
      <c r="G56" s="318"/>
      <c r="H56" s="318"/>
      <c r="I56" s="230">
        <f t="shared" si="1"/>
        <v>34937</v>
      </c>
      <c r="J56" s="317"/>
      <c r="K56" s="318"/>
      <c r="L56" s="318"/>
      <c r="M56" s="318"/>
      <c r="N56" s="230">
        <f t="shared" si="2"/>
        <v>0</v>
      </c>
      <c r="O56" s="320"/>
      <c r="P56" s="319"/>
      <c r="Q56" s="228">
        <f t="shared" si="3"/>
        <v>34937</v>
      </c>
      <c r="R56" s="325">
        <f t="shared" si="4"/>
        <v>2.9119173975557526E-3</v>
      </c>
    </row>
    <row r="57" spans="1:18" s="174" customFormat="1" x14ac:dyDescent="0.2">
      <c r="A57" s="512" t="s">
        <v>472</v>
      </c>
      <c r="B57" s="513"/>
      <c r="C57" s="323">
        <f t="shared" ref="C57:K57" si="18">SUM(C58:C59)</f>
        <v>0</v>
      </c>
      <c r="D57" s="323">
        <f t="shared" si="18"/>
        <v>0</v>
      </c>
      <c r="E57" s="323">
        <f t="shared" si="18"/>
        <v>0</v>
      </c>
      <c r="F57" s="323">
        <f t="shared" si="18"/>
        <v>0</v>
      </c>
      <c r="G57" s="323">
        <f t="shared" si="18"/>
        <v>0</v>
      </c>
      <c r="H57" s="323">
        <f t="shared" si="18"/>
        <v>0</v>
      </c>
      <c r="I57" s="323">
        <f t="shared" si="18"/>
        <v>0</v>
      </c>
      <c r="J57" s="323">
        <f t="shared" si="18"/>
        <v>0</v>
      </c>
      <c r="K57" s="323">
        <f t="shared" si="18"/>
        <v>0</v>
      </c>
      <c r="L57" s="323">
        <f>SUM(L58:L59)</f>
        <v>168504702</v>
      </c>
      <c r="M57" s="323">
        <f t="shared" ref="M57:R57" si="19">SUM(M58:M59)</f>
        <v>0</v>
      </c>
      <c r="N57" s="323">
        <f t="shared" si="19"/>
        <v>168504702</v>
      </c>
      <c r="O57" s="323">
        <f t="shared" si="19"/>
        <v>0</v>
      </c>
      <c r="P57" s="323">
        <f t="shared" si="19"/>
        <v>0</v>
      </c>
      <c r="Q57" s="323">
        <f t="shared" si="19"/>
        <v>168504702</v>
      </c>
      <c r="R57" s="323">
        <f t="shared" si="19"/>
        <v>14.044473575972395</v>
      </c>
    </row>
    <row r="58" spans="1:18" s="174" customFormat="1" x14ac:dyDescent="0.2">
      <c r="A58" s="316"/>
      <c r="B58" s="316" t="s">
        <v>445</v>
      </c>
      <c r="C58" s="317"/>
      <c r="D58" s="318"/>
      <c r="E58" s="318"/>
      <c r="F58" s="318"/>
      <c r="G58" s="318"/>
      <c r="H58" s="318"/>
      <c r="I58" s="230">
        <f t="shared" si="1"/>
        <v>0</v>
      </c>
      <c r="J58" s="317"/>
      <c r="K58" s="318"/>
      <c r="L58" s="318">
        <v>159704147</v>
      </c>
      <c r="M58" s="318"/>
      <c r="N58" s="230">
        <f t="shared" si="2"/>
        <v>159704147</v>
      </c>
      <c r="O58" s="320"/>
      <c r="P58" s="319"/>
      <c r="Q58" s="228">
        <f t="shared" si="3"/>
        <v>159704147</v>
      </c>
      <c r="R58" s="325">
        <f t="shared" si="4"/>
        <v>13.310967859607331</v>
      </c>
    </row>
    <row r="59" spans="1:18" s="174" customFormat="1" ht="12" thickBot="1" x14ac:dyDescent="0.25">
      <c r="A59" s="316"/>
      <c r="B59" s="316" t="s">
        <v>447</v>
      </c>
      <c r="C59" s="317"/>
      <c r="D59" s="318"/>
      <c r="E59" s="318"/>
      <c r="F59" s="318"/>
      <c r="G59" s="318"/>
      <c r="H59" s="318"/>
      <c r="I59" s="230">
        <f t="shared" si="1"/>
        <v>0</v>
      </c>
      <c r="J59" s="317"/>
      <c r="K59" s="318"/>
      <c r="L59" s="318">
        <v>8800555</v>
      </c>
      <c r="M59" s="318"/>
      <c r="N59" s="230">
        <f t="shared" si="2"/>
        <v>8800555</v>
      </c>
      <c r="O59" s="320"/>
      <c r="P59" s="319"/>
      <c r="Q59" s="228">
        <f t="shared" si="3"/>
        <v>8800555</v>
      </c>
      <c r="R59" s="325">
        <f t="shared" si="4"/>
        <v>0.73350571636506467</v>
      </c>
    </row>
    <row r="60" spans="1:18" s="174" customFormat="1" x14ac:dyDescent="0.2">
      <c r="A60" s="512" t="s">
        <v>473</v>
      </c>
      <c r="B60" s="513"/>
      <c r="C60" s="323">
        <f t="shared" ref="C60:E60" si="20">SUM(C61:C70)</f>
        <v>0</v>
      </c>
      <c r="D60" s="323">
        <f t="shared" si="20"/>
        <v>0</v>
      </c>
      <c r="E60" s="323">
        <f t="shared" si="20"/>
        <v>0</v>
      </c>
      <c r="F60" s="323">
        <f>SUM(F61:F70)</f>
        <v>555687</v>
      </c>
      <c r="G60" s="323">
        <f t="shared" ref="G60:R60" si="21">SUM(G61:G70)</f>
        <v>0</v>
      </c>
      <c r="H60" s="323">
        <f t="shared" si="21"/>
        <v>0</v>
      </c>
      <c r="I60" s="323">
        <f t="shared" si="21"/>
        <v>555687</v>
      </c>
      <c r="J60" s="323">
        <f t="shared" si="21"/>
        <v>0</v>
      </c>
      <c r="K60" s="323">
        <f t="shared" si="21"/>
        <v>0</v>
      </c>
      <c r="L60" s="323">
        <f t="shared" si="21"/>
        <v>0</v>
      </c>
      <c r="M60" s="323">
        <f t="shared" si="21"/>
        <v>0</v>
      </c>
      <c r="N60" s="323">
        <f t="shared" si="21"/>
        <v>0</v>
      </c>
      <c r="O60" s="323">
        <f t="shared" si="21"/>
        <v>0</v>
      </c>
      <c r="P60" s="323">
        <f t="shared" si="21"/>
        <v>0</v>
      </c>
      <c r="Q60" s="323">
        <f t="shared" si="21"/>
        <v>555687</v>
      </c>
      <c r="R60" s="323">
        <f t="shared" si="21"/>
        <v>4.6315214325659437E-2</v>
      </c>
    </row>
    <row r="61" spans="1:18" s="174" customFormat="1" x14ac:dyDescent="0.2">
      <c r="A61" s="316"/>
      <c r="B61" s="316" t="s">
        <v>460</v>
      </c>
      <c r="C61" s="317"/>
      <c r="D61" s="318"/>
      <c r="E61" s="318"/>
      <c r="F61" s="318">
        <v>351187</v>
      </c>
      <c r="G61" s="318"/>
      <c r="H61" s="318"/>
      <c r="I61" s="230">
        <f t="shared" si="1"/>
        <v>351187</v>
      </c>
      <c r="J61" s="317"/>
      <c r="K61" s="318"/>
      <c r="L61" s="318"/>
      <c r="M61" s="318"/>
      <c r="N61" s="230">
        <f t="shared" si="2"/>
        <v>0</v>
      </c>
      <c r="O61" s="320"/>
      <c r="P61" s="319"/>
      <c r="Q61" s="228">
        <f t="shared" si="3"/>
        <v>351187</v>
      </c>
      <c r="R61" s="325">
        <f t="shared" si="4"/>
        <v>2.9270616684186165E-2</v>
      </c>
    </row>
    <row r="62" spans="1:18" s="174" customFormat="1" x14ac:dyDescent="0.2">
      <c r="A62" s="316"/>
      <c r="B62" s="316" t="s">
        <v>461</v>
      </c>
      <c r="C62" s="317"/>
      <c r="D62" s="318"/>
      <c r="E62" s="318"/>
      <c r="F62" s="318">
        <v>50000</v>
      </c>
      <c r="G62" s="318"/>
      <c r="H62" s="318"/>
      <c r="I62" s="230">
        <f t="shared" si="1"/>
        <v>50000</v>
      </c>
      <c r="J62" s="317"/>
      <c r="K62" s="318"/>
      <c r="L62" s="318"/>
      <c r="M62" s="318"/>
      <c r="N62" s="230">
        <f t="shared" si="2"/>
        <v>0</v>
      </c>
      <c r="O62" s="320"/>
      <c r="P62" s="319"/>
      <c r="Q62" s="228">
        <f t="shared" si="3"/>
        <v>50000</v>
      </c>
      <c r="R62" s="325">
        <f t="shared" si="4"/>
        <v>4.1673832864237807E-3</v>
      </c>
    </row>
    <row r="63" spans="1:18" s="174" customFormat="1" x14ac:dyDescent="0.2">
      <c r="A63" s="316"/>
      <c r="B63" s="316" t="s">
        <v>462</v>
      </c>
      <c r="C63" s="317"/>
      <c r="D63" s="318"/>
      <c r="E63" s="318"/>
      <c r="F63" s="318">
        <v>50000</v>
      </c>
      <c r="G63" s="318"/>
      <c r="H63" s="318"/>
      <c r="I63" s="230">
        <f t="shared" si="1"/>
        <v>50000</v>
      </c>
      <c r="J63" s="317"/>
      <c r="K63" s="318"/>
      <c r="L63" s="318"/>
      <c r="M63" s="318"/>
      <c r="N63" s="230">
        <f t="shared" si="2"/>
        <v>0</v>
      </c>
      <c r="O63" s="320"/>
      <c r="P63" s="319"/>
      <c r="Q63" s="228">
        <f t="shared" si="3"/>
        <v>50000</v>
      </c>
      <c r="R63" s="325">
        <f t="shared" si="4"/>
        <v>4.1673832864237807E-3</v>
      </c>
    </row>
    <row r="64" spans="1:18" s="174" customFormat="1" x14ac:dyDescent="0.2">
      <c r="A64" s="316"/>
      <c r="B64" s="316" t="s">
        <v>463</v>
      </c>
      <c r="C64" s="317"/>
      <c r="D64" s="318"/>
      <c r="E64" s="318"/>
      <c r="F64" s="318">
        <v>30000</v>
      </c>
      <c r="G64" s="318"/>
      <c r="H64" s="318"/>
      <c r="I64" s="230">
        <f t="shared" si="1"/>
        <v>30000</v>
      </c>
      <c r="J64" s="317"/>
      <c r="K64" s="318"/>
      <c r="L64" s="318"/>
      <c r="M64" s="318"/>
      <c r="N64" s="230">
        <f t="shared" si="2"/>
        <v>0</v>
      </c>
      <c r="O64" s="320"/>
      <c r="P64" s="319"/>
      <c r="Q64" s="228">
        <f t="shared" si="3"/>
        <v>30000</v>
      </c>
      <c r="R64" s="325">
        <f t="shared" si="4"/>
        <v>2.5004299718542687E-3</v>
      </c>
    </row>
    <row r="65" spans="1:18" s="174" customFormat="1" x14ac:dyDescent="0.2">
      <c r="A65" s="316"/>
      <c r="B65" s="316" t="s">
        <v>464</v>
      </c>
      <c r="C65" s="317"/>
      <c r="D65" s="318"/>
      <c r="E65" s="318"/>
      <c r="F65" s="318">
        <v>30000</v>
      </c>
      <c r="G65" s="318"/>
      <c r="H65" s="318"/>
      <c r="I65" s="230">
        <f t="shared" si="1"/>
        <v>30000</v>
      </c>
      <c r="J65" s="317"/>
      <c r="K65" s="318"/>
      <c r="L65" s="318"/>
      <c r="M65" s="318"/>
      <c r="N65" s="230">
        <f t="shared" si="2"/>
        <v>0</v>
      </c>
      <c r="O65" s="320"/>
      <c r="P65" s="319"/>
      <c r="Q65" s="228">
        <f t="shared" si="3"/>
        <v>30000</v>
      </c>
      <c r="R65" s="325">
        <f t="shared" si="4"/>
        <v>2.5004299718542687E-3</v>
      </c>
    </row>
    <row r="66" spans="1:18" s="174" customFormat="1" x14ac:dyDescent="0.2">
      <c r="A66" s="316"/>
      <c r="B66" s="316" t="s">
        <v>465</v>
      </c>
      <c r="C66" s="317"/>
      <c r="D66" s="318"/>
      <c r="E66" s="318"/>
      <c r="F66" s="318">
        <v>11250</v>
      </c>
      <c r="G66" s="318"/>
      <c r="H66" s="318"/>
      <c r="I66" s="230">
        <f t="shared" si="1"/>
        <v>11250</v>
      </c>
      <c r="J66" s="317"/>
      <c r="K66" s="318"/>
      <c r="L66" s="318"/>
      <c r="M66" s="318"/>
      <c r="N66" s="230">
        <f t="shared" si="2"/>
        <v>0</v>
      </c>
      <c r="O66" s="320"/>
      <c r="P66" s="319"/>
      <c r="Q66" s="228">
        <f t="shared" si="3"/>
        <v>11250</v>
      </c>
      <c r="R66" s="325">
        <f t="shared" si="4"/>
        <v>9.3766123944535071E-4</v>
      </c>
    </row>
    <row r="67" spans="1:18" s="174" customFormat="1" x14ac:dyDescent="0.2">
      <c r="A67" s="316"/>
      <c r="B67" s="316" t="s">
        <v>466</v>
      </c>
      <c r="C67" s="317"/>
      <c r="D67" s="318"/>
      <c r="E67" s="318"/>
      <c r="F67" s="318">
        <v>11250</v>
      </c>
      <c r="G67" s="318"/>
      <c r="H67" s="318"/>
      <c r="I67" s="230">
        <f t="shared" si="1"/>
        <v>11250</v>
      </c>
      <c r="J67" s="317"/>
      <c r="K67" s="318"/>
      <c r="L67" s="318"/>
      <c r="M67" s="318"/>
      <c r="N67" s="230">
        <f t="shared" si="2"/>
        <v>0</v>
      </c>
      <c r="O67" s="320"/>
      <c r="P67" s="319"/>
      <c r="Q67" s="228">
        <f t="shared" si="3"/>
        <v>11250</v>
      </c>
      <c r="R67" s="325">
        <f t="shared" si="4"/>
        <v>9.3766123944535071E-4</v>
      </c>
    </row>
    <row r="68" spans="1:18" s="174" customFormat="1" x14ac:dyDescent="0.2">
      <c r="A68" s="316"/>
      <c r="B68" s="316" t="s">
        <v>467</v>
      </c>
      <c r="C68" s="317"/>
      <c r="D68" s="318"/>
      <c r="E68" s="318"/>
      <c r="F68" s="318">
        <v>10000</v>
      </c>
      <c r="G68" s="318"/>
      <c r="H68" s="318"/>
      <c r="I68" s="230">
        <f t="shared" si="1"/>
        <v>10000</v>
      </c>
      <c r="J68" s="317"/>
      <c r="K68" s="318"/>
      <c r="L68" s="318"/>
      <c r="M68" s="318"/>
      <c r="N68" s="230">
        <f t="shared" si="2"/>
        <v>0</v>
      </c>
      <c r="O68" s="320"/>
      <c r="P68" s="319"/>
      <c r="Q68" s="228">
        <f t="shared" si="3"/>
        <v>10000</v>
      </c>
      <c r="R68" s="325">
        <f t="shared" si="4"/>
        <v>8.3347665728475612E-4</v>
      </c>
    </row>
    <row r="69" spans="1:18" s="174" customFormat="1" x14ac:dyDescent="0.2">
      <c r="A69" s="316"/>
      <c r="B69" s="316" t="s">
        <v>468</v>
      </c>
      <c r="C69" s="317"/>
      <c r="D69" s="318"/>
      <c r="E69" s="318"/>
      <c r="F69" s="318">
        <v>7000</v>
      </c>
      <c r="G69" s="318"/>
      <c r="H69" s="318"/>
      <c r="I69" s="230">
        <f t="shared" si="1"/>
        <v>7000</v>
      </c>
      <c r="J69" s="317"/>
      <c r="K69" s="318"/>
      <c r="L69" s="318"/>
      <c r="M69" s="318"/>
      <c r="N69" s="230">
        <f t="shared" si="2"/>
        <v>0</v>
      </c>
      <c r="O69" s="320"/>
      <c r="P69" s="319"/>
      <c r="Q69" s="228">
        <f t="shared" si="3"/>
        <v>7000</v>
      </c>
      <c r="R69" s="325">
        <f t="shared" si="4"/>
        <v>5.8343366009932932E-4</v>
      </c>
    </row>
    <row r="70" spans="1:18" s="174" customFormat="1" ht="12" thickBot="1" x14ac:dyDescent="0.25">
      <c r="A70" s="316"/>
      <c r="B70" s="316" t="s">
        <v>469</v>
      </c>
      <c r="C70" s="317"/>
      <c r="D70" s="318"/>
      <c r="E70" s="318"/>
      <c r="F70" s="318">
        <v>5000</v>
      </c>
      <c r="G70" s="318"/>
      <c r="H70" s="318"/>
      <c r="I70" s="230">
        <f t="shared" si="1"/>
        <v>5000</v>
      </c>
      <c r="J70" s="317"/>
      <c r="K70" s="318"/>
      <c r="L70" s="318"/>
      <c r="M70" s="318"/>
      <c r="N70" s="230">
        <f t="shared" si="2"/>
        <v>0</v>
      </c>
      <c r="O70" s="320"/>
      <c r="P70" s="319"/>
      <c r="Q70" s="228">
        <f t="shared" si="3"/>
        <v>5000</v>
      </c>
      <c r="R70" s="325">
        <f t="shared" si="4"/>
        <v>4.1673832864237806E-4</v>
      </c>
    </row>
    <row r="71" spans="1:18" s="174" customFormat="1" x14ac:dyDescent="0.2">
      <c r="A71" s="512" t="s">
        <v>474</v>
      </c>
      <c r="B71" s="513"/>
      <c r="C71" s="323">
        <f t="shared" ref="C71:E71" si="22">C72</f>
        <v>0</v>
      </c>
      <c r="D71" s="323">
        <f t="shared" si="22"/>
        <v>0</v>
      </c>
      <c r="E71" s="323">
        <f t="shared" si="22"/>
        <v>0</v>
      </c>
      <c r="F71" s="323">
        <f>F72</f>
        <v>889593</v>
      </c>
      <c r="G71" s="323">
        <f t="shared" ref="G71:R71" si="23">G72</f>
        <v>0</v>
      </c>
      <c r="H71" s="323">
        <f t="shared" si="23"/>
        <v>0</v>
      </c>
      <c r="I71" s="323">
        <f t="shared" si="23"/>
        <v>889593</v>
      </c>
      <c r="J71" s="323">
        <f t="shared" si="23"/>
        <v>0</v>
      </c>
      <c r="K71" s="323">
        <f t="shared" si="23"/>
        <v>0</v>
      </c>
      <c r="L71" s="323">
        <f t="shared" si="23"/>
        <v>3234448</v>
      </c>
      <c r="M71" s="323">
        <f t="shared" si="23"/>
        <v>0</v>
      </c>
      <c r="N71" s="323">
        <f t="shared" si="23"/>
        <v>3234448</v>
      </c>
      <c r="O71" s="323">
        <f t="shared" si="23"/>
        <v>0</v>
      </c>
      <c r="P71" s="323">
        <f t="shared" si="23"/>
        <v>0</v>
      </c>
      <c r="Q71" s="323">
        <f t="shared" si="23"/>
        <v>4124041</v>
      </c>
      <c r="R71" s="323">
        <f t="shared" si="23"/>
        <v>0.34372919071852831</v>
      </c>
    </row>
    <row r="72" spans="1:18" s="174" customFormat="1" ht="12" thickBot="1" x14ac:dyDescent="0.25">
      <c r="A72" s="316"/>
      <c r="B72" s="316" t="s">
        <v>445</v>
      </c>
      <c r="C72" s="317"/>
      <c r="D72" s="318"/>
      <c r="E72" s="318"/>
      <c r="F72" s="318">
        <v>889593</v>
      </c>
      <c r="G72" s="318"/>
      <c r="H72" s="318"/>
      <c r="I72" s="230">
        <f t="shared" si="1"/>
        <v>889593</v>
      </c>
      <c r="J72" s="317"/>
      <c r="K72" s="318"/>
      <c r="L72" s="318">
        <v>3234448</v>
      </c>
      <c r="M72" s="318"/>
      <c r="N72" s="230">
        <f t="shared" si="2"/>
        <v>3234448</v>
      </c>
      <c r="O72" s="320"/>
      <c r="P72" s="319"/>
      <c r="Q72" s="228">
        <f t="shared" si="3"/>
        <v>4124041</v>
      </c>
      <c r="R72" s="325">
        <f t="shared" si="4"/>
        <v>0.34372919071852831</v>
      </c>
    </row>
    <row r="73" spans="1:18" ht="12" thickBot="1" x14ac:dyDescent="0.25">
      <c r="A73" s="243" t="s">
        <v>75</v>
      </c>
      <c r="B73" s="243" t="s">
        <v>75</v>
      </c>
      <c r="C73" s="244">
        <f>C71+C60+C57+C31+C5</f>
        <v>0</v>
      </c>
      <c r="D73" s="244">
        <f t="shared" ref="D73:Q73" si="24">D71+D60+D57+D31+D5</f>
        <v>787551983</v>
      </c>
      <c r="E73" s="244">
        <f t="shared" si="24"/>
        <v>46988048</v>
      </c>
      <c r="F73" s="244">
        <f t="shared" si="24"/>
        <v>123981968</v>
      </c>
      <c r="G73" s="244">
        <f t="shared" si="24"/>
        <v>0</v>
      </c>
      <c r="H73" s="244">
        <f t="shared" si="24"/>
        <v>3145250</v>
      </c>
      <c r="I73" s="244">
        <f t="shared" si="24"/>
        <v>961667249</v>
      </c>
      <c r="J73" s="244">
        <f t="shared" si="24"/>
        <v>0</v>
      </c>
      <c r="K73" s="244">
        <f t="shared" si="24"/>
        <v>0</v>
      </c>
      <c r="L73" s="244">
        <f t="shared" si="24"/>
        <v>237518026</v>
      </c>
      <c r="M73" s="244">
        <f t="shared" si="24"/>
        <v>608374</v>
      </c>
      <c r="N73" s="244">
        <f t="shared" si="24"/>
        <v>238126400</v>
      </c>
      <c r="O73" s="244">
        <f t="shared" si="24"/>
        <v>0</v>
      </c>
      <c r="P73" s="244">
        <f t="shared" si="24"/>
        <v>0</v>
      </c>
      <c r="Q73" s="244">
        <f t="shared" si="24"/>
        <v>1199793649</v>
      </c>
      <c r="R73" s="244">
        <f>R71+R60+R57+R31+R5</f>
        <v>100</v>
      </c>
    </row>
    <row r="74" spans="1:18" x14ac:dyDescent="0.2">
      <c r="A74" s="143"/>
      <c r="B74" s="143"/>
      <c r="C74" s="144"/>
      <c r="D74" s="145"/>
      <c r="E74" s="146"/>
      <c r="F74" s="146"/>
      <c r="G74" s="146"/>
      <c r="H74" s="146"/>
      <c r="I74" s="146"/>
      <c r="J74" s="146"/>
      <c r="K74" s="146"/>
      <c r="L74" s="146"/>
      <c r="M74" s="146"/>
      <c r="N74" s="146"/>
      <c r="O74" s="146"/>
      <c r="P74" s="146"/>
      <c r="Q74" s="146"/>
      <c r="R74" s="146"/>
    </row>
  </sheetData>
  <mergeCells count="11">
    <mergeCell ref="A5:B5"/>
    <mergeCell ref="A31:B31"/>
    <mergeCell ref="A57:B57"/>
    <mergeCell ref="A60:B60"/>
    <mergeCell ref="A71:B71"/>
    <mergeCell ref="A3:A4"/>
    <mergeCell ref="J3:N3"/>
    <mergeCell ref="O3:P3"/>
    <mergeCell ref="Q3:R3"/>
    <mergeCell ref="C3:I3"/>
    <mergeCell ref="B3:B4"/>
  </mergeCells>
  <phoneticPr fontId="0" type="noConversion"/>
  <printOptions horizontalCentered="1"/>
  <pageMargins left="0.23622047244094491" right="0.23622047244094491" top="0.74803149606299213" bottom="0.74803149606299213" header="0.31496062992125984" footer="0.31496062992125984"/>
  <pageSetup paperSize="9" scale="75" orientation="landscape" r:id="rId1"/>
  <headerFooter alignWithMargins="0">
    <oddHeader xml:space="preserve">&amp;C&amp;"Arial,Negrita"&amp;18PROYECTO DE PRESUPUESTO 2021
</oddHeader>
    <oddFooter>&amp;L&amp;"Arial,Negrita"&amp;8PROYECTO DE PRESUPUESTO PARA EL AÑO FISCAL 2020
INFORMACIÓN PARA LA COMISIÓN DE PRESUPUESTO Y CUENTA GENERAL DE LA REPÚBLICA DEL CONGRESO DE LA REPÚBLICA</oddFooter>
  </headerFooter>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D127"/>
  <sheetViews>
    <sheetView view="pageLayout" topLeftCell="A2" zoomScaleNormal="100" workbookViewId="0">
      <selection activeCell="A10" sqref="A10"/>
    </sheetView>
  </sheetViews>
  <sheetFormatPr baseColWidth="10" defaultColWidth="11.28515625" defaultRowHeight="12.75" x14ac:dyDescent="0.2"/>
  <cols>
    <col min="1" max="1" width="59" customWidth="1"/>
    <col min="2" max="4" width="14.28515625" bestFit="1" customWidth="1"/>
  </cols>
  <sheetData>
    <row r="1" spans="1:4" x14ac:dyDescent="0.2">
      <c r="A1" s="127" t="s">
        <v>378</v>
      </c>
    </row>
    <row r="2" spans="1:4" x14ac:dyDescent="0.2">
      <c r="A2" s="129" t="s">
        <v>962</v>
      </c>
    </row>
    <row r="3" spans="1:4" s="165" customFormat="1" ht="28.35" customHeight="1" x14ac:dyDescent="0.2">
      <c r="A3" s="175" t="s">
        <v>317</v>
      </c>
      <c r="B3" s="176">
        <v>2019</v>
      </c>
      <c r="C3" s="176">
        <v>2020</v>
      </c>
      <c r="D3" s="176">
        <v>2021</v>
      </c>
    </row>
    <row r="4" spans="1:4" x14ac:dyDescent="0.2">
      <c r="A4" s="167" t="s">
        <v>475</v>
      </c>
      <c r="B4" s="481">
        <v>35493566</v>
      </c>
      <c r="C4" s="326">
        <v>75055245</v>
      </c>
      <c r="D4" s="329">
        <v>100385299</v>
      </c>
    </row>
    <row r="5" spans="1:4" s="168" customFormat="1" x14ac:dyDescent="0.2">
      <c r="A5" s="167" t="s">
        <v>476</v>
      </c>
      <c r="B5" s="481">
        <v>26294663</v>
      </c>
      <c r="C5" s="327">
        <v>51981204</v>
      </c>
      <c r="D5" s="304">
        <v>65222544</v>
      </c>
    </row>
    <row r="6" spans="1:4" s="168" customFormat="1" x14ac:dyDescent="0.2">
      <c r="A6" s="167" t="s">
        <v>477</v>
      </c>
      <c r="B6" s="481">
        <v>4356041</v>
      </c>
      <c r="C6" s="327">
        <v>6462644</v>
      </c>
      <c r="D6" s="304">
        <v>7476433</v>
      </c>
    </row>
    <row r="7" spans="1:4" s="168" customFormat="1" x14ac:dyDescent="0.2">
      <c r="A7" s="167" t="s">
        <v>478</v>
      </c>
      <c r="B7" s="481">
        <v>2847511</v>
      </c>
      <c r="C7" s="327">
        <v>5099197</v>
      </c>
      <c r="D7" s="304">
        <v>8404668</v>
      </c>
    </row>
    <row r="8" spans="1:4" s="168" customFormat="1" x14ac:dyDescent="0.2">
      <c r="A8" s="167" t="s">
        <v>479</v>
      </c>
      <c r="B8" s="481">
        <v>7486122</v>
      </c>
      <c r="C8" s="327">
        <v>12130008</v>
      </c>
      <c r="D8" s="304">
        <v>14298610</v>
      </c>
    </row>
    <row r="9" spans="1:4" s="168" customFormat="1" x14ac:dyDescent="0.2">
      <c r="A9" s="167" t="s">
        <v>480</v>
      </c>
      <c r="B9" s="481">
        <v>1011102</v>
      </c>
      <c r="C9" s="327">
        <v>3480743</v>
      </c>
      <c r="D9" s="304">
        <v>3141279</v>
      </c>
    </row>
    <row r="10" spans="1:4" s="168" customFormat="1" x14ac:dyDescent="0.2">
      <c r="A10" s="167" t="s">
        <v>481</v>
      </c>
      <c r="B10" s="481">
        <v>6153886</v>
      </c>
      <c r="C10" s="327"/>
      <c r="D10" s="304"/>
    </row>
    <row r="11" spans="1:4" s="168" customFormat="1" x14ac:dyDescent="0.2">
      <c r="A11" s="167" t="s">
        <v>482</v>
      </c>
      <c r="B11" s="481">
        <v>2435543</v>
      </c>
      <c r="C11" s="327">
        <v>16599795</v>
      </c>
      <c r="D11" s="304">
        <v>34611024</v>
      </c>
    </row>
    <row r="12" spans="1:4" s="168" customFormat="1" x14ac:dyDescent="0.2">
      <c r="A12" s="167" t="s">
        <v>483</v>
      </c>
      <c r="B12" s="481">
        <v>55307</v>
      </c>
      <c r="C12" s="327">
        <v>205721</v>
      </c>
      <c r="D12" s="304">
        <v>5206004</v>
      </c>
    </row>
    <row r="13" spans="1:4" s="168" customFormat="1" x14ac:dyDescent="0.2">
      <c r="A13" s="167" t="s">
        <v>484</v>
      </c>
      <c r="B13" s="167">
        <v>0</v>
      </c>
      <c r="C13" s="482"/>
      <c r="D13" s="304"/>
    </row>
    <row r="14" spans="1:4" s="168" customFormat="1" x14ac:dyDescent="0.2">
      <c r="A14" s="167" t="s">
        <v>485</v>
      </c>
      <c r="B14" s="481">
        <v>780976</v>
      </c>
      <c r="C14" s="482">
        <v>682344</v>
      </c>
      <c r="D14" s="304">
        <v>659628</v>
      </c>
    </row>
    <row r="15" spans="1:4" s="168" customFormat="1" x14ac:dyDescent="0.2">
      <c r="A15" s="167" t="s">
        <v>486</v>
      </c>
      <c r="B15" s="167">
        <v>0</v>
      </c>
      <c r="C15" s="327"/>
      <c r="D15" s="304"/>
    </row>
    <row r="16" spans="1:4" s="168" customFormat="1" x14ac:dyDescent="0.2">
      <c r="A16" s="167" t="s">
        <v>487</v>
      </c>
      <c r="B16" s="481">
        <v>6863670</v>
      </c>
      <c r="C16" s="327">
        <v>14041794</v>
      </c>
      <c r="D16" s="304">
        <v>2966605</v>
      </c>
    </row>
    <row r="17" spans="1:4" s="168" customFormat="1" x14ac:dyDescent="0.2">
      <c r="A17" s="167" t="s">
        <v>511</v>
      </c>
      <c r="B17" s="481">
        <v>1000000</v>
      </c>
      <c r="C17" s="327"/>
      <c r="D17" s="304"/>
    </row>
    <row r="18" spans="1:4" s="168" customFormat="1" x14ac:dyDescent="0.2">
      <c r="A18" s="167" t="s">
        <v>488</v>
      </c>
      <c r="B18" s="167">
        <v>0</v>
      </c>
      <c r="C18" s="327"/>
      <c r="D18" s="304"/>
    </row>
    <row r="19" spans="1:4" s="168" customFormat="1" x14ac:dyDescent="0.2">
      <c r="A19" s="167" t="s">
        <v>489</v>
      </c>
      <c r="B19" s="167">
        <v>0</v>
      </c>
      <c r="C19" s="327"/>
      <c r="D19" s="304"/>
    </row>
    <row r="20" spans="1:4" s="168" customFormat="1" x14ac:dyDescent="0.2">
      <c r="A20" s="167" t="s">
        <v>490</v>
      </c>
      <c r="B20" s="167">
        <v>0</v>
      </c>
      <c r="C20" s="167"/>
      <c r="D20" s="304"/>
    </row>
    <row r="21" spans="1:4" s="168" customFormat="1" x14ac:dyDescent="0.2">
      <c r="A21" s="167" t="s">
        <v>491</v>
      </c>
      <c r="B21" s="481">
        <v>7144809</v>
      </c>
      <c r="C21" s="327">
        <v>16449834</v>
      </c>
      <c r="D21" s="304">
        <v>8765439</v>
      </c>
    </row>
    <row r="22" spans="1:4" s="168" customFormat="1" x14ac:dyDescent="0.2">
      <c r="A22" s="167" t="s">
        <v>492</v>
      </c>
      <c r="B22" s="481">
        <v>490652922</v>
      </c>
      <c r="C22" s="327">
        <v>527782908</v>
      </c>
      <c r="D22" s="304">
        <v>540238182</v>
      </c>
    </row>
    <row r="23" spans="1:4" s="168" customFormat="1" x14ac:dyDescent="0.2">
      <c r="A23" s="167" t="s">
        <v>512</v>
      </c>
      <c r="B23" s="481">
        <v>36808008</v>
      </c>
      <c r="C23" s="327"/>
      <c r="D23" s="304"/>
    </row>
    <row r="24" spans="1:4" s="168" customFormat="1" x14ac:dyDescent="0.2">
      <c r="A24" s="167" t="s">
        <v>493</v>
      </c>
      <c r="B24" s="167">
        <v>0</v>
      </c>
      <c r="C24" s="327"/>
      <c r="D24" s="304"/>
    </row>
    <row r="25" spans="1:4" s="168" customFormat="1" x14ac:dyDescent="0.2">
      <c r="A25" s="167" t="s">
        <v>494</v>
      </c>
      <c r="B25" s="167">
        <v>0</v>
      </c>
      <c r="C25" s="327"/>
      <c r="D25" s="304"/>
    </row>
    <row r="26" spans="1:4" s="168" customFormat="1" x14ac:dyDescent="0.2">
      <c r="A26" s="167" t="s">
        <v>495</v>
      </c>
      <c r="B26" s="167">
        <v>0</v>
      </c>
      <c r="C26" s="167"/>
      <c r="D26" s="304"/>
    </row>
    <row r="27" spans="1:4" s="168" customFormat="1" x14ac:dyDescent="0.2">
      <c r="A27" s="167" t="s">
        <v>496</v>
      </c>
      <c r="B27" s="481">
        <v>290293</v>
      </c>
      <c r="C27" s="327">
        <v>273119</v>
      </c>
      <c r="D27" s="304">
        <v>273119</v>
      </c>
    </row>
    <row r="28" spans="1:4" s="168" customFormat="1" x14ac:dyDescent="0.2">
      <c r="A28" s="167" t="s">
        <v>497</v>
      </c>
      <c r="B28" s="481">
        <v>1858870</v>
      </c>
      <c r="C28" s="327">
        <v>5191544</v>
      </c>
      <c r="D28" s="304">
        <v>3316137</v>
      </c>
    </row>
    <row r="29" spans="1:4" s="168" customFormat="1" x14ac:dyDescent="0.2">
      <c r="A29" s="167" t="s">
        <v>498</v>
      </c>
      <c r="B29" s="481">
        <v>1990177</v>
      </c>
      <c r="C29" s="327">
        <v>1541609</v>
      </c>
      <c r="D29" s="304">
        <v>1664930</v>
      </c>
    </row>
    <row r="30" spans="1:4" s="168" customFormat="1" x14ac:dyDescent="0.2">
      <c r="A30" s="167" t="s">
        <v>499</v>
      </c>
      <c r="B30" s="481">
        <v>10199195</v>
      </c>
      <c r="C30" s="327">
        <v>12206233</v>
      </c>
      <c r="D30" s="304">
        <v>6000835</v>
      </c>
    </row>
    <row r="31" spans="1:4" s="168" customFormat="1" x14ac:dyDescent="0.2">
      <c r="A31" s="167" t="s">
        <v>500</v>
      </c>
      <c r="B31" s="481">
        <v>2987132</v>
      </c>
      <c r="C31" s="327"/>
      <c r="D31" s="304"/>
    </row>
    <row r="32" spans="1:4" s="168" customFormat="1" x14ac:dyDescent="0.2">
      <c r="A32" s="167" t="s">
        <v>501</v>
      </c>
      <c r="B32" s="167">
        <v>0</v>
      </c>
      <c r="C32" s="327">
        <v>7380113</v>
      </c>
      <c r="D32" s="304">
        <v>6469996</v>
      </c>
    </row>
    <row r="33" spans="1:4" s="168" customFormat="1" x14ac:dyDescent="0.2">
      <c r="A33" s="167" t="s">
        <v>502</v>
      </c>
      <c r="B33" s="167">
        <v>0</v>
      </c>
      <c r="C33" s="327"/>
      <c r="D33" s="304"/>
    </row>
    <row r="34" spans="1:4" s="168" customFormat="1" x14ac:dyDescent="0.2">
      <c r="A34" s="167" t="s">
        <v>503</v>
      </c>
      <c r="B34" s="481">
        <v>7005068</v>
      </c>
      <c r="C34" s="327">
        <v>3000000</v>
      </c>
      <c r="D34" s="304"/>
    </row>
    <row r="35" spans="1:4" s="168" customFormat="1" x14ac:dyDescent="0.2">
      <c r="A35" s="167" t="s">
        <v>504</v>
      </c>
      <c r="B35" s="481">
        <v>211381</v>
      </c>
      <c r="C35" s="327">
        <v>545384</v>
      </c>
      <c r="D35" s="304">
        <v>571595</v>
      </c>
    </row>
    <row r="36" spans="1:4" s="168" customFormat="1" x14ac:dyDescent="0.2">
      <c r="A36" s="167" t="s">
        <v>505</v>
      </c>
      <c r="B36" s="481">
        <v>1176720</v>
      </c>
      <c r="C36" s="327">
        <v>1712305</v>
      </c>
      <c r="D36" s="304">
        <v>1662136</v>
      </c>
    </row>
    <row r="37" spans="1:4" s="168" customFormat="1" x14ac:dyDescent="0.2">
      <c r="A37" s="167" t="s">
        <v>506</v>
      </c>
      <c r="B37" s="481">
        <v>622672</v>
      </c>
      <c r="C37" s="327">
        <v>4635613</v>
      </c>
      <c r="D37" s="304">
        <v>6253522</v>
      </c>
    </row>
    <row r="38" spans="1:4" s="168" customFormat="1" x14ac:dyDescent="0.2">
      <c r="A38" s="167" t="s">
        <v>507</v>
      </c>
      <c r="B38" s="481">
        <v>33744686</v>
      </c>
      <c r="C38" s="327">
        <v>58300951</v>
      </c>
      <c r="D38" s="304">
        <v>66018530</v>
      </c>
    </row>
    <row r="39" spans="1:4" s="168" customFormat="1" x14ac:dyDescent="0.2">
      <c r="A39" s="167" t="s">
        <v>508</v>
      </c>
      <c r="B39" s="481">
        <v>2970957</v>
      </c>
      <c r="C39" s="327">
        <v>1531474</v>
      </c>
      <c r="D39" s="304">
        <v>5333160</v>
      </c>
    </row>
    <row r="40" spans="1:4" s="168" customFormat="1" x14ac:dyDescent="0.2">
      <c r="A40" s="167" t="s">
        <v>509</v>
      </c>
      <c r="B40" s="167">
        <v>0</v>
      </c>
      <c r="C40" s="327">
        <v>309376</v>
      </c>
      <c r="D40" s="304">
        <v>272126</v>
      </c>
    </row>
    <row r="41" spans="1:4" s="168" customFormat="1" x14ac:dyDescent="0.2">
      <c r="A41" s="167" t="s">
        <v>510</v>
      </c>
      <c r="B41" s="167">
        <v>0</v>
      </c>
      <c r="C41" s="327">
        <v>3615</v>
      </c>
      <c r="D41" s="304">
        <v>16875709</v>
      </c>
    </row>
    <row r="42" spans="1:4" s="168" customFormat="1" x14ac:dyDescent="0.2">
      <c r="A42" s="330" t="s">
        <v>514</v>
      </c>
      <c r="B42" s="167">
        <v>0</v>
      </c>
      <c r="C42" s="327"/>
      <c r="D42" s="304">
        <v>132178</v>
      </c>
    </row>
    <row r="43" spans="1:4" s="172" customFormat="1" ht="22.5" customHeight="1" x14ac:dyDescent="0.2">
      <c r="A43" s="173" t="s">
        <v>308</v>
      </c>
      <c r="B43" s="312">
        <f>SUM(B4:B42)</f>
        <v>692441277</v>
      </c>
      <c r="C43" s="312">
        <f>SUM(C4:C42)</f>
        <v>826602773</v>
      </c>
      <c r="D43" s="305">
        <f>SUM(D4:D42)</f>
        <v>906219688</v>
      </c>
    </row>
    <row r="45" spans="1:4" s="165" customFormat="1" ht="28.35" customHeight="1" x14ac:dyDescent="0.2">
      <c r="A45" s="175" t="s">
        <v>318</v>
      </c>
      <c r="B45" s="176">
        <v>2019</v>
      </c>
      <c r="C45" s="176" t="s">
        <v>372</v>
      </c>
      <c r="D45" s="176" t="s">
        <v>373</v>
      </c>
    </row>
    <row r="46" spans="1:4" x14ac:dyDescent="0.2">
      <c r="A46" s="167" t="s">
        <v>475</v>
      </c>
      <c r="B46" s="328">
        <v>83200060</v>
      </c>
      <c r="C46" s="329">
        <v>87126366</v>
      </c>
      <c r="D46" s="329">
        <v>100385299</v>
      </c>
    </row>
    <row r="47" spans="1:4" s="168" customFormat="1" x14ac:dyDescent="0.2">
      <c r="A47" s="167" t="s">
        <v>476</v>
      </c>
      <c r="B47" s="328">
        <v>57857039</v>
      </c>
      <c r="C47" s="304">
        <v>62308751</v>
      </c>
      <c r="D47" s="327">
        <v>65222544</v>
      </c>
    </row>
    <row r="48" spans="1:4" s="168" customFormat="1" x14ac:dyDescent="0.2">
      <c r="A48" s="167" t="s">
        <v>477</v>
      </c>
      <c r="B48" s="328">
        <v>7200112</v>
      </c>
      <c r="C48" s="304">
        <v>7528113</v>
      </c>
      <c r="D48" s="327">
        <v>7476433</v>
      </c>
    </row>
    <row r="49" spans="1:4" s="168" customFormat="1" x14ac:dyDescent="0.2">
      <c r="A49" s="167" t="s">
        <v>478</v>
      </c>
      <c r="B49" s="328">
        <v>9004394</v>
      </c>
      <c r="C49" s="304">
        <v>9078654</v>
      </c>
      <c r="D49" s="327">
        <v>8404668</v>
      </c>
    </row>
    <row r="50" spans="1:4" s="168" customFormat="1" x14ac:dyDescent="0.2">
      <c r="A50" s="167" t="s">
        <v>479</v>
      </c>
      <c r="B50" s="328">
        <v>12914755</v>
      </c>
      <c r="C50" s="304">
        <v>15196290</v>
      </c>
      <c r="D50" s="327">
        <v>14298610</v>
      </c>
    </row>
    <row r="51" spans="1:4" s="168" customFormat="1" x14ac:dyDescent="0.2">
      <c r="A51" s="167" t="s">
        <v>480</v>
      </c>
      <c r="B51" s="328">
        <v>3714560</v>
      </c>
      <c r="C51" s="304">
        <v>4173375</v>
      </c>
      <c r="D51" s="327">
        <v>3141279</v>
      </c>
    </row>
    <row r="52" spans="1:4" s="168" customFormat="1" x14ac:dyDescent="0.2">
      <c r="A52" s="167" t="s">
        <v>481</v>
      </c>
      <c r="B52" s="328">
        <v>723215</v>
      </c>
      <c r="C52" s="304">
        <v>723215</v>
      </c>
      <c r="D52" s="327"/>
    </row>
    <row r="53" spans="1:4" s="168" customFormat="1" x14ac:dyDescent="0.2">
      <c r="A53" s="167" t="s">
        <v>482</v>
      </c>
      <c r="B53" s="328">
        <v>6879836</v>
      </c>
      <c r="C53" s="304">
        <v>9118783</v>
      </c>
      <c r="D53" s="327">
        <v>34611024</v>
      </c>
    </row>
    <row r="54" spans="1:4" s="168" customFormat="1" x14ac:dyDescent="0.2">
      <c r="A54" s="167" t="s">
        <v>483</v>
      </c>
      <c r="B54" s="328">
        <v>205721</v>
      </c>
      <c r="C54" s="304">
        <v>205721</v>
      </c>
      <c r="D54" s="327">
        <v>5206004</v>
      </c>
    </row>
    <row r="55" spans="1:4" s="168" customFormat="1" x14ac:dyDescent="0.2">
      <c r="A55" s="167" t="s">
        <v>484</v>
      </c>
      <c r="B55" s="328">
        <v>628189</v>
      </c>
      <c r="C55" s="304">
        <v>628189</v>
      </c>
      <c r="D55" s="327"/>
    </row>
    <row r="56" spans="1:4" s="168" customFormat="1" x14ac:dyDescent="0.2">
      <c r="A56" s="167" t="s">
        <v>485</v>
      </c>
      <c r="B56" s="328">
        <v>649844</v>
      </c>
      <c r="C56" s="304">
        <v>649844</v>
      </c>
      <c r="D56" s="327">
        <v>659628</v>
      </c>
    </row>
    <row r="57" spans="1:4" s="168" customFormat="1" x14ac:dyDescent="0.2">
      <c r="A57" s="167" t="s">
        <v>486</v>
      </c>
      <c r="B57" s="304">
        <v>0</v>
      </c>
      <c r="C57" s="304">
        <v>1000</v>
      </c>
      <c r="D57" s="327"/>
    </row>
    <row r="58" spans="1:4" s="168" customFormat="1" x14ac:dyDescent="0.2">
      <c r="A58" s="167" t="s">
        <v>487</v>
      </c>
      <c r="B58" s="328">
        <v>8151876</v>
      </c>
      <c r="C58" s="304">
        <v>12141281</v>
      </c>
      <c r="D58" s="327">
        <v>2966605</v>
      </c>
    </row>
    <row r="59" spans="1:4" s="168" customFormat="1" x14ac:dyDescent="0.2">
      <c r="A59" s="167" t="s">
        <v>488</v>
      </c>
      <c r="B59" s="328">
        <v>2596196</v>
      </c>
      <c r="C59" s="304">
        <v>3934815</v>
      </c>
      <c r="D59" s="327"/>
    </row>
    <row r="60" spans="1:4" s="168" customFormat="1" x14ac:dyDescent="0.2">
      <c r="A60" s="167" t="s">
        <v>489</v>
      </c>
      <c r="B60" s="328">
        <v>1668646</v>
      </c>
      <c r="C60" s="304">
        <v>1668646</v>
      </c>
      <c r="D60" s="327"/>
    </row>
    <row r="61" spans="1:4" s="168" customFormat="1" x14ac:dyDescent="0.2">
      <c r="A61" s="167" t="s">
        <v>490</v>
      </c>
      <c r="B61" s="304">
        <v>0</v>
      </c>
      <c r="C61" s="304">
        <v>44601</v>
      </c>
      <c r="D61" s="327"/>
    </row>
    <row r="62" spans="1:4" s="168" customFormat="1" x14ac:dyDescent="0.2">
      <c r="A62" s="167" t="s">
        <v>491</v>
      </c>
      <c r="B62" s="328">
        <v>24727994</v>
      </c>
      <c r="C62" s="304">
        <v>28475978</v>
      </c>
      <c r="D62" s="327">
        <v>8765439</v>
      </c>
    </row>
    <row r="63" spans="1:4" s="168" customFormat="1" x14ac:dyDescent="0.2">
      <c r="A63" s="167" t="s">
        <v>492</v>
      </c>
      <c r="B63" s="328">
        <v>601812615</v>
      </c>
      <c r="C63" s="304">
        <v>604350136</v>
      </c>
      <c r="D63" s="327">
        <v>540238182</v>
      </c>
    </row>
    <row r="64" spans="1:4" s="168" customFormat="1" x14ac:dyDescent="0.2">
      <c r="A64" s="167" t="s">
        <v>493</v>
      </c>
      <c r="B64" s="328">
        <v>46770</v>
      </c>
      <c r="C64" s="304">
        <v>46770</v>
      </c>
      <c r="D64" s="327"/>
    </row>
    <row r="65" spans="1:4" s="168" customFormat="1" x14ac:dyDescent="0.2">
      <c r="A65" s="167" t="s">
        <v>494</v>
      </c>
      <c r="B65" s="328">
        <v>2250</v>
      </c>
      <c r="C65" s="304">
        <v>2250</v>
      </c>
      <c r="D65" s="327"/>
    </row>
    <row r="66" spans="1:4" s="168" customFormat="1" x14ac:dyDescent="0.2">
      <c r="A66" s="167" t="s">
        <v>495</v>
      </c>
      <c r="B66" s="328">
        <v>6000</v>
      </c>
      <c r="C66" s="304">
        <v>6000</v>
      </c>
      <c r="D66" s="327"/>
    </row>
    <row r="67" spans="1:4" s="168" customFormat="1" x14ac:dyDescent="0.2">
      <c r="A67" s="167" t="s">
        <v>496</v>
      </c>
      <c r="B67" s="328">
        <v>233497</v>
      </c>
      <c r="C67" s="304">
        <v>233497</v>
      </c>
      <c r="D67" s="327">
        <v>273119</v>
      </c>
    </row>
    <row r="68" spans="1:4" s="168" customFormat="1" x14ac:dyDescent="0.2">
      <c r="A68" s="167" t="s">
        <v>497</v>
      </c>
      <c r="B68" s="328">
        <v>5653306</v>
      </c>
      <c r="C68" s="304">
        <v>6926638</v>
      </c>
      <c r="D68" s="327">
        <v>3316137</v>
      </c>
    </row>
    <row r="69" spans="1:4" s="168" customFormat="1" x14ac:dyDescent="0.2">
      <c r="A69" s="167" t="s">
        <v>498</v>
      </c>
      <c r="B69" s="328">
        <v>1822853</v>
      </c>
      <c r="C69" s="304">
        <v>1822853</v>
      </c>
      <c r="D69" s="327">
        <v>1664930</v>
      </c>
    </row>
    <row r="70" spans="1:4" s="168" customFormat="1" x14ac:dyDescent="0.2">
      <c r="A70" s="167" t="s">
        <v>499</v>
      </c>
      <c r="B70" s="328">
        <v>11951715</v>
      </c>
      <c r="C70" s="304">
        <v>11951715</v>
      </c>
      <c r="D70" s="327">
        <v>6000835</v>
      </c>
    </row>
    <row r="71" spans="1:4" s="168" customFormat="1" x14ac:dyDescent="0.2">
      <c r="A71" s="167" t="s">
        <v>500</v>
      </c>
      <c r="B71" s="328">
        <v>27339</v>
      </c>
      <c r="C71" s="304">
        <v>56339</v>
      </c>
      <c r="D71" s="327"/>
    </row>
    <row r="72" spans="1:4" s="168" customFormat="1" x14ac:dyDescent="0.2">
      <c r="A72" s="167" t="s">
        <v>501</v>
      </c>
      <c r="B72" s="328">
        <v>4149483</v>
      </c>
      <c r="C72" s="304">
        <v>7397663</v>
      </c>
      <c r="D72" s="327">
        <v>6469996</v>
      </c>
    </row>
    <row r="73" spans="1:4" s="168" customFormat="1" x14ac:dyDescent="0.2">
      <c r="A73" s="167" t="s">
        <v>502</v>
      </c>
      <c r="B73" s="304">
        <v>0</v>
      </c>
      <c r="C73" s="304">
        <v>25820</v>
      </c>
      <c r="D73" s="327"/>
    </row>
    <row r="74" spans="1:4" s="168" customFormat="1" x14ac:dyDescent="0.2">
      <c r="A74" s="167" t="s">
        <v>503</v>
      </c>
      <c r="B74" s="328">
        <v>185000</v>
      </c>
      <c r="C74" s="304">
        <v>185000</v>
      </c>
      <c r="D74" s="327"/>
    </row>
    <row r="75" spans="1:4" s="168" customFormat="1" x14ac:dyDescent="0.2">
      <c r="A75" s="167" t="s">
        <v>504</v>
      </c>
      <c r="B75" s="328">
        <v>558736</v>
      </c>
      <c r="C75" s="304">
        <v>569506</v>
      </c>
      <c r="D75" s="327">
        <v>571595</v>
      </c>
    </row>
    <row r="76" spans="1:4" s="168" customFormat="1" x14ac:dyDescent="0.2">
      <c r="A76" s="167" t="s">
        <v>505</v>
      </c>
      <c r="B76" s="328">
        <v>1275161</v>
      </c>
      <c r="C76" s="304">
        <v>1739709</v>
      </c>
      <c r="D76" s="327">
        <v>1662136</v>
      </c>
    </row>
    <row r="77" spans="1:4" s="168" customFormat="1" x14ac:dyDescent="0.2">
      <c r="A77" s="167" t="s">
        <v>506</v>
      </c>
      <c r="B77" s="328">
        <v>7590920</v>
      </c>
      <c r="C77" s="304">
        <v>8228810</v>
      </c>
      <c r="D77" s="327">
        <v>6253522</v>
      </c>
    </row>
    <row r="78" spans="1:4" s="168" customFormat="1" x14ac:dyDescent="0.2">
      <c r="A78" s="167" t="s">
        <v>507</v>
      </c>
      <c r="B78" s="328">
        <v>75430203</v>
      </c>
      <c r="C78" s="304">
        <v>77045048</v>
      </c>
      <c r="D78" s="327">
        <v>66018530</v>
      </c>
    </row>
    <row r="79" spans="1:4" s="168" customFormat="1" x14ac:dyDescent="0.2">
      <c r="A79" s="167" t="s">
        <v>508</v>
      </c>
      <c r="B79" s="328">
        <v>2525658</v>
      </c>
      <c r="C79" s="304">
        <v>2525658</v>
      </c>
      <c r="D79" s="327">
        <v>5333160</v>
      </c>
    </row>
    <row r="80" spans="1:4" s="168" customFormat="1" x14ac:dyDescent="0.2">
      <c r="A80" s="167" t="s">
        <v>509</v>
      </c>
      <c r="B80" s="328">
        <v>419337</v>
      </c>
      <c r="C80" s="304">
        <v>419337</v>
      </c>
      <c r="D80" s="327">
        <v>272126</v>
      </c>
    </row>
    <row r="81" spans="1:4" s="168" customFormat="1" x14ac:dyDescent="0.2">
      <c r="A81" s="167" t="s">
        <v>513</v>
      </c>
      <c r="B81" s="328">
        <v>67000</v>
      </c>
      <c r="C81" s="304"/>
      <c r="D81" s="331"/>
    </row>
    <row r="82" spans="1:4" s="168" customFormat="1" x14ac:dyDescent="0.2">
      <c r="A82" s="167" t="s">
        <v>510</v>
      </c>
      <c r="B82" s="328">
        <v>28148105</v>
      </c>
      <c r="C82" s="304">
        <v>29271978</v>
      </c>
      <c r="D82" s="327">
        <v>16875709</v>
      </c>
    </row>
    <row r="83" spans="1:4" s="168" customFormat="1" x14ac:dyDescent="0.2">
      <c r="A83" s="330" t="s">
        <v>514</v>
      </c>
      <c r="B83" s="328">
        <v>0</v>
      </c>
      <c r="C83" s="304">
        <v>0</v>
      </c>
      <c r="D83" s="327">
        <v>132178</v>
      </c>
    </row>
    <row r="84" spans="1:4" s="172" customFormat="1" ht="22.5" customHeight="1" x14ac:dyDescent="0.2">
      <c r="A84" s="173" t="s">
        <v>308</v>
      </c>
      <c r="B84" s="312">
        <f>SUM(B46:B83)</f>
        <v>962028385</v>
      </c>
      <c r="C84" s="312">
        <f>SUM(C46:C83)</f>
        <v>995808349</v>
      </c>
      <c r="D84" s="312">
        <f>SUM(D46:D83)</f>
        <v>906219688</v>
      </c>
    </row>
    <row r="86" spans="1:4" s="165" customFormat="1" ht="28.35" customHeight="1" x14ac:dyDescent="0.2">
      <c r="A86" s="175" t="s">
        <v>319</v>
      </c>
      <c r="B86" s="176">
        <v>2019</v>
      </c>
      <c r="C86" s="176" t="s">
        <v>372</v>
      </c>
      <c r="D86" s="176" t="s">
        <v>373</v>
      </c>
    </row>
    <row r="87" spans="1:4" x14ac:dyDescent="0.2">
      <c r="A87" s="167" t="s">
        <v>475</v>
      </c>
      <c r="B87" s="310">
        <v>64622208.039999999</v>
      </c>
      <c r="C87" s="329">
        <v>87126366</v>
      </c>
      <c r="D87" s="329">
        <v>100385299</v>
      </c>
    </row>
    <row r="88" spans="1:4" s="168" customFormat="1" x14ac:dyDescent="0.2">
      <c r="A88" s="167" t="s">
        <v>476</v>
      </c>
      <c r="B88" s="310">
        <v>44427331.479999997</v>
      </c>
      <c r="C88" s="304">
        <v>62308751</v>
      </c>
      <c r="D88" s="327">
        <v>65222544</v>
      </c>
    </row>
    <row r="89" spans="1:4" s="168" customFormat="1" x14ac:dyDescent="0.2">
      <c r="A89" s="167" t="s">
        <v>477</v>
      </c>
      <c r="B89" s="310">
        <v>5430749.0300000003</v>
      </c>
      <c r="C89" s="304">
        <v>7528113</v>
      </c>
      <c r="D89" s="327">
        <v>7476433</v>
      </c>
    </row>
    <row r="90" spans="1:4" s="168" customFormat="1" x14ac:dyDescent="0.2">
      <c r="A90" s="167" t="s">
        <v>478</v>
      </c>
      <c r="B90" s="310">
        <v>4053572.8</v>
      </c>
      <c r="C90" s="304">
        <v>9078654</v>
      </c>
      <c r="D90" s="327">
        <v>8404668</v>
      </c>
    </row>
    <row r="91" spans="1:4" s="168" customFormat="1" x14ac:dyDescent="0.2">
      <c r="A91" s="167" t="s">
        <v>479</v>
      </c>
      <c r="B91" s="310">
        <v>9634697.5800000001</v>
      </c>
      <c r="C91" s="304">
        <v>15196290</v>
      </c>
      <c r="D91" s="327">
        <v>14298610</v>
      </c>
    </row>
    <row r="92" spans="1:4" s="168" customFormat="1" x14ac:dyDescent="0.2">
      <c r="A92" s="167" t="s">
        <v>480</v>
      </c>
      <c r="B92" s="310">
        <v>2194489.7799999998</v>
      </c>
      <c r="C92" s="304">
        <v>4173375</v>
      </c>
      <c r="D92" s="327">
        <v>3141279</v>
      </c>
    </row>
    <row r="93" spans="1:4" s="168" customFormat="1" x14ac:dyDescent="0.2">
      <c r="A93" s="167" t="s">
        <v>481</v>
      </c>
      <c r="B93" s="310">
        <v>573530.47</v>
      </c>
      <c r="C93" s="304">
        <v>723215</v>
      </c>
      <c r="D93" s="167"/>
    </row>
    <row r="94" spans="1:4" s="168" customFormat="1" x14ac:dyDescent="0.2">
      <c r="A94" s="167" t="s">
        <v>482</v>
      </c>
      <c r="B94" s="310">
        <v>1869117.82</v>
      </c>
      <c r="C94" s="304">
        <v>9118783</v>
      </c>
      <c r="D94" s="327">
        <v>34611024</v>
      </c>
    </row>
    <row r="95" spans="1:4" s="168" customFormat="1" x14ac:dyDescent="0.2">
      <c r="A95" s="167" t="s">
        <v>483</v>
      </c>
      <c r="B95" s="167">
        <v>0</v>
      </c>
      <c r="C95" s="304">
        <v>205721</v>
      </c>
      <c r="D95" s="327">
        <v>5206004</v>
      </c>
    </row>
    <row r="96" spans="1:4" s="168" customFormat="1" x14ac:dyDescent="0.2">
      <c r="A96" s="167" t="s">
        <v>484</v>
      </c>
      <c r="B96" s="310">
        <v>359512.86</v>
      </c>
      <c r="C96" s="304">
        <v>628189</v>
      </c>
      <c r="D96" s="167"/>
    </row>
    <row r="97" spans="1:4" s="168" customFormat="1" x14ac:dyDescent="0.2">
      <c r="A97" s="167" t="s">
        <v>485</v>
      </c>
      <c r="B97" s="310">
        <v>266501.27</v>
      </c>
      <c r="C97" s="304">
        <v>649844</v>
      </c>
      <c r="D97" s="327">
        <v>659628</v>
      </c>
    </row>
    <row r="98" spans="1:4" s="168" customFormat="1" x14ac:dyDescent="0.2">
      <c r="A98" s="167" t="s">
        <v>486</v>
      </c>
      <c r="B98" s="167">
        <v>0</v>
      </c>
      <c r="C98" s="304">
        <v>1000</v>
      </c>
      <c r="D98" s="327"/>
    </row>
    <row r="99" spans="1:4" s="168" customFormat="1" x14ac:dyDescent="0.2">
      <c r="A99" s="167" t="s">
        <v>487</v>
      </c>
      <c r="B99" s="310">
        <v>3803140.99</v>
      </c>
      <c r="C99" s="304">
        <v>12141281</v>
      </c>
      <c r="D99" s="327">
        <v>2966605</v>
      </c>
    </row>
    <row r="100" spans="1:4" s="168" customFormat="1" x14ac:dyDescent="0.2">
      <c r="A100" s="167" t="s">
        <v>488</v>
      </c>
      <c r="B100" s="310">
        <v>63111</v>
      </c>
      <c r="C100" s="304">
        <v>3934815</v>
      </c>
      <c r="D100" s="167"/>
    </row>
    <row r="101" spans="1:4" s="168" customFormat="1" x14ac:dyDescent="0.2">
      <c r="A101" s="167" t="s">
        <v>489</v>
      </c>
      <c r="B101" s="310">
        <v>1109082.32</v>
      </c>
      <c r="C101" s="304">
        <v>1668646</v>
      </c>
      <c r="D101" s="167"/>
    </row>
    <row r="102" spans="1:4" s="168" customFormat="1" x14ac:dyDescent="0.2">
      <c r="A102" s="167" t="s">
        <v>490</v>
      </c>
      <c r="B102" s="167">
        <v>0</v>
      </c>
      <c r="C102" s="304">
        <v>44601</v>
      </c>
      <c r="D102" s="167"/>
    </row>
    <row r="103" spans="1:4" s="168" customFormat="1" x14ac:dyDescent="0.2">
      <c r="A103" s="167" t="s">
        <v>491</v>
      </c>
      <c r="B103" s="310">
        <v>10476133.880000001</v>
      </c>
      <c r="C103" s="304">
        <v>28475978</v>
      </c>
      <c r="D103" s="327">
        <v>8765439</v>
      </c>
    </row>
    <row r="104" spans="1:4" s="168" customFormat="1" x14ac:dyDescent="0.2">
      <c r="A104" s="167" t="s">
        <v>492</v>
      </c>
      <c r="B104" s="310">
        <v>417412163.60000002</v>
      </c>
      <c r="C104" s="304">
        <v>604350136</v>
      </c>
      <c r="D104" s="327">
        <v>540238182</v>
      </c>
    </row>
    <row r="105" spans="1:4" s="168" customFormat="1" x14ac:dyDescent="0.2">
      <c r="A105" s="167" t="s">
        <v>493</v>
      </c>
      <c r="B105" s="310">
        <v>4702.75</v>
      </c>
      <c r="C105" s="304">
        <v>46770</v>
      </c>
      <c r="D105" s="167"/>
    </row>
    <row r="106" spans="1:4" s="168" customFormat="1" x14ac:dyDescent="0.2">
      <c r="A106" s="167" t="s">
        <v>494</v>
      </c>
      <c r="B106" s="167">
        <v>750.21</v>
      </c>
      <c r="C106" s="304">
        <v>2250</v>
      </c>
      <c r="D106" s="167"/>
    </row>
    <row r="107" spans="1:4" s="168" customFormat="1" x14ac:dyDescent="0.2">
      <c r="A107" s="167" t="s">
        <v>495</v>
      </c>
      <c r="B107" s="167">
        <v>0</v>
      </c>
      <c r="C107" s="304">
        <v>6000</v>
      </c>
      <c r="D107" s="167"/>
    </row>
    <row r="108" spans="1:4" s="168" customFormat="1" x14ac:dyDescent="0.2">
      <c r="A108" s="167" t="s">
        <v>496</v>
      </c>
      <c r="B108" s="310">
        <v>80867.839999999997</v>
      </c>
      <c r="C108" s="304">
        <v>233497</v>
      </c>
      <c r="D108" s="327">
        <v>273119</v>
      </c>
    </row>
    <row r="109" spans="1:4" s="168" customFormat="1" x14ac:dyDescent="0.2">
      <c r="A109" s="167" t="s">
        <v>497</v>
      </c>
      <c r="B109" s="310">
        <v>4050932.13</v>
      </c>
      <c r="C109" s="304">
        <v>6926638</v>
      </c>
      <c r="D109" s="327">
        <v>3316137</v>
      </c>
    </row>
    <row r="110" spans="1:4" s="168" customFormat="1" x14ac:dyDescent="0.2">
      <c r="A110" s="167" t="s">
        <v>498</v>
      </c>
      <c r="B110" s="310">
        <v>1013069.99</v>
      </c>
      <c r="C110" s="304">
        <v>1822853</v>
      </c>
      <c r="D110" s="327">
        <v>1664930</v>
      </c>
    </row>
    <row r="111" spans="1:4" s="168" customFormat="1" x14ac:dyDescent="0.2">
      <c r="A111" s="167" t="s">
        <v>499</v>
      </c>
      <c r="B111" s="310">
        <v>7050439.1100000003</v>
      </c>
      <c r="C111" s="304">
        <v>11951715</v>
      </c>
      <c r="D111" s="327">
        <v>6000835</v>
      </c>
    </row>
    <row r="112" spans="1:4" s="168" customFormat="1" x14ac:dyDescent="0.2">
      <c r="A112" s="167" t="s">
        <v>500</v>
      </c>
      <c r="B112" s="310">
        <v>10899</v>
      </c>
      <c r="C112" s="304">
        <v>56339</v>
      </c>
      <c r="D112" s="327"/>
    </row>
    <row r="113" spans="1:4" s="168" customFormat="1" x14ac:dyDescent="0.2">
      <c r="A113" s="167" t="s">
        <v>501</v>
      </c>
      <c r="B113" s="310">
        <v>2467636.9500000002</v>
      </c>
      <c r="C113" s="304">
        <v>7397663</v>
      </c>
      <c r="D113" s="327">
        <v>6469996</v>
      </c>
    </row>
    <row r="114" spans="1:4" s="168" customFormat="1" x14ac:dyDescent="0.2">
      <c r="A114" s="167" t="s">
        <v>502</v>
      </c>
      <c r="B114" s="167">
        <v>0</v>
      </c>
      <c r="C114" s="304">
        <v>25820</v>
      </c>
      <c r="D114" s="167"/>
    </row>
    <row r="115" spans="1:4" s="168" customFormat="1" x14ac:dyDescent="0.2">
      <c r="A115" s="167" t="s">
        <v>503</v>
      </c>
      <c r="B115" s="310">
        <v>3600</v>
      </c>
      <c r="C115" s="304">
        <v>185000</v>
      </c>
      <c r="D115" s="167"/>
    </row>
    <row r="116" spans="1:4" s="168" customFormat="1" x14ac:dyDescent="0.2">
      <c r="A116" s="167" t="s">
        <v>504</v>
      </c>
      <c r="B116" s="310">
        <v>394227.62</v>
      </c>
      <c r="C116" s="304">
        <v>569506</v>
      </c>
      <c r="D116" s="327">
        <v>571595</v>
      </c>
    </row>
    <row r="117" spans="1:4" s="168" customFormat="1" x14ac:dyDescent="0.2">
      <c r="A117" s="167" t="s">
        <v>505</v>
      </c>
      <c r="B117" s="310">
        <v>711533.61</v>
      </c>
      <c r="C117" s="304">
        <v>1739709</v>
      </c>
      <c r="D117" s="327">
        <v>1662136</v>
      </c>
    </row>
    <row r="118" spans="1:4" s="168" customFormat="1" x14ac:dyDescent="0.2">
      <c r="A118" s="167" t="s">
        <v>506</v>
      </c>
      <c r="B118" s="310">
        <v>3169799.24</v>
      </c>
      <c r="C118" s="304">
        <v>8228810</v>
      </c>
      <c r="D118" s="327">
        <v>6253522</v>
      </c>
    </row>
    <row r="119" spans="1:4" s="168" customFormat="1" x14ac:dyDescent="0.2">
      <c r="A119" s="167" t="s">
        <v>507</v>
      </c>
      <c r="B119" s="310">
        <v>17486941.399999999</v>
      </c>
      <c r="C119" s="304">
        <v>77045048</v>
      </c>
      <c r="D119" s="327">
        <v>66018530</v>
      </c>
    </row>
    <row r="120" spans="1:4" s="168" customFormat="1" x14ac:dyDescent="0.2">
      <c r="A120" s="167" t="s">
        <v>508</v>
      </c>
      <c r="B120" s="310">
        <v>919810.07</v>
      </c>
      <c r="C120" s="304">
        <v>2525658</v>
      </c>
      <c r="D120" s="327">
        <v>5333160</v>
      </c>
    </row>
    <row r="121" spans="1:4" s="168" customFormat="1" x14ac:dyDescent="0.2">
      <c r="A121" s="167" t="s">
        <v>509</v>
      </c>
      <c r="B121" s="310">
        <v>119927.18</v>
      </c>
      <c r="C121" s="304">
        <v>419337</v>
      </c>
      <c r="D121" s="327">
        <v>272126</v>
      </c>
    </row>
    <row r="122" spans="1:4" s="168" customFormat="1" x14ac:dyDescent="0.2">
      <c r="A122" s="167" t="s">
        <v>513</v>
      </c>
      <c r="B122" s="310">
        <v>0</v>
      </c>
      <c r="C122" s="304">
        <v>0</v>
      </c>
      <c r="D122" s="167">
        <v>0</v>
      </c>
    </row>
    <row r="123" spans="1:4" s="168" customFormat="1" x14ac:dyDescent="0.2">
      <c r="A123" s="167" t="s">
        <v>510</v>
      </c>
      <c r="B123" s="310">
        <v>14917084.68</v>
      </c>
      <c r="C123" s="304">
        <v>29271978</v>
      </c>
      <c r="D123" s="327">
        <v>16875709</v>
      </c>
    </row>
    <row r="124" spans="1:4" s="168" customFormat="1" x14ac:dyDescent="0.2">
      <c r="A124" s="330" t="s">
        <v>514</v>
      </c>
      <c r="B124" s="331">
        <v>0</v>
      </c>
      <c r="C124" s="332">
        <v>0</v>
      </c>
      <c r="D124" s="327">
        <v>132178</v>
      </c>
    </row>
    <row r="125" spans="1:4" s="172" customFormat="1" ht="22.5" customHeight="1" x14ac:dyDescent="0.2">
      <c r="A125" s="173" t="s">
        <v>308</v>
      </c>
      <c r="B125" s="312">
        <f>SUM(B87:B123)</f>
        <v>618697564.70000005</v>
      </c>
      <c r="C125" s="312">
        <f>SUM(C87:C124)</f>
        <v>995808349</v>
      </c>
      <c r="D125" s="312">
        <f>SUM(D87:D124)</f>
        <v>906219688</v>
      </c>
    </row>
    <row r="126" spans="1:4" x14ac:dyDescent="0.2">
      <c r="A126" s="301" t="s">
        <v>374</v>
      </c>
    </row>
    <row r="127" spans="1:4" x14ac:dyDescent="0.2">
      <c r="A127" s="302" t="s">
        <v>375</v>
      </c>
    </row>
  </sheetData>
  <printOptions horizontalCentered="1"/>
  <pageMargins left="0.47244094488188981" right="0.51181102362204722" top="0.74803149606299213" bottom="0.74803149606299213" header="0.31496062992125984" footer="0.31496062992125984"/>
  <pageSetup paperSize="9" scale="75" orientation="portrait" r:id="rId1"/>
  <headerFooter>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tabColor theme="9" tint="-0.249977111117893"/>
  </sheetPr>
  <dimension ref="A1:N50"/>
  <sheetViews>
    <sheetView view="pageLayout" zoomScale="90" zoomScaleNormal="100" zoomScaleSheetLayoutView="70" zoomScalePageLayoutView="90" workbookViewId="0">
      <selection activeCell="A5" sqref="A5:XFD5"/>
    </sheetView>
  </sheetViews>
  <sheetFormatPr baseColWidth="10" defaultColWidth="11.28515625" defaultRowHeight="11.25" x14ac:dyDescent="0.2"/>
  <cols>
    <col min="1" max="1" width="30.7109375" style="138" customWidth="1"/>
    <col min="2" max="2" width="10.140625" style="138" bestFit="1" customWidth="1"/>
    <col min="3" max="3" width="10.5703125" style="138" bestFit="1" customWidth="1"/>
    <col min="4" max="4" width="10.42578125" style="174" bestFit="1" customWidth="1"/>
    <col min="5" max="5" width="3.7109375" style="174" bestFit="1" customWidth="1"/>
    <col min="6" max="6" width="10.140625" style="138" bestFit="1" customWidth="1"/>
    <col min="7" max="7" width="9.85546875" style="138" bestFit="1" customWidth="1"/>
    <col min="8" max="8" width="10.42578125" style="138" bestFit="1" customWidth="1"/>
    <col min="9" max="10" width="6.42578125" style="138" bestFit="1" customWidth="1"/>
    <col min="11" max="11" width="6" style="138" bestFit="1" customWidth="1"/>
    <col min="12" max="12" width="6.42578125" style="138" bestFit="1" customWidth="1"/>
    <col min="13" max="14" width="8.7109375" style="138" customWidth="1"/>
    <col min="15" max="16384" width="11.28515625" style="138"/>
  </cols>
  <sheetData>
    <row r="1" spans="1:14" s="134" customFormat="1" ht="14.25" customHeight="1" x14ac:dyDescent="0.2">
      <c r="A1" s="245" t="s">
        <v>379</v>
      </c>
      <c r="B1" s="246"/>
      <c r="C1" s="246"/>
      <c r="D1" s="246"/>
      <c r="E1" s="246"/>
      <c r="F1" s="246"/>
      <c r="G1" s="246"/>
      <c r="H1" s="246"/>
      <c r="I1" s="246"/>
      <c r="J1" s="246"/>
      <c r="K1" s="246"/>
      <c r="L1" s="246"/>
      <c r="M1" s="246"/>
      <c r="N1" s="246"/>
    </row>
    <row r="2" spans="1:14" s="137" customFormat="1" ht="12" thickBot="1" x14ac:dyDescent="0.25">
      <c r="A2" s="129" t="s">
        <v>962</v>
      </c>
      <c r="B2" s="129"/>
      <c r="C2" s="129"/>
      <c r="D2" s="129"/>
      <c r="E2" s="129"/>
      <c r="F2" s="129"/>
      <c r="G2" s="129"/>
      <c r="H2" s="129"/>
      <c r="I2" s="129"/>
      <c r="J2" s="129"/>
      <c r="K2" s="129"/>
      <c r="L2" s="129"/>
      <c r="M2" s="129"/>
      <c r="N2" s="129"/>
    </row>
    <row r="3" spans="1:14" s="139" customFormat="1" ht="12.75" customHeight="1" thickBot="1" x14ac:dyDescent="0.25">
      <c r="A3" s="519" t="s">
        <v>180</v>
      </c>
      <c r="B3" s="517" t="s">
        <v>213</v>
      </c>
      <c r="C3" s="518"/>
      <c r="D3" s="518"/>
      <c r="E3" s="518"/>
      <c r="F3" s="514" t="s">
        <v>214</v>
      </c>
      <c r="G3" s="515"/>
      <c r="H3" s="516"/>
      <c r="I3" s="514" t="s">
        <v>212</v>
      </c>
      <c r="J3" s="515"/>
      <c r="K3" s="515"/>
      <c r="L3" s="515"/>
      <c r="M3" s="515"/>
      <c r="N3" s="516"/>
    </row>
    <row r="4" spans="1:14" s="153" customFormat="1" ht="60" customHeight="1" thickBot="1" x14ac:dyDescent="0.25">
      <c r="A4" s="520"/>
      <c r="B4" s="247">
        <v>2019</v>
      </c>
      <c r="C4" s="248">
        <v>2020</v>
      </c>
      <c r="D4" s="248" t="s">
        <v>380</v>
      </c>
      <c r="E4" s="250" t="s">
        <v>381</v>
      </c>
      <c r="F4" s="247">
        <v>2019</v>
      </c>
      <c r="G4" s="248">
        <v>2020</v>
      </c>
      <c r="H4" s="248" t="s">
        <v>380</v>
      </c>
      <c r="I4" s="247">
        <v>2019</v>
      </c>
      <c r="J4" s="248" t="s">
        <v>372</v>
      </c>
      <c r="K4" s="248" t="s">
        <v>380</v>
      </c>
      <c r="L4" s="249" t="s">
        <v>382</v>
      </c>
      <c r="M4" s="249" t="s">
        <v>381</v>
      </c>
      <c r="N4" s="250" t="s">
        <v>383</v>
      </c>
    </row>
    <row r="5" spans="1:14" hidden="1" x14ac:dyDescent="0.2">
      <c r="A5" s="251"/>
      <c r="B5" s="252"/>
      <c r="C5" s="253"/>
      <c r="D5" s="253"/>
      <c r="E5" s="254"/>
      <c r="F5" s="252"/>
      <c r="G5" s="253"/>
      <c r="H5" s="255"/>
      <c r="I5" s="252"/>
      <c r="J5" s="253"/>
      <c r="K5" s="255"/>
      <c r="L5" s="254"/>
      <c r="M5" s="254"/>
      <c r="N5" s="255"/>
    </row>
    <row r="6" spans="1:14" ht="22.5" x14ac:dyDescent="0.2">
      <c r="A6" s="256" t="s">
        <v>211</v>
      </c>
      <c r="B6" s="257"/>
      <c r="C6" s="258"/>
      <c r="D6" s="258"/>
      <c r="E6" s="259"/>
      <c r="F6" s="257"/>
      <c r="G6" s="258"/>
      <c r="H6" s="260"/>
      <c r="I6" s="257"/>
      <c r="J6" s="258"/>
      <c r="K6" s="260"/>
      <c r="L6" s="259"/>
      <c r="M6" s="259"/>
      <c r="N6" s="260"/>
    </row>
    <row r="7" spans="1:14" x14ac:dyDescent="0.2">
      <c r="A7" s="261" t="s">
        <v>181</v>
      </c>
      <c r="B7" s="262"/>
      <c r="C7" s="263"/>
      <c r="D7" s="263"/>
      <c r="E7" s="264"/>
      <c r="F7" s="262"/>
      <c r="G7" s="263"/>
      <c r="H7" s="265"/>
      <c r="I7" s="262"/>
      <c r="J7" s="263"/>
      <c r="K7" s="265"/>
      <c r="L7" s="264"/>
      <c r="M7" s="264"/>
      <c r="N7" s="265"/>
    </row>
    <row r="8" spans="1:14" s="139" customFormat="1" x14ac:dyDescent="0.2">
      <c r="A8" s="266"/>
      <c r="B8" s="262"/>
      <c r="C8" s="263"/>
      <c r="D8" s="263"/>
      <c r="E8" s="264"/>
      <c r="F8" s="262"/>
      <c r="G8" s="263"/>
      <c r="H8" s="265"/>
      <c r="I8" s="262"/>
      <c r="J8" s="263"/>
      <c r="K8" s="265"/>
      <c r="L8" s="264"/>
      <c r="M8" s="264"/>
      <c r="N8" s="265"/>
    </row>
    <row r="9" spans="1:14" x14ac:dyDescent="0.2">
      <c r="A9" s="256" t="s">
        <v>186</v>
      </c>
      <c r="B9" s="262"/>
      <c r="C9" s="263"/>
      <c r="D9" s="263"/>
      <c r="E9" s="264"/>
      <c r="F9" s="262"/>
      <c r="G9" s="263"/>
      <c r="H9" s="265"/>
      <c r="I9" s="262"/>
      <c r="J9" s="263"/>
      <c r="K9" s="265"/>
      <c r="L9" s="264"/>
      <c r="M9" s="264"/>
      <c r="N9" s="265"/>
    </row>
    <row r="10" spans="1:14" x14ac:dyDescent="0.2">
      <c r="A10" s="267" t="s">
        <v>182</v>
      </c>
      <c r="B10" s="382">
        <v>1858870</v>
      </c>
      <c r="C10" s="383">
        <v>5191544</v>
      </c>
      <c r="D10" s="383">
        <f>B10-C10</f>
        <v>-3332674</v>
      </c>
      <c r="E10" s="384"/>
      <c r="F10" s="382">
        <v>6455123</v>
      </c>
      <c r="G10" s="383">
        <v>5272940</v>
      </c>
      <c r="H10" s="385">
        <f>F10-G10</f>
        <v>1182183</v>
      </c>
      <c r="I10" s="382">
        <v>2200</v>
      </c>
      <c r="J10" s="383">
        <v>2200</v>
      </c>
      <c r="K10" s="385">
        <v>0</v>
      </c>
      <c r="L10" s="384">
        <v>2200</v>
      </c>
      <c r="M10" s="384">
        <v>2500</v>
      </c>
      <c r="N10" s="385">
        <v>-300</v>
      </c>
    </row>
    <row r="11" spans="1:14" x14ac:dyDescent="0.2">
      <c r="A11" s="267" t="s">
        <v>183</v>
      </c>
      <c r="B11" s="386">
        <v>22134505</v>
      </c>
      <c r="C11" s="387">
        <v>48770696</v>
      </c>
      <c r="D11" s="387">
        <f>B11-C11</f>
        <v>-26636191</v>
      </c>
      <c r="E11" s="388"/>
      <c r="F11" s="386">
        <v>69761551</v>
      </c>
      <c r="G11" s="387">
        <v>49497672</v>
      </c>
      <c r="H11" s="389">
        <f>F11-G11</f>
        <v>20263879</v>
      </c>
      <c r="I11" s="386"/>
      <c r="J11" s="387"/>
      <c r="K11" s="389"/>
      <c r="L11" s="388"/>
      <c r="M11" s="388"/>
      <c r="N11" s="389"/>
    </row>
    <row r="12" spans="1:14" x14ac:dyDescent="0.2">
      <c r="A12" s="267" t="s">
        <v>184</v>
      </c>
      <c r="B12" s="386"/>
      <c r="C12" s="387"/>
      <c r="D12" s="387"/>
      <c r="E12" s="388"/>
      <c r="F12" s="386"/>
      <c r="G12" s="387"/>
      <c r="H12" s="389"/>
      <c r="I12" s="386">
        <v>10</v>
      </c>
      <c r="J12" s="387">
        <v>9</v>
      </c>
      <c r="K12" s="389">
        <v>1</v>
      </c>
      <c r="L12" s="388">
        <v>8</v>
      </c>
      <c r="M12" s="388">
        <v>8</v>
      </c>
      <c r="N12" s="389">
        <f>L12-M12</f>
        <v>0</v>
      </c>
    </row>
    <row r="13" spans="1:14" x14ac:dyDescent="0.2">
      <c r="A13" s="267" t="s">
        <v>185</v>
      </c>
      <c r="B13" s="386"/>
      <c r="C13" s="387"/>
      <c r="D13" s="387"/>
      <c r="E13" s="388"/>
      <c r="F13" s="386"/>
      <c r="G13" s="387"/>
      <c r="H13" s="389"/>
      <c r="I13" s="386">
        <v>199</v>
      </c>
      <c r="J13" s="387">
        <v>196</v>
      </c>
      <c r="K13" s="389">
        <f>I13-J13</f>
        <v>3</v>
      </c>
      <c r="L13" s="388">
        <v>190</v>
      </c>
      <c r="M13" s="388">
        <v>180</v>
      </c>
      <c r="N13" s="389">
        <f>L13-M13</f>
        <v>10</v>
      </c>
    </row>
    <row r="14" spans="1:14" x14ac:dyDescent="0.2">
      <c r="A14" s="267"/>
      <c r="B14" s="390"/>
      <c r="C14" s="391"/>
      <c r="D14" s="391"/>
      <c r="E14" s="392"/>
      <c r="F14" s="390"/>
      <c r="G14" s="391"/>
      <c r="H14" s="393"/>
      <c r="I14" s="390"/>
      <c r="J14" s="391"/>
      <c r="K14" s="393"/>
      <c r="L14" s="392"/>
      <c r="M14" s="392"/>
      <c r="N14" s="393"/>
    </row>
    <row r="15" spans="1:14" x14ac:dyDescent="0.2">
      <c r="A15" s="256" t="s">
        <v>205</v>
      </c>
      <c r="B15" s="386"/>
      <c r="C15" s="387"/>
      <c r="D15" s="387"/>
      <c r="E15" s="388"/>
      <c r="F15" s="386"/>
      <c r="G15" s="387"/>
      <c r="H15" s="389"/>
      <c r="I15" s="386"/>
      <c r="J15" s="387"/>
      <c r="K15" s="389"/>
      <c r="L15" s="388"/>
      <c r="M15" s="388"/>
      <c r="N15" s="389"/>
    </row>
    <row r="16" spans="1:14" x14ac:dyDescent="0.2">
      <c r="A16" s="267" t="s">
        <v>187</v>
      </c>
      <c r="B16" s="382">
        <v>35493566</v>
      </c>
      <c r="C16" s="383">
        <v>73065967</v>
      </c>
      <c r="D16" s="383">
        <f>B16-C16</f>
        <v>-37572401</v>
      </c>
      <c r="E16" s="384"/>
      <c r="F16" s="382">
        <v>98554935</v>
      </c>
      <c r="G16" s="383">
        <v>83083660</v>
      </c>
      <c r="H16" s="383">
        <f>F16-G16</f>
        <v>15471275</v>
      </c>
      <c r="I16" s="394">
        <v>75009</v>
      </c>
      <c r="J16" s="395">
        <v>92464</v>
      </c>
      <c r="K16" s="385">
        <f>J16-I16</f>
        <v>17455</v>
      </c>
      <c r="L16" s="384"/>
      <c r="M16" s="384">
        <f>J16*5/100+J16</f>
        <v>97087.2</v>
      </c>
      <c r="N16" s="385">
        <f>M16-J16</f>
        <v>4623.1999999999971</v>
      </c>
    </row>
    <row r="17" spans="1:14" x14ac:dyDescent="0.2">
      <c r="A17" s="267" t="s">
        <v>188</v>
      </c>
      <c r="B17" s="386"/>
      <c r="C17" s="387"/>
      <c r="D17" s="387"/>
      <c r="E17" s="388"/>
      <c r="F17" s="386"/>
      <c r="G17" s="387"/>
      <c r="H17" s="389"/>
      <c r="I17" s="386"/>
      <c r="J17" s="387"/>
      <c r="K17" s="389"/>
      <c r="L17" s="388"/>
      <c r="M17" s="388"/>
      <c r="N17" s="389"/>
    </row>
    <row r="18" spans="1:14" x14ac:dyDescent="0.2">
      <c r="A18" s="267" t="s">
        <v>189</v>
      </c>
      <c r="B18" s="386"/>
      <c r="C18" s="387"/>
      <c r="D18" s="387"/>
      <c r="E18" s="388"/>
      <c r="F18" s="386"/>
      <c r="G18" s="387"/>
      <c r="H18" s="389"/>
      <c r="I18" s="386"/>
      <c r="J18" s="387"/>
      <c r="K18" s="389"/>
      <c r="L18" s="388"/>
      <c r="M18" s="388"/>
      <c r="N18" s="389"/>
    </row>
    <row r="19" spans="1:14" x14ac:dyDescent="0.2">
      <c r="A19" s="267" t="s">
        <v>190</v>
      </c>
      <c r="B19" s="386"/>
      <c r="C19" s="387"/>
      <c r="D19" s="387"/>
      <c r="E19" s="388"/>
      <c r="F19" s="386"/>
      <c r="G19" s="387"/>
      <c r="H19" s="389"/>
      <c r="I19" s="386"/>
      <c r="J19" s="387"/>
      <c r="K19" s="389"/>
      <c r="L19" s="388"/>
      <c r="M19" s="388"/>
      <c r="N19" s="389"/>
    </row>
    <row r="20" spans="1:14" ht="22.5" x14ac:dyDescent="0.2">
      <c r="A20" s="267" t="s">
        <v>191</v>
      </c>
      <c r="B20" s="386"/>
      <c r="C20" s="387"/>
      <c r="D20" s="387"/>
      <c r="E20" s="388"/>
      <c r="F20" s="386"/>
      <c r="G20" s="387"/>
      <c r="H20" s="389"/>
      <c r="I20" s="386"/>
      <c r="J20" s="387"/>
      <c r="K20" s="389"/>
      <c r="L20" s="388"/>
      <c r="M20" s="388"/>
      <c r="N20" s="389"/>
    </row>
    <row r="21" spans="1:14" x14ac:dyDescent="0.2">
      <c r="A21" s="268"/>
      <c r="B21" s="386"/>
      <c r="C21" s="387"/>
      <c r="D21" s="387"/>
      <c r="E21" s="388"/>
      <c r="F21" s="386"/>
      <c r="G21" s="387"/>
      <c r="H21" s="389"/>
      <c r="I21" s="386"/>
      <c r="J21" s="387"/>
      <c r="K21" s="389"/>
      <c r="L21" s="388"/>
      <c r="M21" s="388"/>
      <c r="N21" s="389"/>
    </row>
    <row r="22" spans="1:14" x14ac:dyDescent="0.2">
      <c r="A22" s="269" t="s">
        <v>206</v>
      </c>
      <c r="B22" s="386"/>
      <c r="C22" s="387"/>
      <c r="D22" s="387"/>
      <c r="E22" s="388"/>
      <c r="F22" s="386"/>
      <c r="G22" s="387"/>
      <c r="H22" s="389"/>
      <c r="I22" s="386"/>
      <c r="J22" s="387"/>
      <c r="K22" s="389"/>
      <c r="L22" s="388"/>
      <c r="M22" s="388"/>
      <c r="N22" s="389"/>
    </row>
    <row r="23" spans="1:14" x14ac:dyDescent="0.2">
      <c r="A23" s="267" t="s">
        <v>192</v>
      </c>
      <c r="B23" s="386"/>
      <c r="C23" s="387"/>
      <c r="D23" s="387"/>
      <c r="E23" s="388"/>
      <c r="F23" s="386"/>
      <c r="G23" s="387"/>
      <c r="H23" s="389"/>
      <c r="I23" s="386"/>
      <c r="J23" s="387"/>
      <c r="K23" s="389"/>
      <c r="L23" s="388"/>
      <c r="M23" s="388"/>
      <c r="N23" s="389"/>
    </row>
    <row r="24" spans="1:14" x14ac:dyDescent="0.2">
      <c r="A24" s="267" t="s">
        <v>193</v>
      </c>
      <c r="B24" s="386">
        <v>81801164</v>
      </c>
      <c r="C24" s="387">
        <v>85199703</v>
      </c>
      <c r="D24" s="387">
        <f>+B24-C24</f>
        <v>-3398539</v>
      </c>
      <c r="E24" s="388"/>
      <c r="F24" s="386">
        <v>92690218</v>
      </c>
      <c r="G24" s="387">
        <v>98398169</v>
      </c>
      <c r="H24" s="387">
        <f>+F24-G24</f>
        <v>-5707951</v>
      </c>
      <c r="I24" s="386">
        <v>39018</v>
      </c>
      <c r="J24" s="387">
        <v>40968.9</v>
      </c>
      <c r="K24" s="389">
        <v>1950.9000000000015</v>
      </c>
      <c r="L24" s="388">
        <v>40968.9</v>
      </c>
      <c r="M24" s="388">
        <v>43017.345000000001</v>
      </c>
      <c r="N24" s="389">
        <v>2048.4449999999997</v>
      </c>
    </row>
    <row r="25" spans="1:14" x14ac:dyDescent="0.2">
      <c r="A25" s="267" t="s">
        <v>194</v>
      </c>
      <c r="B25" s="386"/>
      <c r="C25" s="387"/>
      <c r="D25" s="387"/>
      <c r="E25" s="388"/>
      <c r="F25" s="386"/>
      <c r="G25" s="387"/>
      <c r="H25" s="389"/>
      <c r="I25" s="396">
        <v>0.86</v>
      </c>
      <c r="J25" s="396">
        <v>0.87</v>
      </c>
      <c r="K25" s="389">
        <v>1.0000000000000009E-2</v>
      </c>
      <c r="L25" s="396">
        <v>0.87</v>
      </c>
      <c r="M25" s="396">
        <v>0.88</v>
      </c>
      <c r="N25" s="389">
        <v>1.0000000000000009E-2</v>
      </c>
    </row>
    <row r="26" spans="1:14" x14ac:dyDescent="0.2">
      <c r="A26" s="267"/>
      <c r="B26" s="386"/>
      <c r="C26" s="387"/>
      <c r="D26" s="387"/>
      <c r="E26" s="388"/>
      <c r="F26" s="386"/>
      <c r="G26" s="387"/>
      <c r="H26" s="389"/>
      <c r="I26" s="386"/>
      <c r="J26" s="387"/>
      <c r="K26" s="389"/>
      <c r="L26" s="388"/>
      <c r="M26" s="388"/>
      <c r="N26" s="389"/>
    </row>
    <row r="27" spans="1:14" x14ac:dyDescent="0.2">
      <c r="A27" s="269" t="s">
        <v>207</v>
      </c>
      <c r="B27" s="386"/>
      <c r="C27" s="387"/>
      <c r="D27" s="387"/>
      <c r="E27" s="388"/>
      <c r="F27" s="386"/>
      <c r="G27" s="387"/>
      <c r="H27" s="389"/>
      <c r="I27" s="386"/>
      <c r="J27" s="387"/>
      <c r="K27" s="389"/>
      <c r="L27" s="388"/>
      <c r="M27" s="388"/>
      <c r="N27" s="389"/>
    </row>
    <row r="28" spans="1:14" x14ac:dyDescent="0.2">
      <c r="A28" s="267" t="s">
        <v>195</v>
      </c>
      <c r="B28" s="386"/>
      <c r="C28" s="387"/>
      <c r="D28" s="387"/>
      <c r="E28" s="388"/>
      <c r="F28" s="386"/>
      <c r="G28" s="387"/>
      <c r="H28" s="389"/>
      <c r="I28" s="386"/>
      <c r="J28" s="387"/>
      <c r="K28" s="389"/>
      <c r="L28" s="388"/>
      <c r="M28" s="388"/>
      <c r="N28" s="389"/>
    </row>
    <row r="29" spans="1:14" x14ac:dyDescent="0.2">
      <c r="A29" s="267" t="s">
        <v>193</v>
      </c>
      <c r="B29" s="386">
        <v>204179246</v>
      </c>
      <c r="C29" s="387">
        <v>230843489</v>
      </c>
      <c r="D29" s="387">
        <f>+B29-C29</f>
        <v>-26664243</v>
      </c>
      <c r="E29" s="388"/>
      <c r="F29" s="386">
        <v>243310019</v>
      </c>
      <c r="G29" s="387">
        <v>262077119</v>
      </c>
      <c r="H29" s="387">
        <f>+F29-G29</f>
        <v>-18767100</v>
      </c>
      <c r="I29" s="386">
        <v>88850</v>
      </c>
      <c r="J29" s="387">
        <v>93292.5</v>
      </c>
      <c r="K29" s="389">
        <v>4442.5</v>
      </c>
      <c r="L29" s="388">
        <v>93292.5</v>
      </c>
      <c r="M29" s="388">
        <v>97957.125</v>
      </c>
      <c r="N29" s="389">
        <v>4664.625</v>
      </c>
    </row>
    <row r="30" spans="1:14" x14ac:dyDescent="0.2">
      <c r="A30" s="267"/>
      <c r="B30" s="386"/>
      <c r="C30" s="387"/>
      <c r="D30" s="387"/>
      <c r="E30" s="388"/>
      <c r="F30" s="386"/>
      <c r="G30" s="387"/>
      <c r="H30" s="397"/>
      <c r="I30" s="398">
        <v>12.7</v>
      </c>
      <c r="J30" s="399">
        <v>13.334999999999999</v>
      </c>
      <c r="K30" s="389">
        <v>0.63499999999999979</v>
      </c>
      <c r="L30" s="400">
        <v>13.334999999999999</v>
      </c>
      <c r="M30" s="400">
        <v>22.669499999999999</v>
      </c>
      <c r="N30" s="401">
        <v>9.3345000000000002</v>
      </c>
    </row>
    <row r="31" spans="1:14" x14ac:dyDescent="0.2">
      <c r="A31" s="269" t="s">
        <v>208</v>
      </c>
      <c r="B31" s="386"/>
      <c r="C31" s="387"/>
      <c r="D31" s="387"/>
      <c r="E31" s="388"/>
      <c r="F31" s="386"/>
      <c r="G31" s="387"/>
      <c r="H31" s="397"/>
      <c r="I31" s="398">
        <v>26.7</v>
      </c>
      <c r="J31" s="399">
        <v>28.035</v>
      </c>
      <c r="K31" s="389">
        <v>1.3350000000000009</v>
      </c>
      <c r="L31" s="400">
        <v>28.035</v>
      </c>
      <c r="M31" s="400">
        <v>47.659499999999994</v>
      </c>
      <c r="N31" s="401">
        <v>19.624499999999994</v>
      </c>
    </row>
    <row r="32" spans="1:14" x14ac:dyDescent="0.2">
      <c r="A32" s="267" t="s">
        <v>196</v>
      </c>
      <c r="B32" s="386"/>
      <c r="C32" s="387"/>
      <c r="D32" s="387"/>
      <c r="E32" s="388"/>
      <c r="F32" s="386"/>
      <c r="G32" s="387"/>
      <c r="H32" s="389"/>
      <c r="I32" s="386"/>
      <c r="J32" s="387"/>
      <c r="K32" s="389"/>
      <c r="L32" s="388"/>
      <c r="M32" s="388"/>
      <c r="N32" s="389"/>
    </row>
    <row r="33" spans="1:14" x14ac:dyDescent="0.2">
      <c r="A33" s="267" t="s">
        <v>194</v>
      </c>
      <c r="B33" s="386"/>
      <c r="C33" s="387"/>
      <c r="D33" s="387"/>
      <c r="E33" s="388"/>
      <c r="F33" s="386"/>
      <c r="G33" s="387"/>
      <c r="H33" s="389"/>
      <c r="I33" s="386"/>
      <c r="J33" s="387"/>
      <c r="K33" s="389"/>
      <c r="L33" s="388"/>
      <c r="M33" s="388"/>
      <c r="N33" s="389"/>
    </row>
    <row r="34" spans="1:14" x14ac:dyDescent="0.2">
      <c r="A34" s="267" t="s">
        <v>197</v>
      </c>
      <c r="B34" s="386"/>
      <c r="C34" s="387"/>
      <c r="D34" s="387"/>
      <c r="E34" s="388"/>
      <c r="F34" s="386"/>
      <c r="G34" s="387"/>
      <c r="H34" s="389"/>
      <c r="I34" s="386"/>
      <c r="J34" s="387"/>
      <c r="K34" s="389"/>
      <c r="L34" s="388"/>
      <c r="M34" s="388"/>
      <c r="N34" s="389"/>
    </row>
    <row r="35" spans="1:14" x14ac:dyDescent="0.2">
      <c r="A35" s="267" t="s">
        <v>198</v>
      </c>
      <c r="B35" s="386"/>
      <c r="C35" s="387"/>
      <c r="D35" s="387"/>
      <c r="E35" s="388"/>
      <c r="F35" s="386"/>
      <c r="G35" s="387"/>
      <c r="H35" s="389"/>
      <c r="I35" s="386"/>
      <c r="J35" s="387"/>
      <c r="K35" s="389"/>
      <c r="L35" s="388"/>
      <c r="M35" s="388"/>
      <c r="N35" s="389"/>
    </row>
    <row r="36" spans="1:14" x14ac:dyDescent="0.2">
      <c r="A36" s="267"/>
      <c r="B36" s="386">
        <v>161911458</v>
      </c>
      <c r="C36" s="387">
        <v>177939011</v>
      </c>
      <c r="D36" s="387">
        <f>+B36-C36</f>
        <v>-16027553</v>
      </c>
      <c r="E36" s="388"/>
      <c r="F36" s="386">
        <v>193674764</v>
      </c>
      <c r="G36" s="387">
        <v>218471053</v>
      </c>
      <c r="H36" s="387">
        <f>+F36-G36</f>
        <v>-24796289</v>
      </c>
      <c r="I36" s="386">
        <v>65626</v>
      </c>
      <c r="J36" s="387">
        <v>68907.3</v>
      </c>
      <c r="K36" s="389">
        <v>3281.3000000000029</v>
      </c>
      <c r="L36" s="388">
        <v>68907.3</v>
      </c>
      <c r="M36" s="388">
        <v>72352.665000000008</v>
      </c>
      <c r="N36" s="389">
        <v>3445.3650000000052</v>
      </c>
    </row>
    <row r="37" spans="1:14" x14ac:dyDescent="0.2">
      <c r="A37" s="269" t="s">
        <v>209</v>
      </c>
      <c r="B37" s="386"/>
      <c r="C37" s="387"/>
      <c r="D37" s="387"/>
      <c r="E37" s="388"/>
      <c r="F37" s="386"/>
      <c r="G37" s="387"/>
      <c r="H37" s="397"/>
      <c r="I37" s="398">
        <v>8.4</v>
      </c>
      <c r="J37" s="399">
        <v>8.82</v>
      </c>
      <c r="K37" s="389">
        <v>0.41999999999999993</v>
      </c>
      <c r="L37" s="400">
        <v>8.82</v>
      </c>
      <c r="M37" s="400">
        <v>14.994</v>
      </c>
      <c r="N37" s="401">
        <v>6.1739999999999995</v>
      </c>
    </row>
    <row r="38" spans="1:14" x14ac:dyDescent="0.2">
      <c r="A38" s="267" t="s">
        <v>199</v>
      </c>
      <c r="B38" s="386"/>
      <c r="C38" s="387"/>
      <c r="D38" s="387"/>
      <c r="E38" s="388"/>
      <c r="F38" s="386"/>
      <c r="G38" s="387"/>
      <c r="H38" s="397"/>
      <c r="I38" s="398">
        <v>6.4</v>
      </c>
      <c r="J38" s="399">
        <v>6.7200000000000006</v>
      </c>
      <c r="K38" s="389">
        <v>0.32000000000000028</v>
      </c>
      <c r="L38" s="400">
        <v>6.7200000000000006</v>
      </c>
      <c r="M38" s="400">
        <v>11.423999999999999</v>
      </c>
      <c r="N38" s="401">
        <v>4.7039999999999988</v>
      </c>
    </row>
    <row r="39" spans="1:14" x14ac:dyDescent="0.2">
      <c r="A39" s="267" t="s">
        <v>200</v>
      </c>
      <c r="B39" s="262"/>
      <c r="C39" s="263"/>
      <c r="D39" s="263"/>
      <c r="E39" s="264"/>
      <c r="F39" s="262"/>
      <c r="G39" s="263"/>
      <c r="H39" s="265"/>
      <c r="I39" s="262"/>
      <c r="J39" s="263"/>
      <c r="K39" s="265"/>
      <c r="L39" s="264"/>
      <c r="M39" s="264"/>
      <c r="N39" s="265"/>
    </row>
    <row r="40" spans="1:14" ht="22.5" x14ac:dyDescent="0.2">
      <c r="A40" s="267" t="s">
        <v>201</v>
      </c>
      <c r="B40" s="262"/>
      <c r="C40" s="263"/>
      <c r="D40" s="263"/>
      <c r="E40" s="264"/>
      <c r="F40" s="262"/>
      <c r="G40" s="263"/>
      <c r="H40" s="265"/>
      <c r="I40" s="262"/>
      <c r="J40" s="263"/>
      <c r="K40" s="265"/>
      <c r="L40" s="264"/>
      <c r="M40" s="264"/>
      <c r="N40" s="265"/>
    </row>
    <row r="41" spans="1:14" ht="22.5" x14ac:dyDescent="0.2">
      <c r="A41" s="267" t="s">
        <v>202</v>
      </c>
      <c r="B41" s="262"/>
      <c r="C41" s="263"/>
      <c r="D41" s="263"/>
      <c r="E41" s="264"/>
      <c r="F41" s="262"/>
      <c r="G41" s="263"/>
      <c r="H41" s="265"/>
      <c r="I41" s="262"/>
      <c r="J41" s="263"/>
      <c r="K41" s="265"/>
      <c r="L41" s="264"/>
      <c r="M41" s="264"/>
      <c r="N41" s="265"/>
    </row>
    <row r="42" spans="1:14" x14ac:dyDescent="0.2">
      <c r="A42" s="267"/>
      <c r="B42" s="262"/>
      <c r="C42" s="263"/>
      <c r="D42" s="263"/>
      <c r="E42" s="264"/>
      <c r="F42" s="262"/>
      <c r="G42" s="263"/>
      <c r="H42" s="265"/>
      <c r="I42" s="262"/>
      <c r="J42" s="263"/>
      <c r="K42" s="265"/>
      <c r="L42" s="264"/>
      <c r="M42" s="264"/>
      <c r="N42" s="265"/>
    </row>
    <row r="43" spans="1:14" x14ac:dyDescent="0.2">
      <c r="A43" s="269" t="s">
        <v>210</v>
      </c>
      <c r="B43" s="262"/>
      <c r="C43" s="263"/>
      <c r="D43" s="263"/>
      <c r="E43" s="264"/>
      <c r="F43" s="262"/>
      <c r="G43" s="263"/>
      <c r="H43" s="265"/>
      <c r="I43" s="262"/>
      <c r="J43" s="263"/>
      <c r="K43" s="265"/>
      <c r="L43" s="264"/>
      <c r="M43" s="264"/>
      <c r="N43" s="265"/>
    </row>
    <row r="44" spans="1:14" x14ac:dyDescent="0.2">
      <c r="A44" s="267" t="s">
        <v>203</v>
      </c>
      <c r="B44" s="262"/>
      <c r="C44" s="263"/>
      <c r="D44" s="263"/>
      <c r="E44" s="264"/>
      <c r="F44" s="262"/>
      <c r="G44" s="263"/>
      <c r="H44" s="265"/>
      <c r="I44" s="262"/>
      <c r="J44" s="263"/>
      <c r="K44" s="265"/>
      <c r="L44" s="264"/>
      <c r="M44" s="264"/>
      <c r="N44" s="265"/>
    </row>
    <row r="45" spans="1:14" s="139" customFormat="1" ht="22.5" x14ac:dyDescent="0.2">
      <c r="A45" s="267" t="s">
        <v>204</v>
      </c>
      <c r="B45" s="262"/>
      <c r="C45" s="263"/>
      <c r="D45" s="263"/>
      <c r="E45" s="264"/>
      <c r="F45" s="262"/>
      <c r="G45" s="263"/>
      <c r="H45" s="265"/>
      <c r="I45" s="262"/>
      <c r="J45" s="263"/>
      <c r="K45" s="265"/>
      <c r="L45" s="264"/>
      <c r="M45" s="264"/>
      <c r="N45" s="265"/>
    </row>
    <row r="46" spans="1:14" ht="12" thickBot="1" x14ac:dyDescent="0.25">
      <c r="A46" s="270"/>
      <c r="B46" s="262"/>
      <c r="C46" s="263"/>
      <c r="D46" s="263"/>
      <c r="E46" s="264"/>
      <c r="F46" s="262"/>
      <c r="G46" s="263"/>
      <c r="H46" s="265"/>
      <c r="I46" s="262"/>
      <c r="J46" s="263"/>
      <c r="K46" s="265"/>
      <c r="L46" s="264"/>
      <c r="M46" s="264"/>
      <c r="N46" s="265"/>
    </row>
    <row r="47" spans="1:14" s="137" customFormat="1" ht="12" thickBot="1" x14ac:dyDescent="0.25">
      <c r="A47" s="271" t="s">
        <v>0</v>
      </c>
      <c r="B47" s="272"/>
      <c r="C47" s="273"/>
      <c r="D47" s="283"/>
      <c r="E47" s="275"/>
      <c r="F47" s="272"/>
      <c r="G47" s="274"/>
      <c r="H47" s="275"/>
      <c r="I47" s="272"/>
      <c r="J47" s="273"/>
      <c r="K47" s="281"/>
      <c r="L47" s="274"/>
      <c r="M47" s="274"/>
      <c r="N47" s="275"/>
    </row>
    <row r="48" spans="1:14" s="137" customFormat="1" ht="12.75" thickTop="1" thickBot="1" x14ac:dyDescent="0.25">
      <c r="A48" s="276" t="s">
        <v>19</v>
      </c>
      <c r="B48" s="277"/>
      <c r="C48" s="278"/>
      <c r="D48" s="284"/>
      <c r="E48" s="280"/>
      <c r="F48" s="277"/>
      <c r="G48" s="279"/>
      <c r="H48" s="280"/>
      <c r="I48" s="277"/>
      <c r="J48" s="278"/>
      <c r="K48" s="282"/>
      <c r="L48" s="279"/>
      <c r="M48" s="279"/>
      <c r="N48" s="280"/>
    </row>
    <row r="49" spans="1:14" x14ac:dyDescent="0.2">
      <c r="A49" s="63" t="s">
        <v>384</v>
      </c>
      <c r="B49" s="63"/>
      <c r="C49" s="63"/>
      <c r="D49" s="63"/>
      <c r="E49" s="63"/>
      <c r="F49" s="63"/>
      <c r="G49" s="63"/>
      <c r="H49" s="63"/>
      <c r="I49" s="63"/>
      <c r="J49" s="63"/>
      <c r="K49" s="63"/>
      <c r="L49" s="63"/>
      <c r="M49" s="63"/>
      <c r="N49" s="63"/>
    </row>
    <row r="50" spans="1:14" x14ac:dyDescent="0.2">
      <c r="A50" s="63" t="s">
        <v>385</v>
      </c>
      <c r="B50" s="63"/>
      <c r="C50" s="63"/>
      <c r="D50" s="63"/>
      <c r="E50" s="63"/>
      <c r="F50" s="63"/>
      <c r="G50" s="63"/>
      <c r="H50" s="63"/>
      <c r="I50" s="63"/>
      <c r="J50" s="63"/>
      <c r="K50" s="63"/>
      <c r="L50" s="63"/>
      <c r="M50" s="63"/>
      <c r="N50" s="63"/>
    </row>
  </sheetData>
  <mergeCells count="4">
    <mergeCell ref="I3:N3"/>
    <mergeCell ref="B3:E3"/>
    <mergeCell ref="F3:H3"/>
    <mergeCell ref="A3:A4"/>
  </mergeCells>
  <printOptions horizontalCentered="1"/>
  <pageMargins left="0.23622047244094491" right="0.23622047244094491" top="0.74803149606299213" bottom="0.74803149606299213" header="0.31496062992125984" footer="0.31496062992125984"/>
  <pageSetup paperSize="9" scale="74" orientation="landscape" r:id="rId1"/>
  <headerFooter alignWithMargins="0">
    <oddHeader>&amp;C&amp;"Arial,Negrita"&amp;18PROYECTO DE PRESUPUESTO 2021</oddHeader>
    <oddFooter>&amp;L&amp;"Arial,Negrita"&amp;8PROYECTO DE PRESUPUESTO PARA EL AÑO FISCAL 2021
INFORMACIÓN PARA LA COMISIÓN DE PRESUPUESTO Y CUENTA GENERAL DE LA REPÚBLICA DEL CONGRESO DE LA REPÚBLICA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tabColor theme="9" tint="-0.249977111117893"/>
  </sheetPr>
  <dimension ref="A1:V25"/>
  <sheetViews>
    <sheetView view="pageLayout" zoomScaleNormal="100" zoomScaleSheetLayoutView="90" workbookViewId="0">
      <selection activeCell="A2" sqref="A2"/>
    </sheetView>
  </sheetViews>
  <sheetFormatPr baseColWidth="10" defaultColWidth="11.28515625" defaultRowHeight="11.25" x14ac:dyDescent="0.2"/>
  <cols>
    <col min="1" max="1" width="24.140625" style="138" customWidth="1"/>
    <col min="2" max="2" width="5.5703125" style="138" customWidth="1"/>
    <col min="3" max="3" width="9.5703125" style="138" bestFit="1" customWidth="1"/>
    <col min="4" max="4" width="8.7109375" style="138" bestFit="1" customWidth="1"/>
    <col min="5" max="5" width="9.5703125" style="138" bestFit="1" customWidth="1"/>
    <col min="6" max="6" width="5" style="138" customWidth="1"/>
    <col min="7" max="7" width="7.85546875" style="138" bestFit="1" customWidth="1"/>
    <col min="8" max="8" width="9.5703125" style="138" bestFit="1" customWidth="1"/>
    <col min="9" max="9" width="4.42578125" style="138" customWidth="1"/>
    <col min="10" max="10" width="3.28515625" style="138" bestFit="1" customWidth="1"/>
    <col min="11" max="11" width="9.5703125" style="138" bestFit="1" customWidth="1"/>
    <col min="12" max="12" width="7" style="138" customWidth="1"/>
    <col min="13" max="13" width="9.5703125" style="138" bestFit="1" customWidth="1"/>
    <col min="14" max="14" width="3.28515625" style="138" bestFit="1" customWidth="1"/>
    <col min="15" max="15" width="5.28515625" style="138" bestFit="1" customWidth="1"/>
    <col min="16" max="16" width="10.85546875" style="138" bestFit="1" customWidth="1"/>
    <col min="17" max="17" width="7" style="138" customWidth="1"/>
    <col min="18" max="16384" width="11.28515625" style="138"/>
  </cols>
  <sheetData>
    <row r="1" spans="1:22" s="137" customFormat="1" x14ac:dyDescent="0.2">
      <c r="A1" s="135" t="s">
        <v>386</v>
      </c>
      <c r="B1" s="140"/>
      <c r="C1" s="140"/>
      <c r="D1" s="140"/>
      <c r="E1" s="140"/>
    </row>
    <row r="2" spans="1:22" s="137" customFormat="1" ht="12" thickBot="1" x14ac:dyDescent="0.25">
      <c r="A2" s="129" t="s">
        <v>962</v>
      </c>
      <c r="B2" s="136"/>
      <c r="C2" s="136"/>
      <c r="D2" s="136"/>
      <c r="E2" s="136"/>
      <c r="F2" s="136"/>
      <c r="G2" s="136"/>
      <c r="H2" s="136"/>
      <c r="I2" s="136"/>
      <c r="J2" s="136"/>
      <c r="K2" s="136"/>
      <c r="L2" s="136"/>
      <c r="M2" s="136"/>
      <c r="N2" s="136"/>
      <c r="O2" s="136"/>
      <c r="P2" s="136"/>
      <c r="Q2" s="136"/>
      <c r="R2" s="136"/>
      <c r="S2" s="136"/>
      <c r="T2" s="136"/>
      <c r="U2" s="136"/>
      <c r="V2" s="136"/>
    </row>
    <row r="3" spans="1:22" ht="12" thickBot="1" x14ac:dyDescent="0.25">
      <c r="A3" s="525" t="s">
        <v>1</v>
      </c>
      <c r="B3" s="523" t="s">
        <v>387</v>
      </c>
      <c r="C3" s="524"/>
      <c r="D3" s="524"/>
      <c r="E3" s="524"/>
      <c r="F3" s="524"/>
      <c r="G3" s="524"/>
      <c r="H3" s="522"/>
      <c r="I3" s="521" t="s">
        <v>388</v>
      </c>
      <c r="J3" s="524"/>
      <c r="K3" s="524"/>
      <c r="L3" s="524"/>
      <c r="M3" s="522"/>
      <c r="N3" s="521" t="s">
        <v>389</v>
      </c>
      <c r="O3" s="522"/>
      <c r="P3" s="521" t="s">
        <v>0</v>
      </c>
      <c r="Q3" s="522"/>
    </row>
    <row r="4" spans="1:22" s="155" customFormat="1" ht="80.25" customHeight="1" thickBot="1" x14ac:dyDescent="0.25">
      <c r="A4" s="526"/>
      <c r="B4" s="180" t="s">
        <v>268</v>
      </c>
      <c r="C4" s="181" t="s">
        <v>269</v>
      </c>
      <c r="D4" s="180" t="s">
        <v>270</v>
      </c>
      <c r="E4" s="180" t="s">
        <v>271</v>
      </c>
      <c r="F4" s="180" t="s">
        <v>272</v>
      </c>
      <c r="G4" s="179" t="s">
        <v>273</v>
      </c>
      <c r="H4" s="179" t="s">
        <v>274</v>
      </c>
      <c r="I4" s="180" t="s">
        <v>275</v>
      </c>
      <c r="J4" s="179" t="s">
        <v>273</v>
      </c>
      <c r="K4" s="179" t="s">
        <v>276</v>
      </c>
      <c r="L4" s="179" t="s">
        <v>277</v>
      </c>
      <c r="M4" s="179" t="s">
        <v>278</v>
      </c>
      <c r="N4" s="179" t="s">
        <v>279</v>
      </c>
      <c r="O4" s="181" t="s">
        <v>280</v>
      </c>
      <c r="P4" s="180" t="s">
        <v>18</v>
      </c>
      <c r="Q4" s="179" t="s">
        <v>20</v>
      </c>
    </row>
    <row r="5" spans="1:22" x14ac:dyDescent="0.2">
      <c r="A5" s="156"/>
      <c r="B5" s="147"/>
      <c r="C5" s="148"/>
      <c r="D5" s="147"/>
      <c r="E5" s="149"/>
      <c r="F5" s="149"/>
      <c r="G5" s="149"/>
      <c r="H5" s="149"/>
      <c r="I5" s="149"/>
      <c r="J5" s="149"/>
      <c r="K5" s="149"/>
      <c r="L5" s="149"/>
      <c r="M5" s="149"/>
      <c r="N5" s="149"/>
      <c r="O5" s="149"/>
      <c r="P5" s="148"/>
      <c r="Q5" s="156"/>
    </row>
    <row r="6" spans="1:22" x14ac:dyDescent="0.2">
      <c r="A6" s="156" t="s">
        <v>32</v>
      </c>
      <c r="B6" s="147"/>
      <c r="C6" s="148">
        <v>787551983</v>
      </c>
      <c r="D6" s="147">
        <v>46988048</v>
      </c>
      <c r="E6" s="149">
        <v>115106621</v>
      </c>
      <c r="F6" s="149"/>
      <c r="G6" s="149">
        <v>3109950</v>
      </c>
      <c r="H6" s="149">
        <f>SUM(B6:G6)</f>
        <v>952756602</v>
      </c>
      <c r="I6" s="149"/>
      <c r="J6" s="149"/>
      <c r="K6" s="149">
        <v>65778876</v>
      </c>
      <c r="L6" s="149">
        <v>608374</v>
      </c>
      <c r="M6" s="149">
        <f>SUM(I6:L6)</f>
        <v>66387250</v>
      </c>
      <c r="N6" s="149"/>
      <c r="O6" s="149"/>
      <c r="P6" s="148">
        <f>O6+M6+H6</f>
        <v>1019143852</v>
      </c>
      <c r="Q6" s="334">
        <f>P6/P24*100</f>
        <v>84.943261105727018</v>
      </c>
    </row>
    <row r="7" spans="1:22" x14ac:dyDescent="0.2">
      <c r="A7" s="156"/>
      <c r="B7" s="147"/>
      <c r="C7" s="148"/>
      <c r="D7" s="147"/>
      <c r="E7" s="149"/>
      <c r="F7" s="149"/>
      <c r="G7" s="149"/>
      <c r="H7" s="149"/>
      <c r="I7" s="149"/>
      <c r="J7" s="149"/>
      <c r="K7" s="149"/>
      <c r="L7" s="149"/>
      <c r="M7" s="149"/>
      <c r="N7" s="149"/>
      <c r="O7" s="149"/>
      <c r="P7" s="148"/>
      <c r="Q7" s="334"/>
    </row>
    <row r="8" spans="1:22" x14ac:dyDescent="0.2">
      <c r="A8" s="156" t="s">
        <v>33</v>
      </c>
      <c r="B8" s="147"/>
      <c r="C8" s="148"/>
      <c r="D8" s="147"/>
      <c r="E8" s="149">
        <v>7430067</v>
      </c>
      <c r="F8" s="149"/>
      <c r="G8" s="149">
        <v>35300</v>
      </c>
      <c r="H8" s="149">
        <f>SUM(B8:G8)</f>
        <v>7465367</v>
      </c>
      <c r="I8" s="149"/>
      <c r="J8" s="149"/>
      <c r="K8" s="149"/>
      <c r="L8" s="149"/>
      <c r="M8" s="149">
        <f>SUM(I8:L8)</f>
        <v>0</v>
      </c>
      <c r="N8" s="149"/>
      <c r="O8" s="149"/>
      <c r="P8" s="148">
        <f>O8+M8+H8</f>
        <v>7465367</v>
      </c>
      <c r="Q8" s="334">
        <f>P8/P24*100</f>
        <v>0.62222091325639284</v>
      </c>
    </row>
    <row r="9" spans="1:22" x14ac:dyDescent="0.2">
      <c r="A9" s="156"/>
      <c r="B9" s="147"/>
      <c r="C9" s="148"/>
      <c r="D9" s="147"/>
      <c r="E9" s="149"/>
      <c r="F9" s="149"/>
      <c r="G9" s="149"/>
      <c r="H9" s="149"/>
      <c r="I9" s="149"/>
      <c r="J9" s="149"/>
      <c r="K9" s="149"/>
      <c r="L9" s="149"/>
      <c r="M9" s="149"/>
      <c r="N9" s="149"/>
      <c r="O9" s="149"/>
      <c r="P9" s="148"/>
      <c r="Q9" s="334"/>
    </row>
    <row r="10" spans="1:22" x14ac:dyDescent="0.2">
      <c r="A10" s="156" t="s">
        <v>34</v>
      </c>
      <c r="B10" s="147"/>
      <c r="C10" s="148"/>
      <c r="D10" s="147"/>
      <c r="E10" s="149"/>
      <c r="F10" s="149"/>
      <c r="G10" s="149"/>
      <c r="H10" s="149">
        <f>SUM(B10:G10)</f>
        <v>0</v>
      </c>
      <c r="I10" s="149"/>
      <c r="J10" s="149"/>
      <c r="K10" s="149">
        <v>168504702</v>
      </c>
      <c r="L10" s="149"/>
      <c r="M10" s="149">
        <f>SUM(I10:L10)</f>
        <v>168504702</v>
      </c>
      <c r="N10" s="149"/>
      <c r="O10" s="149"/>
      <c r="P10" s="148">
        <f>O10+M10+H10</f>
        <v>168504702</v>
      </c>
      <c r="Q10" s="334">
        <f>P10/P24*100</f>
        <v>14.044473575972397</v>
      </c>
    </row>
    <row r="11" spans="1:22" x14ac:dyDescent="0.2">
      <c r="A11" s="156" t="s">
        <v>83</v>
      </c>
      <c r="B11" s="147"/>
      <c r="C11" s="148"/>
      <c r="D11" s="147"/>
      <c r="E11" s="149"/>
      <c r="F11" s="149"/>
      <c r="G11" s="149"/>
      <c r="H11" s="149"/>
      <c r="I11" s="149"/>
      <c r="J11" s="149"/>
      <c r="K11" s="149"/>
      <c r="L11" s="149"/>
      <c r="M11" s="149"/>
      <c r="N11" s="149"/>
      <c r="O11" s="149"/>
      <c r="P11" s="148"/>
      <c r="Q11" s="334"/>
    </row>
    <row r="12" spans="1:22" x14ac:dyDescent="0.2">
      <c r="A12" s="154"/>
      <c r="B12" s="147"/>
      <c r="C12" s="150"/>
      <c r="D12" s="151"/>
      <c r="E12" s="157"/>
      <c r="F12" s="157"/>
      <c r="G12" s="149"/>
      <c r="H12" s="149"/>
      <c r="I12" s="149"/>
      <c r="J12" s="149"/>
      <c r="K12" s="149"/>
      <c r="L12" s="149"/>
      <c r="M12" s="149"/>
      <c r="N12" s="149"/>
      <c r="O12" s="149"/>
      <c r="P12" s="148"/>
      <c r="Q12" s="334"/>
    </row>
    <row r="13" spans="1:22" x14ac:dyDescent="0.2">
      <c r="A13" s="156" t="s">
        <v>35</v>
      </c>
      <c r="B13" s="147"/>
      <c r="C13" s="148"/>
      <c r="D13" s="147"/>
      <c r="E13" s="149">
        <v>555687</v>
      </c>
      <c r="F13" s="149"/>
      <c r="G13" s="149"/>
      <c r="H13" s="149">
        <f>SUM(B13:G13)</f>
        <v>555687</v>
      </c>
      <c r="I13" s="149"/>
      <c r="J13" s="149"/>
      <c r="K13" s="149"/>
      <c r="L13" s="149"/>
      <c r="M13" s="149">
        <f>SUM(I13:L13)</f>
        <v>0</v>
      </c>
      <c r="N13" s="149"/>
      <c r="O13" s="149"/>
      <c r="P13" s="148">
        <f>O13+M13+H13</f>
        <v>555687</v>
      </c>
      <c r="Q13" s="334">
        <f>P13/P24*100</f>
        <v>4.631521432565943E-2</v>
      </c>
    </row>
    <row r="14" spans="1:22" x14ac:dyDescent="0.2">
      <c r="A14" s="156"/>
      <c r="B14" s="147"/>
      <c r="C14" s="148"/>
      <c r="D14" s="147"/>
      <c r="E14" s="149"/>
      <c r="F14" s="149"/>
      <c r="G14" s="149"/>
      <c r="H14" s="149"/>
      <c r="I14" s="149"/>
      <c r="J14" s="149"/>
      <c r="K14" s="149"/>
      <c r="L14" s="149"/>
      <c r="M14" s="149"/>
      <c r="N14" s="149"/>
      <c r="O14" s="149"/>
      <c r="P14" s="148"/>
      <c r="Q14" s="334"/>
    </row>
    <row r="15" spans="1:22" x14ac:dyDescent="0.2">
      <c r="A15" s="156" t="s">
        <v>36</v>
      </c>
      <c r="B15" s="147"/>
      <c r="C15" s="148"/>
      <c r="D15" s="147"/>
      <c r="E15" s="149">
        <f>E17</f>
        <v>889593</v>
      </c>
      <c r="F15" s="149"/>
      <c r="G15" s="149"/>
      <c r="H15" s="149">
        <f>SUM(B15:G15)</f>
        <v>889593</v>
      </c>
      <c r="I15" s="149"/>
      <c r="J15" s="149"/>
      <c r="K15" s="149">
        <f>K17</f>
        <v>3234448</v>
      </c>
      <c r="L15" s="149"/>
      <c r="M15" s="149">
        <f>SUM(I15:L15)</f>
        <v>3234448</v>
      </c>
      <c r="N15" s="149"/>
      <c r="O15" s="149"/>
      <c r="P15" s="148">
        <f>O15+M15+H15</f>
        <v>4124041</v>
      </c>
      <c r="Q15" s="334">
        <f>P15/P24*100</f>
        <v>0.34372919071852831</v>
      </c>
    </row>
    <row r="16" spans="1:22" x14ac:dyDescent="0.2">
      <c r="A16" s="156"/>
      <c r="B16" s="147"/>
      <c r="C16" s="148"/>
      <c r="D16" s="147"/>
      <c r="E16" s="149"/>
      <c r="F16" s="149"/>
      <c r="G16" s="149"/>
      <c r="H16" s="149"/>
      <c r="I16" s="149"/>
      <c r="J16" s="149"/>
      <c r="K16" s="149"/>
      <c r="L16" s="149"/>
      <c r="M16" s="149"/>
      <c r="N16" s="149"/>
      <c r="O16" s="149"/>
      <c r="P16" s="148"/>
      <c r="Q16" s="334"/>
    </row>
    <row r="17" spans="1:17" x14ac:dyDescent="0.2">
      <c r="A17" s="156" t="s">
        <v>40</v>
      </c>
      <c r="B17" s="147"/>
      <c r="C17" s="148"/>
      <c r="D17" s="147"/>
      <c r="E17" s="149">
        <v>889593</v>
      </c>
      <c r="F17" s="149"/>
      <c r="G17" s="149"/>
      <c r="H17" s="149">
        <f>SUM(B17:G17)</f>
        <v>889593</v>
      </c>
      <c r="I17" s="149"/>
      <c r="J17" s="149"/>
      <c r="K17" s="149">
        <v>3234448</v>
      </c>
      <c r="L17" s="149"/>
      <c r="M17" s="149">
        <f>SUM(I17:L17)</f>
        <v>3234448</v>
      </c>
      <c r="N17" s="149"/>
      <c r="O17" s="149"/>
      <c r="P17" s="148">
        <f>O17+M17+H17</f>
        <v>4124041</v>
      </c>
      <c r="Q17" s="334">
        <f>P17/P24*100</f>
        <v>0.34372919071852831</v>
      </c>
    </row>
    <row r="18" spans="1:17" x14ac:dyDescent="0.2">
      <c r="A18" s="156" t="s">
        <v>41</v>
      </c>
      <c r="B18" s="147"/>
      <c r="C18" s="148"/>
      <c r="D18" s="147"/>
      <c r="E18" s="149"/>
      <c r="F18" s="149"/>
      <c r="G18" s="149"/>
      <c r="H18" s="149"/>
      <c r="I18" s="149"/>
      <c r="J18" s="149"/>
      <c r="K18" s="149"/>
      <c r="L18" s="149"/>
      <c r="M18" s="149"/>
      <c r="N18" s="149"/>
      <c r="O18" s="149"/>
      <c r="P18" s="148"/>
      <c r="Q18" s="334"/>
    </row>
    <row r="19" spans="1:17" x14ac:dyDescent="0.2">
      <c r="A19" s="156" t="s">
        <v>37</v>
      </c>
      <c r="B19" s="147"/>
      <c r="C19" s="148"/>
      <c r="D19" s="147"/>
      <c r="E19" s="149"/>
      <c r="F19" s="149"/>
      <c r="G19" s="149"/>
      <c r="H19" s="149"/>
      <c r="I19" s="149"/>
      <c r="J19" s="149"/>
      <c r="K19" s="149"/>
      <c r="L19" s="149"/>
      <c r="M19" s="149"/>
      <c r="N19" s="149"/>
      <c r="O19" s="149"/>
      <c r="P19" s="148"/>
      <c r="Q19" s="334"/>
    </row>
    <row r="20" spans="1:17" x14ac:dyDescent="0.2">
      <c r="A20" s="156" t="s">
        <v>38</v>
      </c>
      <c r="B20" s="147"/>
      <c r="C20" s="148"/>
      <c r="D20" s="147"/>
      <c r="E20" s="149"/>
      <c r="F20" s="149"/>
      <c r="G20" s="149"/>
      <c r="H20" s="149"/>
      <c r="I20" s="149"/>
      <c r="J20" s="149"/>
      <c r="K20" s="149"/>
      <c r="L20" s="149"/>
      <c r="M20" s="149"/>
      <c r="N20" s="149"/>
      <c r="O20" s="149"/>
      <c r="P20" s="148"/>
      <c r="Q20" s="334"/>
    </row>
    <row r="21" spans="1:17" x14ac:dyDescent="0.2">
      <c r="A21" s="156" t="s">
        <v>39</v>
      </c>
      <c r="B21" s="147"/>
      <c r="C21" s="148"/>
      <c r="D21" s="147"/>
      <c r="E21" s="149"/>
      <c r="F21" s="149"/>
      <c r="G21" s="149"/>
      <c r="H21" s="149"/>
      <c r="I21" s="149"/>
      <c r="J21" s="149"/>
      <c r="K21" s="149"/>
      <c r="L21" s="149"/>
      <c r="M21" s="149"/>
      <c r="N21" s="149"/>
      <c r="O21" s="149"/>
      <c r="P21" s="148"/>
      <c r="Q21" s="334"/>
    </row>
    <row r="22" spans="1:17" x14ac:dyDescent="0.2">
      <c r="A22" s="156" t="s">
        <v>74</v>
      </c>
      <c r="B22" s="147"/>
      <c r="C22" s="148"/>
      <c r="D22" s="147"/>
      <c r="E22" s="149"/>
      <c r="F22" s="149"/>
      <c r="G22" s="149"/>
      <c r="H22" s="149"/>
      <c r="I22" s="149"/>
      <c r="J22" s="149"/>
      <c r="K22" s="149"/>
      <c r="L22" s="149"/>
      <c r="M22" s="149"/>
      <c r="N22" s="149"/>
      <c r="O22" s="149"/>
      <c r="P22" s="148"/>
      <c r="Q22" s="334"/>
    </row>
    <row r="23" spans="1:17" ht="12" thickBot="1" x14ac:dyDescent="0.25">
      <c r="A23" s="152"/>
      <c r="B23" s="152"/>
      <c r="C23" s="158"/>
      <c r="D23" s="156"/>
      <c r="E23" s="159"/>
      <c r="F23" s="159"/>
      <c r="G23" s="159"/>
      <c r="H23" s="159"/>
      <c r="I23" s="159"/>
      <c r="J23" s="159"/>
      <c r="K23" s="159"/>
      <c r="L23" s="159"/>
      <c r="M23" s="159"/>
      <c r="N23" s="159"/>
      <c r="O23" s="159"/>
      <c r="P23" s="158"/>
      <c r="Q23" s="334"/>
    </row>
    <row r="24" spans="1:17" ht="12" thickBot="1" x14ac:dyDescent="0.25">
      <c r="A24" s="160" t="s">
        <v>0</v>
      </c>
      <c r="B24" s="333">
        <f>SUM(B6:B15)</f>
        <v>0</v>
      </c>
      <c r="C24" s="333">
        <f t="shared" ref="C24:O24" si="0">SUM(C6:C15)</f>
        <v>787551983</v>
      </c>
      <c r="D24" s="333">
        <f t="shared" si="0"/>
        <v>46988048</v>
      </c>
      <c r="E24" s="333">
        <f t="shared" si="0"/>
        <v>123981968</v>
      </c>
      <c r="F24" s="333">
        <f t="shared" si="0"/>
        <v>0</v>
      </c>
      <c r="G24" s="333">
        <f t="shared" si="0"/>
        <v>3145250</v>
      </c>
      <c r="H24" s="333">
        <f>SUM(H6:H15)</f>
        <v>961667249</v>
      </c>
      <c r="I24" s="333">
        <f t="shared" si="0"/>
        <v>0</v>
      </c>
      <c r="J24" s="333">
        <f t="shared" si="0"/>
        <v>0</v>
      </c>
      <c r="K24" s="333">
        <f t="shared" si="0"/>
        <v>237518026</v>
      </c>
      <c r="L24" s="333">
        <f t="shared" si="0"/>
        <v>608374</v>
      </c>
      <c r="M24" s="333">
        <f t="shared" si="0"/>
        <v>238126400</v>
      </c>
      <c r="N24" s="333">
        <f t="shared" si="0"/>
        <v>0</v>
      </c>
      <c r="O24" s="333">
        <f t="shared" si="0"/>
        <v>0</v>
      </c>
      <c r="P24" s="333">
        <f>SUM(P6:P15)</f>
        <v>1199793649</v>
      </c>
      <c r="Q24" s="335">
        <f>SUM(Q6:Q15)</f>
        <v>100</v>
      </c>
    </row>
    <row r="25" spans="1:17" x14ac:dyDescent="0.2">
      <c r="A25" s="143"/>
      <c r="B25" s="158"/>
      <c r="C25" s="158"/>
      <c r="D25" s="158"/>
      <c r="E25" s="158"/>
      <c r="F25" s="158"/>
      <c r="G25" s="158"/>
      <c r="H25" s="158"/>
      <c r="I25" s="158"/>
      <c r="J25" s="158"/>
      <c r="K25" s="158"/>
      <c r="L25" s="158"/>
      <c r="M25" s="158"/>
      <c r="N25" s="158"/>
      <c r="O25" s="158"/>
      <c r="P25" s="158"/>
      <c r="Q25" s="158"/>
    </row>
  </sheetData>
  <mergeCells count="5">
    <mergeCell ref="P3:Q3"/>
    <mergeCell ref="B3:H3"/>
    <mergeCell ref="I3:M3"/>
    <mergeCell ref="A3:A4"/>
    <mergeCell ref="N3:O3"/>
  </mergeCells>
  <phoneticPr fontId="0" type="noConversion"/>
  <printOptions horizontalCentered="1"/>
  <pageMargins left="0.23622047244094491" right="0.23622047244094491" top="0.74803149606299213" bottom="0.74803149606299213" header="0.31496062992125984" footer="0.31496062992125984"/>
  <pageSetup paperSize="9" scale="80" orientation="landscape" r:id="rId1"/>
  <headerFooter alignWithMargins="0">
    <oddHeader xml:space="preserve">&amp;C&amp;"Arial,Negrita"&amp;18PROYECTO DEL PRESUPUESTO 2021
</oddHeader>
    <oddFooter>&amp;L&amp;"Arial,Negrita"&amp;8PROYECTO DE PRESUPUESTO PARA EL AÑO FISCAL 2020
INFORMACIÓN PARA LA COMISIÓN DE PRESUPUESTO Y CUENTA GENERAL DE LA REPÚBLICA DEL CONGRESO DE LA REPÚBLICA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6">
    <tabColor theme="9" tint="-0.249977111117893"/>
    <pageSetUpPr fitToPage="1"/>
  </sheetPr>
  <dimension ref="A1:V108"/>
  <sheetViews>
    <sheetView view="pageLayout" zoomScale="90" zoomScaleNormal="100" zoomScaleSheetLayoutView="70" zoomScalePageLayoutView="90" workbookViewId="0">
      <selection activeCell="A2" sqref="A2"/>
    </sheetView>
  </sheetViews>
  <sheetFormatPr baseColWidth="10" defaultColWidth="11.42578125" defaultRowHeight="12" x14ac:dyDescent="0.2"/>
  <cols>
    <col min="1" max="1" width="25" style="103" customWidth="1"/>
    <col min="2" max="2" width="16.28515625" style="103" bestFit="1" customWidth="1"/>
    <col min="3" max="3" width="8.7109375" style="103" customWidth="1"/>
    <col min="4" max="4" width="14" style="103" bestFit="1" customWidth="1"/>
    <col min="5" max="5" width="13" style="103" bestFit="1" customWidth="1"/>
    <col min="6" max="6" width="14" style="103" bestFit="1" customWidth="1"/>
    <col min="7" max="7" width="5.5703125" style="103" bestFit="1" customWidth="1"/>
    <col min="8" max="8" width="11.42578125" style="103" bestFit="1" customWidth="1"/>
    <col min="9" max="9" width="13.28515625" style="103" bestFit="1" customWidth="1"/>
    <col min="10" max="11" width="8.7109375" style="103" customWidth="1"/>
    <col min="12" max="12" width="14" style="103" bestFit="1" customWidth="1"/>
    <col min="13" max="13" width="8.7109375" style="103" customWidth="1"/>
    <col min="14" max="14" width="13.28515625" style="103" bestFit="1" customWidth="1"/>
    <col min="15" max="16" width="8.7109375" style="103" customWidth="1"/>
    <col min="17" max="17" width="14.7109375" style="103" bestFit="1" customWidth="1"/>
    <col min="18" max="18" width="8.7109375" style="103" customWidth="1"/>
    <col min="19" max="16384" width="11.42578125" style="103"/>
  </cols>
  <sheetData>
    <row r="1" spans="1:22" s="5" customFormat="1" x14ac:dyDescent="0.2">
      <c r="A1" s="127" t="s">
        <v>390</v>
      </c>
      <c r="B1" s="6"/>
      <c r="C1" s="6"/>
      <c r="D1" s="6"/>
      <c r="E1" s="6"/>
      <c r="F1" s="6"/>
      <c r="G1" s="6"/>
      <c r="H1" s="6"/>
      <c r="I1" s="6"/>
      <c r="J1" s="6"/>
      <c r="K1" s="6"/>
      <c r="L1" s="6"/>
      <c r="M1" s="6"/>
      <c r="N1" s="6"/>
      <c r="O1" s="6"/>
      <c r="P1" s="6"/>
      <c r="Q1" s="6"/>
      <c r="R1" s="6"/>
    </row>
    <row r="2" spans="1:22" s="5" customFormat="1" ht="12.75" thickBot="1" x14ac:dyDescent="0.25">
      <c r="A2" s="129" t="s">
        <v>962</v>
      </c>
      <c r="B2" s="119"/>
      <c r="C2" s="119"/>
      <c r="D2" s="119"/>
      <c r="E2" s="119"/>
      <c r="F2" s="119"/>
      <c r="G2" s="119"/>
      <c r="H2" s="119"/>
      <c r="I2" s="119"/>
      <c r="J2" s="119"/>
      <c r="K2" s="119"/>
      <c r="L2" s="119"/>
      <c r="M2" s="119"/>
      <c r="N2" s="119"/>
      <c r="O2" s="119"/>
      <c r="P2" s="119"/>
      <c r="Q2" s="119"/>
      <c r="R2" s="119"/>
      <c r="S2" s="119"/>
      <c r="T2" s="119"/>
      <c r="U2" s="119"/>
      <c r="V2" s="119"/>
    </row>
    <row r="3" spans="1:22" ht="27" customHeight="1" x14ac:dyDescent="0.2">
      <c r="A3" s="529" t="s">
        <v>112</v>
      </c>
      <c r="B3" s="536" t="s">
        <v>113</v>
      </c>
      <c r="C3" s="531" t="s">
        <v>21</v>
      </c>
      <c r="D3" s="532"/>
      <c r="E3" s="532"/>
      <c r="F3" s="532"/>
      <c r="G3" s="532"/>
      <c r="H3" s="532"/>
      <c r="I3" s="533"/>
      <c r="J3" s="534" t="s">
        <v>94</v>
      </c>
      <c r="K3" s="527"/>
      <c r="L3" s="527"/>
      <c r="M3" s="527"/>
      <c r="N3" s="528"/>
      <c r="O3" s="535" t="s">
        <v>84</v>
      </c>
      <c r="P3" s="527"/>
      <c r="Q3" s="527" t="s">
        <v>0</v>
      </c>
      <c r="R3" s="528"/>
    </row>
    <row r="4" spans="1:22" ht="112.5" customHeight="1" thickBot="1" x14ac:dyDescent="0.25">
      <c r="A4" s="530"/>
      <c r="B4" s="537"/>
      <c r="C4" s="182" t="s">
        <v>216</v>
      </c>
      <c r="D4" s="183" t="s">
        <v>217</v>
      </c>
      <c r="E4" s="183" t="s">
        <v>218</v>
      </c>
      <c r="F4" s="183" t="s">
        <v>219</v>
      </c>
      <c r="G4" s="183" t="s">
        <v>220</v>
      </c>
      <c r="H4" s="183" t="s">
        <v>221</v>
      </c>
      <c r="I4" s="184" t="s">
        <v>91</v>
      </c>
      <c r="J4" s="182" t="s">
        <v>220</v>
      </c>
      <c r="K4" s="183" t="s">
        <v>221</v>
      </c>
      <c r="L4" s="183" t="s">
        <v>222</v>
      </c>
      <c r="M4" s="183" t="s">
        <v>223</v>
      </c>
      <c r="N4" s="183" t="s">
        <v>92</v>
      </c>
      <c r="O4" s="185" t="s">
        <v>224</v>
      </c>
      <c r="P4" s="183" t="s">
        <v>93</v>
      </c>
      <c r="Q4" s="186" t="s">
        <v>29</v>
      </c>
      <c r="R4" s="187" t="s">
        <v>82</v>
      </c>
    </row>
    <row r="5" spans="1:22" x14ac:dyDescent="0.2">
      <c r="A5" s="19" t="s">
        <v>114</v>
      </c>
      <c r="B5" s="45">
        <v>2019</v>
      </c>
      <c r="C5" s="72"/>
      <c r="D5" s="86"/>
      <c r="E5" s="86"/>
      <c r="F5" s="86"/>
      <c r="G5" s="86"/>
      <c r="H5" s="86"/>
      <c r="I5" s="70"/>
      <c r="J5" s="88"/>
      <c r="K5" s="86"/>
      <c r="L5" s="86"/>
      <c r="M5" s="70"/>
      <c r="N5" s="70"/>
      <c r="O5" s="69"/>
      <c r="P5" s="70"/>
      <c r="Q5" s="70"/>
      <c r="R5" s="71"/>
    </row>
    <row r="6" spans="1:22" x14ac:dyDescent="0.2">
      <c r="A6" s="20"/>
      <c r="B6" s="13">
        <v>2020</v>
      </c>
      <c r="C6" s="73"/>
      <c r="D6" s="74"/>
      <c r="E6" s="74"/>
      <c r="F6" s="74"/>
      <c r="G6" s="74"/>
      <c r="H6" s="74"/>
      <c r="I6" s="74"/>
      <c r="J6" s="76"/>
      <c r="K6" s="74"/>
      <c r="L6" s="74"/>
      <c r="M6" s="74"/>
      <c r="N6" s="74"/>
      <c r="O6" s="76"/>
      <c r="P6" s="74"/>
      <c r="Q6" s="74"/>
      <c r="R6" s="75"/>
    </row>
    <row r="7" spans="1:22" x14ac:dyDescent="0.2">
      <c r="A7" s="20"/>
      <c r="B7" s="13">
        <v>2021</v>
      </c>
      <c r="C7" s="77"/>
      <c r="D7" s="74"/>
      <c r="E7" s="74"/>
      <c r="F7" s="74"/>
      <c r="G7" s="74"/>
      <c r="H7" s="74"/>
      <c r="I7" s="74"/>
      <c r="J7" s="76"/>
      <c r="K7" s="74"/>
      <c r="L7" s="74"/>
      <c r="M7" s="78"/>
      <c r="N7" s="78"/>
      <c r="O7" s="80"/>
      <c r="P7" s="78"/>
      <c r="Q7" s="78"/>
      <c r="R7" s="79"/>
    </row>
    <row r="8" spans="1:22" ht="12.75" thickBot="1" x14ac:dyDescent="0.25">
      <c r="A8" s="56"/>
      <c r="B8" s="68" t="s">
        <v>391</v>
      </c>
      <c r="C8" s="81"/>
      <c r="D8" s="82"/>
      <c r="E8" s="82"/>
      <c r="F8" s="82"/>
      <c r="G8" s="82"/>
      <c r="H8" s="82"/>
      <c r="I8" s="82"/>
      <c r="J8" s="84"/>
      <c r="K8" s="82"/>
      <c r="L8" s="82"/>
      <c r="M8" s="82"/>
      <c r="N8" s="82"/>
      <c r="O8" s="84"/>
      <c r="P8" s="82"/>
      <c r="Q8" s="82"/>
      <c r="R8" s="83"/>
    </row>
    <row r="9" spans="1:22" x14ac:dyDescent="0.2">
      <c r="A9" s="4" t="s">
        <v>115</v>
      </c>
      <c r="B9" s="45">
        <v>2019</v>
      </c>
      <c r="C9" s="85"/>
      <c r="D9" s="86"/>
      <c r="E9" s="86"/>
      <c r="F9" s="86"/>
      <c r="G9" s="86"/>
      <c r="H9" s="86"/>
      <c r="I9" s="86"/>
      <c r="J9" s="88"/>
      <c r="K9" s="86"/>
      <c r="L9" s="86"/>
      <c r="M9" s="86"/>
      <c r="N9" s="86"/>
      <c r="O9" s="88"/>
      <c r="P9" s="86"/>
      <c r="Q9" s="86"/>
      <c r="R9" s="87"/>
    </row>
    <row r="10" spans="1:22" x14ac:dyDescent="0.2">
      <c r="A10" s="20"/>
      <c r="B10" s="13">
        <v>2020</v>
      </c>
      <c r="C10" s="73"/>
      <c r="D10" s="74"/>
      <c r="E10" s="74"/>
      <c r="F10" s="74"/>
      <c r="G10" s="74"/>
      <c r="H10" s="74"/>
      <c r="I10" s="74"/>
      <c r="J10" s="76"/>
      <c r="K10" s="74"/>
      <c r="L10" s="74"/>
      <c r="M10" s="74"/>
      <c r="N10" s="74"/>
      <c r="O10" s="76"/>
      <c r="P10" s="74"/>
      <c r="Q10" s="74"/>
      <c r="R10" s="75"/>
    </row>
    <row r="11" spans="1:22" x14ac:dyDescent="0.2">
      <c r="A11" s="20"/>
      <c r="B11" s="13">
        <v>2021</v>
      </c>
      <c r="C11" s="73"/>
      <c r="D11" s="74"/>
      <c r="E11" s="74"/>
      <c r="F11" s="74"/>
      <c r="G11" s="74"/>
      <c r="H11" s="74"/>
      <c r="I11" s="74"/>
      <c r="J11" s="76"/>
      <c r="K11" s="74"/>
      <c r="L11" s="74"/>
      <c r="M11" s="74"/>
      <c r="N11" s="74"/>
      <c r="O11" s="76"/>
      <c r="P11" s="74"/>
      <c r="Q11" s="74"/>
      <c r="R11" s="75"/>
    </row>
    <row r="12" spans="1:22" ht="12.75" thickBot="1" x14ac:dyDescent="0.25">
      <c r="A12" s="21"/>
      <c r="B12" s="68" t="s">
        <v>391</v>
      </c>
      <c r="C12" s="81"/>
      <c r="D12" s="89"/>
      <c r="E12" s="89"/>
      <c r="F12" s="89" t="s">
        <v>86</v>
      </c>
      <c r="G12" s="89"/>
      <c r="H12" s="82"/>
      <c r="I12" s="82"/>
      <c r="J12" s="84"/>
      <c r="K12" s="82"/>
      <c r="L12" s="82"/>
      <c r="M12" s="82"/>
      <c r="N12" s="82"/>
      <c r="O12" s="84"/>
      <c r="P12" s="82"/>
      <c r="Q12" s="82"/>
      <c r="R12" s="83"/>
    </row>
    <row r="13" spans="1:22" x14ac:dyDescent="0.2">
      <c r="A13" s="19" t="s">
        <v>116</v>
      </c>
      <c r="B13" s="45">
        <v>2019</v>
      </c>
      <c r="C13" s="72"/>
      <c r="D13" s="359">
        <v>17271554</v>
      </c>
      <c r="E13" s="359">
        <v>953904</v>
      </c>
      <c r="F13" s="359">
        <v>24690176</v>
      </c>
      <c r="G13" s="70"/>
      <c r="H13" s="359">
        <v>336882</v>
      </c>
      <c r="I13" s="359">
        <f>SUM(C13:H13)</f>
        <v>43252516</v>
      </c>
      <c r="J13" s="69"/>
      <c r="K13" s="70"/>
      <c r="L13" s="359">
        <v>13541110</v>
      </c>
      <c r="M13" s="70"/>
      <c r="N13" s="359">
        <f>SUM(J13:M13)</f>
        <v>13541110</v>
      </c>
      <c r="O13" s="69"/>
      <c r="P13" s="70"/>
      <c r="Q13" s="359">
        <f>N13+I13</f>
        <v>56793626</v>
      </c>
      <c r="R13" s="359">
        <f>Q13/$Q$105*100</f>
        <v>5.0261837676376668</v>
      </c>
    </row>
    <row r="14" spans="1:22" x14ac:dyDescent="0.2">
      <c r="A14" s="20"/>
      <c r="B14" s="13">
        <v>2020</v>
      </c>
      <c r="C14" s="73"/>
      <c r="D14" s="358">
        <v>24388895</v>
      </c>
      <c r="E14" s="358">
        <v>2661365</v>
      </c>
      <c r="F14" s="358">
        <v>30136131</v>
      </c>
      <c r="G14" s="74"/>
      <c r="H14" s="358">
        <v>31500</v>
      </c>
      <c r="I14" s="358">
        <f t="shared" ref="I14:I15" si="0">SUM(C14:H14)</f>
        <v>57217891</v>
      </c>
      <c r="J14" s="76"/>
      <c r="K14" s="74"/>
      <c r="L14" s="358">
        <v>22304990</v>
      </c>
      <c r="M14" s="74"/>
      <c r="N14" s="358">
        <f t="shared" ref="N14:N15" si="1">SUM(J14:M14)</f>
        <v>22304990</v>
      </c>
      <c r="O14" s="76"/>
      <c r="P14" s="74"/>
      <c r="Q14" s="358">
        <f t="shared" ref="Q14:Q15" si="2">N14+I14</f>
        <v>79522881</v>
      </c>
      <c r="R14" s="358">
        <f>Q14/$Q$106*100</f>
        <v>6.9109702371373025</v>
      </c>
    </row>
    <row r="15" spans="1:22" x14ac:dyDescent="0.2">
      <c r="A15" s="20"/>
      <c r="B15" s="13">
        <v>2021</v>
      </c>
      <c r="C15" s="73"/>
      <c r="D15" s="358">
        <v>8521128</v>
      </c>
      <c r="E15" s="358">
        <v>0</v>
      </c>
      <c r="F15" s="358">
        <v>16062104</v>
      </c>
      <c r="G15" s="78"/>
      <c r="H15" s="358">
        <v>35300</v>
      </c>
      <c r="I15" s="358">
        <f t="shared" si="0"/>
        <v>24618532</v>
      </c>
      <c r="J15" s="80"/>
      <c r="K15" s="78"/>
      <c r="L15" s="358">
        <v>25335273</v>
      </c>
      <c r="M15" s="74"/>
      <c r="N15" s="358">
        <f t="shared" si="1"/>
        <v>25335273</v>
      </c>
      <c r="O15" s="76"/>
      <c r="P15" s="74"/>
      <c r="Q15" s="358">
        <f t="shared" si="2"/>
        <v>49953805</v>
      </c>
      <c r="R15" s="358">
        <f>Q15/$Q$107*100</f>
        <v>4.1656452961365789</v>
      </c>
    </row>
    <row r="16" spans="1:22" ht="12.75" thickBot="1" x14ac:dyDescent="0.25">
      <c r="A16" s="21"/>
      <c r="B16" s="68" t="s">
        <v>391</v>
      </c>
      <c r="C16" s="81"/>
      <c r="D16" s="362">
        <f>+(D15-D14)/D15</f>
        <v>-1.8621674266599446</v>
      </c>
      <c r="E16" s="362"/>
      <c r="F16" s="362">
        <f t="shared" ref="F16:Q16" si="3">+(F15-F14)/F15</f>
        <v>-0.87622561776464647</v>
      </c>
      <c r="G16" s="362"/>
      <c r="H16" s="362">
        <f t="shared" si="3"/>
        <v>0.10764872521246459</v>
      </c>
      <c r="I16" s="362">
        <f t="shared" si="3"/>
        <v>-1.3241796464549551</v>
      </c>
      <c r="J16" s="362"/>
      <c r="K16" s="362"/>
      <c r="L16" s="362">
        <f t="shared" si="3"/>
        <v>0.1196072763849831</v>
      </c>
      <c r="M16" s="362"/>
      <c r="N16" s="362">
        <f t="shared" si="3"/>
        <v>0.1196072763849831</v>
      </c>
      <c r="O16" s="362"/>
      <c r="P16" s="362"/>
      <c r="Q16" s="362">
        <f t="shared" si="3"/>
        <v>-0.5919284026512095</v>
      </c>
      <c r="R16" s="83"/>
    </row>
    <row r="17" spans="1:18" x14ac:dyDescent="0.2">
      <c r="A17" s="19" t="s">
        <v>225</v>
      </c>
      <c r="B17" s="45">
        <v>2019</v>
      </c>
      <c r="C17" s="72"/>
      <c r="D17" s="70"/>
      <c r="E17" s="70"/>
      <c r="F17" s="70"/>
      <c r="G17" s="70"/>
      <c r="H17" s="70"/>
      <c r="I17" s="70"/>
      <c r="J17" s="69"/>
      <c r="K17" s="70"/>
      <c r="L17" s="70"/>
      <c r="M17" s="70"/>
      <c r="N17" s="70"/>
      <c r="O17" s="69"/>
      <c r="P17" s="70"/>
      <c r="Q17" s="70"/>
      <c r="R17" s="71"/>
    </row>
    <row r="18" spans="1:18" x14ac:dyDescent="0.2">
      <c r="A18" s="20"/>
      <c r="B18" s="13">
        <v>2020</v>
      </c>
      <c r="C18" s="73"/>
      <c r="D18" s="74"/>
      <c r="E18" s="74"/>
      <c r="F18" s="74"/>
      <c r="G18" s="74"/>
      <c r="H18" s="74"/>
      <c r="I18" s="74"/>
      <c r="J18" s="76"/>
      <c r="K18" s="74"/>
      <c r="L18" s="74"/>
      <c r="M18" s="74"/>
      <c r="N18" s="74"/>
      <c r="O18" s="76"/>
      <c r="P18" s="74"/>
      <c r="Q18" s="74"/>
      <c r="R18" s="75"/>
    </row>
    <row r="19" spans="1:18" x14ac:dyDescent="0.2">
      <c r="A19" s="20"/>
      <c r="B19" s="13">
        <v>2021</v>
      </c>
      <c r="C19" s="73"/>
      <c r="D19" s="74"/>
      <c r="E19" s="74"/>
      <c r="F19" s="74"/>
      <c r="G19" s="74"/>
      <c r="H19" s="74"/>
      <c r="I19" s="74"/>
      <c r="J19" s="76"/>
      <c r="K19" s="74"/>
      <c r="L19" s="74"/>
      <c r="M19" s="74"/>
      <c r="N19" s="74"/>
      <c r="O19" s="76"/>
      <c r="P19" s="74"/>
      <c r="Q19" s="74"/>
      <c r="R19" s="75"/>
    </row>
    <row r="20" spans="1:18" ht="12.75" thickBot="1" x14ac:dyDescent="0.25">
      <c r="A20" s="21"/>
      <c r="B20" s="68" t="s">
        <v>391</v>
      </c>
      <c r="C20" s="81"/>
      <c r="D20" s="82"/>
      <c r="E20" s="82"/>
      <c r="F20" s="82"/>
      <c r="G20" s="82"/>
      <c r="H20" s="82"/>
      <c r="I20" s="82"/>
      <c r="J20" s="84"/>
      <c r="K20" s="82"/>
      <c r="L20" s="82"/>
      <c r="M20" s="82"/>
      <c r="N20" s="82"/>
      <c r="O20" s="84"/>
      <c r="P20" s="82"/>
      <c r="Q20" s="82"/>
      <c r="R20" s="83"/>
    </row>
    <row r="21" spans="1:18" x14ac:dyDescent="0.2">
      <c r="A21" s="19" t="s">
        <v>226</v>
      </c>
      <c r="B21" s="45">
        <v>2019</v>
      </c>
      <c r="C21" s="72"/>
      <c r="D21" s="359">
        <v>124210</v>
      </c>
      <c r="E21" s="359">
        <v>700000</v>
      </c>
      <c r="F21" s="359">
        <v>4747016</v>
      </c>
      <c r="G21" s="70"/>
      <c r="H21" s="70"/>
      <c r="I21" s="359">
        <f>SUM(C21:H21)</f>
        <v>5571226</v>
      </c>
      <c r="J21" s="69"/>
      <c r="K21" s="70"/>
      <c r="L21" s="359">
        <v>6654586</v>
      </c>
      <c r="M21" s="70"/>
      <c r="N21" s="359">
        <f>SUM(J21:M21)</f>
        <v>6654586</v>
      </c>
      <c r="O21" s="69"/>
      <c r="P21" s="70"/>
      <c r="Q21" s="359">
        <f>N21+I21</f>
        <v>12225812</v>
      </c>
      <c r="R21" s="359">
        <f>Q21/$Q$105*100</f>
        <v>1.0819731393904977</v>
      </c>
    </row>
    <row r="22" spans="1:18" x14ac:dyDescent="0.2">
      <c r="A22" s="20"/>
      <c r="B22" s="13">
        <v>2020</v>
      </c>
      <c r="C22" s="73"/>
      <c r="D22" s="358">
        <v>167042</v>
      </c>
      <c r="E22" s="358">
        <v>1200000</v>
      </c>
      <c r="F22" s="358">
        <v>935796</v>
      </c>
      <c r="G22" s="74"/>
      <c r="H22" s="74"/>
      <c r="I22" s="358">
        <f t="shared" ref="I22:I23" si="4">SUM(C22:H22)</f>
        <v>2302838</v>
      </c>
      <c r="J22" s="76"/>
      <c r="K22" s="74"/>
      <c r="L22" s="358">
        <v>10000000</v>
      </c>
      <c r="M22" s="74"/>
      <c r="N22" s="358">
        <f t="shared" ref="N22:N23" si="5">SUM(J22:M22)</f>
        <v>10000000</v>
      </c>
      <c r="O22" s="76"/>
      <c r="P22" s="74"/>
      <c r="Q22" s="358">
        <f t="shared" ref="Q22:Q23" si="6">N22+I22</f>
        <v>12302838</v>
      </c>
      <c r="R22" s="358">
        <f>Q22/$Q$106*100</f>
        <v>1.0691834372841926</v>
      </c>
    </row>
    <row r="23" spans="1:18" x14ac:dyDescent="0.2">
      <c r="A23" s="20"/>
      <c r="B23" s="13">
        <v>2021</v>
      </c>
      <c r="C23" s="73"/>
      <c r="D23" s="358">
        <v>266351</v>
      </c>
      <c r="E23" s="358">
        <v>698155</v>
      </c>
      <c r="F23" s="358">
        <v>883654</v>
      </c>
      <c r="G23" s="74"/>
      <c r="H23" s="74"/>
      <c r="I23" s="358">
        <f t="shared" si="4"/>
        <v>1848160</v>
      </c>
      <c r="J23" s="76"/>
      <c r="K23" s="74"/>
      <c r="L23" s="358">
        <v>111405</v>
      </c>
      <c r="M23" s="74"/>
      <c r="N23" s="358">
        <f t="shared" si="5"/>
        <v>111405</v>
      </c>
      <c r="O23" s="76"/>
      <c r="P23" s="74"/>
      <c r="Q23" s="358">
        <f t="shared" si="6"/>
        <v>1959565</v>
      </c>
      <c r="R23" s="358">
        <f>Q23/$Q$107*100</f>
        <v>0.1634080271707806</v>
      </c>
    </row>
    <row r="24" spans="1:18" ht="12.75" thickBot="1" x14ac:dyDescent="0.25">
      <c r="A24" s="21"/>
      <c r="B24" s="68" t="s">
        <v>391</v>
      </c>
      <c r="C24" s="81"/>
      <c r="D24" s="362">
        <f t="shared" ref="D24" si="7">+(D23-D22)/D23</f>
        <v>0.3728501113192742</v>
      </c>
      <c r="E24" s="362">
        <f t="shared" ref="E24" si="8">+(E23-E22)/E23</f>
        <v>-0.7188160222300205</v>
      </c>
      <c r="F24" s="362">
        <f t="shared" ref="F24" si="9">+(F23-F22)/F23</f>
        <v>-5.9007258497104073E-2</v>
      </c>
      <c r="G24" s="82"/>
      <c r="H24" s="82"/>
      <c r="I24" s="362">
        <f t="shared" ref="I24" si="10">+(I23-I22)/I23</f>
        <v>-0.24601657865119902</v>
      </c>
      <c r="J24" s="84"/>
      <c r="K24" s="82"/>
      <c r="L24" s="362">
        <f t="shared" ref="L24" si="11">+(L23-L22)/L23</f>
        <v>-88.762577981239616</v>
      </c>
      <c r="M24" s="82"/>
      <c r="N24" s="362">
        <f t="shared" ref="N24" si="12">+(N23-N22)/N23</f>
        <v>-88.762577981239616</v>
      </c>
      <c r="O24" s="84"/>
      <c r="P24" s="82"/>
      <c r="Q24" s="362">
        <f t="shared" ref="Q24" si="13">+(Q23-Q22)/Q23</f>
        <v>-5.2783515729256241</v>
      </c>
      <c r="R24" s="83"/>
    </row>
    <row r="25" spans="1:18" x14ac:dyDescent="0.2">
      <c r="A25" s="19" t="s">
        <v>227</v>
      </c>
      <c r="B25" s="45">
        <v>2019</v>
      </c>
      <c r="C25" s="72"/>
      <c r="D25" s="70"/>
      <c r="E25" s="70"/>
      <c r="F25" s="70"/>
      <c r="G25" s="70"/>
      <c r="H25" s="70"/>
      <c r="I25" s="70"/>
      <c r="J25" s="69"/>
      <c r="K25" s="70"/>
      <c r="L25" s="70"/>
      <c r="M25" s="70"/>
      <c r="N25" s="70"/>
      <c r="O25" s="69"/>
      <c r="P25" s="70"/>
      <c r="Q25" s="70"/>
      <c r="R25" s="71"/>
    </row>
    <row r="26" spans="1:18" x14ac:dyDescent="0.2">
      <c r="A26" s="20"/>
      <c r="B26" s="13">
        <v>2020</v>
      </c>
      <c r="C26" s="73"/>
      <c r="D26" s="74"/>
      <c r="E26" s="74"/>
      <c r="F26" s="74"/>
      <c r="G26" s="74"/>
      <c r="H26" s="74"/>
      <c r="I26" s="74"/>
      <c r="J26" s="76"/>
      <c r="K26" s="74"/>
      <c r="L26" s="74"/>
      <c r="M26" s="74"/>
      <c r="N26" s="74"/>
      <c r="O26" s="76"/>
      <c r="P26" s="74"/>
      <c r="Q26" s="74"/>
      <c r="R26" s="75"/>
    </row>
    <row r="27" spans="1:18" x14ac:dyDescent="0.2">
      <c r="A27" s="20"/>
      <c r="B27" s="13">
        <v>2021</v>
      </c>
      <c r="C27" s="73"/>
      <c r="D27" s="74"/>
      <c r="E27" s="74"/>
      <c r="F27" s="74"/>
      <c r="G27" s="74"/>
      <c r="H27" s="74"/>
      <c r="I27" s="74"/>
      <c r="J27" s="76"/>
      <c r="K27" s="74"/>
      <c r="L27" s="74"/>
      <c r="M27" s="74"/>
      <c r="N27" s="74"/>
      <c r="O27" s="76"/>
      <c r="P27" s="74"/>
      <c r="Q27" s="74"/>
      <c r="R27" s="75"/>
    </row>
    <row r="28" spans="1:18" ht="12.75" thickBot="1" x14ac:dyDescent="0.25">
      <c r="A28" s="21"/>
      <c r="B28" s="68" t="s">
        <v>391</v>
      </c>
      <c r="C28" s="81"/>
      <c r="D28" s="82"/>
      <c r="E28" s="82"/>
      <c r="F28" s="82"/>
      <c r="G28" s="82"/>
      <c r="H28" s="82"/>
      <c r="I28" s="82"/>
      <c r="J28" s="84"/>
      <c r="K28" s="82"/>
      <c r="L28" s="82"/>
      <c r="M28" s="82"/>
      <c r="N28" s="82"/>
      <c r="O28" s="84"/>
      <c r="P28" s="82"/>
      <c r="Q28" s="82"/>
      <c r="R28" s="83"/>
    </row>
    <row r="29" spans="1:18" x14ac:dyDescent="0.2">
      <c r="A29" s="19" t="s">
        <v>228</v>
      </c>
      <c r="B29" s="45">
        <v>2019</v>
      </c>
      <c r="C29" s="72"/>
      <c r="D29" s="359">
        <v>253775</v>
      </c>
      <c r="E29" s="70"/>
      <c r="F29" s="359">
        <v>686789</v>
      </c>
      <c r="G29" s="70"/>
      <c r="H29" s="70"/>
      <c r="I29" s="359">
        <f>SUM(C29:H29)</f>
        <v>940564</v>
      </c>
      <c r="J29" s="69"/>
      <c r="K29" s="70"/>
      <c r="L29" s="70"/>
      <c r="M29" s="70"/>
      <c r="N29" s="70"/>
      <c r="O29" s="69"/>
      <c r="P29" s="70"/>
      <c r="Q29" s="359">
        <f>N29+I29</f>
        <v>940564</v>
      </c>
      <c r="R29" s="359">
        <f>Q29/$Q$105*100</f>
        <v>8.3239050615017157E-2</v>
      </c>
    </row>
    <row r="30" spans="1:18" x14ac:dyDescent="0.2">
      <c r="A30" s="20"/>
      <c r="B30" s="13">
        <v>2020</v>
      </c>
      <c r="C30" s="73"/>
      <c r="D30" s="358">
        <v>241339</v>
      </c>
      <c r="E30" s="74"/>
      <c r="F30" s="358">
        <v>739754</v>
      </c>
      <c r="G30" s="74"/>
      <c r="H30" s="74"/>
      <c r="I30" s="358">
        <f t="shared" ref="I30:I31" si="14">SUM(C30:H30)</f>
        <v>981093</v>
      </c>
      <c r="J30" s="76"/>
      <c r="K30" s="74"/>
      <c r="L30" s="74"/>
      <c r="M30" s="74"/>
      <c r="N30" s="74"/>
      <c r="O30" s="76"/>
      <c r="P30" s="74"/>
      <c r="Q30" s="358">
        <f t="shared" ref="Q30:Q31" si="15">N30+I30</f>
        <v>981093</v>
      </c>
      <c r="R30" s="358">
        <f>Q30/$Q$106*100</f>
        <v>8.5262309886179138E-2</v>
      </c>
    </row>
    <row r="31" spans="1:18" x14ac:dyDescent="0.2">
      <c r="A31" s="20"/>
      <c r="B31" s="13">
        <v>2021</v>
      </c>
      <c r="C31" s="73"/>
      <c r="D31" s="358">
        <v>492968</v>
      </c>
      <c r="E31" s="74"/>
      <c r="F31" s="358">
        <v>1378312</v>
      </c>
      <c r="G31" s="74"/>
      <c r="H31" s="74"/>
      <c r="I31" s="358">
        <f t="shared" si="14"/>
        <v>1871280</v>
      </c>
      <c r="J31" s="76"/>
      <c r="K31" s="74"/>
      <c r="L31" s="74"/>
      <c r="M31" s="74"/>
      <c r="N31" s="74"/>
      <c r="O31" s="76"/>
      <c r="P31" s="74"/>
      <c r="Q31" s="358">
        <f t="shared" si="15"/>
        <v>1871280</v>
      </c>
      <c r="R31" s="358">
        <f>Q31/$Q$107*100</f>
        <v>0.15604594544408495</v>
      </c>
    </row>
    <row r="32" spans="1:18" ht="12.75" thickBot="1" x14ac:dyDescent="0.25">
      <c r="A32" s="21"/>
      <c r="B32" s="68" t="s">
        <v>391</v>
      </c>
      <c r="C32" s="81"/>
      <c r="D32" s="362">
        <f t="shared" ref="D32" si="16">+(D31-D30)/D31</f>
        <v>0.51043678291491534</v>
      </c>
      <c r="E32" s="82"/>
      <c r="F32" s="362">
        <f t="shared" ref="F32" si="17">+(F31-F30)/F31</f>
        <v>0.46328987921457548</v>
      </c>
      <c r="G32" s="82"/>
      <c r="H32" s="82"/>
      <c r="I32" s="362">
        <f t="shared" ref="I32" si="18">+(I31-I30)/I31</f>
        <v>0.47571020905476463</v>
      </c>
      <c r="J32" s="84"/>
      <c r="K32" s="82"/>
      <c r="L32" s="82"/>
      <c r="M32" s="82"/>
      <c r="N32" s="82"/>
      <c r="O32" s="84"/>
      <c r="P32" s="82"/>
      <c r="Q32" s="362">
        <f t="shared" ref="Q32" si="19">+(Q31-Q30)/Q31</f>
        <v>0.47571020905476463</v>
      </c>
      <c r="R32" s="83"/>
    </row>
    <row r="33" spans="1:18" x14ac:dyDescent="0.2">
      <c r="A33" s="19" t="s">
        <v>229</v>
      </c>
      <c r="B33" s="45">
        <v>2019</v>
      </c>
      <c r="C33" s="72"/>
      <c r="D33" s="359">
        <v>61843</v>
      </c>
      <c r="E33" s="70">
        <v>0</v>
      </c>
      <c r="F33" s="359">
        <v>31330</v>
      </c>
      <c r="G33" s="70"/>
      <c r="H33" s="70"/>
      <c r="I33" s="359">
        <f>SUM(C33:H33)</f>
        <v>93173</v>
      </c>
      <c r="J33" s="69"/>
      <c r="K33" s="70"/>
      <c r="L33" s="359">
        <v>5707235</v>
      </c>
      <c r="M33" s="70"/>
      <c r="N33" s="359">
        <f>SUM(J33:M33)</f>
        <v>5707235</v>
      </c>
      <c r="O33" s="69"/>
      <c r="P33" s="70"/>
      <c r="Q33" s="359">
        <f>N33+I33</f>
        <v>5800408</v>
      </c>
      <c r="R33" s="359">
        <f>Q33/$Q$105*100</f>
        <v>0.51333078355088058</v>
      </c>
    </row>
    <row r="34" spans="1:18" x14ac:dyDescent="0.2">
      <c r="A34" s="20"/>
      <c r="B34" s="13">
        <v>2020</v>
      </c>
      <c r="C34" s="73"/>
      <c r="D34" s="358">
        <v>84435</v>
      </c>
      <c r="E34" s="74"/>
      <c r="F34" s="358">
        <v>25298</v>
      </c>
      <c r="G34" s="74"/>
      <c r="H34" s="74"/>
      <c r="I34" s="358">
        <f t="shared" ref="I34:I35" si="20">SUM(C34:H34)</f>
        <v>109733</v>
      </c>
      <c r="J34" s="76"/>
      <c r="K34" s="74"/>
      <c r="L34" s="358">
        <v>4000000</v>
      </c>
      <c r="M34" s="74"/>
      <c r="N34" s="358">
        <f t="shared" ref="N34:N35" si="21">SUM(J34:M34)</f>
        <v>4000000</v>
      </c>
      <c r="O34" s="76"/>
      <c r="P34" s="74"/>
      <c r="Q34" s="358">
        <f t="shared" ref="Q34:Q35" si="22">N34+I34</f>
        <v>4109733</v>
      </c>
      <c r="R34" s="358">
        <f>Q34/$Q$106*100</f>
        <v>0.3571581171157644</v>
      </c>
    </row>
    <row r="35" spans="1:18" x14ac:dyDescent="0.2">
      <c r="A35" s="20"/>
      <c r="B35" s="13">
        <v>2021</v>
      </c>
      <c r="C35" s="73"/>
      <c r="D35" s="358">
        <v>86570</v>
      </c>
      <c r="E35" s="74"/>
      <c r="F35" s="358">
        <v>9448</v>
      </c>
      <c r="G35" s="74"/>
      <c r="H35" s="74"/>
      <c r="I35" s="358">
        <f t="shared" si="20"/>
        <v>96018</v>
      </c>
      <c r="J35" s="76"/>
      <c r="K35" s="74"/>
      <c r="L35" s="74"/>
      <c r="M35" s="74"/>
      <c r="N35" s="358">
        <f t="shared" si="21"/>
        <v>0</v>
      </c>
      <c r="O35" s="76"/>
      <c r="P35" s="74"/>
      <c r="Q35" s="358">
        <f t="shared" si="22"/>
        <v>96018</v>
      </c>
      <c r="R35" s="358">
        <f>Q35/$Q$107*100</f>
        <v>8.0069362092525694E-3</v>
      </c>
    </row>
    <row r="36" spans="1:18" ht="12.75" thickBot="1" x14ac:dyDescent="0.25">
      <c r="A36" s="21"/>
      <c r="B36" s="68" t="s">
        <v>391</v>
      </c>
      <c r="C36" s="81"/>
      <c r="D36" s="362">
        <f t="shared" ref="D36" si="23">+(D35-D34)/D35</f>
        <v>2.4662123137345501E-2</v>
      </c>
      <c r="E36" s="82"/>
      <c r="F36" s="362">
        <f t="shared" ref="F36" si="24">+(F35-F34)/F35</f>
        <v>-1.6776037256562235</v>
      </c>
      <c r="G36" s="82"/>
      <c r="H36" s="82"/>
      <c r="I36" s="362">
        <f t="shared" ref="I36" si="25">+(I35-I34)/I35</f>
        <v>-0.14283780124559978</v>
      </c>
      <c r="J36" s="84"/>
      <c r="K36" s="82"/>
      <c r="L36" s="82"/>
      <c r="M36" s="82"/>
      <c r="N36" s="362"/>
      <c r="O36" s="84"/>
      <c r="P36" s="82"/>
      <c r="Q36" s="362">
        <f t="shared" ref="Q36" si="26">+(Q35-Q34)/Q35</f>
        <v>-41.801693432481407</v>
      </c>
      <c r="R36" s="83"/>
    </row>
    <row r="37" spans="1:18" x14ac:dyDescent="0.2">
      <c r="A37" s="19" t="s">
        <v>230</v>
      </c>
      <c r="B37" s="45">
        <v>2019</v>
      </c>
      <c r="C37" s="72"/>
      <c r="D37" s="359">
        <v>305207</v>
      </c>
      <c r="E37" s="70"/>
      <c r="F37" s="359">
        <v>147167</v>
      </c>
      <c r="G37" s="70"/>
      <c r="H37" s="70"/>
      <c r="I37" s="359">
        <f>SUM(C37:H37)</f>
        <v>452374</v>
      </c>
      <c r="J37" s="69"/>
      <c r="K37" s="70"/>
      <c r="L37" s="359">
        <v>7019143</v>
      </c>
      <c r="M37" s="70"/>
      <c r="N37" s="359">
        <f>SUM(J37:M37)</f>
        <v>7019143</v>
      </c>
      <c r="O37" s="69"/>
      <c r="P37" s="70"/>
      <c r="Q37" s="359">
        <f>N37+I37</f>
        <v>7471517</v>
      </c>
      <c r="R37" s="359">
        <f>Q37/$Q$105*100</f>
        <v>0.66122239606657396</v>
      </c>
    </row>
    <row r="38" spans="1:18" x14ac:dyDescent="0.2">
      <c r="A38" s="20"/>
      <c r="B38" s="13">
        <v>2020</v>
      </c>
      <c r="C38" s="73"/>
      <c r="D38" s="358">
        <v>305220</v>
      </c>
      <c r="E38" s="74"/>
      <c r="F38" s="358">
        <v>160788</v>
      </c>
      <c r="G38" s="74"/>
      <c r="H38" s="74"/>
      <c r="I38" s="358">
        <f t="shared" ref="I38:I39" si="27">SUM(C38:H38)</f>
        <v>466008</v>
      </c>
      <c r="J38" s="76"/>
      <c r="K38" s="74"/>
      <c r="L38" s="358">
        <v>3000000</v>
      </c>
      <c r="M38" s="74"/>
      <c r="N38" s="358">
        <f t="shared" ref="N38:N39" si="28">SUM(J38:M38)</f>
        <v>3000000</v>
      </c>
      <c r="O38" s="76"/>
      <c r="P38" s="74"/>
      <c r="Q38" s="358">
        <f t="shared" ref="Q38:Q39" si="29">N38+I38</f>
        <v>3466008</v>
      </c>
      <c r="R38" s="358">
        <f>Q38/$Q$106*100</f>
        <v>0.3012149186305233</v>
      </c>
    </row>
    <row r="39" spans="1:18" x14ac:dyDescent="0.2">
      <c r="A39" s="20"/>
      <c r="B39" s="13">
        <v>2021</v>
      </c>
      <c r="C39" s="73"/>
      <c r="D39" s="358">
        <v>541640</v>
      </c>
      <c r="E39" s="74"/>
      <c r="F39" s="358">
        <v>454881</v>
      </c>
      <c r="G39" s="74"/>
      <c r="H39" s="74"/>
      <c r="I39" s="358">
        <f t="shared" si="27"/>
        <v>996521</v>
      </c>
      <c r="J39" s="76"/>
      <c r="K39" s="74"/>
      <c r="L39" s="74"/>
      <c r="M39" s="74"/>
      <c r="N39" s="358">
        <f t="shared" si="28"/>
        <v>0</v>
      </c>
      <c r="O39" s="76"/>
      <c r="P39" s="74"/>
      <c r="Q39" s="358">
        <f t="shared" si="29"/>
        <v>996521</v>
      </c>
      <c r="R39" s="358">
        <f>Q39/$Q$107*100</f>
        <v>8.3099836261748633E-2</v>
      </c>
    </row>
    <row r="40" spans="1:18" ht="12.75" thickBot="1" x14ac:dyDescent="0.25">
      <c r="A40" s="21"/>
      <c r="B40" s="68" t="s">
        <v>391</v>
      </c>
      <c r="C40" s="81"/>
      <c r="D40" s="362">
        <f t="shared" ref="D40" si="30">+(D39-D38)/D39</f>
        <v>0.43648918100583411</v>
      </c>
      <c r="E40" s="82"/>
      <c r="F40" s="362">
        <f t="shared" ref="F40" si="31">+(F39-F38)/F39</f>
        <v>0.64652733352239378</v>
      </c>
      <c r="G40" s="82"/>
      <c r="H40" s="82"/>
      <c r="I40" s="362">
        <f t="shared" ref="I40" si="32">+(I39-I38)/I39</f>
        <v>0.5323650981765562</v>
      </c>
      <c r="J40" s="84"/>
      <c r="K40" s="82"/>
      <c r="L40" s="362"/>
      <c r="M40" s="82"/>
      <c r="N40" s="362"/>
      <c r="O40" s="84"/>
      <c r="P40" s="82"/>
      <c r="Q40" s="362">
        <f t="shared" ref="Q40" si="33">+(Q39-Q38)/Q39</f>
        <v>-2.4781083389110714</v>
      </c>
      <c r="R40" s="83"/>
    </row>
    <row r="41" spans="1:18" x14ac:dyDescent="0.2">
      <c r="A41" s="19" t="s">
        <v>231</v>
      </c>
      <c r="B41" s="45">
        <v>2019</v>
      </c>
      <c r="C41" s="72"/>
      <c r="D41" s="359">
        <v>2733421</v>
      </c>
      <c r="E41" s="70"/>
      <c r="F41" s="359">
        <v>4654260</v>
      </c>
      <c r="G41" s="70"/>
      <c r="H41" s="359">
        <v>1300</v>
      </c>
      <c r="I41" s="359">
        <f>SUM(C41:H41)</f>
        <v>7388981</v>
      </c>
      <c r="J41" s="69"/>
      <c r="K41" s="70"/>
      <c r="L41" s="359">
        <v>4623171</v>
      </c>
      <c r="M41" s="70"/>
      <c r="N41" s="359">
        <f>SUM(J41:M41)</f>
        <v>4623171</v>
      </c>
      <c r="O41" s="69"/>
      <c r="P41" s="70"/>
      <c r="Q41" s="359">
        <f>N41+I41</f>
        <v>12012152</v>
      </c>
      <c r="R41" s="359">
        <f>Q41/$Q$105*100</f>
        <v>1.0630644255183908</v>
      </c>
    </row>
    <row r="42" spans="1:18" x14ac:dyDescent="0.2">
      <c r="A42" s="20"/>
      <c r="B42" s="13">
        <v>2020</v>
      </c>
      <c r="C42" s="73"/>
      <c r="D42" s="358">
        <v>4769924</v>
      </c>
      <c r="E42" s="358">
        <v>37669</v>
      </c>
      <c r="F42" s="358">
        <v>5343904</v>
      </c>
      <c r="G42" s="74"/>
      <c r="H42" s="358">
        <v>1300</v>
      </c>
      <c r="I42" s="358">
        <f t="shared" ref="I42:I43" si="34">SUM(C42:H42)</f>
        <v>10152797</v>
      </c>
      <c r="J42" s="76"/>
      <c r="K42" s="74"/>
      <c r="L42" s="358">
        <v>29301921</v>
      </c>
      <c r="M42" s="74"/>
      <c r="N42" s="358">
        <f t="shared" ref="N42:N43" si="35">SUM(J42:M42)</f>
        <v>29301921</v>
      </c>
      <c r="O42" s="76"/>
      <c r="P42" s="74"/>
      <c r="Q42" s="358">
        <f t="shared" ref="Q42:Q43" si="36">N42+I42</f>
        <v>39454718</v>
      </c>
      <c r="R42" s="358">
        <f>Q42/$Q$106*100</f>
        <v>3.4288292675493661</v>
      </c>
    </row>
    <row r="43" spans="1:18" x14ac:dyDescent="0.2">
      <c r="A43" s="20"/>
      <c r="B43" s="13">
        <v>2021</v>
      </c>
      <c r="C43" s="73"/>
      <c r="D43" s="358">
        <v>4615071</v>
      </c>
      <c r="E43" s="358">
        <v>2124748</v>
      </c>
      <c r="F43" s="358">
        <v>5180127</v>
      </c>
      <c r="G43" s="74"/>
      <c r="H43" s="74"/>
      <c r="I43" s="358">
        <f t="shared" si="34"/>
        <v>11919946</v>
      </c>
      <c r="J43" s="76"/>
      <c r="K43" s="74"/>
      <c r="L43" s="358">
        <v>39583096</v>
      </c>
      <c r="M43" s="74"/>
      <c r="N43" s="358">
        <f t="shared" si="35"/>
        <v>39583096</v>
      </c>
      <c r="O43" s="76"/>
      <c r="P43" s="74"/>
      <c r="Q43" s="358">
        <f t="shared" si="36"/>
        <v>51503042</v>
      </c>
      <c r="R43" s="358">
        <f>Q43/$Q$107*100</f>
        <v>4.2948360919458421</v>
      </c>
    </row>
    <row r="44" spans="1:18" ht="12.75" thickBot="1" x14ac:dyDescent="0.25">
      <c r="A44" s="21"/>
      <c r="B44" s="68" t="s">
        <v>391</v>
      </c>
      <c r="C44" s="81"/>
      <c r="D44" s="362">
        <f t="shared" ref="D44" si="37">+(D43-D42)/D43</f>
        <v>-3.3553763311550355E-2</v>
      </c>
      <c r="E44" s="362">
        <f t="shared" ref="E44" si="38">+(E43-E42)/E43</f>
        <v>0.98227130935056772</v>
      </c>
      <c r="F44" s="362">
        <f t="shared" ref="F44" si="39">+(F43-F42)/F43</f>
        <v>-3.1616406315906925E-2</v>
      </c>
      <c r="G44" s="82"/>
      <c r="H44" s="362"/>
      <c r="I44" s="362">
        <f t="shared" ref="I44" si="40">+(I43-I42)/I43</f>
        <v>0.14825142664236901</v>
      </c>
      <c r="J44" s="84"/>
      <c r="K44" s="82"/>
      <c r="L44" s="362">
        <f t="shared" ref="L44" si="41">+(L43-L42)/L43</f>
        <v>0.25973650469382181</v>
      </c>
      <c r="M44" s="82"/>
      <c r="N44" s="362">
        <f t="shared" ref="N44" si="42">+(N43-N42)/N43</f>
        <v>0.25973650469382181</v>
      </c>
      <c r="O44" s="84"/>
      <c r="P44" s="82"/>
      <c r="Q44" s="362">
        <f t="shared" ref="Q44" si="43">+(Q43-Q42)/Q43</f>
        <v>0.23393422081748103</v>
      </c>
      <c r="R44" s="83"/>
    </row>
    <row r="45" spans="1:18" x14ac:dyDescent="0.2">
      <c r="A45" s="19" t="s">
        <v>232</v>
      </c>
      <c r="B45" s="45">
        <v>2019</v>
      </c>
      <c r="C45" s="72"/>
      <c r="D45" s="359">
        <v>250672</v>
      </c>
      <c r="E45" s="70"/>
      <c r="F45" s="359">
        <v>282581</v>
      </c>
      <c r="G45" s="70"/>
      <c r="H45" s="70"/>
      <c r="I45" s="359">
        <f>SUM(C45:H45)</f>
        <v>533253</v>
      </c>
      <c r="J45" s="69"/>
      <c r="K45" s="70"/>
      <c r="L45" s="359">
        <v>76000</v>
      </c>
      <c r="M45" s="70"/>
      <c r="N45" s="359">
        <f>SUM(J45:M45)</f>
        <v>76000</v>
      </c>
      <c r="O45" s="69"/>
      <c r="P45" s="70"/>
      <c r="Q45" s="359">
        <f>N45+I45</f>
        <v>609253</v>
      </c>
      <c r="R45" s="359">
        <f>Q45/$Q$105*100</f>
        <v>5.391833123992737E-2</v>
      </c>
    </row>
    <row r="46" spans="1:18" x14ac:dyDescent="0.2">
      <c r="A46" s="20"/>
      <c r="B46" s="13">
        <v>2020</v>
      </c>
      <c r="C46" s="73"/>
      <c r="D46" s="358">
        <v>235722</v>
      </c>
      <c r="E46" s="74"/>
      <c r="F46" s="358">
        <v>290980</v>
      </c>
      <c r="G46" s="74"/>
      <c r="H46" s="74"/>
      <c r="I46" s="358">
        <f t="shared" ref="I46:I47" si="44">SUM(C46:H46)</f>
        <v>526702</v>
      </c>
      <c r="J46" s="76"/>
      <c r="K46" s="74"/>
      <c r="L46" s="358">
        <v>160000</v>
      </c>
      <c r="M46" s="74"/>
      <c r="N46" s="358">
        <f t="shared" ref="N46:N47" si="45">SUM(J46:M46)</f>
        <v>160000</v>
      </c>
      <c r="O46" s="76"/>
      <c r="P46" s="74"/>
      <c r="Q46" s="358">
        <f t="shared" ref="Q46:Q47" si="46">N46+I46</f>
        <v>686702</v>
      </c>
      <c r="R46" s="358">
        <f>Q46/$Q$106*100</f>
        <v>5.9678133187637657E-2</v>
      </c>
    </row>
    <row r="47" spans="1:18" x14ac:dyDescent="0.2">
      <c r="A47" s="20"/>
      <c r="B47" s="13">
        <v>2021</v>
      </c>
      <c r="C47" s="73"/>
      <c r="D47" s="358">
        <v>441363</v>
      </c>
      <c r="E47" s="74"/>
      <c r="F47" s="358">
        <v>481684</v>
      </c>
      <c r="G47" s="74"/>
      <c r="H47" s="74"/>
      <c r="I47" s="358">
        <f t="shared" si="44"/>
        <v>923047</v>
      </c>
      <c r="J47" s="76"/>
      <c r="K47" s="74"/>
      <c r="L47" s="74"/>
      <c r="M47" s="74"/>
      <c r="N47" s="358">
        <f t="shared" si="45"/>
        <v>0</v>
      </c>
      <c r="O47" s="76"/>
      <c r="P47" s="74"/>
      <c r="Q47" s="358">
        <f t="shared" si="46"/>
        <v>923047</v>
      </c>
      <c r="R47" s="358">
        <f>Q47/$Q$107*100</f>
        <v>7.6972843082983994E-2</v>
      </c>
    </row>
    <row r="48" spans="1:18" ht="12.75" thickBot="1" x14ac:dyDescent="0.25">
      <c r="A48" s="21"/>
      <c r="B48" s="68" t="s">
        <v>391</v>
      </c>
      <c r="C48" s="81"/>
      <c r="D48" s="362">
        <f t="shared" ref="D48" si="47">+(D47-D46)/D47</f>
        <v>0.46592260792137086</v>
      </c>
      <c r="E48" s="82"/>
      <c r="F48" s="362">
        <f t="shared" ref="F48" si="48">+(F47-F46)/F47</f>
        <v>0.39591101219886898</v>
      </c>
      <c r="G48" s="82"/>
      <c r="H48" s="82"/>
      <c r="I48" s="362">
        <f t="shared" ref="I48" si="49">+(I47-I46)/I47</f>
        <v>0.42938766931694705</v>
      </c>
      <c r="J48" s="84"/>
      <c r="K48" s="82"/>
      <c r="L48" s="362"/>
      <c r="M48" s="82"/>
      <c r="N48" s="362"/>
      <c r="O48" s="84"/>
      <c r="P48" s="82"/>
      <c r="Q48" s="362">
        <f t="shared" ref="Q48" si="50">+(Q47-Q46)/Q47</f>
        <v>0.25604871691257325</v>
      </c>
      <c r="R48" s="90"/>
    </row>
    <row r="49" spans="1:18" x14ac:dyDescent="0.2">
      <c r="A49" s="19" t="s">
        <v>233</v>
      </c>
      <c r="B49" s="45">
        <v>2019</v>
      </c>
      <c r="C49" s="72"/>
      <c r="D49" s="359">
        <v>30462</v>
      </c>
      <c r="E49" s="70"/>
      <c r="F49" s="359">
        <v>9700</v>
      </c>
      <c r="G49" s="70"/>
      <c r="H49" s="70"/>
      <c r="I49" s="359">
        <f>SUM(C49:H49)</f>
        <v>40162</v>
      </c>
      <c r="J49" s="69"/>
      <c r="K49" s="70"/>
      <c r="L49" s="359">
        <v>55307</v>
      </c>
      <c r="M49" s="70"/>
      <c r="N49" s="359">
        <f>SUM(J49:M49)</f>
        <v>55307</v>
      </c>
      <c r="O49" s="69"/>
      <c r="P49" s="70"/>
      <c r="Q49" s="359">
        <f>N49+I49</f>
        <v>95469</v>
      </c>
      <c r="R49" s="359">
        <f>Q49/$Q$105*100</f>
        <v>8.4489188648141679E-3</v>
      </c>
    </row>
    <row r="50" spans="1:18" x14ac:dyDescent="0.2">
      <c r="A50" s="20"/>
      <c r="B50" s="13">
        <v>2020</v>
      </c>
      <c r="C50" s="73"/>
      <c r="D50" s="358">
        <v>44562</v>
      </c>
      <c r="E50" s="74"/>
      <c r="F50" s="358">
        <v>7900</v>
      </c>
      <c r="G50" s="74"/>
      <c r="H50" s="74"/>
      <c r="I50" s="358">
        <f t="shared" ref="I50:I51" si="51">SUM(C50:H50)</f>
        <v>52462</v>
      </c>
      <c r="J50" s="76"/>
      <c r="K50" s="74"/>
      <c r="L50" s="358">
        <v>205721</v>
      </c>
      <c r="M50" s="74"/>
      <c r="N50" s="358">
        <f t="shared" ref="N50:N51" si="52">SUM(J50:M50)</f>
        <v>205721</v>
      </c>
      <c r="O50" s="76"/>
      <c r="P50" s="74"/>
      <c r="Q50" s="358">
        <f t="shared" ref="Q50:Q51" si="53">N50+I50</f>
        <v>258183</v>
      </c>
      <c r="R50" s="358">
        <f>Q50/$Q$106*100</f>
        <v>2.2437504857687689E-2</v>
      </c>
    </row>
    <row r="51" spans="1:18" x14ac:dyDescent="0.2">
      <c r="A51" s="20"/>
      <c r="B51" s="13">
        <v>2021</v>
      </c>
      <c r="C51" s="73"/>
      <c r="D51" s="358">
        <v>55575</v>
      </c>
      <c r="E51" s="74"/>
      <c r="F51" s="358">
        <v>108966</v>
      </c>
      <c r="G51" s="74"/>
      <c r="H51" s="74"/>
      <c r="I51" s="358">
        <f t="shared" si="51"/>
        <v>164541</v>
      </c>
      <c r="J51" s="76"/>
      <c r="K51" s="74"/>
      <c r="L51" s="358">
        <v>5206004</v>
      </c>
      <c r="M51" s="74"/>
      <c r="N51" s="358">
        <f t="shared" si="52"/>
        <v>5206004</v>
      </c>
      <c r="O51" s="76"/>
      <c r="P51" s="74"/>
      <c r="Q51" s="358">
        <f t="shared" si="53"/>
        <v>5370545</v>
      </c>
      <c r="R51" s="358">
        <f>Q51/$Q$107*100</f>
        <v>0.44784947847195677</v>
      </c>
    </row>
    <row r="52" spans="1:18" ht="12.75" thickBot="1" x14ac:dyDescent="0.25">
      <c r="A52" s="21"/>
      <c r="B52" s="68" t="s">
        <v>391</v>
      </c>
      <c r="C52" s="81"/>
      <c r="D52" s="362">
        <f t="shared" ref="D52" si="54">+(D51-D50)/D51</f>
        <v>0.1981646423751687</v>
      </c>
      <c r="E52" s="82"/>
      <c r="F52" s="362">
        <f t="shared" ref="F52" si="55">+(F51-F50)/F51</f>
        <v>0.92750032120110859</v>
      </c>
      <c r="G52" s="82"/>
      <c r="H52" s="82"/>
      <c r="I52" s="362">
        <f t="shared" ref="I52" si="56">+(I51-I50)/I51</f>
        <v>0.68116153420727965</v>
      </c>
      <c r="J52" s="84"/>
      <c r="K52" s="82"/>
      <c r="L52" s="362">
        <f t="shared" ref="L52" si="57">+(L51-L50)/L51</f>
        <v>0.96048389513338828</v>
      </c>
      <c r="M52" s="82"/>
      <c r="N52" s="362">
        <f t="shared" ref="N52" si="58">+(N51-N50)/N51</f>
        <v>0.96048389513338828</v>
      </c>
      <c r="O52" s="84"/>
      <c r="P52" s="82"/>
      <c r="Q52" s="362">
        <f t="shared" ref="Q52" si="59">+(Q51-Q50)/Q51</f>
        <v>0.95192610805793454</v>
      </c>
      <c r="R52" s="83"/>
    </row>
    <row r="53" spans="1:18" x14ac:dyDescent="0.2">
      <c r="A53" s="19" t="s">
        <v>234</v>
      </c>
      <c r="B53" s="45">
        <v>2019</v>
      </c>
      <c r="C53" s="72"/>
      <c r="D53" s="70"/>
      <c r="E53" s="70"/>
      <c r="F53" s="359">
        <v>159323</v>
      </c>
      <c r="G53" s="70"/>
      <c r="H53" s="70"/>
      <c r="I53" s="359">
        <f>SUM(C53:H53)</f>
        <v>159323</v>
      </c>
      <c r="J53" s="69"/>
      <c r="K53" s="70"/>
      <c r="L53" s="70"/>
      <c r="M53" s="70"/>
      <c r="N53" s="70"/>
      <c r="O53" s="69"/>
      <c r="P53" s="70"/>
      <c r="Q53" s="359">
        <f>N53+I53</f>
        <v>159323</v>
      </c>
      <c r="R53" s="359">
        <f>Q53/$Q$105*100</f>
        <v>1.4099939250424617E-2</v>
      </c>
    </row>
    <row r="54" spans="1:18" x14ac:dyDescent="0.2">
      <c r="A54" s="20"/>
      <c r="B54" s="13">
        <v>2020</v>
      </c>
      <c r="C54" s="73"/>
      <c r="D54" s="74"/>
      <c r="E54" s="74"/>
      <c r="F54" s="358">
        <v>142533</v>
      </c>
      <c r="G54" s="74"/>
      <c r="H54" s="74"/>
      <c r="I54" s="358">
        <f t="shared" ref="I54:I55" si="60">SUM(C54:H54)</f>
        <v>142533</v>
      </c>
      <c r="J54" s="76"/>
      <c r="K54" s="74"/>
      <c r="L54" s="74"/>
      <c r="M54" s="74"/>
      <c r="N54" s="74"/>
      <c r="O54" s="76"/>
      <c r="P54" s="74"/>
      <c r="Q54" s="358">
        <f t="shared" ref="Q54:Q55" si="61">N54+I54</f>
        <v>142533</v>
      </c>
      <c r="R54" s="358">
        <f>Q54/$Q$106*100</f>
        <v>1.2386891777850594E-2</v>
      </c>
    </row>
    <row r="55" spans="1:18" x14ac:dyDescent="0.2">
      <c r="A55" s="20"/>
      <c r="B55" s="13">
        <v>2021</v>
      </c>
      <c r="C55" s="73"/>
      <c r="D55" s="74"/>
      <c r="E55" s="74"/>
      <c r="F55" s="358">
        <v>142533</v>
      </c>
      <c r="G55" s="74"/>
      <c r="H55" s="74"/>
      <c r="I55" s="358">
        <f t="shared" si="60"/>
        <v>142533</v>
      </c>
      <c r="J55" s="76"/>
      <c r="K55" s="74"/>
      <c r="L55" s="74"/>
      <c r="M55" s="74"/>
      <c r="N55" s="74"/>
      <c r="O55" s="76"/>
      <c r="P55" s="74"/>
      <c r="Q55" s="358">
        <f t="shared" si="61"/>
        <v>142533</v>
      </c>
      <c r="R55" s="358">
        <f>Q55/$Q$107*100</f>
        <v>1.1885819728732077E-2</v>
      </c>
    </row>
    <row r="56" spans="1:18" ht="12.75" thickBot="1" x14ac:dyDescent="0.25">
      <c r="A56" s="21"/>
      <c r="B56" s="68" t="s">
        <v>391</v>
      </c>
      <c r="C56" s="81"/>
      <c r="D56" s="82"/>
      <c r="E56" s="82"/>
      <c r="F56" s="362">
        <f t="shared" ref="F56" si="62">+(F55-F54)/F55</f>
        <v>0</v>
      </c>
      <c r="G56" s="82"/>
      <c r="H56" s="82"/>
      <c r="I56" s="362">
        <f t="shared" ref="I56" si="63">+(I55-I54)/I55</f>
        <v>0</v>
      </c>
      <c r="J56" s="84"/>
      <c r="K56" s="82"/>
      <c r="L56" s="82"/>
      <c r="M56" s="82"/>
      <c r="N56" s="82"/>
      <c r="O56" s="84"/>
      <c r="P56" s="82"/>
      <c r="Q56" s="362">
        <f t="shared" ref="Q56" si="64">+(Q55-Q54)/Q55</f>
        <v>0</v>
      </c>
      <c r="R56" s="83"/>
    </row>
    <row r="57" spans="1:18" x14ac:dyDescent="0.2">
      <c r="A57" s="19" t="s">
        <v>235</v>
      </c>
      <c r="B57" s="45">
        <v>2019</v>
      </c>
      <c r="C57" s="72"/>
      <c r="D57" s="359">
        <v>76912</v>
      </c>
      <c r="E57" s="70"/>
      <c r="F57" s="359">
        <v>190312</v>
      </c>
      <c r="G57" s="70"/>
      <c r="H57" s="70"/>
      <c r="I57" s="359">
        <f>SUM(C57:H57)</f>
        <v>267224</v>
      </c>
      <c r="J57" s="69"/>
      <c r="K57" s="70"/>
      <c r="L57" s="70"/>
      <c r="M57" s="70"/>
      <c r="N57" s="70"/>
      <c r="O57" s="69"/>
      <c r="P57" s="70"/>
      <c r="Q57" s="359">
        <f>N57+I57</f>
        <v>267224</v>
      </c>
      <c r="R57" s="359">
        <f>Q57/$Q$105*100</f>
        <v>2.3649078703360266E-2</v>
      </c>
    </row>
    <row r="58" spans="1:18" x14ac:dyDescent="0.2">
      <c r="A58" s="20"/>
      <c r="B58" s="13">
        <v>2020</v>
      </c>
      <c r="C58" s="73"/>
      <c r="D58" s="358">
        <v>123680</v>
      </c>
      <c r="E58" s="74"/>
      <c r="F58" s="358">
        <v>183112</v>
      </c>
      <c r="G58" s="74"/>
      <c r="H58" s="74"/>
      <c r="I58" s="358">
        <f t="shared" ref="I58:I59" si="65">SUM(C58:H58)</f>
        <v>306792</v>
      </c>
      <c r="J58" s="76"/>
      <c r="K58" s="74"/>
      <c r="L58" s="74"/>
      <c r="M58" s="74"/>
      <c r="N58" s="74"/>
      <c r="O58" s="76"/>
      <c r="P58" s="74"/>
      <c r="Q58" s="358">
        <f t="shared" ref="Q58:Q59" si="66">N58+I58</f>
        <v>306792</v>
      </c>
      <c r="R58" s="358">
        <f>Q58/$Q$106*100</f>
        <v>2.6661890946730507E-2</v>
      </c>
    </row>
    <row r="59" spans="1:18" x14ac:dyDescent="0.2">
      <c r="A59" s="20"/>
      <c r="B59" s="13">
        <v>2021</v>
      </c>
      <c r="C59" s="73"/>
      <c r="D59" s="358">
        <v>137508</v>
      </c>
      <c r="E59" s="74"/>
      <c r="F59" s="358">
        <v>158096</v>
      </c>
      <c r="G59" s="74"/>
      <c r="H59" s="74"/>
      <c r="I59" s="358">
        <f t="shared" si="65"/>
        <v>295604</v>
      </c>
      <c r="J59" s="76"/>
      <c r="K59" s="74"/>
      <c r="L59" s="74"/>
      <c r="M59" s="74"/>
      <c r="N59" s="74"/>
      <c r="O59" s="76"/>
      <c r="P59" s="74"/>
      <c r="Q59" s="358">
        <f t="shared" si="66"/>
        <v>295604</v>
      </c>
      <c r="R59" s="358">
        <f>Q59/$Q$107*100</f>
        <v>2.4650402749483394E-2</v>
      </c>
    </row>
    <row r="60" spans="1:18" ht="12.75" thickBot="1" x14ac:dyDescent="0.25">
      <c r="A60" s="21"/>
      <c r="B60" s="68" t="s">
        <v>391</v>
      </c>
      <c r="C60" s="81"/>
      <c r="D60" s="362">
        <f t="shared" ref="D60" si="67">+(D59-D58)/D59</f>
        <v>0.10056142188090875</v>
      </c>
      <c r="E60" s="82"/>
      <c r="F60" s="362">
        <f t="shared" ref="F60" si="68">+(F59-F58)/F59</f>
        <v>-0.1582329723712175</v>
      </c>
      <c r="G60" s="82"/>
      <c r="H60" s="82"/>
      <c r="I60" s="362">
        <f t="shared" ref="I60" si="69">+(I59-I58)/I59</f>
        <v>-3.7847931692399292E-2</v>
      </c>
      <c r="J60" s="84"/>
      <c r="K60" s="82"/>
      <c r="L60" s="82"/>
      <c r="M60" s="82"/>
      <c r="N60" s="82"/>
      <c r="O60" s="84"/>
      <c r="P60" s="82"/>
      <c r="Q60" s="362">
        <f t="shared" ref="Q60" si="70">+(Q59-Q58)/Q59</f>
        <v>-3.7847931692399292E-2</v>
      </c>
      <c r="R60" s="83"/>
    </row>
    <row r="61" spans="1:18" x14ac:dyDescent="0.2">
      <c r="A61" s="19" t="s">
        <v>236</v>
      </c>
      <c r="B61" s="45">
        <v>2019</v>
      </c>
      <c r="C61" s="72"/>
      <c r="D61" s="359">
        <v>3298636</v>
      </c>
      <c r="E61" s="70">
        <v>0</v>
      </c>
      <c r="F61" s="359">
        <v>11011093</v>
      </c>
      <c r="G61" s="70"/>
      <c r="H61" s="359">
        <v>2500</v>
      </c>
      <c r="I61" s="359">
        <f>SUM(C61:H61)</f>
        <v>14312229</v>
      </c>
      <c r="J61" s="69"/>
      <c r="K61" s="70"/>
      <c r="L61" s="359">
        <v>30625283</v>
      </c>
      <c r="M61" s="70"/>
      <c r="N61" s="359">
        <f>SUM(J61:M61)</f>
        <v>30625283</v>
      </c>
      <c r="O61" s="69"/>
      <c r="P61" s="70"/>
      <c r="Q61" s="359">
        <f>N61+I61</f>
        <v>44937512</v>
      </c>
      <c r="R61" s="359">
        <f>Q61/$Q$105*100</f>
        <v>3.9769285618851464</v>
      </c>
    </row>
    <row r="62" spans="1:18" x14ac:dyDescent="0.2">
      <c r="A62" s="20"/>
      <c r="B62" s="13">
        <v>2020</v>
      </c>
      <c r="C62" s="73"/>
      <c r="D62" s="358">
        <v>3298636</v>
      </c>
      <c r="E62" s="358">
        <v>15000</v>
      </c>
      <c r="F62" s="358">
        <v>18294971</v>
      </c>
      <c r="G62" s="74"/>
      <c r="H62" s="358">
        <v>2500</v>
      </c>
      <c r="I62" s="358">
        <f t="shared" ref="I62:I63" si="71">SUM(C62:H62)</f>
        <v>21611107</v>
      </c>
      <c r="J62" s="76"/>
      <c r="K62" s="74"/>
      <c r="L62" s="358">
        <v>40603432</v>
      </c>
      <c r="M62" s="74"/>
      <c r="N62" s="358">
        <f t="shared" ref="N62:N63" si="72">SUM(J62:M62)</f>
        <v>40603432</v>
      </c>
      <c r="O62" s="76"/>
      <c r="P62" s="74"/>
      <c r="Q62" s="358">
        <f t="shared" ref="Q62:Q63" si="73">N62+I62</f>
        <v>62214539</v>
      </c>
      <c r="R62" s="358">
        <f>Q62/$Q$106*100</f>
        <v>5.4067813180236506</v>
      </c>
    </row>
    <row r="63" spans="1:18" x14ac:dyDescent="0.2">
      <c r="A63" s="20"/>
      <c r="B63" s="13">
        <v>2021</v>
      </c>
      <c r="C63" s="73"/>
      <c r="D63" s="358">
        <v>3221924</v>
      </c>
      <c r="E63" s="358">
        <v>15000</v>
      </c>
      <c r="F63" s="358">
        <v>1996378</v>
      </c>
      <c r="G63" s="74"/>
      <c r="H63" s="74"/>
      <c r="I63" s="358">
        <f t="shared" si="71"/>
        <v>5233302</v>
      </c>
      <c r="J63" s="76"/>
      <c r="K63" s="74"/>
      <c r="L63" s="358">
        <v>64836223</v>
      </c>
      <c r="M63" s="74"/>
      <c r="N63" s="358">
        <f t="shared" si="72"/>
        <v>64836223</v>
      </c>
      <c r="O63" s="76"/>
      <c r="P63" s="74"/>
      <c r="Q63" s="358">
        <f t="shared" si="73"/>
        <v>70069525</v>
      </c>
      <c r="R63" s="358">
        <f>Q63/$Q$107*100</f>
        <v>5.8430941790875472</v>
      </c>
    </row>
    <row r="64" spans="1:18" ht="12.75" thickBot="1" x14ac:dyDescent="0.25">
      <c r="A64" s="21"/>
      <c r="B64" s="68" t="s">
        <v>391</v>
      </c>
      <c r="C64" s="81"/>
      <c r="D64" s="362">
        <f t="shared" ref="D64" si="74">+(D63-D62)/D63</f>
        <v>-2.3809376012593718E-2</v>
      </c>
      <c r="E64" s="362">
        <f t="shared" ref="E64" si="75">+(E63-E62)/E63</f>
        <v>0</v>
      </c>
      <c r="F64" s="362">
        <f t="shared" ref="F64" si="76">+(F63-F62)/F63</f>
        <v>-8.1640816518715393</v>
      </c>
      <c r="G64" s="82"/>
      <c r="H64" s="362"/>
      <c r="I64" s="362">
        <f t="shared" ref="I64" si="77">+(I63-I62)/I63</f>
        <v>-3.1295356163278938</v>
      </c>
      <c r="J64" s="84"/>
      <c r="K64" s="82"/>
      <c r="L64" s="362">
        <f t="shared" ref="L64" si="78">+(L63-L62)/L63</f>
        <v>0.37375389679932464</v>
      </c>
      <c r="M64" s="82"/>
      <c r="N64" s="362">
        <f t="shared" ref="N64" si="79">+(N63-N62)/N63</f>
        <v>0.37375389679932464</v>
      </c>
      <c r="O64" s="84"/>
      <c r="P64" s="82"/>
      <c r="Q64" s="362">
        <f t="shared" ref="Q64" si="80">+(Q63-Q62)/Q63</f>
        <v>0.11210274366780708</v>
      </c>
      <c r="R64" s="83"/>
    </row>
    <row r="65" spans="1:18" x14ac:dyDescent="0.2">
      <c r="A65" s="19" t="s">
        <v>237</v>
      </c>
      <c r="B65" s="45">
        <v>2019</v>
      </c>
      <c r="C65" s="72"/>
      <c r="D65" s="70"/>
      <c r="E65" s="70"/>
      <c r="F65" s="359">
        <v>250907</v>
      </c>
      <c r="G65" s="70"/>
      <c r="H65" s="70"/>
      <c r="I65" s="359">
        <f>SUM(C65:H65)</f>
        <v>250907</v>
      </c>
      <c r="J65" s="69"/>
      <c r="K65" s="70"/>
      <c r="L65" s="70"/>
      <c r="M65" s="70"/>
      <c r="N65" s="70"/>
      <c r="O65" s="69"/>
      <c r="P65" s="70"/>
      <c r="Q65" s="359">
        <f>N65+I65</f>
        <v>250907</v>
      </c>
      <c r="R65" s="359">
        <f>Q65/$Q$105*100</f>
        <v>2.2205039181450822E-2</v>
      </c>
    </row>
    <row r="66" spans="1:18" x14ac:dyDescent="0.2">
      <c r="A66" s="20"/>
      <c r="B66" s="13">
        <v>2020</v>
      </c>
      <c r="C66" s="73"/>
      <c r="D66" s="74"/>
      <c r="E66" s="74"/>
      <c r="F66" s="358">
        <v>372694</v>
      </c>
      <c r="G66" s="74"/>
      <c r="H66" s="74"/>
      <c r="I66" s="358">
        <f t="shared" ref="I66:I67" si="81">SUM(C66:H66)</f>
        <v>372694</v>
      </c>
      <c r="J66" s="76"/>
      <c r="K66" s="74"/>
      <c r="L66" s="74"/>
      <c r="M66" s="74"/>
      <c r="N66" s="74"/>
      <c r="O66" s="76"/>
      <c r="P66" s="74"/>
      <c r="Q66" s="358">
        <f t="shared" ref="Q66:Q67" si="82">N66+I66</f>
        <v>372694</v>
      </c>
      <c r="R66" s="358">
        <f>Q66/$Q$106*100</f>
        <v>3.23891326517666E-2</v>
      </c>
    </row>
    <row r="67" spans="1:18" x14ac:dyDescent="0.2">
      <c r="A67" s="20"/>
      <c r="B67" s="13">
        <v>2021</v>
      </c>
      <c r="C67" s="73"/>
      <c r="D67" s="74"/>
      <c r="E67" s="74"/>
      <c r="F67" s="358">
        <v>510135</v>
      </c>
      <c r="G67" s="74"/>
      <c r="H67" s="74"/>
      <c r="I67" s="358">
        <f t="shared" si="81"/>
        <v>510135</v>
      </c>
      <c r="J67" s="76"/>
      <c r="K67" s="74"/>
      <c r="L67" s="74"/>
      <c r="M67" s="74"/>
      <c r="N67" s="74"/>
      <c r="O67" s="76"/>
      <c r="P67" s="74"/>
      <c r="Q67" s="358">
        <f t="shared" si="82"/>
        <v>510135</v>
      </c>
      <c r="R67" s="358">
        <f>Q67/$Q$107*100</f>
        <v>4.2540132090931486E-2</v>
      </c>
    </row>
    <row r="68" spans="1:18" ht="12.75" thickBot="1" x14ac:dyDescent="0.25">
      <c r="A68" s="21"/>
      <c r="B68" s="68" t="s">
        <v>391</v>
      </c>
      <c r="C68" s="81"/>
      <c r="D68" s="82"/>
      <c r="E68" s="82"/>
      <c r="F68" s="362">
        <f t="shared" ref="F68" si="83">+(F67-F66)/F67</f>
        <v>0.26942083958167934</v>
      </c>
      <c r="G68" s="82"/>
      <c r="H68" s="82"/>
      <c r="I68" s="362">
        <f t="shared" ref="I68" si="84">+(I67-I66)/I67</f>
        <v>0.26942083958167934</v>
      </c>
      <c r="J68" s="84"/>
      <c r="K68" s="82"/>
      <c r="L68" s="82"/>
      <c r="M68" s="82"/>
      <c r="N68" s="82"/>
      <c r="O68" s="84"/>
      <c r="P68" s="82"/>
      <c r="Q68" s="362">
        <f t="shared" ref="Q68" si="85">+(Q67-Q66)/Q67</f>
        <v>0.26942083958167934</v>
      </c>
      <c r="R68" s="83"/>
    </row>
    <row r="69" spans="1:18" x14ac:dyDescent="0.2">
      <c r="A69" s="19" t="s">
        <v>238</v>
      </c>
      <c r="B69" s="45">
        <v>2019</v>
      </c>
      <c r="C69" s="72"/>
      <c r="D69" s="70"/>
      <c r="E69" s="70"/>
      <c r="F69" s="70"/>
      <c r="G69" s="70"/>
      <c r="H69" s="70"/>
      <c r="I69" s="70"/>
      <c r="J69" s="69"/>
      <c r="K69" s="70"/>
      <c r="L69" s="359">
        <v>2970957</v>
      </c>
      <c r="M69" s="70"/>
      <c r="N69" s="359">
        <f>SUM(J69:M69)</f>
        <v>2970957</v>
      </c>
      <c r="O69" s="69"/>
      <c r="P69" s="70"/>
      <c r="Q69" s="359">
        <f>N69+I69</f>
        <v>2970957</v>
      </c>
      <c r="R69" s="359">
        <f>Q69/$Q$105*100</f>
        <v>0.26292696732815579</v>
      </c>
    </row>
    <row r="70" spans="1:18" x14ac:dyDescent="0.2">
      <c r="A70" s="20"/>
      <c r="B70" s="13">
        <v>2020</v>
      </c>
      <c r="C70" s="73"/>
      <c r="D70" s="74"/>
      <c r="E70" s="74"/>
      <c r="F70" s="74"/>
      <c r="G70" s="74"/>
      <c r="H70" s="74"/>
      <c r="I70" s="74"/>
      <c r="J70" s="76"/>
      <c r="K70" s="74"/>
      <c r="L70" s="358">
        <v>3031474</v>
      </c>
      <c r="M70" s="74"/>
      <c r="N70" s="358">
        <f t="shared" ref="N70:N71" si="86">SUM(J70:M70)</f>
        <v>3031474</v>
      </c>
      <c r="O70" s="76"/>
      <c r="P70" s="74"/>
      <c r="Q70" s="358">
        <f t="shared" ref="Q70:Q71" si="87">N70+I70</f>
        <v>3031474</v>
      </c>
      <c r="R70" s="358">
        <f>Q70/$Q$106*100</f>
        <v>0.26345155413390475</v>
      </c>
    </row>
    <row r="71" spans="1:18" x14ac:dyDescent="0.2">
      <c r="A71" s="20"/>
      <c r="B71" s="13">
        <v>2021</v>
      </c>
      <c r="C71" s="73"/>
      <c r="D71" s="74"/>
      <c r="E71" s="74"/>
      <c r="F71" s="74"/>
      <c r="G71" s="74"/>
      <c r="H71" s="74"/>
      <c r="I71" s="74"/>
      <c r="J71" s="76"/>
      <c r="K71" s="74"/>
      <c r="L71" s="358">
        <v>6161901</v>
      </c>
      <c r="M71" s="74"/>
      <c r="N71" s="358">
        <f t="shared" si="86"/>
        <v>6161901</v>
      </c>
      <c r="O71" s="76"/>
      <c r="P71" s="74"/>
      <c r="Q71" s="358">
        <f t="shared" si="87"/>
        <v>6161901</v>
      </c>
      <c r="R71" s="358">
        <f>Q71/$Q$107*100</f>
        <v>0.51384061566299666</v>
      </c>
    </row>
    <row r="72" spans="1:18" ht="12.75" thickBot="1" x14ac:dyDescent="0.25">
      <c r="A72" s="21"/>
      <c r="B72" s="68" t="s">
        <v>391</v>
      </c>
      <c r="C72" s="81"/>
      <c r="D72" s="82"/>
      <c r="E72" s="82"/>
      <c r="F72" s="82"/>
      <c r="G72" s="82"/>
      <c r="H72" s="82"/>
      <c r="I72" s="82"/>
      <c r="J72" s="84"/>
      <c r="K72" s="82"/>
      <c r="L72" s="362">
        <f t="shared" ref="L72" si="88">+(L71-L70)/L71</f>
        <v>0.50802942143990959</v>
      </c>
      <c r="M72" s="82"/>
      <c r="N72" s="362">
        <f t="shared" ref="N72" si="89">+(N71-N70)/N71</f>
        <v>0.50802942143990959</v>
      </c>
      <c r="O72" s="84"/>
      <c r="P72" s="82"/>
      <c r="Q72" s="362">
        <f t="shared" ref="Q72" si="90">+(Q71-Q70)/Q71</f>
        <v>0.50802942143990959</v>
      </c>
      <c r="R72" s="83"/>
    </row>
    <row r="73" spans="1:18" x14ac:dyDescent="0.2">
      <c r="A73" s="19" t="s">
        <v>239</v>
      </c>
      <c r="B73" s="45">
        <v>2019</v>
      </c>
      <c r="C73" s="72"/>
      <c r="D73" s="70"/>
      <c r="E73" s="70"/>
      <c r="F73" s="359">
        <v>457849</v>
      </c>
      <c r="G73" s="70"/>
      <c r="H73" s="70"/>
      <c r="I73" s="359">
        <f>SUM(C73:H73)</f>
        <v>457849</v>
      </c>
      <c r="J73" s="69"/>
      <c r="K73" s="70"/>
      <c r="L73" s="359">
        <v>6686960</v>
      </c>
      <c r="M73" s="70"/>
      <c r="N73" s="359">
        <f>SUM(J73:M73)</f>
        <v>6686960</v>
      </c>
      <c r="O73" s="69"/>
      <c r="P73" s="70"/>
      <c r="Q73" s="359">
        <f>N73+I73</f>
        <v>7144809</v>
      </c>
      <c r="R73" s="359">
        <f>Q73/$Q$105*100</f>
        <v>0.63230903796618854</v>
      </c>
    </row>
    <row r="74" spans="1:18" x14ac:dyDescent="0.2">
      <c r="A74" s="20"/>
      <c r="B74" s="13">
        <v>2020</v>
      </c>
      <c r="C74" s="73"/>
      <c r="D74" s="74"/>
      <c r="E74" s="74"/>
      <c r="F74" s="358">
        <v>636574</v>
      </c>
      <c r="G74" s="74"/>
      <c r="H74" s="74"/>
      <c r="I74" s="358">
        <f t="shared" ref="I74:I75" si="91">SUM(C74:H74)</f>
        <v>636574</v>
      </c>
      <c r="J74" s="76"/>
      <c r="K74" s="74"/>
      <c r="L74" s="358">
        <v>15868253</v>
      </c>
      <c r="M74" s="74"/>
      <c r="N74" s="358">
        <f t="shared" ref="N74:N75" si="92">SUM(J74:M74)</f>
        <v>15868253</v>
      </c>
      <c r="O74" s="76"/>
      <c r="P74" s="74"/>
      <c r="Q74" s="358">
        <f t="shared" ref="Q74:Q75" si="93">N74+I74</f>
        <v>16504827</v>
      </c>
      <c r="R74" s="358">
        <f>Q74/$Q$106*100</f>
        <v>1.4343591018300776</v>
      </c>
    </row>
    <row r="75" spans="1:18" x14ac:dyDescent="0.2">
      <c r="A75" s="20"/>
      <c r="B75" s="13">
        <v>2021</v>
      </c>
      <c r="C75" s="73"/>
      <c r="D75" s="74"/>
      <c r="E75" s="74"/>
      <c r="F75" s="358">
        <v>542827</v>
      </c>
      <c r="G75" s="74"/>
      <c r="H75" s="74"/>
      <c r="I75" s="358">
        <f t="shared" si="91"/>
        <v>542827</v>
      </c>
      <c r="J75" s="76"/>
      <c r="K75" s="74"/>
      <c r="L75" s="358">
        <v>8222612</v>
      </c>
      <c r="M75" s="74"/>
      <c r="N75" s="358">
        <f t="shared" si="92"/>
        <v>8222612</v>
      </c>
      <c r="O75" s="76"/>
      <c r="P75" s="74"/>
      <c r="Q75" s="358">
        <f t="shared" si="93"/>
        <v>8765439</v>
      </c>
      <c r="R75" s="358">
        <f>Q75/$Q$107*100</f>
        <v>0.73094951903908256</v>
      </c>
    </row>
    <row r="76" spans="1:18" ht="12.75" thickBot="1" x14ac:dyDescent="0.25">
      <c r="A76" s="21"/>
      <c r="B76" s="68" t="s">
        <v>391</v>
      </c>
      <c r="C76" s="81"/>
      <c r="D76" s="82"/>
      <c r="E76" s="82"/>
      <c r="F76" s="362">
        <f t="shared" ref="F76" si="94">+(F75-F74)/F75</f>
        <v>-0.17270143157949033</v>
      </c>
      <c r="G76" s="82"/>
      <c r="H76" s="82"/>
      <c r="I76" s="362">
        <f t="shared" ref="I76" si="95">+(I75-I74)/I75</f>
        <v>-0.17270143157949033</v>
      </c>
      <c r="J76" s="84"/>
      <c r="K76" s="82"/>
      <c r="L76" s="362">
        <f t="shared" ref="L76" si="96">+(L75-L74)/L75</f>
        <v>-0.92983117773281776</v>
      </c>
      <c r="M76" s="82"/>
      <c r="N76" s="362">
        <f t="shared" ref="N76" si="97">+(N75-N74)/N75</f>
        <v>-0.92983117773281776</v>
      </c>
      <c r="O76" s="84"/>
      <c r="P76" s="82"/>
      <c r="Q76" s="362">
        <f t="shared" ref="Q76" si="98">+(Q75-Q74)/Q75</f>
        <v>-0.88294356962611908</v>
      </c>
      <c r="R76" s="83"/>
    </row>
    <row r="77" spans="1:18" x14ac:dyDescent="0.2">
      <c r="A77" s="19" t="s">
        <v>240</v>
      </c>
      <c r="B77" s="45">
        <v>2019</v>
      </c>
      <c r="C77" s="72"/>
      <c r="D77" s="359">
        <v>2111001</v>
      </c>
      <c r="E77" s="70"/>
      <c r="F77" s="359">
        <v>46751</v>
      </c>
      <c r="G77" s="70"/>
      <c r="H77" s="70"/>
      <c r="I77" s="359">
        <f>SUM(C77:H77)</f>
        <v>2157752</v>
      </c>
      <c r="J77" s="69"/>
      <c r="K77" s="70"/>
      <c r="L77" s="70"/>
      <c r="M77" s="70"/>
      <c r="N77" s="70"/>
      <c r="O77" s="69"/>
      <c r="P77" s="70"/>
      <c r="Q77" s="359">
        <f>N77+I77</f>
        <v>2157752</v>
      </c>
      <c r="R77" s="359">
        <f>Q77/$Q$105*100</f>
        <v>0.19095907130472198</v>
      </c>
    </row>
    <row r="78" spans="1:18" x14ac:dyDescent="0.2">
      <c r="A78" s="20"/>
      <c r="B78" s="13">
        <v>2020</v>
      </c>
      <c r="C78" s="73"/>
      <c r="D78" s="358">
        <v>137867</v>
      </c>
      <c r="E78" s="74"/>
      <c r="F78" s="358">
        <v>47185</v>
      </c>
      <c r="G78" s="74"/>
      <c r="H78" s="74"/>
      <c r="I78" s="358">
        <f t="shared" ref="I78:I79" si="99">SUM(C78:H78)</f>
        <v>185052</v>
      </c>
      <c r="J78" s="76"/>
      <c r="K78" s="74"/>
      <c r="L78" s="74"/>
      <c r="M78" s="74"/>
      <c r="N78" s="74"/>
      <c r="O78" s="76"/>
      <c r="P78" s="74"/>
      <c r="Q78" s="358">
        <f t="shared" ref="Q78:Q79" si="100">N78+I78</f>
        <v>185052</v>
      </c>
      <c r="R78" s="358">
        <f>Q78/$Q$106*100</f>
        <v>1.6082023792909766E-2</v>
      </c>
    </row>
    <row r="79" spans="1:18" x14ac:dyDescent="0.2">
      <c r="A79" s="20"/>
      <c r="B79" s="13">
        <v>2021</v>
      </c>
      <c r="C79" s="73"/>
      <c r="D79" s="358">
        <v>190251</v>
      </c>
      <c r="E79" s="74"/>
      <c r="F79" s="358">
        <v>266283</v>
      </c>
      <c r="G79" s="74"/>
      <c r="H79" s="74"/>
      <c r="I79" s="358">
        <f t="shared" si="99"/>
        <v>456534</v>
      </c>
      <c r="J79" s="76"/>
      <c r="K79" s="74"/>
      <c r="L79" s="74"/>
      <c r="M79" s="74"/>
      <c r="N79" s="74"/>
      <c r="O79" s="76"/>
      <c r="P79" s="74"/>
      <c r="Q79" s="358">
        <f t="shared" si="100"/>
        <v>456534</v>
      </c>
      <c r="R79" s="358">
        <f>Q79/$Q$107*100</f>
        <v>3.8070347386478708E-2</v>
      </c>
    </row>
    <row r="80" spans="1:18" ht="12.75" thickBot="1" x14ac:dyDescent="0.25">
      <c r="A80" s="21"/>
      <c r="B80" s="68" t="s">
        <v>391</v>
      </c>
      <c r="C80" s="81"/>
      <c r="D80" s="362">
        <f t="shared" ref="D80" si="101">+(D79-D78)/D79</f>
        <v>0.27534152251499333</v>
      </c>
      <c r="E80" s="82"/>
      <c r="F80" s="362">
        <f t="shared" ref="F80" si="102">+(F79-F78)/F79</f>
        <v>0.8228013053781128</v>
      </c>
      <c r="G80" s="82"/>
      <c r="H80" s="82"/>
      <c r="I80" s="362">
        <f t="shared" ref="I80" si="103">+(I79-I78)/I79</f>
        <v>0.59465888630419639</v>
      </c>
      <c r="J80" s="84"/>
      <c r="K80" s="82"/>
      <c r="L80" s="82"/>
      <c r="M80" s="82"/>
      <c r="N80" s="82"/>
      <c r="O80" s="84"/>
      <c r="P80" s="82"/>
      <c r="Q80" s="362">
        <f t="shared" ref="Q80" si="104">+(Q79-Q78)/Q79</f>
        <v>0.59465888630419639</v>
      </c>
      <c r="R80" s="83"/>
    </row>
    <row r="81" spans="1:18" x14ac:dyDescent="0.2">
      <c r="A81" s="19" t="s">
        <v>241</v>
      </c>
      <c r="B81" s="45">
        <v>2019</v>
      </c>
      <c r="C81" s="72"/>
      <c r="D81" s="359">
        <v>151160204</v>
      </c>
      <c r="E81" s="359">
        <v>26333</v>
      </c>
      <c r="F81" s="359">
        <v>56300951</v>
      </c>
      <c r="G81" s="70"/>
      <c r="H81" s="359">
        <v>3109950</v>
      </c>
      <c r="I81" s="359">
        <f>SUM(C81:H81)</f>
        <v>210597438</v>
      </c>
      <c r="J81" s="69"/>
      <c r="K81" s="70"/>
      <c r="L81" s="359">
        <v>87994162</v>
      </c>
      <c r="M81" s="70"/>
      <c r="N81" s="359">
        <f>SUM(J81:M81)</f>
        <v>87994162</v>
      </c>
      <c r="O81" s="69"/>
      <c r="P81" s="70"/>
      <c r="Q81" s="359">
        <f>N81+I81</f>
        <v>298591600</v>
      </c>
      <c r="R81" s="359">
        <f>Q81/$Q$105*100</f>
        <v>26.425082509663305</v>
      </c>
    </row>
    <row r="82" spans="1:18" x14ac:dyDescent="0.2">
      <c r="A82" s="20"/>
      <c r="B82" s="13">
        <v>2020</v>
      </c>
      <c r="C82" s="73"/>
      <c r="D82" s="358">
        <v>171707609</v>
      </c>
      <c r="E82" s="358">
        <v>26333</v>
      </c>
      <c r="F82" s="358">
        <v>55441727</v>
      </c>
      <c r="G82" s="74"/>
      <c r="H82" s="358">
        <v>3109950</v>
      </c>
      <c r="I82" s="358">
        <f t="shared" ref="I82:I83" si="105">SUM(C82:H82)</f>
        <v>230285619</v>
      </c>
      <c r="J82" s="76"/>
      <c r="K82" s="74"/>
      <c r="L82" s="358">
        <v>22781500</v>
      </c>
      <c r="M82" s="74"/>
      <c r="N82" s="358">
        <f t="shared" ref="N82:N83" si="106">SUM(J82:M82)</f>
        <v>22781500</v>
      </c>
      <c r="O82" s="76"/>
      <c r="P82" s="74"/>
      <c r="Q82" s="358">
        <f t="shared" ref="Q82:Q83" si="107">N82+I82</f>
        <v>253067119</v>
      </c>
      <c r="R82" s="358">
        <f>Q82/$Q$106*100</f>
        <v>21.99290701511536</v>
      </c>
    </row>
    <row r="83" spans="1:18" x14ac:dyDescent="0.2">
      <c r="A83" s="20"/>
      <c r="B83" s="13">
        <v>2021</v>
      </c>
      <c r="C83" s="73"/>
      <c r="D83" s="358">
        <v>189777513</v>
      </c>
      <c r="E83" s="358">
        <v>26333</v>
      </c>
      <c r="F83" s="358">
        <v>78366195</v>
      </c>
      <c r="G83" s="74"/>
      <c r="H83" s="358">
        <v>3109950</v>
      </c>
      <c r="I83" s="358">
        <f t="shared" si="105"/>
        <v>271279991</v>
      </c>
      <c r="J83" s="76"/>
      <c r="K83" s="74"/>
      <c r="L83" s="358">
        <v>48863679</v>
      </c>
      <c r="M83" s="74"/>
      <c r="N83" s="358">
        <f t="shared" si="106"/>
        <v>48863679</v>
      </c>
      <c r="O83" s="76"/>
      <c r="P83" s="74"/>
      <c r="Q83" s="358">
        <f t="shared" si="107"/>
        <v>320143670</v>
      </c>
      <c r="R83" s="358">
        <f>Q83/$Q$107*100</f>
        <v>26.696764601283153</v>
      </c>
    </row>
    <row r="84" spans="1:18" ht="12.75" thickBot="1" x14ac:dyDescent="0.25">
      <c r="A84" s="21"/>
      <c r="B84" s="68" t="s">
        <v>391</v>
      </c>
      <c r="C84" s="81"/>
      <c r="D84" s="362">
        <f t="shared" ref="D84" si="108">+(D83-D82)/D83</f>
        <v>9.5216254625488744E-2</v>
      </c>
      <c r="E84" s="362">
        <f t="shared" ref="E84" si="109">+(E83-E82)/E83</f>
        <v>0</v>
      </c>
      <c r="F84" s="362">
        <f t="shared" ref="F84" si="110">+(F83-F82)/F83</f>
        <v>0.29253006350506106</v>
      </c>
      <c r="G84" s="82"/>
      <c r="H84" s="362">
        <f t="shared" ref="H84:I84" si="111">+(H83-H82)/H83</f>
        <v>0</v>
      </c>
      <c r="I84" s="362">
        <f t="shared" si="111"/>
        <v>0.1511146172221747</v>
      </c>
      <c r="J84" s="84"/>
      <c r="K84" s="82"/>
      <c r="L84" s="362">
        <f t="shared" ref="L84" si="112">+(L83-L82)/L83</f>
        <v>0.53377436029734893</v>
      </c>
      <c r="M84" s="82"/>
      <c r="N84" s="362">
        <f t="shared" ref="N84" si="113">+(N83-N82)/N83</f>
        <v>0.53377436029734893</v>
      </c>
      <c r="O84" s="84"/>
      <c r="P84" s="82"/>
      <c r="Q84" s="362">
        <f t="shared" ref="Q84" si="114">+(Q83-Q82)/Q83</f>
        <v>0.20952015387341563</v>
      </c>
      <c r="R84" s="83"/>
    </row>
    <row r="85" spans="1:18" x14ac:dyDescent="0.2">
      <c r="A85" s="19" t="s">
        <v>242</v>
      </c>
      <c r="B85" s="45">
        <v>2019</v>
      </c>
      <c r="C85" s="72"/>
      <c r="D85" s="70"/>
      <c r="E85" s="70"/>
      <c r="F85" s="70"/>
      <c r="G85" s="70"/>
      <c r="H85" s="70"/>
      <c r="I85" s="70"/>
      <c r="J85" s="69"/>
      <c r="K85" s="70"/>
      <c r="L85" s="359">
        <v>6139911</v>
      </c>
      <c r="M85" s="70"/>
      <c r="N85" s="359">
        <f>SUM(J85:M85)</f>
        <v>6139911</v>
      </c>
      <c r="O85" s="69"/>
      <c r="P85" s="70"/>
      <c r="Q85" s="359">
        <f>N85+I85</f>
        <v>6139911</v>
      </c>
      <c r="R85" s="359">
        <f>Q85/$Q$105*100</f>
        <v>0.54337648740617395</v>
      </c>
    </row>
    <row r="86" spans="1:18" x14ac:dyDescent="0.2">
      <c r="A86" s="20"/>
      <c r="B86" s="13">
        <v>2020</v>
      </c>
      <c r="C86" s="73"/>
      <c r="D86" s="74"/>
      <c r="E86" s="74"/>
      <c r="F86" s="74"/>
      <c r="G86" s="74"/>
      <c r="H86" s="74"/>
      <c r="I86" s="74"/>
      <c r="J86" s="76"/>
      <c r="K86" s="74"/>
      <c r="L86" s="74">
        <v>0</v>
      </c>
      <c r="M86" s="74"/>
      <c r="N86" s="358">
        <f t="shared" ref="N86:N87" si="115">SUM(J86:M86)</f>
        <v>0</v>
      </c>
      <c r="O86" s="76"/>
      <c r="P86" s="74"/>
      <c r="Q86" s="358">
        <f t="shared" ref="Q86:Q87" si="116">N86+I86</f>
        <v>0</v>
      </c>
      <c r="R86" s="358">
        <f>Q86/$Q$106*100</f>
        <v>0</v>
      </c>
    </row>
    <row r="87" spans="1:18" x14ac:dyDescent="0.2">
      <c r="A87" s="20"/>
      <c r="B87" s="13">
        <v>2021</v>
      </c>
      <c r="C87" s="73"/>
      <c r="D87" s="74"/>
      <c r="E87" s="74"/>
      <c r="F87" s="74"/>
      <c r="G87" s="74"/>
      <c r="H87" s="74"/>
      <c r="I87" s="74"/>
      <c r="J87" s="76"/>
      <c r="K87" s="74"/>
      <c r="L87" s="74"/>
      <c r="M87" s="74"/>
      <c r="N87" s="358">
        <f t="shared" si="115"/>
        <v>0</v>
      </c>
      <c r="O87" s="76"/>
      <c r="P87" s="74"/>
      <c r="Q87" s="358">
        <f t="shared" si="116"/>
        <v>0</v>
      </c>
      <c r="R87" s="358">
        <f>Q87/$Q$107*100</f>
        <v>0</v>
      </c>
    </row>
    <row r="88" spans="1:18" ht="12.75" thickBot="1" x14ac:dyDescent="0.25">
      <c r="A88" s="21"/>
      <c r="B88" s="68" t="s">
        <v>391</v>
      </c>
      <c r="C88" s="81"/>
      <c r="D88" s="82"/>
      <c r="E88" s="82"/>
      <c r="F88" s="82"/>
      <c r="G88" s="82"/>
      <c r="H88" s="82"/>
      <c r="I88" s="82"/>
      <c r="J88" s="84"/>
      <c r="K88" s="82"/>
      <c r="L88" s="82"/>
      <c r="M88" s="82"/>
      <c r="N88" s="82"/>
      <c r="O88" s="84"/>
      <c r="P88" s="82"/>
      <c r="Q88" s="82"/>
      <c r="R88" s="83"/>
    </row>
    <row r="89" spans="1:18" x14ac:dyDescent="0.2">
      <c r="A89" s="19" t="s">
        <v>243</v>
      </c>
      <c r="B89" s="45">
        <v>2019</v>
      </c>
      <c r="C89" s="72"/>
      <c r="D89" s="359">
        <v>477786828</v>
      </c>
      <c r="E89" s="359">
        <v>83661</v>
      </c>
      <c r="F89" s="359">
        <v>52629328</v>
      </c>
      <c r="G89" s="70"/>
      <c r="H89" s="70"/>
      <c r="I89" s="359">
        <f>SUM(C89:H89)</f>
        <v>530499817</v>
      </c>
      <c r="J89" s="69"/>
      <c r="K89" s="70"/>
      <c r="L89" s="359">
        <v>90218300</v>
      </c>
      <c r="M89" s="70"/>
      <c r="N89" s="359">
        <f>SUM(J89:M89)</f>
        <v>90218300</v>
      </c>
      <c r="O89" s="69"/>
      <c r="P89" s="70"/>
      <c r="Q89" s="359">
        <f>N89+I89</f>
        <v>620718117</v>
      </c>
      <c r="R89" s="359">
        <f>Q89/$Q$105*100</f>
        <v>54.932983570093199</v>
      </c>
    </row>
    <row r="90" spans="1:18" x14ac:dyDescent="0.2">
      <c r="A90" s="20"/>
      <c r="B90" s="13">
        <v>2020</v>
      </c>
      <c r="C90" s="73"/>
      <c r="D90" s="358">
        <v>520898940</v>
      </c>
      <c r="E90" s="358">
        <v>83661</v>
      </c>
      <c r="F90" s="358">
        <v>49513549</v>
      </c>
      <c r="G90" s="74"/>
      <c r="H90" s="74"/>
      <c r="I90" s="358">
        <f t="shared" ref="I90:I91" si="117">SUM(C90:H90)</f>
        <v>570496150</v>
      </c>
      <c r="J90" s="76"/>
      <c r="K90" s="74"/>
      <c r="L90" s="358">
        <v>53623933</v>
      </c>
      <c r="M90" s="74"/>
      <c r="N90" s="358">
        <f t="shared" ref="N90:N91" si="118">SUM(J90:M90)</f>
        <v>53623933</v>
      </c>
      <c r="O90" s="76"/>
      <c r="P90" s="74"/>
      <c r="Q90" s="358">
        <f t="shared" ref="Q90:Q91" si="119">N90+I90</f>
        <v>624120083</v>
      </c>
      <c r="R90" s="358">
        <f>Q90/$Q$106*100</f>
        <v>54.239424726232734</v>
      </c>
    </row>
    <row r="91" spans="1:18" x14ac:dyDescent="0.2">
      <c r="A91" s="20"/>
      <c r="B91" s="13">
        <v>2021</v>
      </c>
      <c r="C91" s="73"/>
      <c r="D91" s="358">
        <v>579117460</v>
      </c>
      <c r="E91" s="358">
        <v>1200221</v>
      </c>
      <c r="F91" s="358">
        <v>16612807</v>
      </c>
      <c r="G91" s="74"/>
      <c r="H91" s="74"/>
      <c r="I91" s="358">
        <f t="shared" si="117"/>
        <v>596930488</v>
      </c>
      <c r="J91" s="76"/>
      <c r="K91" s="74"/>
      <c r="L91" s="358">
        <v>39197833</v>
      </c>
      <c r="M91" s="74"/>
      <c r="N91" s="358">
        <f t="shared" si="118"/>
        <v>39197833</v>
      </c>
      <c r="O91" s="76"/>
      <c r="P91" s="74"/>
      <c r="Q91" s="358">
        <f t="shared" si="119"/>
        <v>636128321</v>
      </c>
      <c r="R91" s="358">
        <f>Q91/$Q$107*100</f>
        <v>53.046708816533794</v>
      </c>
    </row>
    <row r="92" spans="1:18" ht="12.75" thickBot="1" x14ac:dyDescent="0.25">
      <c r="A92" s="21"/>
      <c r="B92" s="68" t="s">
        <v>391</v>
      </c>
      <c r="C92" s="81"/>
      <c r="D92" s="362">
        <f t="shared" ref="D92" si="120">+(D91-D90)/D91</f>
        <v>0.10052972673281169</v>
      </c>
      <c r="E92" s="362">
        <f t="shared" ref="E92" si="121">+(E91-E90)/E91</f>
        <v>0.93029533727538516</v>
      </c>
      <c r="F92" s="362">
        <f t="shared" ref="F92" si="122">+(F91-F90)/F91</f>
        <v>-1.9804444847881517</v>
      </c>
      <c r="G92" s="82"/>
      <c r="H92" s="82"/>
      <c r="I92" s="362">
        <f t="shared" ref="I92" si="123">+(I91-I90)/I91</f>
        <v>4.4283779320047061E-2</v>
      </c>
      <c r="J92" s="84"/>
      <c r="K92" s="82"/>
      <c r="L92" s="362">
        <f t="shared" ref="L92" si="124">+(L91-L90)/L91</f>
        <v>-0.36803310019714608</v>
      </c>
      <c r="M92" s="82"/>
      <c r="N92" s="362">
        <f t="shared" ref="N92" si="125">+(N91-N90)/N91</f>
        <v>-0.36803310019714608</v>
      </c>
      <c r="O92" s="84"/>
      <c r="P92" s="82"/>
      <c r="Q92" s="362">
        <f t="shared" ref="Q92" si="126">+(Q91-Q90)/Q91</f>
        <v>1.8877068672438498E-2</v>
      </c>
      <c r="R92" s="83"/>
    </row>
    <row r="93" spans="1:18" x14ac:dyDescent="0.2">
      <c r="A93" s="19" t="s">
        <v>244</v>
      </c>
      <c r="B93" s="45">
        <v>2019</v>
      </c>
      <c r="C93" s="72"/>
      <c r="D93" s="359">
        <v>35730</v>
      </c>
      <c r="E93" s="70">
        <v>0</v>
      </c>
      <c r="F93" s="359">
        <v>584302</v>
      </c>
      <c r="G93" s="70"/>
      <c r="H93" s="70"/>
      <c r="I93" s="359">
        <f>SUM(C93:H93)</f>
        <v>620032</v>
      </c>
      <c r="J93" s="69"/>
      <c r="K93" s="70"/>
      <c r="L93" s="70"/>
      <c r="M93" s="70"/>
      <c r="N93" s="70"/>
      <c r="O93" s="69"/>
      <c r="P93" s="70"/>
      <c r="Q93" s="359">
        <f>N93+I93</f>
        <v>620032</v>
      </c>
      <c r="R93" s="359">
        <f>Q93/$Q$105*100</f>
        <v>5.4872262845410115E-2</v>
      </c>
    </row>
    <row r="94" spans="1:18" x14ac:dyDescent="0.2">
      <c r="A94" s="20"/>
      <c r="B94" s="13">
        <v>2020</v>
      </c>
      <c r="C94" s="73"/>
      <c r="D94" s="358">
        <v>95332</v>
      </c>
      <c r="E94" s="74"/>
      <c r="F94" s="358">
        <v>593322</v>
      </c>
      <c r="G94" s="74"/>
      <c r="H94" s="74"/>
      <c r="I94" s="358">
        <f t="shared" ref="I94:I95" si="127">SUM(C94:H94)</f>
        <v>688654</v>
      </c>
      <c r="J94" s="76"/>
      <c r="K94" s="74"/>
      <c r="L94" s="74"/>
      <c r="M94" s="74"/>
      <c r="N94" s="74"/>
      <c r="O94" s="76"/>
      <c r="P94" s="74"/>
      <c r="Q94" s="358">
        <f t="shared" ref="Q94:Q95" si="128">N94+I94</f>
        <v>688654</v>
      </c>
      <c r="R94" s="358">
        <f>Q94/$Q$106*100</f>
        <v>5.9847772588691193E-2</v>
      </c>
    </row>
    <row r="95" spans="1:18" x14ac:dyDescent="0.2">
      <c r="A95" s="20"/>
      <c r="B95" s="13">
        <v>2021</v>
      </c>
      <c r="C95" s="73"/>
      <c r="D95" s="358">
        <v>86661</v>
      </c>
      <c r="E95" s="74"/>
      <c r="F95" s="358">
        <v>827538</v>
      </c>
      <c r="G95" s="74"/>
      <c r="H95" s="74"/>
      <c r="I95" s="358">
        <f t="shared" si="127"/>
        <v>914199</v>
      </c>
      <c r="J95" s="76"/>
      <c r="K95" s="74"/>
      <c r="L95" s="74"/>
      <c r="M95" s="74"/>
      <c r="N95" s="74"/>
      <c r="O95" s="76"/>
      <c r="P95" s="74"/>
      <c r="Q95" s="358">
        <f t="shared" si="128"/>
        <v>914199</v>
      </c>
      <c r="R95" s="358">
        <f>Q95/$Q$107*100</f>
        <v>7.6235008806291429E-2</v>
      </c>
    </row>
    <row r="96" spans="1:18" ht="12.75" thickBot="1" x14ac:dyDescent="0.25">
      <c r="A96" s="21"/>
      <c r="B96" s="68" t="s">
        <v>391</v>
      </c>
      <c r="C96" s="81"/>
      <c r="D96" s="362">
        <f t="shared" ref="D96" si="129">+(D95-D94)/D95</f>
        <v>-0.10005654215852575</v>
      </c>
      <c r="E96" s="82"/>
      <c r="F96" s="362">
        <f t="shared" ref="F96" si="130">+(F95-F94)/F95</f>
        <v>0.28302748635107994</v>
      </c>
      <c r="G96" s="82"/>
      <c r="H96" s="82"/>
      <c r="I96" s="362">
        <f t="shared" ref="I96" si="131">+(I95-I94)/I95</f>
        <v>0.24671324295913691</v>
      </c>
      <c r="J96" s="84"/>
      <c r="K96" s="82"/>
      <c r="L96" s="82"/>
      <c r="M96" s="82"/>
      <c r="N96" s="82"/>
      <c r="O96" s="84"/>
      <c r="P96" s="82"/>
      <c r="Q96" s="362">
        <f t="shared" ref="Q96" si="132">+(Q95-Q94)/Q95</f>
        <v>0.24671324295913691</v>
      </c>
      <c r="R96" s="90"/>
    </row>
    <row r="97" spans="1:18" x14ac:dyDescent="0.2">
      <c r="A97" s="19" t="s">
        <v>245</v>
      </c>
      <c r="B97" s="45">
        <v>2019</v>
      </c>
      <c r="C97" s="72"/>
      <c r="D97" s="70"/>
      <c r="E97" s="359">
        <v>50048278</v>
      </c>
      <c r="F97" s="70"/>
      <c r="G97" s="70"/>
      <c r="H97" s="70"/>
      <c r="I97" s="359">
        <f>SUM(C97:H97)</f>
        <v>50048278</v>
      </c>
      <c r="J97" s="69"/>
      <c r="K97" s="70"/>
      <c r="L97" s="70"/>
      <c r="M97" s="70"/>
      <c r="N97" s="70"/>
      <c r="O97" s="69"/>
      <c r="P97" s="70"/>
      <c r="Q97" s="359">
        <f>N97+I97</f>
        <v>50048278</v>
      </c>
      <c r="R97" s="359">
        <f>Q97/$Q$105*100</f>
        <v>4.4292266614886913</v>
      </c>
    </row>
    <row r="98" spans="1:18" x14ac:dyDescent="0.2">
      <c r="A98" s="20"/>
      <c r="B98" s="13">
        <v>2020</v>
      </c>
      <c r="C98" s="73"/>
      <c r="D98" s="74"/>
      <c r="E98" s="358">
        <v>49260151</v>
      </c>
      <c r="F98" s="74"/>
      <c r="G98" s="74"/>
      <c r="H98" s="74"/>
      <c r="I98" s="358">
        <f t="shared" ref="I98:I99" si="133">SUM(C98:H98)</f>
        <v>49260151</v>
      </c>
      <c r="J98" s="76"/>
      <c r="K98" s="74"/>
      <c r="L98" s="74"/>
      <c r="M98" s="74"/>
      <c r="N98" s="74"/>
      <c r="O98" s="76"/>
      <c r="P98" s="74"/>
      <c r="Q98" s="358">
        <f t="shared" ref="Q98:Q99" si="134">N98+I98</f>
        <v>49260151</v>
      </c>
      <c r="R98" s="358">
        <f>Q98/$Q$106*100</f>
        <v>4.2809746472576782</v>
      </c>
    </row>
    <row r="99" spans="1:18" x14ac:dyDescent="0.2">
      <c r="A99" s="20"/>
      <c r="B99" s="13">
        <v>2021</v>
      </c>
      <c r="C99" s="73"/>
      <c r="D99" s="74"/>
      <c r="E99" s="358">
        <v>42923591</v>
      </c>
      <c r="F99" s="74"/>
      <c r="G99" s="74"/>
      <c r="H99" s="74"/>
      <c r="I99" s="358">
        <f t="shared" si="133"/>
        <v>42923591</v>
      </c>
      <c r="J99" s="76"/>
      <c r="K99" s="74"/>
      <c r="L99" s="74"/>
      <c r="M99" s="74"/>
      <c r="N99" s="74"/>
      <c r="O99" s="76"/>
      <c r="P99" s="74"/>
      <c r="Q99" s="358">
        <f t="shared" si="134"/>
        <v>42923591</v>
      </c>
      <c r="R99" s="358">
        <f>Q99/$Q$107*100</f>
        <v>3.5793961029082846</v>
      </c>
    </row>
    <row r="100" spans="1:18" ht="12.75" thickBot="1" x14ac:dyDescent="0.25">
      <c r="A100" s="21"/>
      <c r="B100" s="68" t="s">
        <v>391</v>
      </c>
      <c r="C100" s="81"/>
      <c r="D100" s="82"/>
      <c r="E100" s="362">
        <f t="shared" ref="E100" si="135">+(E99-E98)/E99</f>
        <v>-0.14762418176988035</v>
      </c>
      <c r="F100" s="82"/>
      <c r="G100" s="82"/>
      <c r="H100" s="82"/>
      <c r="I100" s="362">
        <f t="shared" ref="I100" si="136">+(I99-I98)/I99</f>
        <v>-0.14762418176988035</v>
      </c>
      <c r="J100" s="84"/>
      <c r="K100" s="82"/>
      <c r="L100" s="82"/>
      <c r="M100" s="82"/>
      <c r="N100" s="82"/>
      <c r="O100" s="84"/>
      <c r="P100" s="82"/>
      <c r="Q100" s="362">
        <f t="shared" ref="Q100" si="137">+(Q99-Q98)/Q99</f>
        <v>-0.14762418176988035</v>
      </c>
      <c r="R100" s="83"/>
    </row>
    <row r="101" spans="1:18" x14ac:dyDescent="0.2">
      <c r="A101" s="19" t="s">
        <v>246</v>
      </c>
      <c r="B101" s="45">
        <v>2019</v>
      </c>
      <c r="C101" s="72"/>
      <c r="D101" s="70"/>
      <c r="E101" s="70"/>
      <c r="F101" s="70"/>
      <c r="G101" s="70"/>
      <c r="H101" s="70"/>
      <c r="I101" s="70"/>
      <c r="J101" s="69"/>
      <c r="K101" s="70"/>
      <c r="L101" s="70"/>
      <c r="M101" s="70"/>
      <c r="N101" s="70"/>
      <c r="O101" s="69"/>
      <c r="P101" s="70"/>
      <c r="Q101" s="70"/>
      <c r="R101" s="71"/>
    </row>
    <row r="102" spans="1:18" x14ac:dyDescent="0.2">
      <c r="A102" s="20"/>
      <c r="B102" s="13">
        <v>2020</v>
      </c>
      <c r="C102" s="73"/>
      <c r="D102" s="74"/>
      <c r="E102" s="74"/>
      <c r="F102" s="74"/>
      <c r="G102" s="74"/>
      <c r="H102" s="74"/>
      <c r="I102" s="74"/>
      <c r="J102" s="76"/>
      <c r="K102" s="74"/>
      <c r="L102" s="74"/>
      <c r="M102" s="74"/>
      <c r="N102" s="74"/>
      <c r="O102" s="76"/>
      <c r="P102" s="74"/>
      <c r="Q102" s="74"/>
      <c r="R102" s="75"/>
    </row>
    <row r="103" spans="1:18" x14ac:dyDescent="0.2">
      <c r="A103" s="20"/>
      <c r="B103" s="13">
        <v>2021</v>
      </c>
      <c r="C103" s="73"/>
      <c r="D103" s="74"/>
      <c r="E103" s="74"/>
      <c r="F103" s="74"/>
      <c r="G103" s="74"/>
      <c r="H103" s="74"/>
      <c r="I103" s="74"/>
      <c r="J103" s="76"/>
      <c r="K103" s="74"/>
      <c r="L103" s="74"/>
      <c r="M103" s="74"/>
      <c r="N103" s="74"/>
      <c r="O103" s="76"/>
      <c r="P103" s="74"/>
      <c r="Q103" s="74"/>
      <c r="R103" s="75"/>
    </row>
    <row r="104" spans="1:18" ht="12.75" thickBot="1" x14ac:dyDescent="0.25">
      <c r="A104" s="21"/>
      <c r="B104" s="68" t="s">
        <v>391</v>
      </c>
      <c r="C104" s="81"/>
      <c r="D104" s="82"/>
      <c r="E104" s="82"/>
      <c r="F104" s="82"/>
      <c r="G104" s="82"/>
      <c r="H104" s="82"/>
      <c r="I104" s="82"/>
      <c r="J104" s="84"/>
      <c r="K104" s="82"/>
      <c r="L104" s="82"/>
      <c r="M104" s="82"/>
      <c r="N104" s="82"/>
      <c r="O104" s="84"/>
      <c r="P104" s="82"/>
      <c r="Q104" s="82"/>
      <c r="R104" s="83"/>
    </row>
    <row r="105" spans="1:18" x14ac:dyDescent="0.2">
      <c r="A105" s="57" t="s">
        <v>0</v>
      </c>
      <c r="B105" s="45">
        <v>2019</v>
      </c>
      <c r="C105" s="85"/>
      <c r="D105" s="360">
        <f>D101+D97+D93+D89+D85+D81+D77+D73+D69+D65+D61+D57+D53+D49+D45+D41+D37+D33+D29+D25+D21+D17+D13+D9+D5</f>
        <v>655500455</v>
      </c>
      <c r="E105" s="360">
        <f t="shared" ref="E105:I105" si="138">E101+E97+E93+E89+E85+E81+E77+E73+E69+E65+E61+E57+E53+E49+E45+E41+E37+E33+E29+E25+E21+E17+E13+E9+E5</f>
        <v>51812176</v>
      </c>
      <c r="F105" s="360">
        <f t="shared" si="138"/>
        <v>156879835</v>
      </c>
      <c r="G105" s="360">
        <f t="shared" si="138"/>
        <v>0</v>
      </c>
      <c r="H105" s="360">
        <f t="shared" si="138"/>
        <v>3450632</v>
      </c>
      <c r="I105" s="360">
        <f t="shared" si="138"/>
        <v>867643098</v>
      </c>
      <c r="J105" s="361">
        <f t="shared" ref="J105:R105" si="139">J101+J97+J93+J89+J85+J81+J77+J73+J69+J65+J61+J57+J53+J49+J45+J41+J37+J33+J29+J25+J21+J17+J13+J9+J5</f>
        <v>0</v>
      </c>
      <c r="K105" s="360">
        <f t="shared" si="139"/>
        <v>0</v>
      </c>
      <c r="L105" s="360">
        <f t="shared" si="139"/>
        <v>262312125</v>
      </c>
      <c r="M105" s="360">
        <f t="shared" si="139"/>
        <v>0</v>
      </c>
      <c r="N105" s="360">
        <f t="shared" si="139"/>
        <v>262312125</v>
      </c>
      <c r="O105" s="361">
        <f t="shared" si="139"/>
        <v>0</v>
      </c>
      <c r="P105" s="360">
        <f t="shared" si="139"/>
        <v>0</v>
      </c>
      <c r="Q105" s="360">
        <f t="shared" si="139"/>
        <v>1129955223</v>
      </c>
      <c r="R105" s="360">
        <f t="shared" si="139"/>
        <v>100.00000000000001</v>
      </c>
    </row>
    <row r="106" spans="1:18" x14ac:dyDescent="0.2">
      <c r="A106" s="22"/>
      <c r="B106" s="13">
        <v>2020</v>
      </c>
      <c r="C106" s="73"/>
      <c r="D106" s="360">
        <f t="shared" ref="D106:I106" si="140">D102+D98+D94+D90+D86+D82+D78+D74+D70+D66+D62+D58+D54+D50+D46+D42+D38+D34+D30+D26+D22+D18+D14+D10+D6</f>
        <v>726499203</v>
      </c>
      <c r="E106" s="360">
        <f t="shared" si="140"/>
        <v>53284179</v>
      </c>
      <c r="F106" s="360">
        <f t="shared" si="140"/>
        <v>162866218</v>
      </c>
      <c r="G106" s="360">
        <f t="shared" si="140"/>
        <v>0</v>
      </c>
      <c r="H106" s="360">
        <f t="shared" si="140"/>
        <v>3145250</v>
      </c>
      <c r="I106" s="360">
        <f t="shared" si="140"/>
        <v>945794850</v>
      </c>
      <c r="J106" s="361">
        <f t="shared" ref="J106:R106" si="141">J102+J98+J94+J90+J86+J82+J78+J74+J70+J66+J62+J58+J54+J50+J46+J42+J38+J34+J30+J26+J22+J18+J14+J10+J6</f>
        <v>0</v>
      </c>
      <c r="K106" s="360">
        <f t="shared" si="141"/>
        <v>0</v>
      </c>
      <c r="L106" s="360">
        <f t="shared" si="141"/>
        <v>204881224</v>
      </c>
      <c r="M106" s="360">
        <f t="shared" si="141"/>
        <v>0</v>
      </c>
      <c r="N106" s="360">
        <f t="shared" si="141"/>
        <v>204881224</v>
      </c>
      <c r="O106" s="361">
        <f t="shared" si="141"/>
        <v>0</v>
      </c>
      <c r="P106" s="360">
        <f t="shared" si="141"/>
        <v>0</v>
      </c>
      <c r="Q106" s="360">
        <f t="shared" si="141"/>
        <v>1150676074</v>
      </c>
      <c r="R106" s="360">
        <f t="shared" si="141"/>
        <v>100</v>
      </c>
    </row>
    <row r="107" spans="1:18" x14ac:dyDescent="0.2">
      <c r="A107" s="22"/>
      <c r="B107" s="13">
        <v>2021</v>
      </c>
      <c r="C107" s="73"/>
      <c r="D107" s="360">
        <f t="shared" ref="D107:I107" si="142">D103+D99+D95+D91+D87+D83+D79+D75+D71+D67+D63+D59+D55+D51+D47+D43+D39+D35+D31+D27+D23+D19+D15+D11+D7</f>
        <v>787551983</v>
      </c>
      <c r="E107" s="360">
        <f t="shared" si="142"/>
        <v>46988048</v>
      </c>
      <c r="F107" s="360">
        <f t="shared" si="142"/>
        <v>123981968</v>
      </c>
      <c r="G107" s="360">
        <f t="shared" si="142"/>
        <v>0</v>
      </c>
      <c r="H107" s="360">
        <f t="shared" si="142"/>
        <v>3145250</v>
      </c>
      <c r="I107" s="360">
        <f t="shared" si="142"/>
        <v>961667249</v>
      </c>
      <c r="J107" s="361">
        <f t="shared" ref="J107:R107" si="143">J103+J99+J95+J91+J87+J83+J79+J75+J71+J67+J63+J59+J55+J51+J47+J43+J39+J35+J31+J27+J23+J19+J15+J11+J7</f>
        <v>0</v>
      </c>
      <c r="K107" s="360">
        <f t="shared" si="143"/>
        <v>0</v>
      </c>
      <c r="L107" s="360">
        <f t="shared" si="143"/>
        <v>237518026</v>
      </c>
      <c r="M107" s="360">
        <f t="shared" si="143"/>
        <v>0</v>
      </c>
      <c r="N107" s="360">
        <f t="shared" si="143"/>
        <v>237518026</v>
      </c>
      <c r="O107" s="361">
        <f t="shared" si="143"/>
        <v>0</v>
      </c>
      <c r="P107" s="360">
        <f t="shared" si="143"/>
        <v>0</v>
      </c>
      <c r="Q107" s="360">
        <f t="shared" si="143"/>
        <v>1199185275</v>
      </c>
      <c r="R107" s="360">
        <f t="shared" si="143"/>
        <v>100.00000000000001</v>
      </c>
    </row>
    <row r="108" spans="1:18" ht="12.75" thickBot="1" x14ac:dyDescent="0.25">
      <c r="A108" s="21"/>
      <c r="B108" s="68" t="s">
        <v>391</v>
      </c>
      <c r="C108" s="81"/>
      <c r="D108" s="362">
        <f t="shared" ref="D108" si="144">+(D107-D106)/D107</f>
        <v>7.752222242833208E-2</v>
      </c>
      <c r="E108" s="362">
        <f t="shared" ref="E108" si="145">+(E107-E106)/E107</f>
        <v>-0.13399430851011304</v>
      </c>
      <c r="F108" s="362">
        <f t="shared" ref="F108" si="146">+(F107-F106)/F107</f>
        <v>-0.31362826891084677</v>
      </c>
      <c r="G108" s="82"/>
      <c r="H108" s="362">
        <f t="shared" ref="H108" si="147">+(H107-H106)/H107</f>
        <v>0</v>
      </c>
      <c r="I108" s="362">
        <f t="shared" ref="I108" si="148">+(I107-I106)/I107</f>
        <v>1.6505084286175996E-2</v>
      </c>
      <c r="J108" s="84"/>
      <c r="K108" s="82"/>
      <c r="L108" s="362">
        <f t="shared" ref="L108" si="149">+(L107-L106)/L107</f>
        <v>0.13740768458559016</v>
      </c>
      <c r="M108" s="82"/>
      <c r="N108" s="362">
        <f t="shared" ref="N108" si="150">+(N107-N106)/N107</f>
        <v>0.13740768458559016</v>
      </c>
      <c r="O108" s="84"/>
      <c r="P108" s="82"/>
      <c r="Q108" s="362">
        <f t="shared" ref="Q108" si="151">+(Q107-Q106)/Q107</f>
        <v>4.045179840954935E-2</v>
      </c>
      <c r="R108" s="83"/>
    </row>
  </sheetData>
  <mergeCells count="6">
    <mergeCell ref="Q3:R3"/>
    <mergeCell ref="A3:A4"/>
    <mergeCell ref="C3:I3"/>
    <mergeCell ref="J3:N3"/>
    <mergeCell ref="O3:P3"/>
    <mergeCell ref="B3:B4"/>
  </mergeCells>
  <phoneticPr fontId="0" type="noConversion"/>
  <printOptions horizontalCentered="1"/>
  <pageMargins left="0.25" right="0.25" top="0.75" bottom="0.75" header="0.3" footer="0.3"/>
  <pageSetup paperSize="9" scale="46" orientation="portrait" r:id="rId1"/>
  <headerFooter alignWithMargins="0">
    <oddHeader xml:space="preserve">&amp;C&amp;"Arial,Negrita"&amp;18PROYECTO DE PRESUPUESTO 2021
</oddHeader>
    <oddFooter>&amp;L&amp;"Arial,Negrita"&amp;8PROYECTO DE PRESUPUESTO PARA EL AÑO FISCAL 2021
INFORMACIÓN PARA LA COMISIÓN DE PRESUPUESTO Y CUENTA GENERAL DE LA REPÚBLICA DEL CONGRESO DE LA REPÚBLICA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19</vt:i4>
      </vt:variant>
    </vt:vector>
  </HeadingPairs>
  <TitlesOfParts>
    <vt:vector size="39" baseType="lpstr">
      <vt:lpstr>Índice</vt:lpstr>
      <vt:lpstr>F-01</vt:lpstr>
      <vt:lpstr>F-02</vt:lpstr>
      <vt:lpstr>F-03</vt:lpstr>
      <vt:lpstr>F-04</vt:lpstr>
      <vt:lpstr>F-05</vt:lpstr>
      <vt:lpstr>F-06</vt:lpstr>
      <vt:lpstr>F-07</vt:lpstr>
      <vt:lpstr>F-08</vt:lpstr>
      <vt:lpstr>F-09</vt:lpstr>
      <vt:lpstr>F-10</vt:lpstr>
      <vt:lpstr>F-11</vt:lpstr>
      <vt:lpstr>F-12</vt:lpstr>
      <vt:lpstr>F-13</vt:lpstr>
      <vt:lpstr>F-14</vt:lpstr>
      <vt:lpstr>F-15</vt:lpstr>
      <vt:lpstr>F-16</vt:lpstr>
      <vt:lpstr>F-18</vt:lpstr>
      <vt:lpstr>Hoja2</vt:lpstr>
      <vt:lpstr>Hoja1</vt:lpstr>
      <vt:lpstr>'F-01'!Área_de_impresión</vt:lpstr>
      <vt:lpstr>'F-06'!Área_de_impresión</vt:lpstr>
      <vt:lpstr>'F-07'!Área_de_impresión</vt:lpstr>
      <vt:lpstr>'F-08'!Área_de_impresión</vt:lpstr>
      <vt:lpstr>'F-09'!Área_de_impresión</vt:lpstr>
      <vt:lpstr>'F-10'!Área_de_impresión</vt:lpstr>
      <vt:lpstr>'F-11'!Área_de_impresión</vt:lpstr>
      <vt:lpstr>'F-12'!Área_de_impresión</vt:lpstr>
      <vt:lpstr>'F-13'!Área_de_impresión</vt:lpstr>
      <vt:lpstr>'F-14'!Área_de_impresión</vt:lpstr>
      <vt:lpstr>'F-15'!Área_de_impresión</vt:lpstr>
      <vt:lpstr>'F-16'!Área_de_impresión</vt:lpstr>
      <vt:lpstr>'F-18'!Área_de_impresión</vt:lpstr>
      <vt:lpstr>Índice!Área_de_impresión</vt:lpstr>
      <vt:lpstr>'F-01'!Títulos_a_imprimir</vt:lpstr>
      <vt:lpstr>'F-13'!Títulos_a_imprimir</vt:lpstr>
      <vt:lpstr>'F-15'!Títulos_a_imprimir</vt:lpstr>
      <vt:lpstr>'F-16'!Títulos_a_imprimir</vt:lpstr>
      <vt:lpstr>Índice!Títulos_a_imprimir</vt:lpstr>
    </vt:vector>
  </TitlesOfParts>
  <Company>Congreso de la República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Directiva Formulaicón de Presupuesto (V 2008)</dc:title>
  <dc:creator>Asesoria de Presupuesto</dc:creator>
  <cp:lastModifiedBy>pined</cp:lastModifiedBy>
  <cp:lastPrinted>2020-10-07T23:13:59Z</cp:lastPrinted>
  <dcterms:created xsi:type="dcterms:W3CDTF">1998-08-20T20:27:58Z</dcterms:created>
  <dcterms:modified xsi:type="dcterms:W3CDTF">2020-10-08T14:04:16Z</dcterms:modified>
</cp:coreProperties>
</file>